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R0gNfN2mzsuJuu2dKPObBJTAqIAf-y02\gestaofrotaFIREBASE\"/>
    </mc:Choice>
  </mc:AlternateContent>
  <xr:revisionPtr revIDLastSave="0" documentId="8_{5DE66EB7-A528-4204-96F9-932D1B19B6D8}" xr6:coauthVersionLast="47" xr6:coauthVersionMax="47" xr10:uidLastSave="{00000000-0000-0000-0000-000000000000}"/>
  <bookViews>
    <workbookView xWindow="-120" yWindow="-120" windowWidth="29040" windowHeight="15720" tabRatio="762" activeTab="8" xr2:uid="{9B108031-0384-4599-9991-D863404D1F0B}"/>
  </bookViews>
  <sheets>
    <sheet name="DIGMANUAL" sheetId="59" r:id="rId1"/>
    <sheet name="MSOLICITADA" sheetId="31" state="hidden" r:id="rId2"/>
    <sheet name="MÉDIAANUAL" sheetId="58" r:id="rId3"/>
    <sheet name="REL-ATUA" sheetId="50" r:id="rId4"/>
    <sheet name="CIDADES" sheetId="54" r:id="rId5"/>
    <sheet name="MENSAL" sheetId="22" r:id="rId6"/>
    <sheet name="DATAS" sheetId="9" state="hidden" r:id="rId7"/>
    <sheet name="CODIGOSPLACAS" sheetId="46" state="hidden" r:id="rId8"/>
    <sheet name="DIESEL" sheetId="10" r:id="rId9"/>
    <sheet name="FORMULAS" sheetId="64" r:id="rId10"/>
    <sheet name="ROTAS" sheetId="55" r:id="rId11"/>
    <sheet name="RANKING" sheetId="61" r:id="rId12"/>
    <sheet name="RELATUA" sheetId="62" r:id="rId13"/>
    <sheet name="EXTRATO" sheetId="63" r:id="rId14"/>
  </sheets>
  <definedNames>
    <definedName name="_xlnm._FilterDatabase" localSheetId="8" hidden="1">DIESEL!$A$2:$AN$664</definedName>
    <definedName name="_xlnm._FilterDatabase" localSheetId="3" hidden="1">'REL-ATUA'!$A$1:$AK$1279</definedName>
    <definedName name="_xlnm._FilterDatabase" localSheetId="10" hidden="1">ROTAS!$A$1:$C$193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2" i="10" l="1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69" i="10"/>
  <c r="G571" i="10"/>
  <c r="I2" i="59"/>
  <c r="D563" i="10"/>
  <c r="G563" i="10" s="1"/>
  <c r="D564" i="10"/>
  <c r="G564" i="10" s="1"/>
  <c r="D565" i="10"/>
  <c r="G565" i="10" s="1"/>
  <c r="D566" i="10"/>
  <c r="G566" i="10" s="1"/>
  <c r="D567" i="10"/>
  <c r="G567" i="10" s="1"/>
  <c r="D568" i="10"/>
  <c r="G568" i="10" s="1"/>
  <c r="AM562" i="10" a="1"/>
  <c r="AM562" i="10" s="1"/>
  <c r="G562" i="10"/>
  <c r="G559" i="10"/>
  <c r="G560" i="10"/>
  <c r="G561" i="10"/>
  <c r="G535" i="10"/>
  <c r="G558" i="10"/>
  <c r="B3" i="61"/>
  <c r="B4" i="61"/>
  <c r="B5" i="61"/>
  <c r="B6" i="61"/>
  <c r="B7" i="61"/>
  <c r="B8" i="61"/>
  <c r="B9" i="61"/>
  <c r="B10" i="61"/>
  <c r="B11" i="61"/>
  <c r="B12" i="61"/>
  <c r="B13" i="61"/>
  <c r="B14" i="61"/>
  <c r="B15" i="61"/>
  <c r="B16" i="61"/>
  <c r="B17" i="61"/>
  <c r="B2" i="61"/>
  <c r="G4" i="61"/>
  <c r="G5" i="61" s="1"/>
  <c r="G3" i="61"/>
  <c r="G570" i="10" l="1"/>
  <c r="C4" i="61"/>
  <c r="C5" i="61"/>
  <c r="C6" i="61"/>
  <c r="C7" i="61"/>
  <c r="C9" i="61"/>
  <c r="C8" i="61"/>
  <c r="C10" i="61"/>
  <c r="C11" i="61"/>
  <c r="C2" i="61"/>
  <c r="C12" i="61"/>
  <c r="C3" i="61"/>
  <c r="C13" i="61"/>
  <c r="I3" i="61"/>
  <c r="H3" i="61" s="1"/>
  <c r="C14" i="61"/>
  <c r="C15" i="61"/>
  <c r="C16" i="61"/>
  <c r="C17" i="61"/>
  <c r="G6" i="61"/>
  <c r="I5" i="61"/>
  <c r="H5" i="61" s="1"/>
  <c r="I4" i="61"/>
  <c r="H4" i="61" s="1"/>
  <c r="I2" i="61"/>
  <c r="H2" i="61" s="1"/>
  <c r="D13" i="61" l="1"/>
  <c r="D4" i="61"/>
  <c r="D12" i="61"/>
  <c r="D2" i="61"/>
  <c r="D3" i="61"/>
  <c r="D15" i="61"/>
  <c r="D14" i="61"/>
  <c r="D17" i="61"/>
  <c r="D5" i="61"/>
  <c r="D11" i="61"/>
  <c r="D16" i="61"/>
  <c r="D10" i="61"/>
  <c r="D8" i="61"/>
  <c r="D7" i="61"/>
  <c r="D9" i="61"/>
  <c r="D6" i="61"/>
  <c r="G7" i="61"/>
  <c r="I6" i="61"/>
  <c r="H6" i="61" s="1"/>
  <c r="G8" i="61" l="1"/>
  <c r="I7" i="61"/>
  <c r="H7" i="61" s="1"/>
  <c r="G9" i="61" l="1"/>
  <c r="I8" i="61"/>
  <c r="H8" i="61" s="1"/>
  <c r="G10" i="61" l="1"/>
  <c r="I9" i="61"/>
  <c r="H9" i="61" s="1"/>
  <c r="G11" i="61" l="1"/>
  <c r="I10" i="61"/>
  <c r="H10" i="61" s="1"/>
  <c r="G12" i="61" l="1"/>
  <c r="I11" i="61"/>
  <c r="H11" i="61" s="1"/>
  <c r="G13" i="61" l="1"/>
  <c r="I12" i="61"/>
  <c r="H12" i="61" s="1"/>
  <c r="G14" i="61" l="1"/>
  <c r="I13" i="61"/>
  <c r="H13" i="61" s="1"/>
  <c r="G15" i="61" l="1"/>
  <c r="I14" i="61"/>
  <c r="H14" i="61" s="1"/>
  <c r="G16" i="61" l="1"/>
  <c r="I15" i="61"/>
  <c r="H15" i="61" s="1"/>
  <c r="G17" i="61" l="1"/>
  <c r="I16" i="61"/>
  <c r="H16" i="61" s="1"/>
  <c r="G18" i="61" l="1"/>
  <c r="I17" i="61"/>
  <c r="H17" i="61"/>
  <c r="G19" i="61" l="1"/>
  <c r="I18" i="61"/>
  <c r="H18" i="61"/>
  <c r="H19" i="61" l="1"/>
  <c r="I19" i="61"/>
  <c r="G557" i="10" l="1"/>
  <c r="N557" i="10"/>
  <c r="O557" i="10"/>
  <c r="R557" i="10"/>
  <c r="S557" i="10"/>
  <c r="AL557" i="10"/>
  <c r="AM557" i="10" a="1"/>
  <c r="AM557" i="10" s="1"/>
  <c r="AN557" i="10"/>
  <c r="A557" i="10" s="1"/>
  <c r="N559" i="10"/>
  <c r="P559" i="10" s="1"/>
  <c r="O559" i="10"/>
  <c r="R559" i="10"/>
  <c r="S559" i="10"/>
  <c r="AL559" i="10"/>
  <c r="AM559" i="10" a="1"/>
  <c r="AM559" i="10" s="1"/>
  <c r="AN559" i="10"/>
  <c r="N560" i="10"/>
  <c r="O560" i="10"/>
  <c r="P560" i="10"/>
  <c r="R560" i="10"/>
  <c r="S560" i="10"/>
  <c r="AL560" i="10"/>
  <c r="AM560" i="10" a="1"/>
  <c r="AM560" i="10" s="1"/>
  <c r="AN560" i="10"/>
  <c r="A560" i="10" s="1"/>
  <c r="N561" i="10"/>
  <c r="P561" i="10" s="1"/>
  <c r="O561" i="10"/>
  <c r="R561" i="10"/>
  <c r="S561" i="10"/>
  <c r="AL561" i="10"/>
  <c r="AM561" i="10" a="1"/>
  <c r="AM561" i="10" s="1"/>
  <c r="AN561" i="10"/>
  <c r="A561" i="10" s="1"/>
  <c r="N535" i="10"/>
  <c r="P535" i="10" s="1"/>
  <c r="O535" i="10"/>
  <c r="R535" i="10"/>
  <c r="S535" i="10"/>
  <c r="AL535" i="10"/>
  <c r="AM535" i="10" a="1"/>
  <c r="AM535" i="10" s="1"/>
  <c r="AN535" i="10"/>
  <c r="A535" i="10" s="1"/>
  <c r="N558" i="10"/>
  <c r="P558" i="10" s="1"/>
  <c r="O558" i="10"/>
  <c r="R558" i="10"/>
  <c r="S558" i="10"/>
  <c r="AL558" i="10"/>
  <c r="AM558" i="10" a="1"/>
  <c r="AM558" i="10" s="1"/>
  <c r="AN558" i="10"/>
  <c r="N562" i="10"/>
  <c r="P562" i="10" s="1"/>
  <c r="O562" i="10"/>
  <c r="R562" i="10"/>
  <c r="S562" i="10"/>
  <c r="AL562" i="10"/>
  <c r="AN562" i="10"/>
  <c r="A562" i="10" s="1"/>
  <c r="N563" i="10"/>
  <c r="P563" i="10" s="1"/>
  <c r="O563" i="10"/>
  <c r="R563" i="10"/>
  <c r="S563" i="10"/>
  <c r="AL563" i="10"/>
  <c r="AM563" i="10" a="1"/>
  <c r="AM563" i="10" s="1"/>
  <c r="AN563" i="10"/>
  <c r="N564" i="10"/>
  <c r="P564" i="10" s="1"/>
  <c r="O564" i="10"/>
  <c r="R564" i="10"/>
  <c r="S564" i="10"/>
  <c r="AL564" i="10"/>
  <c r="AM564" i="10" a="1"/>
  <c r="AM564" i="10" s="1"/>
  <c r="AN564" i="10"/>
  <c r="N565" i="10"/>
  <c r="P565" i="10" s="1"/>
  <c r="O565" i="10"/>
  <c r="R565" i="10"/>
  <c r="S565" i="10"/>
  <c r="AL565" i="10"/>
  <c r="AM565" i="10" a="1"/>
  <c r="AM565" i="10" s="1"/>
  <c r="AN565" i="10"/>
  <c r="N566" i="10"/>
  <c r="P566" i="10" s="1"/>
  <c r="O566" i="10"/>
  <c r="R566" i="10"/>
  <c r="S566" i="10"/>
  <c r="AL566" i="10"/>
  <c r="AM566" i="10" a="1"/>
  <c r="AM566" i="10" s="1"/>
  <c r="AN566" i="10"/>
  <c r="A566" i="10" s="1"/>
  <c r="N567" i="10"/>
  <c r="P567" i="10" s="1"/>
  <c r="O567" i="10"/>
  <c r="R567" i="10"/>
  <c r="S567" i="10"/>
  <c r="AL567" i="10"/>
  <c r="AM567" i="10" a="1"/>
  <c r="AM567" i="10" s="1"/>
  <c r="AN567" i="10"/>
  <c r="N568" i="10"/>
  <c r="P568" i="10" s="1"/>
  <c r="O568" i="10"/>
  <c r="R568" i="10"/>
  <c r="S568" i="10"/>
  <c r="AL568" i="10"/>
  <c r="AM568" i="10" a="1"/>
  <c r="AM568" i="10" s="1"/>
  <c r="AN568" i="10"/>
  <c r="N569" i="10"/>
  <c r="P569" i="10" s="1"/>
  <c r="O569" i="10"/>
  <c r="R569" i="10"/>
  <c r="S569" i="10"/>
  <c r="AL569" i="10"/>
  <c r="AM569" i="10" a="1"/>
  <c r="AM569" i="10" s="1"/>
  <c r="AN569" i="10"/>
  <c r="N570" i="10"/>
  <c r="P570" i="10" s="1"/>
  <c r="O570" i="10"/>
  <c r="R570" i="10"/>
  <c r="S570" i="10"/>
  <c r="AL570" i="10"/>
  <c r="AM570" i="10" a="1"/>
  <c r="AM570" i="10" s="1"/>
  <c r="AN570" i="10"/>
  <c r="N571" i="10"/>
  <c r="P571" i="10" s="1"/>
  <c r="O571" i="10"/>
  <c r="R571" i="10"/>
  <c r="S571" i="10"/>
  <c r="AL571" i="10"/>
  <c r="AM571" i="10" a="1"/>
  <c r="AM571" i="10" s="1"/>
  <c r="AN571" i="10"/>
  <c r="N572" i="10"/>
  <c r="P572" i="10" s="1"/>
  <c r="O572" i="10"/>
  <c r="R572" i="10"/>
  <c r="S572" i="10"/>
  <c r="AL572" i="10"/>
  <c r="AM572" i="10" a="1"/>
  <c r="AM572" i="10" s="1"/>
  <c r="AN572" i="10"/>
  <c r="N573" i="10"/>
  <c r="P573" i="10" s="1"/>
  <c r="O573" i="10"/>
  <c r="R573" i="10"/>
  <c r="S573" i="10"/>
  <c r="AL573" i="10"/>
  <c r="AM573" i="10" a="1"/>
  <c r="AM573" i="10" s="1"/>
  <c r="AN573" i="10"/>
  <c r="A573" i="10" s="1"/>
  <c r="N574" i="10"/>
  <c r="P574" i="10" s="1"/>
  <c r="O574" i="10"/>
  <c r="R574" i="10"/>
  <c r="S574" i="10"/>
  <c r="AL574" i="10"/>
  <c r="AM574" i="10" a="1"/>
  <c r="AM574" i="10" s="1"/>
  <c r="AN574" i="10"/>
  <c r="A574" i="10" s="1"/>
  <c r="N575" i="10"/>
  <c r="P575" i="10" s="1"/>
  <c r="O575" i="10"/>
  <c r="R575" i="10"/>
  <c r="S575" i="10"/>
  <c r="AL575" i="10"/>
  <c r="AM575" i="10" a="1"/>
  <c r="AM575" i="10" s="1"/>
  <c r="AN575" i="10"/>
  <c r="A575" i="10" s="1"/>
  <c r="N576" i="10"/>
  <c r="P576" i="10" s="1"/>
  <c r="O576" i="10"/>
  <c r="R576" i="10"/>
  <c r="S576" i="10"/>
  <c r="AL576" i="10"/>
  <c r="AM576" i="10" a="1"/>
  <c r="AM576" i="10" s="1"/>
  <c r="AN576" i="10"/>
  <c r="N577" i="10"/>
  <c r="P577" i="10" s="1"/>
  <c r="O577" i="10"/>
  <c r="R577" i="10"/>
  <c r="S577" i="10"/>
  <c r="AL577" i="10"/>
  <c r="AM577" i="10" a="1"/>
  <c r="AM577" i="10" s="1"/>
  <c r="AN577" i="10"/>
  <c r="A577" i="10" s="1"/>
  <c r="N578" i="10"/>
  <c r="P578" i="10" s="1"/>
  <c r="O578" i="10"/>
  <c r="R578" i="10"/>
  <c r="S578" i="10"/>
  <c r="AL578" i="10"/>
  <c r="AM578" i="10" a="1"/>
  <c r="AM578" i="10" s="1"/>
  <c r="AN578" i="10"/>
  <c r="N579" i="10"/>
  <c r="P579" i="10" s="1"/>
  <c r="O579" i="10"/>
  <c r="R579" i="10"/>
  <c r="S579" i="10"/>
  <c r="AL579" i="10"/>
  <c r="AM579" i="10" a="1"/>
  <c r="AM579" i="10" s="1"/>
  <c r="AN579" i="10"/>
  <c r="N580" i="10"/>
  <c r="O580" i="10"/>
  <c r="R580" i="10"/>
  <c r="S580" i="10"/>
  <c r="AL580" i="10"/>
  <c r="AM580" i="10" a="1"/>
  <c r="AM580" i="10" s="1"/>
  <c r="AN580" i="10"/>
  <c r="N581" i="10"/>
  <c r="P581" i="10" s="1"/>
  <c r="O581" i="10"/>
  <c r="R581" i="10"/>
  <c r="S581" i="10"/>
  <c r="AL581" i="10"/>
  <c r="AM581" i="10" a="1"/>
  <c r="AM581" i="10" s="1"/>
  <c r="AN581" i="10"/>
  <c r="N582" i="10"/>
  <c r="P582" i="10" s="1"/>
  <c r="O582" i="10"/>
  <c r="R582" i="10"/>
  <c r="S582" i="10"/>
  <c r="AL582" i="10"/>
  <c r="AM582" i="10" a="1"/>
  <c r="AM582" i="10" s="1"/>
  <c r="AN582" i="10"/>
  <c r="N583" i="10"/>
  <c r="P583" i="10" s="1"/>
  <c r="O583" i="10"/>
  <c r="R583" i="10"/>
  <c r="S583" i="10"/>
  <c r="AL583" i="10"/>
  <c r="AM583" i="10" a="1"/>
  <c r="AM583" i="10" s="1"/>
  <c r="AN583" i="10"/>
  <c r="A583" i="10" s="1"/>
  <c r="N584" i="10"/>
  <c r="P584" i="10" s="1"/>
  <c r="O584" i="10"/>
  <c r="R584" i="10"/>
  <c r="S584" i="10"/>
  <c r="AL584" i="10"/>
  <c r="AM584" i="10" a="1"/>
  <c r="AM584" i="10" s="1"/>
  <c r="AN584" i="10"/>
  <c r="G585" i="10"/>
  <c r="N585" i="10"/>
  <c r="O585" i="10"/>
  <c r="P585" i="10"/>
  <c r="Q585" i="10"/>
  <c r="R585" i="10"/>
  <c r="S585" i="10"/>
  <c r="T585" i="10"/>
  <c r="AL585" i="10"/>
  <c r="AM585" i="10" a="1"/>
  <c r="AM585" i="10" s="1"/>
  <c r="AN585" i="10"/>
  <c r="A585" i="10" s="1"/>
  <c r="G586" i="10"/>
  <c r="N586" i="10"/>
  <c r="O586" i="10"/>
  <c r="P586" i="10"/>
  <c r="Q586" i="10"/>
  <c r="R586" i="10"/>
  <c r="S586" i="10"/>
  <c r="T586" i="10"/>
  <c r="AL586" i="10"/>
  <c r="AM586" i="10" a="1"/>
  <c r="AM586" i="10" s="1"/>
  <c r="AN586" i="10"/>
  <c r="A586" i="10" s="1"/>
  <c r="G587" i="10"/>
  <c r="N587" i="10"/>
  <c r="O587" i="10"/>
  <c r="P587" i="10"/>
  <c r="Q587" i="10"/>
  <c r="R587" i="10"/>
  <c r="S587" i="10"/>
  <c r="T587" i="10"/>
  <c r="AL587" i="10"/>
  <c r="AM587" i="10" a="1"/>
  <c r="AM587" i="10" s="1"/>
  <c r="AN587" i="10"/>
  <c r="A587" i="10" s="1"/>
  <c r="G588" i="10"/>
  <c r="N588" i="10"/>
  <c r="O588" i="10"/>
  <c r="P588" i="10"/>
  <c r="Q588" i="10"/>
  <c r="R588" i="10"/>
  <c r="S588" i="10"/>
  <c r="T588" i="10"/>
  <c r="AL588" i="10"/>
  <c r="AM588" i="10" a="1"/>
  <c r="AM588" i="10" s="1"/>
  <c r="AN588" i="10"/>
  <c r="A588" i="10" s="1"/>
  <c r="G589" i="10"/>
  <c r="N589" i="10"/>
  <c r="O589" i="10"/>
  <c r="P589" i="10"/>
  <c r="Q589" i="10"/>
  <c r="R589" i="10"/>
  <c r="S589" i="10"/>
  <c r="T589" i="10"/>
  <c r="AL589" i="10"/>
  <c r="AM589" i="10" a="1"/>
  <c r="AM589" i="10" s="1"/>
  <c r="AN589" i="10"/>
  <c r="A589" i="10" s="1"/>
  <c r="G590" i="10"/>
  <c r="N590" i="10"/>
  <c r="O590" i="10"/>
  <c r="P590" i="10"/>
  <c r="Q590" i="10"/>
  <c r="R590" i="10"/>
  <c r="S590" i="10"/>
  <c r="T590" i="10"/>
  <c r="AL590" i="10"/>
  <c r="AM590" i="10" a="1"/>
  <c r="AM590" i="10" s="1"/>
  <c r="AN590" i="10"/>
  <c r="A590" i="10" s="1"/>
  <c r="G591" i="10"/>
  <c r="N591" i="10"/>
  <c r="O591" i="10"/>
  <c r="P591" i="10"/>
  <c r="Q591" i="10"/>
  <c r="R591" i="10"/>
  <c r="S591" i="10"/>
  <c r="T591" i="10"/>
  <c r="AL591" i="10"/>
  <c r="AM591" i="10" a="1"/>
  <c r="AM591" i="10" s="1"/>
  <c r="AN591" i="10"/>
  <c r="A591" i="10" s="1"/>
  <c r="G592" i="10"/>
  <c r="N592" i="10"/>
  <c r="O592" i="10"/>
  <c r="P592" i="10"/>
  <c r="Q592" i="10"/>
  <c r="R592" i="10"/>
  <c r="S592" i="10"/>
  <c r="T592" i="10"/>
  <c r="AL592" i="10"/>
  <c r="AM592" i="10" a="1"/>
  <c r="AM592" i="10" s="1"/>
  <c r="AN592" i="10"/>
  <c r="A592" i="10" s="1"/>
  <c r="G593" i="10"/>
  <c r="N593" i="10"/>
  <c r="O593" i="10"/>
  <c r="P593" i="10"/>
  <c r="Q593" i="10"/>
  <c r="R593" i="10"/>
  <c r="S593" i="10"/>
  <c r="T593" i="10"/>
  <c r="AL593" i="10"/>
  <c r="AM593" i="10" a="1"/>
  <c r="AM593" i="10" s="1"/>
  <c r="AN593" i="10"/>
  <c r="A593" i="10" s="1"/>
  <c r="G594" i="10"/>
  <c r="N594" i="10"/>
  <c r="O594" i="10"/>
  <c r="P594" i="10"/>
  <c r="Q594" i="10"/>
  <c r="R594" i="10"/>
  <c r="S594" i="10"/>
  <c r="T594" i="10"/>
  <c r="AL594" i="10"/>
  <c r="AM594" i="10" a="1"/>
  <c r="AM594" i="10" s="1"/>
  <c r="AN594" i="10"/>
  <c r="A594" i="10" s="1"/>
  <c r="G595" i="10"/>
  <c r="N595" i="10"/>
  <c r="O595" i="10"/>
  <c r="P595" i="10"/>
  <c r="Q595" i="10"/>
  <c r="R595" i="10"/>
  <c r="S595" i="10"/>
  <c r="T595" i="10"/>
  <c r="AL595" i="10"/>
  <c r="AM595" i="10" a="1"/>
  <c r="AM595" i="10" s="1"/>
  <c r="AN595" i="10"/>
  <c r="A595" i="10" s="1"/>
  <c r="G596" i="10"/>
  <c r="N596" i="10"/>
  <c r="O596" i="10"/>
  <c r="P596" i="10"/>
  <c r="Q596" i="10"/>
  <c r="R596" i="10"/>
  <c r="S596" i="10"/>
  <c r="T596" i="10"/>
  <c r="AL596" i="10"/>
  <c r="AM596" i="10" a="1"/>
  <c r="AM596" i="10" s="1"/>
  <c r="AN596" i="10"/>
  <c r="A596" i="10" s="1"/>
  <c r="G597" i="10"/>
  <c r="N597" i="10"/>
  <c r="O597" i="10"/>
  <c r="P597" i="10"/>
  <c r="Q597" i="10"/>
  <c r="R597" i="10"/>
  <c r="S597" i="10"/>
  <c r="T597" i="10"/>
  <c r="AL597" i="10"/>
  <c r="AM597" i="10" a="1"/>
  <c r="AM597" i="10" s="1"/>
  <c r="AN597" i="10"/>
  <c r="A597" i="10" s="1"/>
  <c r="G598" i="10"/>
  <c r="N598" i="10"/>
  <c r="O598" i="10"/>
  <c r="P598" i="10"/>
  <c r="Q598" i="10"/>
  <c r="R598" i="10"/>
  <c r="S598" i="10"/>
  <c r="T598" i="10"/>
  <c r="AL598" i="10"/>
  <c r="AM598" i="10" a="1"/>
  <c r="AM598" i="10" s="1"/>
  <c r="AN598" i="10"/>
  <c r="A598" i="10" s="1"/>
  <c r="G599" i="10"/>
  <c r="N599" i="10"/>
  <c r="O599" i="10"/>
  <c r="P599" i="10"/>
  <c r="Q599" i="10"/>
  <c r="R599" i="10"/>
  <c r="S599" i="10"/>
  <c r="T599" i="10"/>
  <c r="AL599" i="10"/>
  <c r="AM599" i="10" a="1"/>
  <c r="AM599" i="10" s="1"/>
  <c r="AN599" i="10"/>
  <c r="A599" i="10" s="1"/>
  <c r="G600" i="10"/>
  <c r="N600" i="10"/>
  <c r="O600" i="10"/>
  <c r="P600" i="10"/>
  <c r="Q600" i="10"/>
  <c r="R600" i="10"/>
  <c r="S600" i="10"/>
  <c r="T600" i="10"/>
  <c r="AL600" i="10"/>
  <c r="AM600" i="10" a="1"/>
  <c r="AM600" i="10" s="1"/>
  <c r="AN600" i="10"/>
  <c r="A600" i="10" s="1"/>
  <c r="G601" i="10"/>
  <c r="N601" i="10"/>
  <c r="O601" i="10"/>
  <c r="P601" i="10"/>
  <c r="Q601" i="10"/>
  <c r="R601" i="10"/>
  <c r="S601" i="10"/>
  <c r="T601" i="10"/>
  <c r="AL601" i="10"/>
  <c r="AM601" i="10" a="1"/>
  <c r="AM601" i="10" s="1"/>
  <c r="AN601" i="10"/>
  <c r="A601" i="10" s="1"/>
  <c r="G602" i="10"/>
  <c r="N602" i="10"/>
  <c r="O602" i="10"/>
  <c r="P602" i="10"/>
  <c r="Q602" i="10"/>
  <c r="R602" i="10"/>
  <c r="S602" i="10"/>
  <c r="T602" i="10"/>
  <c r="AL602" i="10"/>
  <c r="AM602" i="10" a="1"/>
  <c r="AM602" i="10" s="1"/>
  <c r="AN602" i="10"/>
  <c r="A602" i="10" s="1"/>
  <c r="G603" i="10"/>
  <c r="N603" i="10"/>
  <c r="O603" i="10"/>
  <c r="P603" i="10"/>
  <c r="Q603" i="10"/>
  <c r="R603" i="10"/>
  <c r="S603" i="10"/>
  <c r="T603" i="10"/>
  <c r="AL603" i="10"/>
  <c r="AM603" i="10" a="1"/>
  <c r="AM603" i="10" s="1"/>
  <c r="AN603" i="10"/>
  <c r="A603" i="10" s="1"/>
  <c r="G604" i="10"/>
  <c r="N604" i="10"/>
  <c r="O604" i="10"/>
  <c r="P604" i="10"/>
  <c r="Q604" i="10"/>
  <c r="R604" i="10"/>
  <c r="S604" i="10"/>
  <c r="T604" i="10"/>
  <c r="AL604" i="10"/>
  <c r="AM604" i="10" a="1"/>
  <c r="AM604" i="10" s="1"/>
  <c r="AN604" i="10"/>
  <c r="A604" i="10" s="1"/>
  <c r="G605" i="10"/>
  <c r="N605" i="10"/>
  <c r="O605" i="10"/>
  <c r="P605" i="10"/>
  <c r="Q605" i="10"/>
  <c r="R605" i="10"/>
  <c r="S605" i="10"/>
  <c r="T605" i="10"/>
  <c r="AL605" i="10"/>
  <c r="AM605" i="10" a="1"/>
  <c r="AM605" i="10" s="1"/>
  <c r="AN605" i="10"/>
  <c r="A605" i="10" s="1"/>
  <c r="G606" i="10"/>
  <c r="N606" i="10"/>
  <c r="O606" i="10"/>
  <c r="P606" i="10"/>
  <c r="Q606" i="10"/>
  <c r="R606" i="10"/>
  <c r="S606" i="10"/>
  <c r="T606" i="10"/>
  <c r="AL606" i="10"/>
  <c r="AM606" i="10" a="1"/>
  <c r="AM606" i="10" s="1"/>
  <c r="AN606" i="10"/>
  <c r="A606" i="10" s="1"/>
  <c r="G607" i="10"/>
  <c r="N607" i="10"/>
  <c r="O607" i="10"/>
  <c r="P607" i="10"/>
  <c r="Q607" i="10"/>
  <c r="R607" i="10"/>
  <c r="S607" i="10"/>
  <c r="T607" i="10"/>
  <c r="AL607" i="10"/>
  <c r="AM607" i="10" a="1"/>
  <c r="AM607" i="10" s="1"/>
  <c r="AN607" i="10"/>
  <c r="A607" i="10" s="1"/>
  <c r="G608" i="10"/>
  <c r="N608" i="10"/>
  <c r="O608" i="10"/>
  <c r="P608" i="10"/>
  <c r="Q608" i="10"/>
  <c r="R608" i="10"/>
  <c r="S608" i="10"/>
  <c r="T608" i="10"/>
  <c r="AL608" i="10"/>
  <c r="AM608" i="10" a="1"/>
  <c r="AM608" i="10" s="1"/>
  <c r="AN608" i="10"/>
  <c r="A608" i="10" s="1"/>
  <c r="G609" i="10"/>
  <c r="N609" i="10"/>
  <c r="O609" i="10"/>
  <c r="P609" i="10"/>
  <c r="Q609" i="10"/>
  <c r="R609" i="10"/>
  <c r="S609" i="10"/>
  <c r="T609" i="10"/>
  <c r="AL609" i="10"/>
  <c r="AM609" i="10" a="1"/>
  <c r="AM609" i="10" s="1"/>
  <c r="AN609" i="10"/>
  <c r="A609" i="10" s="1"/>
  <c r="G610" i="10"/>
  <c r="N610" i="10"/>
  <c r="O610" i="10"/>
  <c r="P610" i="10"/>
  <c r="Q610" i="10"/>
  <c r="R610" i="10"/>
  <c r="S610" i="10"/>
  <c r="T610" i="10"/>
  <c r="AL610" i="10"/>
  <c r="AM610" i="10" a="1"/>
  <c r="AM610" i="10" s="1"/>
  <c r="AN610" i="10"/>
  <c r="A610" i="10" s="1"/>
  <c r="G611" i="10"/>
  <c r="N611" i="10"/>
  <c r="O611" i="10"/>
  <c r="P611" i="10"/>
  <c r="Q611" i="10"/>
  <c r="R611" i="10"/>
  <c r="S611" i="10"/>
  <c r="T611" i="10"/>
  <c r="AL611" i="10"/>
  <c r="AM611" i="10" a="1"/>
  <c r="AM611" i="10" s="1"/>
  <c r="AN611" i="10"/>
  <c r="A611" i="10" s="1"/>
  <c r="G612" i="10"/>
  <c r="N612" i="10"/>
  <c r="O612" i="10"/>
  <c r="P612" i="10"/>
  <c r="Q612" i="10"/>
  <c r="R612" i="10"/>
  <c r="S612" i="10"/>
  <c r="T612" i="10"/>
  <c r="AL612" i="10"/>
  <c r="AM612" i="10" a="1"/>
  <c r="AM612" i="10" s="1"/>
  <c r="AN612" i="10"/>
  <c r="A612" i="10" s="1"/>
  <c r="G613" i="10"/>
  <c r="N613" i="10"/>
  <c r="O613" i="10"/>
  <c r="P613" i="10"/>
  <c r="Q613" i="10"/>
  <c r="R613" i="10"/>
  <c r="S613" i="10"/>
  <c r="T613" i="10"/>
  <c r="AL613" i="10"/>
  <c r="AM613" i="10" a="1"/>
  <c r="AM613" i="10" s="1"/>
  <c r="AN613" i="10"/>
  <c r="A613" i="10" s="1"/>
  <c r="G614" i="10"/>
  <c r="N614" i="10"/>
  <c r="O614" i="10"/>
  <c r="P614" i="10"/>
  <c r="Q614" i="10"/>
  <c r="R614" i="10"/>
  <c r="S614" i="10"/>
  <c r="T614" i="10"/>
  <c r="AL614" i="10"/>
  <c r="AM614" i="10" a="1"/>
  <c r="AM614" i="10" s="1"/>
  <c r="AN614" i="10"/>
  <c r="A614" i="10" s="1"/>
  <c r="G615" i="10"/>
  <c r="N615" i="10"/>
  <c r="O615" i="10"/>
  <c r="P615" i="10"/>
  <c r="Q615" i="10"/>
  <c r="R615" i="10"/>
  <c r="S615" i="10"/>
  <c r="T615" i="10"/>
  <c r="AL615" i="10"/>
  <c r="AM615" i="10" a="1"/>
  <c r="AM615" i="10" s="1"/>
  <c r="AN615" i="10"/>
  <c r="A615" i="10" s="1"/>
  <c r="G616" i="10"/>
  <c r="N616" i="10"/>
  <c r="O616" i="10"/>
  <c r="P616" i="10"/>
  <c r="Q616" i="10"/>
  <c r="R616" i="10"/>
  <c r="S616" i="10"/>
  <c r="T616" i="10"/>
  <c r="AL616" i="10"/>
  <c r="AM616" i="10" a="1"/>
  <c r="AM616" i="10" s="1"/>
  <c r="AN616" i="10"/>
  <c r="A616" i="10" s="1"/>
  <c r="G617" i="10"/>
  <c r="N617" i="10"/>
  <c r="O617" i="10"/>
  <c r="P617" i="10"/>
  <c r="Q617" i="10"/>
  <c r="R617" i="10"/>
  <c r="S617" i="10"/>
  <c r="T617" i="10"/>
  <c r="AL617" i="10"/>
  <c r="AM617" i="10" a="1"/>
  <c r="AM617" i="10" s="1"/>
  <c r="AN617" i="10"/>
  <c r="A617" i="10" s="1"/>
  <c r="G618" i="10"/>
  <c r="N618" i="10"/>
  <c r="O618" i="10"/>
  <c r="P618" i="10"/>
  <c r="Q618" i="10"/>
  <c r="R618" i="10"/>
  <c r="S618" i="10"/>
  <c r="T618" i="10"/>
  <c r="AL618" i="10"/>
  <c r="AM618" i="10" a="1"/>
  <c r="AM618" i="10" s="1"/>
  <c r="AN618" i="10"/>
  <c r="A618" i="10" s="1"/>
  <c r="G619" i="10"/>
  <c r="N619" i="10"/>
  <c r="O619" i="10"/>
  <c r="P619" i="10"/>
  <c r="Q619" i="10"/>
  <c r="R619" i="10"/>
  <c r="S619" i="10"/>
  <c r="T619" i="10"/>
  <c r="AL619" i="10"/>
  <c r="AM619" i="10" a="1"/>
  <c r="AM619" i="10" s="1"/>
  <c r="AN619" i="10"/>
  <c r="A619" i="10" s="1"/>
  <c r="G620" i="10"/>
  <c r="N620" i="10"/>
  <c r="O620" i="10"/>
  <c r="P620" i="10"/>
  <c r="Q620" i="10"/>
  <c r="R620" i="10"/>
  <c r="S620" i="10"/>
  <c r="T620" i="10"/>
  <c r="AL620" i="10"/>
  <c r="AM620" i="10" a="1"/>
  <c r="AM620" i="10" s="1"/>
  <c r="AN620" i="10"/>
  <c r="A620" i="10" s="1"/>
  <c r="G621" i="10"/>
  <c r="N621" i="10"/>
  <c r="O621" i="10"/>
  <c r="P621" i="10"/>
  <c r="Q621" i="10"/>
  <c r="R621" i="10"/>
  <c r="S621" i="10"/>
  <c r="T621" i="10"/>
  <c r="AL621" i="10"/>
  <c r="AM621" i="10" a="1"/>
  <c r="AM621" i="10" s="1"/>
  <c r="AN621" i="10"/>
  <c r="A621" i="10" s="1"/>
  <c r="G622" i="10"/>
  <c r="N622" i="10"/>
  <c r="O622" i="10"/>
  <c r="P622" i="10"/>
  <c r="Q622" i="10"/>
  <c r="R622" i="10"/>
  <c r="S622" i="10"/>
  <c r="T622" i="10"/>
  <c r="AL622" i="10"/>
  <c r="AM622" i="10" a="1"/>
  <c r="AM622" i="10" s="1"/>
  <c r="AN622" i="10"/>
  <c r="A622" i="10" s="1"/>
  <c r="G623" i="10"/>
  <c r="N623" i="10"/>
  <c r="O623" i="10"/>
  <c r="P623" i="10"/>
  <c r="Q623" i="10"/>
  <c r="R623" i="10"/>
  <c r="S623" i="10"/>
  <c r="T623" i="10"/>
  <c r="AL623" i="10"/>
  <c r="AM623" i="10" a="1"/>
  <c r="AM623" i="10" s="1"/>
  <c r="AN623" i="10"/>
  <c r="A623" i="10" s="1"/>
  <c r="G624" i="10"/>
  <c r="N624" i="10"/>
  <c r="O624" i="10"/>
  <c r="P624" i="10"/>
  <c r="Q624" i="10"/>
  <c r="R624" i="10"/>
  <c r="S624" i="10"/>
  <c r="T624" i="10"/>
  <c r="AL624" i="10"/>
  <c r="AM624" i="10" a="1"/>
  <c r="AM624" i="10" s="1"/>
  <c r="AN624" i="10"/>
  <c r="A624" i="10" s="1"/>
  <c r="G625" i="10"/>
  <c r="N625" i="10"/>
  <c r="O625" i="10"/>
  <c r="P625" i="10"/>
  <c r="Q625" i="10"/>
  <c r="R625" i="10"/>
  <c r="S625" i="10"/>
  <c r="T625" i="10"/>
  <c r="AL625" i="10"/>
  <c r="AM625" i="10" a="1"/>
  <c r="AM625" i="10" s="1"/>
  <c r="AN625" i="10"/>
  <c r="A625" i="10" s="1"/>
  <c r="G626" i="10"/>
  <c r="N626" i="10"/>
  <c r="O626" i="10"/>
  <c r="P626" i="10"/>
  <c r="Q626" i="10"/>
  <c r="R626" i="10"/>
  <c r="S626" i="10"/>
  <c r="T626" i="10"/>
  <c r="AL626" i="10"/>
  <c r="AM626" i="10" a="1"/>
  <c r="AM626" i="10" s="1"/>
  <c r="AN626" i="10"/>
  <c r="A626" i="10" s="1"/>
  <c r="G627" i="10"/>
  <c r="N627" i="10"/>
  <c r="O627" i="10"/>
  <c r="P627" i="10"/>
  <c r="Q627" i="10"/>
  <c r="R627" i="10"/>
  <c r="S627" i="10"/>
  <c r="T627" i="10"/>
  <c r="AL627" i="10"/>
  <c r="AM627" i="10" a="1"/>
  <c r="AM627" i="10" s="1"/>
  <c r="AN627" i="10"/>
  <c r="A627" i="10" s="1"/>
  <c r="G628" i="10"/>
  <c r="N628" i="10"/>
  <c r="O628" i="10"/>
  <c r="P628" i="10"/>
  <c r="Q628" i="10"/>
  <c r="R628" i="10"/>
  <c r="S628" i="10"/>
  <c r="T628" i="10"/>
  <c r="AL628" i="10"/>
  <c r="AM628" i="10" a="1"/>
  <c r="AM628" i="10" s="1"/>
  <c r="AN628" i="10"/>
  <c r="A628" i="10" s="1"/>
  <c r="G629" i="10"/>
  <c r="N629" i="10"/>
  <c r="O629" i="10"/>
  <c r="P629" i="10"/>
  <c r="Q629" i="10"/>
  <c r="R629" i="10"/>
  <c r="S629" i="10"/>
  <c r="T629" i="10"/>
  <c r="AL629" i="10"/>
  <c r="AM629" i="10" a="1"/>
  <c r="AM629" i="10" s="1"/>
  <c r="AN629" i="10"/>
  <c r="A629" i="10" s="1"/>
  <c r="G630" i="10"/>
  <c r="N630" i="10"/>
  <c r="O630" i="10"/>
  <c r="P630" i="10"/>
  <c r="Q630" i="10"/>
  <c r="R630" i="10"/>
  <c r="S630" i="10"/>
  <c r="T630" i="10"/>
  <c r="AL630" i="10"/>
  <c r="AM630" i="10" a="1"/>
  <c r="AM630" i="10" s="1"/>
  <c r="AN630" i="10"/>
  <c r="A630" i="10" s="1"/>
  <c r="G631" i="10"/>
  <c r="N631" i="10"/>
  <c r="O631" i="10"/>
  <c r="P631" i="10"/>
  <c r="Q631" i="10"/>
  <c r="R631" i="10"/>
  <c r="S631" i="10"/>
  <c r="T631" i="10"/>
  <c r="AL631" i="10"/>
  <c r="AM631" i="10" a="1"/>
  <c r="AM631" i="10" s="1"/>
  <c r="AN631" i="10"/>
  <c r="A631" i="10" s="1"/>
  <c r="G632" i="10"/>
  <c r="N632" i="10"/>
  <c r="O632" i="10"/>
  <c r="P632" i="10"/>
  <c r="Q632" i="10"/>
  <c r="R632" i="10"/>
  <c r="S632" i="10"/>
  <c r="T632" i="10"/>
  <c r="AL632" i="10"/>
  <c r="AM632" i="10" a="1"/>
  <c r="AM632" i="10" s="1"/>
  <c r="AN632" i="10"/>
  <c r="A632" i="10" s="1"/>
  <c r="G633" i="10"/>
  <c r="N633" i="10"/>
  <c r="O633" i="10"/>
  <c r="P633" i="10"/>
  <c r="Q633" i="10"/>
  <c r="R633" i="10"/>
  <c r="S633" i="10"/>
  <c r="T633" i="10"/>
  <c r="AL633" i="10"/>
  <c r="AM633" i="10" a="1"/>
  <c r="AM633" i="10" s="1"/>
  <c r="AN633" i="10"/>
  <c r="A633" i="10" s="1"/>
  <c r="G634" i="10"/>
  <c r="N634" i="10"/>
  <c r="O634" i="10"/>
  <c r="P634" i="10"/>
  <c r="Q634" i="10"/>
  <c r="R634" i="10"/>
  <c r="S634" i="10"/>
  <c r="T634" i="10"/>
  <c r="AL634" i="10"/>
  <c r="AM634" i="10" a="1"/>
  <c r="AM634" i="10" s="1"/>
  <c r="AN634" i="10"/>
  <c r="A634" i="10" s="1"/>
  <c r="G635" i="10"/>
  <c r="N635" i="10"/>
  <c r="O635" i="10"/>
  <c r="P635" i="10"/>
  <c r="Q635" i="10"/>
  <c r="R635" i="10"/>
  <c r="S635" i="10"/>
  <c r="T635" i="10"/>
  <c r="AL635" i="10"/>
  <c r="AM635" i="10" a="1"/>
  <c r="AM635" i="10" s="1"/>
  <c r="AN635" i="10"/>
  <c r="A635" i="10" s="1"/>
  <c r="G636" i="10"/>
  <c r="N636" i="10"/>
  <c r="O636" i="10"/>
  <c r="P636" i="10"/>
  <c r="Q636" i="10"/>
  <c r="R636" i="10"/>
  <c r="S636" i="10"/>
  <c r="T636" i="10"/>
  <c r="AL636" i="10"/>
  <c r="AM636" i="10" a="1"/>
  <c r="AM636" i="10" s="1"/>
  <c r="AN636" i="10"/>
  <c r="A636" i="10" s="1"/>
  <c r="G637" i="10"/>
  <c r="N637" i="10"/>
  <c r="O637" i="10"/>
  <c r="P637" i="10"/>
  <c r="Q637" i="10"/>
  <c r="R637" i="10"/>
  <c r="S637" i="10"/>
  <c r="T637" i="10"/>
  <c r="AL637" i="10"/>
  <c r="AM637" i="10" a="1"/>
  <c r="AM637" i="10" s="1"/>
  <c r="AN637" i="10"/>
  <c r="A637" i="10" s="1"/>
  <c r="G638" i="10"/>
  <c r="N638" i="10"/>
  <c r="O638" i="10"/>
  <c r="P638" i="10"/>
  <c r="Q638" i="10"/>
  <c r="R638" i="10"/>
  <c r="S638" i="10"/>
  <c r="T638" i="10"/>
  <c r="AL638" i="10"/>
  <c r="AM638" i="10" a="1"/>
  <c r="AM638" i="10" s="1"/>
  <c r="AN638" i="10"/>
  <c r="A638" i="10" s="1"/>
  <c r="G639" i="10"/>
  <c r="N639" i="10"/>
  <c r="O639" i="10"/>
  <c r="P639" i="10"/>
  <c r="Q639" i="10"/>
  <c r="R639" i="10"/>
  <c r="S639" i="10"/>
  <c r="T639" i="10"/>
  <c r="AL639" i="10"/>
  <c r="AM639" i="10" a="1"/>
  <c r="AM639" i="10" s="1"/>
  <c r="AN639" i="10"/>
  <c r="A639" i="10" s="1"/>
  <c r="G640" i="10"/>
  <c r="N640" i="10"/>
  <c r="O640" i="10"/>
  <c r="P640" i="10"/>
  <c r="Q640" i="10"/>
  <c r="R640" i="10"/>
  <c r="S640" i="10"/>
  <c r="T640" i="10"/>
  <c r="AL640" i="10"/>
  <c r="AM640" i="10" a="1"/>
  <c r="AM640" i="10" s="1"/>
  <c r="AN640" i="10"/>
  <c r="A640" i="10" s="1"/>
  <c r="G641" i="10"/>
  <c r="N641" i="10"/>
  <c r="O641" i="10"/>
  <c r="P641" i="10"/>
  <c r="Q641" i="10"/>
  <c r="R641" i="10"/>
  <c r="S641" i="10"/>
  <c r="T641" i="10"/>
  <c r="AL641" i="10"/>
  <c r="AM641" i="10" a="1"/>
  <c r="AM641" i="10" s="1"/>
  <c r="AN641" i="10"/>
  <c r="A641" i="10" s="1"/>
  <c r="G642" i="10"/>
  <c r="N642" i="10"/>
  <c r="O642" i="10"/>
  <c r="P642" i="10"/>
  <c r="Q642" i="10"/>
  <c r="R642" i="10"/>
  <c r="S642" i="10"/>
  <c r="T642" i="10"/>
  <c r="AL642" i="10"/>
  <c r="AM642" i="10" a="1"/>
  <c r="AM642" i="10" s="1"/>
  <c r="AN642" i="10"/>
  <c r="A642" i="10" s="1"/>
  <c r="G643" i="10"/>
  <c r="N643" i="10"/>
  <c r="O643" i="10"/>
  <c r="P643" i="10"/>
  <c r="Q643" i="10"/>
  <c r="R643" i="10"/>
  <c r="S643" i="10"/>
  <c r="T643" i="10"/>
  <c r="AL643" i="10"/>
  <c r="AM643" i="10" a="1"/>
  <c r="AM643" i="10" s="1"/>
  <c r="AN643" i="10"/>
  <c r="A643" i="10" s="1"/>
  <c r="G644" i="10"/>
  <c r="N644" i="10"/>
  <c r="O644" i="10"/>
  <c r="P644" i="10"/>
  <c r="Q644" i="10"/>
  <c r="R644" i="10"/>
  <c r="S644" i="10"/>
  <c r="T644" i="10"/>
  <c r="AL644" i="10"/>
  <c r="AM644" i="10" a="1"/>
  <c r="AM644" i="10" s="1"/>
  <c r="AN644" i="10"/>
  <c r="A644" i="10" s="1"/>
  <c r="G645" i="10"/>
  <c r="N645" i="10"/>
  <c r="O645" i="10"/>
  <c r="P645" i="10"/>
  <c r="Q645" i="10"/>
  <c r="R645" i="10"/>
  <c r="S645" i="10"/>
  <c r="T645" i="10"/>
  <c r="AL645" i="10"/>
  <c r="AM645" i="10" a="1"/>
  <c r="AM645" i="10" s="1"/>
  <c r="AN645" i="10"/>
  <c r="A645" i="10" s="1"/>
  <c r="G646" i="10"/>
  <c r="N646" i="10"/>
  <c r="O646" i="10"/>
  <c r="P646" i="10"/>
  <c r="Q646" i="10"/>
  <c r="R646" i="10"/>
  <c r="S646" i="10"/>
  <c r="T646" i="10"/>
  <c r="AL646" i="10"/>
  <c r="AM646" i="10" a="1"/>
  <c r="AM646" i="10" s="1"/>
  <c r="AN646" i="10"/>
  <c r="A646" i="10" s="1"/>
  <c r="G647" i="10"/>
  <c r="N647" i="10"/>
  <c r="O647" i="10"/>
  <c r="P647" i="10"/>
  <c r="Q647" i="10"/>
  <c r="R647" i="10"/>
  <c r="S647" i="10"/>
  <c r="T647" i="10"/>
  <c r="AL647" i="10"/>
  <c r="AM647" i="10" a="1"/>
  <c r="AM647" i="10" s="1"/>
  <c r="AN647" i="10"/>
  <c r="A647" i="10" s="1"/>
  <c r="G648" i="10"/>
  <c r="N648" i="10"/>
  <c r="O648" i="10"/>
  <c r="P648" i="10"/>
  <c r="Q648" i="10"/>
  <c r="R648" i="10"/>
  <c r="S648" i="10"/>
  <c r="T648" i="10"/>
  <c r="AL648" i="10"/>
  <c r="AM648" i="10" a="1"/>
  <c r="AM648" i="10" s="1"/>
  <c r="AN648" i="10"/>
  <c r="A648" i="10" s="1"/>
  <c r="G649" i="10"/>
  <c r="N649" i="10"/>
  <c r="O649" i="10"/>
  <c r="P649" i="10"/>
  <c r="Q649" i="10"/>
  <c r="R649" i="10"/>
  <c r="S649" i="10"/>
  <c r="T649" i="10"/>
  <c r="AL649" i="10"/>
  <c r="AM649" i="10" a="1"/>
  <c r="AM649" i="10" s="1"/>
  <c r="AN649" i="10"/>
  <c r="A649" i="10" s="1"/>
  <c r="G650" i="10"/>
  <c r="N650" i="10"/>
  <c r="O650" i="10"/>
  <c r="P650" i="10"/>
  <c r="Q650" i="10"/>
  <c r="R650" i="10"/>
  <c r="S650" i="10"/>
  <c r="T650" i="10"/>
  <c r="AL650" i="10"/>
  <c r="AM650" i="10" a="1"/>
  <c r="AM650" i="10" s="1"/>
  <c r="AN650" i="10"/>
  <c r="A650" i="10" s="1"/>
  <c r="G651" i="10"/>
  <c r="N651" i="10"/>
  <c r="O651" i="10"/>
  <c r="P651" i="10"/>
  <c r="Q651" i="10"/>
  <c r="R651" i="10"/>
  <c r="S651" i="10"/>
  <c r="T651" i="10"/>
  <c r="AL651" i="10"/>
  <c r="AM651" i="10" a="1"/>
  <c r="AM651" i="10" s="1"/>
  <c r="AN651" i="10"/>
  <c r="A651" i="10" s="1"/>
  <c r="G652" i="10"/>
  <c r="N652" i="10"/>
  <c r="O652" i="10"/>
  <c r="P652" i="10"/>
  <c r="Q652" i="10"/>
  <c r="R652" i="10"/>
  <c r="S652" i="10"/>
  <c r="T652" i="10"/>
  <c r="AL652" i="10"/>
  <c r="AM652" i="10" a="1"/>
  <c r="AM652" i="10" s="1"/>
  <c r="AN652" i="10"/>
  <c r="A652" i="10" s="1"/>
  <c r="G653" i="10"/>
  <c r="N653" i="10"/>
  <c r="O653" i="10"/>
  <c r="P653" i="10"/>
  <c r="Q653" i="10"/>
  <c r="R653" i="10"/>
  <c r="S653" i="10"/>
  <c r="T653" i="10"/>
  <c r="AL653" i="10"/>
  <c r="AM653" i="10" a="1"/>
  <c r="AM653" i="10" s="1"/>
  <c r="AN653" i="10"/>
  <c r="A653" i="10" s="1"/>
  <c r="G654" i="10"/>
  <c r="N654" i="10"/>
  <c r="O654" i="10"/>
  <c r="P654" i="10"/>
  <c r="Q654" i="10"/>
  <c r="R654" i="10"/>
  <c r="S654" i="10"/>
  <c r="T654" i="10"/>
  <c r="AL654" i="10"/>
  <c r="AM654" i="10" a="1"/>
  <c r="AM654" i="10" s="1"/>
  <c r="AN654" i="10"/>
  <c r="A654" i="10" s="1"/>
  <c r="G655" i="10"/>
  <c r="N655" i="10"/>
  <c r="O655" i="10"/>
  <c r="P655" i="10"/>
  <c r="Q655" i="10"/>
  <c r="R655" i="10"/>
  <c r="S655" i="10"/>
  <c r="T655" i="10"/>
  <c r="AL655" i="10"/>
  <c r="AM655" i="10" a="1"/>
  <c r="AM655" i="10" s="1"/>
  <c r="AN655" i="10"/>
  <c r="A655" i="10" s="1"/>
  <c r="G656" i="10"/>
  <c r="N656" i="10"/>
  <c r="O656" i="10"/>
  <c r="P656" i="10"/>
  <c r="Q656" i="10"/>
  <c r="R656" i="10"/>
  <c r="S656" i="10"/>
  <c r="T656" i="10"/>
  <c r="AL656" i="10"/>
  <c r="AM656" i="10" a="1"/>
  <c r="AM656" i="10" s="1"/>
  <c r="AN656" i="10"/>
  <c r="A656" i="10" s="1"/>
  <c r="G657" i="10"/>
  <c r="N657" i="10"/>
  <c r="O657" i="10"/>
  <c r="P657" i="10"/>
  <c r="Q657" i="10"/>
  <c r="R657" i="10"/>
  <c r="S657" i="10"/>
  <c r="T657" i="10"/>
  <c r="AL657" i="10"/>
  <c r="AM657" i="10" a="1"/>
  <c r="AM657" i="10" s="1"/>
  <c r="AN657" i="10"/>
  <c r="A657" i="10" s="1"/>
  <c r="G658" i="10"/>
  <c r="N658" i="10"/>
  <c r="O658" i="10"/>
  <c r="P658" i="10"/>
  <c r="Q658" i="10"/>
  <c r="R658" i="10"/>
  <c r="S658" i="10"/>
  <c r="T658" i="10"/>
  <c r="AL658" i="10"/>
  <c r="AM658" i="10" a="1"/>
  <c r="AM658" i="10" s="1"/>
  <c r="AN658" i="10"/>
  <c r="A658" i="10" s="1"/>
  <c r="G659" i="10"/>
  <c r="N659" i="10"/>
  <c r="O659" i="10"/>
  <c r="P659" i="10"/>
  <c r="Q659" i="10"/>
  <c r="R659" i="10"/>
  <c r="S659" i="10"/>
  <c r="T659" i="10"/>
  <c r="AL659" i="10"/>
  <c r="AM659" i="10" a="1"/>
  <c r="AM659" i="10" s="1"/>
  <c r="AN659" i="10"/>
  <c r="A659" i="10" s="1"/>
  <c r="G660" i="10"/>
  <c r="N660" i="10"/>
  <c r="O660" i="10"/>
  <c r="P660" i="10"/>
  <c r="Q660" i="10"/>
  <c r="R660" i="10"/>
  <c r="S660" i="10"/>
  <c r="T660" i="10"/>
  <c r="AL660" i="10"/>
  <c r="AM660" i="10" a="1"/>
  <c r="AM660" i="10" s="1"/>
  <c r="AN660" i="10"/>
  <c r="A660" i="10" s="1"/>
  <c r="G661" i="10"/>
  <c r="N661" i="10"/>
  <c r="O661" i="10"/>
  <c r="P661" i="10"/>
  <c r="Q661" i="10"/>
  <c r="R661" i="10"/>
  <c r="S661" i="10"/>
  <c r="T661" i="10"/>
  <c r="AL661" i="10"/>
  <c r="AM661" i="10" a="1"/>
  <c r="AM661" i="10" s="1"/>
  <c r="AN661" i="10"/>
  <c r="A661" i="10" s="1"/>
  <c r="G662" i="10"/>
  <c r="N662" i="10"/>
  <c r="O662" i="10"/>
  <c r="P662" i="10"/>
  <c r="Q662" i="10"/>
  <c r="R662" i="10"/>
  <c r="S662" i="10"/>
  <c r="T662" i="10"/>
  <c r="AL662" i="10"/>
  <c r="AM662" i="10" a="1"/>
  <c r="AM662" i="10" s="1"/>
  <c r="AN662" i="10"/>
  <c r="A662" i="10" s="1"/>
  <c r="G663" i="10"/>
  <c r="N663" i="10"/>
  <c r="O663" i="10"/>
  <c r="P663" i="10"/>
  <c r="Q663" i="10"/>
  <c r="R663" i="10"/>
  <c r="S663" i="10"/>
  <c r="T663" i="10"/>
  <c r="AL663" i="10"/>
  <c r="AM663" i="10" a="1"/>
  <c r="AM663" i="10" s="1"/>
  <c r="AN663" i="10"/>
  <c r="A663" i="10" s="1"/>
  <c r="G664" i="10"/>
  <c r="N664" i="10"/>
  <c r="O664" i="10"/>
  <c r="P664" i="10"/>
  <c r="Q664" i="10"/>
  <c r="R664" i="10"/>
  <c r="S664" i="10"/>
  <c r="T664" i="10"/>
  <c r="AL664" i="10"/>
  <c r="AM664" i="10" a="1"/>
  <c r="AM664" i="10" s="1"/>
  <c r="AN664" i="10"/>
  <c r="A664" i="10" s="1"/>
  <c r="AN554" i="10"/>
  <c r="Q572" i="10" l="1"/>
  <c r="Q583" i="10"/>
  <c r="Q584" i="10"/>
  <c r="Q582" i="10"/>
  <c r="P580" i="10"/>
  <c r="Q569" i="10"/>
  <c r="Q571" i="10"/>
  <c r="Q580" i="10"/>
  <c r="P557" i="10"/>
  <c r="G551" i="10"/>
  <c r="G552" i="10"/>
  <c r="G553" i="10"/>
  <c r="G549" i="10"/>
  <c r="G550" i="10"/>
  <c r="I3" i="59"/>
  <c r="I4" i="59"/>
  <c r="I5" i="59"/>
  <c r="I6" i="59"/>
  <c r="I7" i="59"/>
  <c r="I8" i="59"/>
  <c r="I9" i="59"/>
  <c r="I10" i="59"/>
  <c r="I11" i="59"/>
  <c r="I12" i="59"/>
  <c r="I13" i="59"/>
  <c r="I14" i="59"/>
  <c r="I15" i="59"/>
  <c r="I16" i="59"/>
  <c r="I17" i="59"/>
  <c r="I18" i="59"/>
  <c r="I19" i="59"/>
  <c r="I20" i="59"/>
  <c r="I21" i="59"/>
  <c r="I22" i="59"/>
  <c r="I23" i="59"/>
  <c r="I24" i="59"/>
  <c r="I25" i="59"/>
  <c r="I26" i="59"/>
  <c r="I27" i="59"/>
  <c r="I28" i="59"/>
  <c r="I29" i="59"/>
  <c r="I30" i="59"/>
  <c r="I31" i="59"/>
  <c r="I32" i="59"/>
  <c r="I33" i="59"/>
  <c r="I34" i="59"/>
  <c r="AN549" i="10"/>
  <c r="AN550" i="10"/>
  <c r="A550" i="10" s="1"/>
  <c r="AN551" i="10"/>
  <c r="A551" i="10" s="1"/>
  <c r="AN552" i="10"/>
  <c r="A552" i="10" s="1"/>
  <c r="AN553" i="10"/>
  <c r="A553" i="10" s="1"/>
  <c r="AN555" i="10"/>
  <c r="A555" i="10" s="1"/>
  <c r="AN536" i="10"/>
  <c r="A536" i="10" s="1"/>
  <c r="AN556" i="10"/>
  <c r="A556" i="10" s="1"/>
  <c r="AL545" i="10" l="1"/>
  <c r="AL546" i="10"/>
  <c r="AL547" i="10"/>
  <c r="AL548" i="10"/>
  <c r="AL526" i="10"/>
  <c r="G540" i="10"/>
  <c r="G541" i="10"/>
  <c r="G544" i="10"/>
  <c r="G545" i="10"/>
  <c r="G546" i="10"/>
  <c r="G539" i="10"/>
  <c r="G542" i="10"/>
  <c r="G543" i="10"/>
  <c r="G547" i="10"/>
  <c r="G548" i="10"/>
  <c r="G525" i="10"/>
  <c r="AN538" i="10"/>
  <c r="A538" i="10" s="1"/>
  <c r="AN541" i="10"/>
  <c r="A541" i="10" s="1"/>
  <c r="AN544" i="10"/>
  <c r="A544" i="10" s="1"/>
  <c r="AN539" i="10"/>
  <c r="A539" i="10" s="1"/>
  <c r="AN542" i="10"/>
  <c r="AN543" i="10"/>
  <c r="AN540" i="10"/>
  <c r="AN545" i="10"/>
  <c r="A545" i="10" s="1"/>
  <c r="AN546" i="10"/>
  <c r="AN547" i="10"/>
  <c r="A547" i="10" s="1"/>
  <c r="AN548" i="10"/>
  <c r="A548" i="10" s="1"/>
  <c r="AN525" i="10"/>
  <c r="A525" i="10" s="1"/>
  <c r="AN526" i="10"/>
  <c r="A526" i="10" s="1"/>
  <c r="G538" i="10"/>
  <c r="G526" i="10"/>
  <c r="G536" i="10"/>
  <c r="G554" i="10"/>
  <c r="G556" i="10"/>
  <c r="AN531" i="10"/>
  <c r="AN532" i="10"/>
  <c r="AN533" i="10"/>
  <c r="AN534" i="10"/>
  <c r="AN537" i="10"/>
  <c r="A543" i="10" l="1"/>
  <c r="A534" i="10"/>
  <c r="G528" i="10"/>
  <c r="G529" i="10"/>
  <c r="G530" i="10"/>
  <c r="G531" i="10"/>
  <c r="G532" i="10"/>
  <c r="G533" i="10"/>
  <c r="G534" i="10"/>
  <c r="G537" i="10"/>
  <c r="G524" i="10"/>
  <c r="A27" i="58"/>
  <c r="B27" i="58"/>
  <c r="C27" i="58"/>
  <c r="D27" i="58"/>
  <c r="E27" i="58"/>
  <c r="F27" i="58"/>
  <c r="G27" i="58"/>
  <c r="I27" i="58"/>
  <c r="J27" i="58"/>
  <c r="K27" i="58"/>
  <c r="L27" i="58"/>
  <c r="M27" i="58"/>
  <c r="M25" i="58"/>
  <c r="L25" i="58"/>
  <c r="B142" i="55"/>
  <c r="B143" i="55"/>
  <c r="B144" i="55"/>
  <c r="B154" i="55"/>
  <c r="B155" i="55"/>
  <c r="B156" i="55"/>
  <c r="B157" i="55"/>
  <c r="B158" i="55"/>
  <c r="B159" i="55"/>
  <c r="B160" i="55"/>
  <c r="B161" i="55"/>
  <c r="B162" i="55"/>
  <c r="B163" i="55"/>
  <c r="B164" i="55"/>
  <c r="B165" i="55"/>
  <c r="B166" i="55"/>
  <c r="B167" i="55"/>
  <c r="B168" i="55"/>
  <c r="B169" i="55"/>
  <c r="B170" i="55"/>
  <c r="B171" i="55"/>
  <c r="B172" i="55"/>
  <c r="B174" i="55"/>
  <c r="B175" i="55"/>
  <c r="A572" i="10" s="1"/>
  <c r="B176" i="55"/>
  <c r="B177" i="55"/>
  <c r="B180" i="55"/>
  <c r="B181" i="55"/>
  <c r="B182" i="55"/>
  <c r="C182" i="55" s="1"/>
  <c r="D182" i="55"/>
  <c r="B183" i="55"/>
  <c r="C183" i="55" s="1"/>
  <c r="D183" i="55"/>
  <c r="B184" i="55"/>
  <c r="E184" i="55" s="1"/>
  <c r="D184" i="55"/>
  <c r="B185" i="55"/>
  <c r="C185" i="55" s="1"/>
  <c r="D185" i="55"/>
  <c r="B186" i="55"/>
  <c r="E186" i="55" s="1"/>
  <c r="D186" i="55"/>
  <c r="B187" i="55"/>
  <c r="E187" i="55" s="1"/>
  <c r="D187" i="55"/>
  <c r="B188" i="55"/>
  <c r="C188" i="55" s="1"/>
  <c r="D188" i="55"/>
  <c r="B189" i="55"/>
  <c r="C189" i="55" s="1"/>
  <c r="D189" i="55"/>
  <c r="B190" i="55"/>
  <c r="C190" i="55" s="1"/>
  <c r="D190" i="55"/>
  <c r="B191" i="55"/>
  <c r="C191" i="55" s="1"/>
  <c r="D191" i="55"/>
  <c r="B192" i="55"/>
  <c r="E192" i="55" s="1"/>
  <c r="D192" i="55"/>
  <c r="B193" i="55"/>
  <c r="C193" i="55" s="1"/>
  <c r="D193" i="55"/>
  <c r="A584" i="10" l="1"/>
  <c r="A582" i="10"/>
  <c r="B178" i="55"/>
  <c r="A578" i="10"/>
  <c r="A579" i="10"/>
  <c r="A576" i="10"/>
  <c r="A571" i="10"/>
  <c r="A569" i="10"/>
  <c r="B173" i="55"/>
  <c r="A567" i="10"/>
  <c r="A568" i="10"/>
  <c r="A564" i="10"/>
  <c r="A565" i="10"/>
  <c r="A563" i="10"/>
  <c r="A559" i="10"/>
  <c r="A558" i="10"/>
  <c r="A554" i="10"/>
  <c r="A542" i="10"/>
  <c r="A549" i="10"/>
  <c r="A546" i="10"/>
  <c r="A540" i="10"/>
  <c r="C184" i="55"/>
  <c r="A537" i="10"/>
  <c r="C187" i="55"/>
  <c r="E182" i="55"/>
  <c r="F182" i="55" s="1"/>
  <c r="C192" i="55"/>
  <c r="C186" i="55"/>
  <c r="E190" i="55"/>
  <c r="F190" i="55" s="1"/>
  <c r="E183" i="55"/>
  <c r="F183" i="55" s="1"/>
  <c r="E189" i="55"/>
  <c r="F189" i="55" s="1"/>
  <c r="M26" i="58"/>
  <c r="M29" i="58"/>
  <c r="F192" i="55"/>
  <c r="F184" i="55"/>
  <c r="F187" i="55"/>
  <c r="F186" i="55"/>
  <c r="E191" i="55"/>
  <c r="F191" i="55" s="1"/>
  <c r="E193" i="55"/>
  <c r="F193" i="55" s="1"/>
  <c r="E188" i="55"/>
  <c r="F188" i="55" s="1"/>
  <c r="B145" i="55"/>
  <c r="E185" i="55"/>
  <c r="F185" i="55" s="1"/>
  <c r="G341" i="10"/>
  <c r="G375" i="10"/>
  <c r="G494" i="10"/>
  <c r="J9" i="50"/>
  <c r="J8" i="50"/>
  <c r="G517" i="10"/>
  <c r="G513" i="10"/>
  <c r="G518" i="10"/>
  <c r="G519" i="10"/>
  <c r="G521" i="10"/>
  <c r="G520" i="10"/>
  <c r="G522" i="10"/>
  <c r="G523" i="10"/>
  <c r="G516" i="10"/>
  <c r="N516" i="10"/>
  <c r="P516" i="10" s="1"/>
  <c r="O516" i="10"/>
  <c r="R516" i="10"/>
  <c r="S516" i="10"/>
  <c r="AL516" i="10"/>
  <c r="AM516" i="10" a="1"/>
  <c r="AM516" i="10" s="1"/>
  <c r="AN516" i="10"/>
  <c r="G514" i="10"/>
  <c r="N514" i="10"/>
  <c r="P514" i="10" s="1"/>
  <c r="O514" i="10"/>
  <c r="R514" i="10"/>
  <c r="S514" i="10"/>
  <c r="AL514" i="10"/>
  <c r="AM514" i="10" a="1"/>
  <c r="AM514" i="10" s="1"/>
  <c r="AN514" i="10"/>
  <c r="G515" i="10"/>
  <c r="N515" i="10"/>
  <c r="P515" i="10" s="1"/>
  <c r="O515" i="10"/>
  <c r="R515" i="10"/>
  <c r="S515" i="10"/>
  <c r="AL515" i="10"/>
  <c r="AM515" i="10" a="1"/>
  <c r="AM515" i="10" s="1"/>
  <c r="AN515" i="10"/>
  <c r="N519" i="10"/>
  <c r="P519" i="10" s="1"/>
  <c r="O519" i="10"/>
  <c r="R519" i="10"/>
  <c r="S519" i="10"/>
  <c r="AL519" i="10"/>
  <c r="AM519" i="10" a="1"/>
  <c r="AM519" i="10" s="1"/>
  <c r="AN519" i="10"/>
  <c r="N521" i="10"/>
  <c r="P521" i="10" s="1"/>
  <c r="O521" i="10"/>
  <c r="R521" i="10"/>
  <c r="S521" i="10"/>
  <c r="AL521" i="10"/>
  <c r="AM521" i="10" a="1"/>
  <c r="AM521" i="10" s="1"/>
  <c r="AN521" i="10"/>
  <c r="N520" i="10"/>
  <c r="P520" i="10" s="1"/>
  <c r="O520" i="10"/>
  <c r="R520" i="10"/>
  <c r="S520" i="10"/>
  <c r="AL520" i="10"/>
  <c r="AM520" i="10" a="1"/>
  <c r="AM520" i="10" s="1"/>
  <c r="AN520" i="10"/>
  <c r="N522" i="10"/>
  <c r="P522" i="10" s="1"/>
  <c r="O522" i="10"/>
  <c r="R522" i="10"/>
  <c r="S522" i="10"/>
  <c r="AL522" i="10"/>
  <c r="AM522" i="10" a="1"/>
  <c r="AM522" i="10" s="1"/>
  <c r="AN522" i="10"/>
  <c r="N523" i="10"/>
  <c r="P523" i="10" s="1"/>
  <c r="O523" i="10"/>
  <c r="R523" i="10"/>
  <c r="S523" i="10"/>
  <c r="AL523" i="10"/>
  <c r="AM523" i="10" a="1"/>
  <c r="AM523" i="10" s="1"/>
  <c r="AN523" i="10"/>
  <c r="A523" i="10" s="1"/>
  <c r="N517" i="10"/>
  <c r="P517" i="10" s="1"/>
  <c r="O517" i="10"/>
  <c r="R517" i="10"/>
  <c r="S517" i="10"/>
  <c r="AL517" i="10"/>
  <c r="AM517" i="10" a="1"/>
  <c r="AM517" i="10" s="1"/>
  <c r="AN517" i="10"/>
  <c r="N513" i="10"/>
  <c r="P513" i="10" s="1"/>
  <c r="O513" i="10"/>
  <c r="R513" i="10"/>
  <c r="S513" i="10"/>
  <c r="AL513" i="10"/>
  <c r="AM513" i="10" a="1"/>
  <c r="AM513" i="10" s="1"/>
  <c r="AN513" i="10"/>
  <c r="N518" i="10"/>
  <c r="P518" i="10" s="1"/>
  <c r="O518" i="10"/>
  <c r="R518" i="10"/>
  <c r="S518" i="10"/>
  <c r="AL518" i="10"/>
  <c r="AM518" i="10" a="1"/>
  <c r="AM518" i="10" s="1"/>
  <c r="AN518" i="10"/>
  <c r="N341" i="10"/>
  <c r="P341" i="10" s="1"/>
  <c r="O341" i="10"/>
  <c r="R341" i="10"/>
  <c r="S341" i="10"/>
  <c r="AL341" i="10"/>
  <c r="AM341" i="10" a="1"/>
  <c r="AM341" i="10" s="1"/>
  <c r="AN341" i="10"/>
  <c r="A341" i="10" s="1"/>
  <c r="N375" i="10"/>
  <c r="P375" i="10" s="1"/>
  <c r="O375" i="10"/>
  <c r="R375" i="10"/>
  <c r="S375" i="10"/>
  <c r="AL375" i="10"/>
  <c r="AM375" i="10" a="1"/>
  <c r="AM375" i="10" s="1"/>
  <c r="AN375" i="10"/>
  <c r="A375" i="10" s="1"/>
  <c r="N494" i="10"/>
  <c r="P494" i="10" s="1"/>
  <c r="O494" i="10"/>
  <c r="R494" i="10"/>
  <c r="S494" i="10"/>
  <c r="AL494" i="10"/>
  <c r="AM494" i="10" a="1"/>
  <c r="AM494" i="10" s="1"/>
  <c r="AN494" i="10"/>
  <c r="N524" i="10"/>
  <c r="P524" i="10" s="1"/>
  <c r="O524" i="10"/>
  <c r="R524" i="10"/>
  <c r="S524" i="10"/>
  <c r="AL524" i="10"/>
  <c r="AM524" i="10" a="1"/>
  <c r="AM524" i="10" s="1"/>
  <c r="AN524" i="10"/>
  <c r="A524" i="10" s="1"/>
  <c r="G527" i="10"/>
  <c r="N527" i="10"/>
  <c r="P527" i="10" s="1"/>
  <c r="O527" i="10"/>
  <c r="R527" i="10"/>
  <c r="S527" i="10"/>
  <c r="AL527" i="10"/>
  <c r="AM527" i="10" a="1"/>
  <c r="AM527" i="10" s="1"/>
  <c r="AN527" i="10"/>
  <c r="A527" i="10" s="1"/>
  <c r="N528" i="10"/>
  <c r="P528" i="10" s="1"/>
  <c r="O528" i="10"/>
  <c r="R528" i="10"/>
  <c r="S528" i="10"/>
  <c r="AL528" i="10"/>
  <c r="AM528" i="10" a="1"/>
  <c r="AM528" i="10" s="1"/>
  <c r="AN528" i="10"/>
  <c r="A528" i="10" s="1"/>
  <c r="N529" i="10"/>
  <c r="P529" i="10" s="1"/>
  <c r="O529" i="10"/>
  <c r="R529" i="10"/>
  <c r="S529" i="10"/>
  <c r="AL529" i="10"/>
  <c r="AM529" i="10" a="1"/>
  <c r="AM529" i="10" s="1"/>
  <c r="AN529" i="10"/>
  <c r="A529" i="10" s="1"/>
  <c r="N530" i="10"/>
  <c r="P530" i="10" s="1"/>
  <c r="O530" i="10"/>
  <c r="R530" i="10"/>
  <c r="S530" i="10"/>
  <c r="AL530" i="10"/>
  <c r="AM530" i="10" a="1"/>
  <c r="AM530" i="10" s="1"/>
  <c r="AN530" i="10"/>
  <c r="A530" i="10" s="1"/>
  <c r="N531" i="10"/>
  <c r="P531" i="10" s="1"/>
  <c r="O531" i="10"/>
  <c r="R531" i="10"/>
  <c r="S531" i="10"/>
  <c r="AL531" i="10"/>
  <c r="AM531" i="10" a="1"/>
  <c r="AM531" i="10" s="1"/>
  <c r="A531" i="10"/>
  <c r="N532" i="10"/>
  <c r="O532" i="10"/>
  <c r="R532" i="10"/>
  <c r="S532" i="10"/>
  <c r="AL532" i="10"/>
  <c r="AM532" i="10" a="1"/>
  <c r="AM532" i="10" s="1"/>
  <c r="A532" i="10"/>
  <c r="N533" i="10"/>
  <c r="P533" i="10" s="1"/>
  <c r="O533" i="10"/>
  <c r="R533" i="10"/>
  <c r="S533" i="10"/>
  <c r="AL533" i="10"/>
  <c r="AM533" i="10" a="1"/>
  <c r="AM533" i="10" s="1"/>
  <c r="A533" i="10"/>
  <c r="N534" i="10"/>
  <c r="P534" i="10" s="1"/>
  <c r="O534" i="10"/>
  <c r="R534" i="10"/>
  <c r="S534" i="10"/>
  <c r="AL534" i="10"/>
  <c r="AM534" i="10" a="1"/>
  <c r="AM534" i="10" s="1"/>
  <c r="N537" i="10"/>
  <c r="P537" i="10" s="1"/>
  <c r="O537" i="10"/>
  <c r="R537" i="10"/>
  <c r="S537" i="10"/>
  <c r="AL537" i="10"/>
  <c r="AM537" i="10" a="1"/>
  <c r="AM537" i="10" s="1"/>
  <c r="N538" i="10"/>
  <c r="O538" i="10"/>
  <c r="R538" i="10"/>
  <c r="S538" i="10"/>
  <c r="AL538" i="10"/>
  <c r="AM538" i="10" a="1"/>
  <c r="AM538" i="10" s="1"/>
  <c r="N541" i="10"/>
  <c r="P541" i="10" s="1"/>
  <c r="O541" i="10"/>
  <c r="R541" i="10"/>
  <c r="S541" i="10"/>
  <c r="AL541" i="10"/>
  <c r="AM541" i="10" a="1"/>
  <c r="AM541" i="10" s="1"/>
  <c r="N544" i="10"/>
  <c r="P544" i="10" s="1"/>
  <c r="O544" i="10"/>
  <c r="R544" i="10"/>
  <c r="S544" i="10"/>
  <c r="AL544" i="10"/>
  <c r="AM544" i="10" a="1"/>
  <c r="AM544" i="10" s="1"/>
  <c r="N539" i="10"/>
  <c r="P539" i="10" s="1"/>
  <c r="O539" i="10"/>
  <c r="R539" i="10"/>
  <c r="S539" i="10"/>
  <c r="AL539" i="10"/>
  <c r="AM539" i="10" a="1"/>
  <c r="AM539" i="10" s="1"/>
  <c r="N542" i="10"/>
  <c r="P542" i="10" s="1"/>
  <c r="O542" i="10"/>
  <c r="R542" i="10"/>
  <c r="S542" i="10"/>
  <c r="AL542" i="10"/>
  <c r="AM542" i="10" a="1"/>
  <c r="AM542" i="10" s="1"/>
  <c r="N543" i="10"/>
  <c r="P543" i="10" s="1"/>
  <c r="O543" i="10"/>
  <c r="R543" i="10"/>
  <c r="S543" i="10"/>
  <c r="AL543" i="10"/>
  <c r="AM543" i="10" a="1"/>
  <c r="AM543" i="10" s="1"/>
  <c r="N540" i="10"/>
  <c r="O540" i="10"/>
  <c r="R540" i="10"/>
  <c r="S540" i="10"/>
  <c r="AL540" i="10"/>
  <c r="AM540" i="10" a="1"/>
  <c r="AM540" i="10" s="1"/>
  <c r="N545" i="10"/>
  <c r="P545" i="10" s="1"/>
  <c r="O545" i="10"/>
  <c r="R545" i="10"/>
  <c r="S545" i="10"/>
  <c r="AM545" i="10" a="1"/>
  <c r="AM545" i="10" s="1"/>
  <c r="N546" i="10"/>
  <c r="P546" i="10" s="1"/>
  <c r="O546" i="10"/>
  <c r="R546" i="10"/>
  <c r="S546" i="10"/>
  <c r="AM546" i="10" a="1"/>
  <c r="AM546" i="10" s="1"/>
  <c r="N547" i="10"/>
  <c r="P547" i="10" s="1"/>
  <c r="O547" i="10"/>
  <c r="R547" i="10"/>
  <c r="S547" i="10"/>
  <c r="AM547" i="10" a="1"/>
  <c r="AM547" i="10" s="1"/>
  <c r="N548" i="10"/>
  <c r="P548" i="10" s="1"/>
  <c r="O548" i="10"/>
  <c r="R548" i="10"/>
  <c r="S548" i="10"/>
  <c r="AM548" i="10" a="1"/>
  <c r="AM548" i="10" s="1"/>
  <c r="N525" i="10"/>
  <c r="P525" i="10" s="1"/>
  <c r="O525" i="10"/>
  <c r="R525" i="10"/>
  <c r="S525" i="10"/>
  <c r="AL525" i="10"/>
  <c r="AM525" i="10" a="1"/>
  <c r="AM525" i="10" s="1"/>
  <c r="N526" i="10"/>
  <c r="P526" i="10" s="1"/>
  <c r="O526" i="10"/>
  <c r="R526" i="10"/>
  <c r="S526" i="10"/>
  <c r="AM526" i="10" a="1"/>
  <c r="AM526" i="10" s="1"/>
  <c r="N549" i="10"/>
  <c r="O549" i="10"/>
  <c r="R549" i="10"/>
  <c r="S549" i="10"/>
  <c r="AL549" i="10"/>
  <c r="AM549" i="10" a="1"/>
  <c r="AM549" i="10" s="1"/>
  <c r="N550" i="10"/>
  <c r="P550" i="10" s="1"/>
  <c r="O550" i="10"/>
  <c r="R550" i="10"/>
  <c r="S550" i="10"/>
  <c r="AL550" i="10"/>
  <c r="AM550" i="10" a="1"/>
  <c r="AM550" i="10" s="1"/>
  <c r="N551" i="10"/>
  <c r="P551" i="10" s="1"/>
  <c r="O551" i="10"/>
  <c r="R551" i="10"/>
  <c r="S551" i="10"/>
  <c r="AL551" i="10"/>
  <c r="AM551" i="10" a="1"/>
  <c r="AM551" i="10" s="1"/>
  <c r="N552" i="10"/>
  <c r="P552" i="10" s="1"/>
  <c r="O552" i="10"/>
  <c r="R552" i="10"/>
  <c r="S552" i="10"/>
  <c r="AL552" i="10"/>
  <c r="AM552" i="10" a="1"/>
  <c r="AM552" i="10" s="1"/>
  <c r="N553" i="10"/>
  <c r="P553" i="10" s="1"/>
  <c r="O553" i="10"/>
  <c r="R553" i="10"/>
  <c r="S553" i="10"/>
  <c r="AL553" i="10"/>
  <c r="AM553" i="10" a="1"/>
  <c r="AM553" i="10" s="1"/>
  <c r="N555" i="10"/>
  <c r="O555" i="10"/>
  <c r="R555" i="10"/>
  <c r="S555" i="10"/>
  <c r="AL555" i="10"/>
  <c r="AM555" i="10" a="1"/>
  <c r="AM555" i="10" s="1"/>
  <c r="N536" i="10"/>
  <c r="P536" i="10" s="1"/>
  <c r="O536" i="10"/>
  <c r="R536" i="10"/>
  <c r="S536" i="10"/>
  <c r="AL536" i="10"/>
  <c r="AM536" i="10" a="1"/>
  <c r="AM536" i="10" s="1"/>
  <c r="N554" i="10"/>
  <c r="O554" i="10"/>
  <c r="R554" i="10"/>
  <c r="S554" i="10"/>
  <c r="AL554" i="10"/>
  <c r="AM554" i="10" a="1"/>
  <c r="AM554" i="10" s="1"/>
  <c r="N556" i="10"/>
  <c r="O556" i="10"/>
  <c r="R556" i="10"/>
  <c r="S556" i="10"/>
  <c r="AL556" i="10"/>
  <c r="AM556" i="10" a="1"/>
  <c r="AM556" i="10" s="1"/>
  <c r="AN511" i="10"/>
  <c r="AN512" i="10"/>
  <c r="A580" i="10" l="1"/>
  <c r="B179" i="55"/>
  <c r="J3" i="55" a="1"/>
  <c r="J3" i="55" s="1"/>
  <c r="A570" i="10"/>
  <c r="P556" i="10"/>
  <c r="P554" i="10"/>
  <c r="P555" i="10"/>
  <c r="P549" i="10"/>
  <c r="P540" i="10"/>
  <c r="P538" i="10"/>
  <c r="P532" i="10"/>
  <c r="B146" i="55"/>
  <c r="Q375" i="10"/>
  <c r="Q518" i="10"/>
  <c r="Q494" i="10"/>
  <c r="Q341" i="10"/>
  <c r="Q513" i="10"/>
  <c r="B140" i="55"/>
  <c r="B141" i="55" s="1"/>
  <c r="AN503" i="10"/>
  <c r="AN502" i="10"/>
  <c r="AN504" i="10"/>
  <c r="AN505" i="10"/>
  <c r="AN506" i="10"/>
  <c r="AN507" i="10"/>
  <c r="A507" i="10" s="1"/>
  <c r="AN508" i="10"/>
  <c r="A508" i="10" s="1"/>
  <c r="AN509" i="10"/>
  <c r="AN510" i="10"/>
  <c r="AN501" i="10"/>
  <c r="AN3" i="10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N43" i="10"/>
  <c r="AN44" i="10"/>
  <c r="AN45" i="10"/>
  <c r="AN46" i="10"/>
  <c r="AN47" i="10"/>
  <c r="AN48" i="10"/>
  <c r="AN49" i="10"/>
  <c r="AN50" i="10"/>
  <c r="AN51" i="10"/>
  <c r="AN52" i="10"/>
  <c r="AN53" i="10"/>
  <c r="AN54" i="10"/>
  <c r="AN55" i="10"/>
  <c r="AN56" i="10"/>
  <c r="AN57" i="10"/>
  <c r="AN58" i="10"/>
  <c r="AN59" i="10"/>
  <c r="AN60" i="10"/>
  <c r="AN61" i="10"/>
  <c r="AN62" i="10"/>
  <c r="AN63" i="10"/>
  <c r="AN64" i="10"/>
  <c r="AN65" i="10"/>
  <c r="AN66" i="10"/>
  <c r="AN67" i="10"/>
  <c r="AN68" i="10"/>
  <c r="AN69" i="10"/>
  <c r="AN70" i="10"/>
  <c r="AN71" i="10"/>
  <c r="AN72" i="10"/>
  <c r="AN73" i="10"/>
  <c r="AN74" i="10"/>
  <c r="AN75" i="10"/>
  <c r="AN76" i="10"/>
  <c r="AN77" i="10"/>
  <c r="AN78" i="10"/>
  <c r="AN79" i="10"/>
  <c r="AN80" i="10"/>
  <c r="AN81" i="10"/>
  <c r="AN82" i="10"/>
  <c r="AN83" i="10"/>
  <c r="AN84" i="10"/>
  <c r="AN85" i="10"/>
  <c r="AN86" i="10"/>
  <c r="AN87" i="10"/>
  <c r="AN88" i="10"/>
  <c r="AN89" i="10"/>
  <c r="AN90" i="10"/>
  <c r="AN91" i="10"/>
  <c r="AN92" i="10"/>
  <c r="AN93" i="10"/>
  <c r="AN94" i="10"/>
  <c r="AN95" i="10"/>
  <c r="AN96" i="10"/>
  <c r="AN97" i="10"/>
  <c r="AN98" i="10"/>
  <c r="AN99" i="10"/>
  <c r="AN100" i="10"/>
  <c r="AN101" i="10"/>
  <c r="AN102" i="10"/>
  <c r="AN103" i="10"/>
  <c r="AN104" i="10"/>
  <c r="AN105" i="10"/>
  <c r="AN106" i="10"/>
  <c r="AN107" i="10"/>
  <c r="AN108" i="10"/>
  <c r="AN109" i="10"/>
  <c r="AN110" i="10"/>
  <c r="AN111" i="10"/>
  <c r="AN112" i="10"/>
  <c r="AN113" i="10"/>
  <c r="AN114" i="10"/>
  <c r="AN115" i="10"/>
  <c r="AN116" i="10"/>
  <c r="AN117" i="10"/>
  <c r="AN118" i="10"/>
  <c r="AN119" i="10"/>
  <c r="AN120" i="10"/>
  <c r="AN121" i="10"/>
  <c r="AN122" i="10"/>
  <c r="AN123" i="10"/>
  <c r="AN124" i="10"/>
  <c r="AN125" i="10"/>
  <c r="AN126" i="10"/>
  <c r="AN127" i="10"/>
  <c r="AN128" i="10"/>
  <c r="AN129" i="10"/>
  <c r="AN130" i="10"/>
  <c r="AN131" i="10"/>
  <c r="AN132" i="10"/>
  <c r="AN133" i="10"/>
  <c r="AN134" i="10"/>
  <c r="AN135" i="10"/>
  <c r="AN136" i="10"/>
  <c r="AN137" i="10"/>
  <c r="AN138" i="10"/>
  <c r="AN139" i="10"/>
  <c r="AN140" i="10"/>
  <c r="AN141" i="10"/>
  <c r="AN142" i="10"/>
  <c r="AN143" i="10"/>
  <c r="AN144" i="10"/>
  <c r="AN145" i="10"/>
  <c r="AN146" i="10"/>
  <c r="AN147" i="10"/>
  <c r="AN148" i="10"/>
  <c r="AN149" i="10"/>
  <c r="AN150" i="10"/>
  <c r="AN151" i="10"/>
  <c r="AN152" i="10"/>
  <c r="AN153" i="10"/>
  <c r="AN154" i="10"/>
  <c r="AN155" i="10"/>
  <c r="AN156" i="10"/>
  <c r="AN157" i="10"/>
  <c r="AN158" i="10"/>
  <c r="AN159" i="10"/>
  <c r="AN160" i="10"/>
  <c r="AN161" i="10"/>
  <c r="AN162" i="10"/>
  <c r="AN163" i="10"/>
  <c r="AN164" i="10"/>
  <c r="AN165" i="10"/>
  <c r="AN166" i="10"/>
  <c r="AN167" i="10"/>
  <c r="AN168" i="10"/>
  <c r="AN169" i="10"/>
  <c r="AN170" i="10"/>
  <c r="AN171" i="10"/>
  <c r="AN172" i="10"/>
  <c r="AN173" i="10"/>
  <c r="AN174" i="10"/>
  <c r="AN175" i="10"/>
  <c r="AN176" i="10"/>
  <c r="AN177" i="10"/>
  <c r="AN178" i="10"/>
  <c r="AN179" i="10"/>
  <c r="AN180" i="10"/>
  <c r="AN181" i="10"/>
  <c r="AN182" i="10"/>
  <c r="AN183" i="10"/>
  <c r="AN184" i="10"/>
  <c r="AN185" i="10"/>
  <c r="AN186" i="10"/>
  <c r="AN187" i="10"/>
  <c r="AN188" i="10"/>
  <c r="AN189" i="10"/>
  <c r="AN190" i="10"/>
  <c r="AN191" i="10"/>
  <c r="AN192" i="10"/>
  <c r="AN193" i="10"/>
  <c r="AN194" i="10"/>
  <c r="AN195" i="10"/>
  <c r="AN196" i="10"/>
  <c r="AN197" i="10"/>
  <c r="AN198" i="10"/>
  <c r="AN199" i="10"/>
  <c r="AN200" i="10"/>
  <c r="AN201" i="10"/>
  <c r="AN202" i="10"/>
  <c r="AN203" i="10"/>
  <c r="AN204" i="10"/>
  <c r="AN205" i="10"/>
  <c r="AN206" i="10"/>
  <c r="AN207" i="10"/>
  <c r="AN208" i="10"/>
  <c r="AN209" i="10"/>
  <c r="AN210" i="10"/>
  <c r="AN211" i="10"/>
  <c r="AN212" i="10"/>
  <c r="AN213" i="10"/>
  <c r="AN214" i="10"/>
  <c r="AN215" i="10"/>
  <c r="AN216" i="10"/>
  <c r="AN217" i="10"/>
  <c r="AN218" i="10"/>
  <c r="AN219" i="10"/>
  <c r="AN220" i="10"/>
  <c r="AN221" i="10"/>
  <c r="AN222" i="10"/>
  <c r="AN223" i="10"/>
  <c r="AN224" i="10"/>
  <c r="AN225" i="10"/>
  <c r="AN226" i="10"/>
  <c r="AN227" i="10"/>
  <c r="AN228" i="10"/>
  <c r="AN229" i="10"/>
  <c r="AN230" i="10"/>
  <c r="AN231" i="10"/>
  <c r="AN232" i="10"/>
  <c r="AN233" i="10"/>
  <c r="AN234" i="10"/>
  <c r="AN235" i="10"/>
  <c r="AN236" i="10"/>
  <c r="AN237" i="10"/>
  <c r="AN238" i="10"/>
  <c r="AN239" i="10"/>
  <c r="AN240" i="10"/>
  <c r="AN241" i="10"/>
  <c r="AN242" i="10"/>
  <c r="AN243" i="10"/>
  <c r="AN244" i="10"/>
  <c r="AN245" i="10"/>
  <c r="AN246" i="10"/>
  <c r="AN247" i="10"/>
  <c r="AN248" i="10"/>
  <c r="AN249" i="10"/>
  <c r="AN250" i="10"/>
  <c r="AN251" i="10"/>
  <c r="AN252" i="10"/>
  <c r="AN253" i="10"/>
  <c r="AN254" i="10"/>
  <c r="AN255" i="10"/>
  <c r="AN256" i="10"/>
  <c r="AN257" i="10"/>
  <c r="AN258" i="10"/>
  <c r="AN259" i="10"/>
  <c r="AN260" i="10"/>
  <c r="AN261" i="10"/>
  <c r="AN262" i="10"/>
  <c r="AN263" i="10"/>
  <c r="AN264" i="10"/>
  <c r="AN265" i="10"/>
  <c r="AN266" i="10"/>
  <c r="AN267" i="10"/>
  <c r="AN268" i="10"/>
  <c r="AN269" i="10"/>
  <c r="AN270" i="10"/>
  <c r="AN271" i="10"/>
  <c r="AN272" i="10"/>
  <c r="AN273" i="10"/>
  <c r="AN274" i="10"/>
  <c r="AN275" i="10"/>
  <c r="AN276" i="10"/>
  <c r="AN277" i="10"/>
  <c r="AN278" i="10"/>
  <c r="AN279" i="10"/>
  <c r="AN280" i="10"/>
  <c r="AN281" i="10"/>
  <c r="AN282" i="10"/>
  <c r="AN283" i="10"/>
  <c r="AN284" i="10"/>
  <c r="AN285" i="10"/>
  <c r="AN286" i="10"/>
  <c r="AN287" i="10"/>
  <c r="AN288" i="10"/>
  <c r="AN289" i="10"/>
  <c r="AN290" i="10"/>
  <c r="AN291" i="10"/>
  <c r="AN292" i="10"/>
  <c r="AN293" i="10"/>
  <c r="AN294" i="10"/>
  <c r="AN295" i="10"/>
  <c r="AN296" i="10"/>
  <c r="AN297" i="10"/>
  <c r="AN298" i="10"/>
  <c r="AN299" i="10"/>
  <c r="AN300" i="10"/>
  <c r="AN301" i="10"/>
  <c r="AN302" i="10"/>
  <c r="AN303" i="10"/>
  <c r="AN304" i="10"/>
  <c r="AN305" i="10"/>
  <c r="AN306" i="10"/>
  <c r="AN307" i="10"/>
  <c r="AN308" i="10"/>
  <c r="AN309" i="10"/>
  <c r="AN310" i="10"/>
  <c r="AN311" i="10"/>
  <c r="AN312" i="10"/>
  <c r="AN313" i="10"/>
  <c r="AN314" i="10"/>
  <c r="AN315" i="10"/>
  <c r="AN316" i="10"/>
  <c r="AN317" i="10"/>
  <c r="AN318" i="10"/>
  <c r="AN319" i="10"/>
  <c r="AN320" i="10"/>
  <c r="AN321" i="10"/>
  <c r="AN322" i="10"/>
  <c r="AN323" i="10"/>
  <c r="AN324" i="10"/>
  <c r="AN325" i="10"/>
  <c r="AN326" i="10"/>
  <c r="AN327" i="10"/>
  <c r="AN328" i="10"/>
  <c r="AN329" i="10"/>
  <c r="AN330" i="10"/>
  <c r="AN331" i="10"/>
  <c r="AN332" i="10"/>
  <c r="AN333" i="10"/>
  <c r="AN334" i="10"/>
  <c r="AN335" i="10"/>
  <c r="AN336" i="10"/>
  <c r="AN337" i="10"/>
  <c r="AN338" i="10"/>
  <c r="AN339" i="10"/>
  <c r="AN340" i="10"/>
  <c r="AN342" i="10"/>
  <c r="AN343" i="10"/>
  <c r="AN344" i="10"/>
  <c r="AN345" i="10"/>
  <c r="AN346" i="10"/>
  <c r="AN347" i="10"/>
  <c r="AN348" i="10"/>
  <c r="AN349" i="10"/>
  <c r="AN350" i="10"/>
  <c r="AN351" i="10"/>
  <c r="AN352" i="10"/>
  <c r="AN353" i="10"/>
  <c r="AN354" i="10"/>
  <c r="AN355" i="10"/>
  <c r="AN356" i="10"/>
  <c r="AN357" i="10"/>
  <c r="AN358" i="10"/>
  <c r="AN359" i="10"/>
  <c r="AN360" i="10"/>
  <c r="AN361" i="10"/>
  <c r="AN362" i="10"/>
  <c r="AN363" i="10"/>
  <c r="AN364" i="10"/>
  <c r="AN365" i="10"/>
  <c r="AN366" i="10"/>
  <c r="AN367" i="10"/>
  <c r="AN368" i="10"/>
  <c r="AN369" i="10"/>
  <c r="AN370" i="10"/>
  <c r="AN371" i="10"/>
  <c r="AN372" i="10"/>
  <c r="AN373" i="10"/>
  <c r="AN374" i="10"/>
  <c r="AN376" i="10"/>
  <c r="AN377" i="10"/>
  <c r="AN378" i="10"/>
  <c r="AN379" i="10"/>
  <c r="AN380" i="10"/>
  <c r="AN381" i="10"/>
  <c r="AN382" i="10"/>
  <c r="AN383" i="10"/>
  <c r="AN384" i="10"/>
  <c r="AN385" i="10"/>
  <c r="AN386" i="10"/>
  <c r="AN387" i="10"/>
  <c r="AN388" i="10"/>
  <c r="AN389" i="10"/>
  <c r="AN390" i="10"/>
  <c r="AN391" i="10"/>
  <c r="AN392" i="10"/>
  <c r="AN393" i="10"/>
  <c r="AN394" i="10"/>
  <c r="AN395" i="10"/>
  <c r="AN396" i="10"/>
  <c r="AN397" i="10"/>
  <c r="AN398" i="10"/>
  <c r="AN399" i="10"/>
  <c r="AN400" i="10"/>
  <c r="AN401" i="10"/>
  <c r="AN402" i="10"/>
  <c r="AN403" i="10"/>
  <c r="AN404" i="10"/>
  <c r="AN405" i="10"/>
  <c r="AN406" i="10"/>
  <c r="AN407" i="10"/>
  <c r="AN408" i="10"/>
  <c r="AN409" i="10"/>
  <c r="AN410" i="10"/>
  <c r="AN411" i="10"/>
  <c r="AN412" i="10"/>
  <c r="AN413" i="10"/>
  <c r="AN414" i="10"/>
  <c r="AN415" i="10"/>
  <c r="AN416" i="10"/>
  <c r="AN417" i="10"/>
  <c r="AN418" i="10"/>
  <c r="AN419" i="10"/>
  <c r="AN420" i="10"/>
  <c r="AN421" i="10"/>
  <c r="AN422" i="10"/>
  <c r="AN423" i="10"/>
  <c r="AN424" i="10"/>
  <c r="AN425" i="10"/>
  <c r="AN426" i="10"/>
  <c r="AN427" i="10"/>
  <c r="AN428" i="10"/>
  <c r="AN429" i="10"/>
  <c r="AN430" i="10"/>
  <c r="AN431" i="10"/>
  <c r="AN432" i="10"/>
  <c r="AN433" i="10"/>
  <c r="AN434" i="10"/>
  <c r="AN435" i="10"/>
  <c r="AN436" i="10"/>
  <c r="AN437" i="10"/>
  <c r="AN438" i="10"/>
  <c r="AN439" i="10"/>
  <c r="AN440" i="10"/>
  <c r="AN441" i="10"/>
  <c r="AN442" i="10"/>
  <c r="AN443" i="10"/>
  <c r="AN444" i="10"/>
  <c r="AN445" i="10"/>
  <c r="AN446" i="10"/>
  <c r="AN447" i="10"/>
  <c r="AN448" i="10"/>
  <c r="AN449" i="10"/>
  <c r="AN450" i="10"/>
  <c r="AN451" i="10"/>
  <c r="AN452" i="10"/>
  <c r="AN453" i="10"/>
  <c r="AN454" i="10"/>
  <c r="AN455" i="10"/>
  <c r="AN456" i="10"/>
  <c r="AN457" i="10"/>
  <c r="AN458" i="10"/>
  <c r="AN459" i="10"/>
  <c r="AN460" i="10"/>
  <c r="AN461" i="10"/>
  <c r="AN462" i="10"/>
  <c r="AN463" i="10"/>
  <c r="AN464" i="10"/>
  <c r="AN465" i="10"/>
  <c r="AN466" i="10"/>
  <c r="AN467" i="10"/>
  <c r="AN468" i="10"/>
  <c r="AN469" i="10"/>
  <c r="AN470" i="10"/>
  <c r="AN471" i="10"/>
  <c r="AN472" i="10"/>
  <c r="AN473" i="10"/>
  <c r="AN474" i="10"/>
  <c r="AN475" i="10"/>
  <c r="AN476" i="10"/>
  <c r="AN477" i="10"/>
  <c r="AN478" i="10"/>
  <c r="AN479" i="10"/>
  <c r="AN480" i="10"/>
  <c r="AN481" i="10"/>
  <c r="AN482" i="10"/>
  <c r="AN483" i="10"/>
  <c r="AN484" i="10"/>
  <c r="AN485" i="10"/>
  <c r="AN486" i="10"/>
  <c r="AN487" i="10"/>
  <c r="AN488" i="10"/>
  <c r="AN489" i="10"/>
  <c r="AN490" i="10"/>
  <c r="AN491" i="10"/>
  <c r="AN492" i="10"/>
  <c r="AN493" i="10"/>
  <c r="AN495" i="10"/>
  <c r="AN496" i="10"/>
  <c r="AN497" i="10"/>
  <c r="AN498" i="10"/>
  <c r="AN499" i="10"/>
  <c r="AN500" i="10"/>
  <c r="B3" i="55"/>
  <c r="B4" i="55" s="1"/>
  <c r="B5" i="55" s="1"/>
  <c r="B6" i="55" s="1"/>
  <c r="B7" i="55" s="1"/>
  <c r="B8" i="55" s="1"/>
  <c r="B9" i="55" s="1"/>
  <c r="B10" i="55" s="1"/>
  <c r="B11" i="55" s="1"/>
  <c r="B12" i="55" s="1"/>
  <c r="B13" i="55" s="1"/>
  <c r="B14" i="55" s="1"/>
  <c r="B15" i="55" s="1"/>
  <c r="B16" i="55" s="1"/>
  <c r="B17" i="55" s="1"/>
  <c r="B18" i="55" s="1"/>
  <c r="B19" i="55" s="1"/>
  <c r="B20" i="55" s="1"/>
  <c r="B21" i="55" s="1"/>
  <c r="B22" i="55" s="1"/>
  <c r="B23" i="55" s="1"/>
  <c r="B24" i="55" s="1"/>
  <c r="B25" i="55" s="1"/>
  <c r="B26" i="55" s="1"/>
  <c r="B27" i="55" s="1"/>
  <c r="B28" i="55" s="1"/>
  <c r="B29" i="55" s="1"/>
  <c r="B30" i="55" s="1"/>
  <c r="B31" i="55" s="1"/>
  <c r="B32" i="55" s="1"/>
  <c r="B33" i="55" s="1"/>
  <c r="B34" i="55" s="1"/>
  <c r="B35" i="55" s="1"/>
  <c r="B36" i="55" s="1"/>
  <c r="B37" i="55" s="1"/>
  <c r="B38" i="55" s="1"/>
  <c r="B39" i="55" s="1"/>
  <c r="B40" i="55" s="1"/>
  <c r="B41" i="55" s="1"/>
  <c r="B42" i="55" s="1"/>
  <c r="B43" i="55" s="1"/>
  <c r="B44" i="55" s="1"/>
  <c r="B45" i="55" s="1"/>
  <c r="B46" i="55" s="1"/>
  <c r="B47" i="55" s="1"/>
  <c r="B48" i="55" s="1"/>
  <c r="B49" i="55" s="1"/>
  <c r="B50" i="55" s="1"/>
  <c r="B51" i="55" s="1"/>
  <c r="B52" i="55" s="1"/>
  <c r="B53" i="55" s="1"/>
  <c r="B54" i="55" s="1"/>
  <c r="B55" i="55" s="1"/>
  <c r="B56" i="55" s="1"/>
  <c r="B57" i="55" s="1"/>
  <c r="B58" i="55" s="1"/>
  <c r="B59" i="55" s="1"/>
  <c r="B60" i="55" s="1"/>
  <c r="B61" i="55" s="1"/>
  <c r="B62" i="55" s="1"/>
  <c r="B63" i="55" s="1"/>
  <c r="B64" i="55" s="1"/>
  <c r="B65" i="55" s="1"/>
  <c r="B66" i="55" s="1"/>
  <c r="B67" i="55" s="1"/>
  <c r="B68" i="55" s="1"/>
  <c r="B69" i="55" s="1"/>
  <c r="B70" i="55" s="1"/>
  <c r="B71" i="55" s="1"/>
  <c r="B72" i="55" s="1"/>
  <c r="B73" i="55" s="1"/>
  <c r="B74" i="55" s="1"/>
  <c r="B75" i="55" s="1"/>
  <c r="B76" i="55" s="1"/>
  <c r="B77" i="55" s="1"/>
  <c r="B78" i="55" s="1"/>
  <c r="B79" i="55" s="1"/>
  <c r="B80" i="55" s="1"/>
  <c r="B81" i="55" s="1"/>
  <c r="B82" i="55" s="1"/>
  <c r="B83" i="55" s="1"/>
  <c r="B84" i="55" s="1"/>
  <c r="B85" i="55" s="1"/>
  <c r="B86" i="55" s="1"/>
  <c r="B87" i="55" s="1"/>
  <c r="B88" i="55" s="1"/>
  <c r="B89" i="55" s="1"/>
  <c r="B90" i="55" s="1"/>
  <c r="B91" i="55" s="1"/>
  <c r="B92" i="55" s="1"/>
  <c r="B93" i="55" s="1"/>
  <c r="B94" i="55" s="1"/>
  <c r="B95" i="55" s="1"/>
  <c r="B96" i="55" s="1"/>
  <c r="B97" i="55" s="1"/>
  <c r="B98" i="55" s="1"/>
  <c r="B99" i="55" s="1"/>
  <c r="B100" i="55" s="1"/>
  <c r="B101" i="55" s="1"/>
  <c r="B102" i="55" s="1"/>
  <c r="B103" i="55" s="1"/>
  <c r="B104" i="55" s="1"/>
  <c r="B105" i="55" s="1"/>
  <c r="B106" i="55" s="1"/>
  <c r="B107" i="55" s="1"/>
  <c r="B108" i="55" s="1"/>
  <c r="B109" i="55" s="1"/>
  <c r="B110" i="55" s="1"/>
  <c r="B111" i="55" s="1"/>
  <c r="B112" i="55" s="1"/>
  <c r="B113" i="55" s="1"/>
  <c r="B114" i="55" s="1"/>
  <c r="B115" i="55" s="1"/>
  <c r="B116" i="55" s="1"/>
  <c r="B117" i="55" s="1"/>
  <c r="B118" i="55" s="1"/>
  <c r="B119" i="55" s="1"/>
  <c r="B120" i="55" s="1"/>
  <c r="B121" i="55" s="1"/>
  <c r="B122" i="55" s="1"/>
  <c r="B123" i="55" s="1"/>
  <c r="B124" i="55" s="1"/>
  <c r="B125" i="55" s="1"/>
  <c r="B126" i="55" s="1"/>
  <c r="B127" i="55" s="1"/>
  <c r="B128" i="55" s="1"/>
  <c r="B129" i="55" s="1"/>
  <c r="B130" i="55" s="1"/>
  <c r="B131" i="55" s="1"/>
  <c r="B132" i="55" s="1"/>
  <c r="B133" i="55" s="1"/>
  <c r="B134" i="55" s="1"/>
  <c r="B135" i="55" s="1"/>
  <c r="B136" i="55" s="1"/>
  <c r="B137" i="55" s="1"/>
  <c r="B138" i="55" s="1"/>
  <c r="B139" i="55" s="1"/>
  <c r="AM501" i="10" a="1"/>
  <c r="AM501" i="10" s="1"/>
  <c r="AM502" i="10" a="1"/>
  <c r="AM502" i="10" s="1"/>
  <c r="AM503" i="10" a="1"/>
  <c r="AM503" i="10" s="1"/>
  <c r="AM504" i="10" a="1"/>
  <c r="AM504" i="10" s="1"/>
  <c r="AM505" i="10" a="1"/>
  <c r="AM505" i="10" s="1"/>
  <c r="AM506" i="10" a="1"/>
  <c r="AM506" i="10" s="1"/>
  <c r="AM507" i="10" a="1"/>
  <c r="AM507" i="10" s="1"/>
  <c r="AM508" i="10" a="1"/>
  <c r="AM508" i="10" s="1"/>
  <c r="AM509" i="10" a="1"/>
  <c r="AM509" i="10" s="1"/>
  <c r="AM510" i="10" a="1"/>
  <c r="AM510" i="10" s="1"/>
  <c r="AM511" i="10" a="1"/>
  <c r="AM511" i="10" s="1"/>
  <c r="AM512" i="10" a="1"/>
  <c r="AM512" i="10" s="1"/>
  <c r="AL499" i="10"/>
  <c r="AL500" i="10"/>
  <c r="AL501" i="10"/>
  <c r="AL502" i="10"/>
  <c r="AL503" i="10"/>
  <c r="AL504" i="10"/>
  <c r="AL505" i="10"/>
  <c r="AL506" i="10"/>
  <c r="AL507" i="10"/>
  <c r="AL508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N501" i="10"/>
  <c r="P501" i="10" s="1"/>
  <c r="O501" i="10"/>
  <c r="R501" i="10"/>
  <c r="S501" i="10"/>
  <c r="N502" i="10"/>
  <c r="P502" i="10" s="1"/>
  <c r="O502" i="10"/>
  <c r="R502" i="10"/>
  <c r="S502" i="10"/>
  <c r="N503" i="10"/>
  <c r="P503" i="10" s="1"/>
  <c r="O503" i="10"/>
  <c r="R503" i="10"/>
  <c r="S503" i="10"/>
  <c r="N504" i="10"/>
  <c r="P504" i="10" s="1"/>
  <c r="O504" i="10"/>
  <c r="R504" i="10"/>
  <c r="S504" i="10"/>
  <c r="N505" i="10"/>
  <c r="P505" i="10" s="1"/>
  <c r="O505" i="10"/>
  <c r="R505" i="10"/>
  <c r="S505" i="10"/>
  <c r="N506" i="10"/>
  <c r="P506" i="10" s="1"/>
  <c r="O506" i="10"/>
  <c r="R506" i="10"/>
  <c r="S506" i="10"/>
  <c r="N507" i="10"/>
  <c r="P507" i="10" s="1"/>
  <c r="O507" i="10"/>
  <c r="R507" i="10"/>
  <c r="S507" i="10"/>
  <c r="N508" i="10"/>
  <c r="P508" i="10" s="1"/>
  <c r="O508" i="10"/>
  <c r="R508" i="10"/>
  <c r="S508" i="10"/>
  <c r="N509" i="10"/>
  <c r="P509" i="10" s="1"/>
  <c r="O509" i="10"/>
  <c r="R509" i="10"/>
  <c r="S509" i="10"/>
  <c r="N510" i="10"/>
  <c r="P510" i="10" s="1"/>
  <c r="O510" i="10"/>
  <c r="R510" i="10"/>
  <c r="S510" i="10"/>
  <c r="N511" i="10"/>
  <c r="P511" i="10" s="1"/>
  <c r="O511" i="10"/>
  <c r="R511" i="10"/>
  <c r="S511" i="10"/>
  <c r="R500" i="10"/>
  <c r="S500" i="10"/>
  <c r="G390" i="10"/>
  <c r="G440" i="10"/>
  <c r="G455" i="10"/>
  <c r="G474" i="10"/>
  <c r="G489" i="10"/>
  <c r="J29" i="22"/>
  <c r="E714" i="31"/>
  <c r="D714" i="31"/>
  <c r="C714" i="31"/>
  <c r="A714" i="31"/>
  <c r="E713" i="31"/>
  <c r="D713" i="31"/>
  <c r="C713" i="31"/>
  <c r="A713" i="31"/>
  <c r="E712" i="31"/>
  <c r="D712" i="31"/>
  <c r="C712" i="31"/>
  <c r="A712" i="31"/>
  <c r="E711" i="31"/>
  <c r="D711" i="31"/>
  <c r="C711" i="31"/>
  <c r="A711" i="31"/>
  <c r="E710" i="31"/>
  <c r="D710" i="31"/>
  <c r="C710" i="31"/>
  <c r="A710" i="31"/>
  <c r="E709" i="31"/>
  <c r="D709" i="31"/>
  <c r="C709" i="31"/>
  <c r="A709" i="31"/>
  <c r="E708" i="31"/>
  <c r="D708" i="31"/>
  <c r="C708" i="31"/>
  <c r="A708" i="31"/>
  <c r="E707" i="31"/>
  <c r="D707" i="31"/>
  <c r="C707" i="31"/>
  <c r="A707" i="31"/>
  <c r="E706" i="31"/>
  <c r="D706" i="31"/>
  <c r="C706" i="31"/>
  <c r="A706" i="31"/>
  <c r="E705" i="31"/>
  <c r="D705" i="31"/>
  <c r="C705" i="31"/>
  <c r="A705" i="31"/>
  <c r="E704" i="31"/>
  <c r="D704" i="31"/>
  <c r="C704" i="31"/>
  <c r="A704" i="31"/>
  <c r="E703" i="31"/>
  <c r="D703" i="31"/>
  <c r="C703" i="31"/>
  <c r="A703" i="31"/>
  <c r="E702" i="31"/>
  <c r="D702" i="31"/>
  <c r="C702" i="31"/>
  <c r="A702" i="31"/>
  <c r="E701" i="31"/>
  <c r="D701" i="31"/>
  <c r="C701" i="31"/>
  <c r="A701" i="31"/>
  <c r="E700" i="31"/>
  <c r="D700" i="31"/>
  <c r="C700" i="31"/>
  <c r="A700" i="31"/>
  <c r="E699" i="31"/>
  <c r="D699" i="31"/>
  <c r="C699" i="31"/>
  <c r="A699" i="31"/>
  <c r="E698" i="31"/>
  <c r="D698" i="31"/>
  <c r="C698" i="31"/>
  <c r="A698" i="31"/>
  <c r="E697" i="31"/>
  <c r="D697" i="31"/>
  <c r="C697" i="31"/>
  <c r="A697" i="31"/>
  <c r="E696" i="31"/>
  <c r="D696" i="31"/>
  <c r="C696" i="31"/>
  <c r="A696" i="31"/>
  <c r="E695" i="31"/>
  <c r="D695" i="31"/>
  <c r="C695" i="31"/>
  <c r="A695" i="31"/>
  <c r="E694" i="31"/>
  <c r="A694" i="31"/>
  <c r="G491" i="10"/>
  <c r="G497" i="10"/>
  <c r="G492" i="10"/>
  <c r="G493" i="10"/>
  <c r="G495" i="10"/>
  <c r="G496" i="10"/>
  <c r="G498" i="10"/>
  <c r="G487" i="10"/>
  <c r="G488" i="10"/>
  <c r="G490" i="10"/>
  <c r="A581" i="10" l="1"/>
  <c r="B147" i="55"/>
  <c r="A494" i="10"/>
  <c r="A509" i="10"/>
  <c r="A506" i="10"/>
  <c r="A505" i="10"/>
  <c r="A512" i="10"/>
  <c r="A513" i="10"/>
  <c r="A517" i="10"/>
  <c r="A518" i="10"/>
  <c r="A503" i="10"/>
  <c r="G499" i="10"/>
  <c r="G51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5" i="10"/>
  <c r="G476" i="10"/>
  <c r="G477" i="10"/>
  <c r="G478" i="10"/>
  <c r="G479" i="10"/>
  <c r="G480" i="10"/>
  <c r="G481" i="10"/>
  <c r="G484" i="10"/>
  <c r="G485" i="10"/>
  <c r="G486" i="10"/>
  <c r="G482" i="10"/>
  <c r="G483" i="10"/>
  <c r="B148" i="55" l="1"/>
  <c r="Z28" i="22"/>
  <c r="V28" i="22"/>
  <c r="P28" i="22"/>
  <c r="A634" i="31"/>
  <c r="A635" i="31"/>
  <c r="A636" i="31"/>
  <c r="A637" i="31"/>
  <c r="A638" i="31"/>
  <c r="A639" i="31"/>
  <c r="A640" i="31"/>
  <c r="A641" i="31"/>
  <c r="A642" i="31"/>
  <c r="A643" i="31"/>
  <c r="A644" i="31"/>
  <c r="A645" i="31"/>
  <c r="A646" i="31"/>
  <c r="A647" i="31"/>
  <c r="A648" i="31"/>
  <c r="A649" i="31"/>
  <c r="A650" i="31"/>
  <c r="A651" i="31"/>
  <c r="A652" i="31"/>
  <c r="A653" i="31"/>
  <c r="A654" i="31"/>
  <c r="A655" i="31"/>
  <c r="A656" i="31"/>
  <c r="A657" i="31"/>
  <c r="A658" i="31"/>
  <c r="A659" i="31"/>
  <c r="A660" i="31"/>
  <c r="A661" i="31"/>
  <c r="A662" i="31"/>
  <c r="A663" i="31"/>
  <c r="A664" i="31"/>
  <c r="A665" i="31"/>
  <c r="A666" i="31"/>
  <c r="A667" i="31"/>
  <c r="A668" i="31"/>
  <c r="A669" i="31"/>
  <c r="A670" i="31"/>
  <c r="A671" i="31"/>
  <c r="A672" i="31"/>
  <c r="A673" i="31"/>
  <c r="A674" i="31"/>
  <c r="A675" i="31"/>
  <c r="A676" i="31"/>
  <c r="A677" i="31"/>
  <c r="A678" i="31"/>
  <c r="A679" i="31"/>
  <c r="A680" i="31"/>
  <c r="A681" i="31"/>
  <c r="A682" i="31"/>
  <c r="A683" i="31"/>
  <c r="A684" i="31"/>
  <c r="A685" i="31"/>
  <c r="A686" i="31"/>
  <c r="A687" i="31"/>
  <c r="A688" i="31"/>
  <c r="A689" i="31"/>
  <c r="A690" i="31"/>
  <c r="A691" i="31"/>
  <c r="A692" i="31"/>
  <c r="A693" i="31"/>
  <c r="B149" i="55" l="1"/>
  <c r="A504" i="10"/>
  <c r="E2" i="31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13" i="31"/>
  <c r="E214" i="31"/>
  <c r="E215" i="31"/>
  <c r="E216" i="31"/>
  <c r="E217" i="31"/>
  <c r="E218" i="31"/>
  <c r="E219" i="31"/>
  <c r="E220" i="31"/>
  <c r="E221" i="31"/>
  <c r="E222" i="31"/>
  <c r="E223" i="31"/>
  <c r="E224" i="31"/>
  <c r="E225" i="31"/>
  <c r="E226" i="31"/>
  <c r="E227" i="31"/>
  <c r="E228" i="31"/>
  <c r="E229" i="31"/>
  <c r="E230" i="31"/>
  <c r="E231" i="31"/>
  <c r="E232" i="31"/>
  <c r="E233" i="31"/>
  <c r="E234" i="31"/>
  <c r="E235" i="31"/>
  <c r="E236" i="31"/>
  <c r="E237" i="31"/>
  <c r="E238" i="31"/>
  <c r="E239" i="31"/>
  <c r="E240" i="31"/>
  <c r="E241" i="31"/>
  <c r="E242" i="31"/>
  <c r="E243" i="31"/>
  <c r="E244" i="31"/>
  <c r="E245" i="31"/>
  <c r="E246" i="31"/>
  <c r="E247" i="31"/>
  <c r="E248" i="31"/>
  <c r="E249" i="31"/>
  <c r="E250" i="31"/>
  <c r="E251" i="31"/>
  <c r="E252" i="31"/>
  <c r="E253" i="31"/>
  <c r="E254" i="31"/>
  <c r="E255" i="31"/>
  <c r="E256" i="31"/>
  <c r="E257" i="31"/>
  <c r="E258" i="31"/>
  <c r="E259" i="31"/>
  <c r="E260" i="31"/>
  <c r="E261" i="31"/>
  <c r="E262" i="31"/>
  <c r="E263" i="31"/>
  <c r="E264" i="31"/>
  <c r="E265" i="31"/>
  <c r="E266" i="31"/>
  <c r="E267" i="31"/>
  <c r="E268" i="31"/>
  <c r="E269" i="31"/>
  <c r="E270" i="31"/>
  <c r="E271" i="31"/>
  <c r="E272" i="31"/>
  <c r="E273" i="31"/>
  <c r="E274" i="31"/>
  <c r="E275" i="31"/>
  <c r="E276" i="31"/>
  <c r="E277" i="31"/>
  <c r="E278" i="31"/>
  <c r="E279" i="31"/>
  <c r="E280" i="31"/>
  <c r="E281" i="31"/>
  <c r="E282" i="31"/>
  <c r="E283" i="31"/>
  <c r="E284" i="31"/>
  <c r="E285" i="31"/>
  <c r="E286" i="31"/>
  <c r="E287" i="31"/>
  <c r="E288" i="31"/>
  <c r="E289" i="31"/>
  <c r="E290" i="31"/>
  <c r="E291" i="31"/>
  <c r="E292" i="31"/>
  <c r="E293" i="31"/>
  <c r="E294" i="31"/>
  <c r="E295" i="31"/>
  <c r="E296" i="31"/>
  <c r="E297" i="31"/>
  <c r="E298" i="31"/>
  <c r="E299" i="31"/>
  <c r="E300" i="31"/>
  <c r="E301" i="31"/>
  <c r="E302" i="31"/>
  <c r="E303" i="31"/>
  <c r="E304" i="31"/>
  <c r="E305" i="31"/>
  <c r="E306" i="31"/>
  <c r="E307" i="31"/>
  <c r="E308" i="31"/>
  <c r="E309" i="31"/>
  <c r="E310" i="31"/>
  <c r="E311" i="31"/>
  <c r="E312" i="31"/>
  <c r="E313" i="31"/>
  <c r="E314" i="31"/>
  <c r="E315" i="31"/>
  <c r="E316" i="31"/>
  <c r="E317" i="31"/>
  <c r="E318" i="31"/>
  <c r="E319" i="31"/>
  <c r="E320" i="31"/>
  <c r="E321" i="31"/>
  <c r="E322" i="31"/>
  <c r="E323" i="31"/>
  <c r="E324" i="31"/>
  <c r="E325" i="31"/>
  <c r="E326" i="31"/>
  <c r="E327" i="31"/>
  <c r="E328" i="31"/>
  <c r="E329" i="31"/>
  <c r="E330" i="31"/>
  <c r="E331" i="31"/>
  <c r="E332" i="31"/>
  <c r="E333" i="31"/>
  <c r="E334" i="31"/>
  <c r="E335" i="31"/>
  <c r="E336" i="31"/>
  <c r="E337" i="31"/>
  <c r="E338" i="31"/>
  <c r="E339" i="31"/>
  <c r="E340" i="31"/>
  <c r="E341" i="31"/>
  <c r="E342" i="31"/>
  <c r="E343" i="31"/>
  <c r="E344" i="31"/>
  <c r="E345" i="31"/>
  <c r="E346" i="31"/>
  <c r="E347" i="31"/>
  <c r="E348" i="31"/>
  <c r="E349" i="31"/>
  <c r="E350" i="31"/>
  <c r="E351" i="31"/>
  <c r="E352" i="31"/>
  <c r="E353" i="31"/>
  <c r="E354" i="31"/>
  <c r="E355" i="31"/>
  <c r="E356" i="31"/>
  <c r="E357" i="31"/>
  <c r="E358" i="31"/>
  <c r="E359" i="31"/>
  <c r="E360" i="31"/>
  <c r="E361" i="31"/>
  <c r="E362" i="31"/>
  <c r="E363" i="31"/>
  <c r="E364" i="31"/>
  <c r="E365" i="31"/>
  <c r="E366" i="31"/>
  <c r="E367" i="31"/>
  <c r="E368" i="31"/>
  <c r="E369" i="31"/>
  <c r="E370" i="31"/>
  <c r="E371" i="31"/>
  <c r="E372" i="31"/>
  <c r="E373" i="31"/>
  <c r="E374" i="31"/>
  <c r="E375" i="31"/>
  <c r="E376" i="31"/>
  <c r="E377" i="31"/>
  <c r="E378" i="31"/>
  <c r="E379" i="31"/>
  <c r="E380" i="31"/>
  <c r="E381" i="31"/>
  <c r="E382" i="31"/>
  <c r="E383" i="31"/>
  <c r="E384" i="31"/>
  <c r="E385" i="31"/>
  <c r="E386" i="31"/>
  <c r="E387" i="31"/>
  <c r="E388" i="31"/>
  <c r="E389" i="31"/>
  <c r="E390" i="31"/>
  <c r="E391" i="31"/>
  <c r="E392" i="31"/>
  <c r="E393" i="31"/>
  <c r="E394" i="31"/>
  <c r="E395" i="31"/>
  <c r="E396" i="31"/>
  <c r="E397" i="31"/>
  <c r="E398" i="31"/>
  <c r="E399" i="31"/>
  <c r="E400" i="31"/>
  <c r="E401" i="31"/>
  <c r="E402" i="31"/>
  <c r="E403" i="31"/>
  <c r="E404" i="31"/>
  <c r="E405" i="31"/>
  <c r="E406" i="31"/>
  <c r="E407" i="31"/>
  <c r="E408" i="31"/>
  <c r="E409" i="31"/>
  <c r="E410" i="31"/>
  <c r="E411" i="31"/>
  <c r="E412" i="31"/>
  <c r="E413" i="31"/>
  <c r="E414" i="31"/>
  <c r="E415" i="31"/>
  <c r="E416" i="31"/>
  <c r="E417" i="31"/>
  <c r="E418" i="31"/>
  <c r="E419" i="31"/>
  <c r="E420" i="31"/>
  <c r="E421" i="31"/>
  <c r="E422" i="31"/>
  <c r="E423" i="31"/>
  <c r="E424" i="31"/>
  <c r="E425" i="31"/>
  <c r="E426" i="31"/>
  <c r="E427" i="31"/>
  <c r="E428" i="31"/>
  <c r="E429" i="31"/>
  <c r="E430" i="31"/>
  <c r="E431" i="31"/>
  <c r="E432" i="31"/>
  <c r="E433" i="31"/>
  <c r="E434" i="31"/>
  <c r="E435" i="31"/>
  <c r="E436" i="31"/>
  <c r="E437" i="31"/>
  <c r="E438" i="31"/>
  <c r="E439" i="31"/>
  <c r="E440" i="31"/>
  <c r="E441" i="31"/>
  <c r="E442" i="31"/>
  <c r="E443" i="31"/>
  <c r="E444" i="31"/>
  <c r="E445" i="31"/>
  <c r="E446" i="31"/>
  <c r="E447" i="31"/>
  <c r="E448" i="31"/>
  <c r="E449" i="31"/>
  <c r="E450" i="31"/>
  <c r="E451" i="31"/>
  <c r="E452" i="31"/>
  <c r="E453" i="31"/>
  <c r="E454" i="31"/>
  <c r="E455" i="31"/>
  <c r="E456" i="31"/>
  <c r="E457" i="31"/>
  <c r="E458" i="31"/>
  <c r="E459" i="31"/>
  <c r="E460" i="31"/>
  <c r="E461" i="31"/>
  <c r="E462" i="31"/>
  <c r="E463" i="31"/>
  <c r="E464" i="31"/>
  <c r="E465" i="31"/>
  <c r="E466" i="31"/>
  <c r="E467" i="31"/>
  <c r="E468" i="31"/>
  <c r="E469" i="31"/>
  <c r="E470" i="31"/>
  <c r="E471" i="31"/>
  <c r="E472" i="31"/>
  <c r="E473" i="31"/>
  <c r="E474" i="31"/>
  <c r="E475" i="31"/>
  <c r="E476" i="31"/>
  <c r="E477" i="31"/>
  <c r="E478" i="31"/>
  <c r="E479" i="31"/>
  <c r="E480" i="31"/>
  <c r="E481" i="31"/>
  <c r="E482" i="31"/>
  <c r="E483" i="31"/>
  <c r="E484" i="31"/>
  <c r="E485" i="31"/>
  <c r="E486" i="31"/>
  <c r="E487" i="31"/>
  <c r="E488" i="31"/>
  <c r="E489" i="31"/>
  <c r="E490" i="31"/>
  <c r="E491" i="31"/>
  <c r="E492" i="31"/>
  <c r="E493" i="31"/>
  <c r="E494" i="31"/>
  <c r="E495" i="31"/>
  <c r="E496" i="31"/>
  <c r="E497" i="31"/>
  <c r="E498" i="31"/>
  <c r="E499" i="31"/>
  <c r="E500" i="31"/>
  <c r="E501" i="31"/>
  <c r="E502" i="31"/>
  <c r="E503" i="31"/>
  <c r="E504" i="31"/>
  <c r="E505" i="31"/>
  <c r="E506" i="31"/>
  <c r="E507" i="31"/>
  <c r="E508" i="31"/>
  <c r="E509" i="31"/>
  <c r="E510" i="31"/>
  <c r="E511" i="31"/>
  <c r="E512" i="31"/>
  <c r="E513" i="31"/>
  <c r="E514" i="31"/>
  <c r="E515" i="31"/>
  <c r="E516" i="31"/>
  <c r="E517" i="31"/>
  <c r="E518" i="31"/>
  <c r="E519" i="31"/>
  <c r="E520" i="31"/>
  <c r="E521" i="31"/>
  <c r="E522" i="31"/>
  <c r="E523" i="31"/>
  <c r="E524" i="31"/>
  <c r="E525" i="31"/>
  <c r="E526" i="31"/>
  <c r="E527" i="31"/>
  <c r="E528" i="31"/>
  <c r="E529" i="31"/>
  <c r="E530" i="31"/>
  <c r="E531" i="31"/>
  <c r="E532" i="31"/>
  <c r="E533" i="31"/>
  <c r="E534" i="31"/>
  <c r="E535" i="31"/>
  <c r="E536" i="31"/>
  <c r="E537" i="31"/>
  <c r="E538" i="31"/>
  <c r="E539" i="31"/>
  <c r="E540" i="31"/>
  <c r="E541" i="31"/>
  <c r="E542" i="31"/>
  <c r="E543" i="31"/>
  <c r="E544" i="31"/>
  <c r="E545" i="31"/>
  <c r="E546" i="31"/>
  <c r="E547" i="31"/>
  <c r="E548" i="31"/>
  <c r="E549" i="31"/>
  <c r="E550" i="31"/>
  <c r="E551" i="31"/>
  <c r="E552" i="31"/>
  <c r="E553" i="31"/>
  <c r="E554" i="31"/>
  <c r="E555" i="31"/>
  <c r="E556" i="31"/>
  <c r="E557" i="31"/>
  <c r="E558" i="31"/>
  <c r="E559" i="31"/>
  <c r="E560" i="31"/>
  <c r="E561" i="31"/>
  <c r="E562" i="31"/>
  <c r="E563" i="31"/>
  <c r="E564" i="31"/>
  <c r="E565" i="31"/>
  <c r="E566" i="31"/>
  <c r="E567" i="31"/>
  <c r="E568" i="31"/>
  <c r="E569" i="31"/>
  <c r="E570" i="31"/>
  <c r="E571" i="31"/>
  <c r="E572" i="31"/>
  <c r="E573" i="31"/>
  <c r="E574" i="31"/>
  <c r="E575" i="31"/>
  <c r="E576" i="31"/>
  <c r="E577" i="31"/>
  <c r="E578" i="31"/>
  <c r="E579" i="31"/>
  <c r="E580" i="31"/>
  <c r="E581" i="31"/>
  <c r="E582" i="31"/>
  <c r="E583" i="31"/>
  <c r="E584" i="31"/>
  <c r="E585" i="31"/>
  <c r="E586" i="31"/>
  <c r="E587" i="31"/>
  <c r="E588" i="31"/>
  <c r="E589" i="31"/>
  <c r="E590" i="31"/>
  <c r="E591" i="31"/>
  <c r="E592" i="31"/>
  <c r="E593" i="31"/>
  <c r="E594" i="31"/>
  <c r="E595" i="31"/>
  <c r="E596" i="31"/>
  <c r="E597" i="31"/>
  <c r="E598" i="31"/>
  <c r="E599" i="31"/>
  <c r="E600" i="31"/>
  <c r="E601" i="31"/>
  <c r="E602" i="31"/>
  <c r="E603" i="31"/>
  <c r="E604" i="31"/>
  <c r="E605" i="31"/>
  <c r="E606" i="31"/>
  <c r="E607" i="31"/>
  <c r="E608" i="31"/>
  <c r="E609" i="31"/>
  <c r="E610" i="31"/>
  <c r="E611" i="31"/>
  <c r="E612" i="31"/>
  <c r="E613" i="31"/>
  <c r="E614" i="31"/>
  <c r="E615" i="31"/>
  <c r="E616" i="31"/>
  <c r="E617" i="31"/>
  <c r="E618" i="31"/>
  <c r="E619" i="31"/>
  <c r="E620" i="31"/>
  <c r="E621" i="31"/>
  <c r="E622" i="31"/>
  <c r="E623" i="31"/>
  <c r="E624" i="31"/>
  <c r="E625" i="31"/>
  <c r="E626" i="31"/>
  <c r="E627" i="31"/>
  <c r="E628" i="31"/>
  <c r="E629" i="31"/>
  <c r="E630" i="31"/>
  <c r="E631" i="31"/>
  <c r="E632" i="31"/>
  <c r="E633" i="31"/>
  <c r="E634" i="31"/>
  <c r="E635" i="31"/>
  <c r="E636" i="31"/>
  <c r="E637" i="31"/>
  <c r="E638" i="31"/>
  <c r="E639" i="31"/>
  <c r="E640" i="31"/>
  <c r="E641" i="31"/>
  <c r="E642" i="31"/>
  <c r="E643" i="31"/>
  <c r="E644" i="31"/>
  <c r="E645" i="31"/>
  <c r="E646" i="31"/>
  <c r="E647" i="31"/>
  <c r="E648" i="31"/>
  <c r="E649" i="31"/>
  <c r="E650" i="31"/>
  <c r="E651" i="31"/>
  <c r="E652" i="31"/>
  <c r="E653" i="31"/>
  <c r="E654" i="31"/>
  <c r="E655" i="31"/>
  <c r="E656" i="31"/>
  <c r="E657" i="31"/>
  <c r="E658" i="31"/>
  <c r="E659" i="31"/>
  <c r="E660" i="31"/>
  <c r="E661" i="31"/>
  <c r="E662" i="31"/>
  <c r="E663" i="31"/>
  <c r="E664" i="31"/>
  <c r="E665" i="31"/>
  <c r="E666" i="31"/>
  <c r="E667" i="31"/>
  <c r="E668" i="31"/>
  <c r="E669" i="31"/>
  <c r="E670" i="31"/>
  <c r="E671" i="31"/>
  <c r="E672" i="31"/>
  <c r="E673" i="31"/>
  <c r="E674" i="31"/>
  <c r="E675" i="31"/>
  <c r="E676" i="31"/>
  <c r="E677" i="31"/>
  <c r="E678" i="31"/>
  <c r="E679" i="31"/>
  <c r="E680" i="31"/>
  <c r="E681" i="31"/>
  <c r="E682" i="31"/>
  <c r="E683" i="31"/>
  <c r="E684" i="31"/>
  <c r="E685" i="31"/>
  <c r="E686" i="31"/>
  <c r="E687" i="31"/>
  <c r="E688" i="31"/>
  <c r="E689" i="31"/>
  <c r="E690" i="31"/>
  <c r="E691" i="31"/>
  <c r="E692" i="31"/>
  <c r="E693" i="31"/>
  <c r="N420" i="10"/>
  <c r="P420" i="10" s="1"/>
  <c r="B150" i="55" l="1"/>
  <c r="S389" i="10"/>
  <c r="S386" i="10"/>
  <c r="S387" i="10"/>
  <c r="S385" i="10"/>
  <c r="S388" i="10"/>
  <c r="S383" i="10"/>
  <c r="S384" i="10"/>
  <c r="S391" i="10"/>
  <c r="S392" i="10"/>
  <c r="S393" i="10"/>
  <c r="S395" i="10"/>
  <c r="S394" i="10"/>
  <c r="S396" i="10"/>
  <c r="S397" i="10"/>
  <c r="S398" i="10"/>
  <c r="S399" i="10"/>
  <c r="S400" i="10"/>
  <c r="S401" i="10"/>
  <c r="S402" i="10"/>
  <c r="S403" i="10"/>
  <c r="S404" i="10"/>
  <c r="S405" i="10"/>
  <c r="S406" i="10"/>
  <c r="S408" i="10"/>
  <c r="S407" i="10"/>
  <c r="S409" i="10"/>
  <c r="S410" i="10"/>
  <c r="S411" i="10"/>
  <c r="S412" i="10"/>
  <c r="S413" i="10"/>
  <c r="S414" i="10"/>
  <c r="S415" i="10"/>
  <c r="S416" i="10"/>
  <c r="S417" i="10"/>
  <c r="S418" i="10"/>
  <c r="S419" i="10"/>
  <c r="S420" i="10"/>
  <c r="S421" i="10"/>
  <c r="S422" i="10"/>
  <c r="S424" i="10"/>
  <c r="S425" i="10"/>
  <c r="S426" i="10"/>
  <c r="S427" i="10"/>
  <c r="S428" i="10"/>
  <c r="S429" i="10"/>
  <c r="S431" i="10"/>
  <c r="S430" i="10"/>
  <c r="S432" i="10"/>
  <c r="S433" i="10"/>
  <c r="S434" i="10"/>
  <c r="S423" i="10"/>
  <c r="S437" i="10"/>
  <c r="S441" i="10"/>
  <c r="S442" i="10"/>
  <c r="S438" i="10"/>
  <c r="S439" i="10"/>
  <c r="S444" i="10"/>
  <c r="S443" i="10"/>
  <c r="S445" i="10"/>
  <c r="S447" i="10"/>
  <c r="S448" i="10"/>
  <c r="S449" i="10"/>
  <c r="S450" i="10"/>
  <c r="S451" i="10"/>
  <c r="S452" i="10"/>
  <c r="S453" i="10"/>
  <c r="S454" i="10"/>
  <c r="S436" i="10"/>
  <c r="S435" i="10"/>
  <c r="S457" i="10"/>
  <c r="S456" i="10"/>
  <c r="S458" i="10"/>
  <c r="S459" i="10"/>
  <c r="S462" i="10"/>
  <c r="S461" i="10"/>
  <c r="S463" i="10"/>
  <c r="S464" i="10"/>
  <c r="S465" i="10"/>
  <c r="S466" i="10"/>
  <c r="S467" i="10"/>
  <c r="S468" i="10"/>
  <c r="S469" i="10"/>
  <c r="S446" i="10"/>
  <c r="S460" i="10"/>
  <c r="S470" i="10"/>
  <c r="S471" i="10"/>
  <c r="S472" i="10"/>
  <c r="S473" i="10"/>
  <c r="S475" i="10"/>
  <c r="S476" i="10"/>
  <c r="S477" i="10"/>
  <c r="S478" i="10"/>
  <c r="S479" i="10"/>
  <c r="S480" i="10"/>
  <c r="S481" i="10"/>
  <c r="S484" i="10"/>
  <c r="S485" i="10"/>
  <c r="S486" i="10"/>
  <c r="S482" i="10"/>
  <c r="S483" i="10"/>
  <c r="S487" i="10"/>
  <c r="S488" i="10"/>
  <c r="S490" i="10"/>
  <c r="S492" i="10"/>
  <c r="S493" i="10"/>
  <c r="S495" i="10"/>
  <c r="S496" i="10"/>
  <c r="S498" i="10"/>
  <c r="S491" i="10"/>
  <c r="S497" i="10"/>
  <c r="S390" i="10"/>
  <c r="S440" i="10"/>
  <c r="S455" i="10"/>
  <c r="S474" i="10"/>
  <c r="S489" i="10"/>
  <c r="S499" i="10"/>
  <c r="S512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1" i="10"/>
  <c r="S302" i="10"/>
  <c r="S303" i="10"/>
  <c r="S304" i="10"/>
  <c r="S305" i="10"/>
  <c r="S306" i="10"/>
  <c r="S307" i="10"/>
  <c r="S308" i="10"/>
  <c r="S309" i="10"/>
  <c r="S310" i="10"/>
  <c r="S311" i="10"/>
  <c r="S312" i="10"/>
  <c r="S313" i="10"/>
  <c r="S314" i="10"/>
  <c r="S315" i="10"/>
  <c r="S316" i="10"/>
  <c r="S317" i="10"/>
  <c r="S318" i="10"/>
  <c r="S319" i="10"/>
  <c r="S320" i="10"/>
  <c r="S321" i="10"/>
  <c r="S322" i="10"/>
  <c r="S323" i="10"/>
  <c r="S324" i="10"/>
  <c r="S325" i="10"/>
  <c r="S326" i="10"/>
  <c r="S327" i="10"/>
  <c r="S328" i="10"/>
  <c r="S329" i="10"/>
  <c r="S330" i="10"/>
  <c r="S331" i="10"/>
  <c r="S332" i="10"/>
  <c r="S333" i="10"/>
  <c r="S334" i="10"/>
  <c r="S335" i="10"/>
  <c r="S336" i="10"/>
  <c r="S337" i="10"/>
  <c r="S338" i="10"/>
  <c r="S339" i="10"/>
  <c r="S340" i="10"/>
  <c r="S342" i="10"/>
  <c r="S343" i="10"/>
  <c r="S344" i="10"/>
  <c r="S345" i="10"/>
  <c r="S346" i="10"/>
  <c r="S347" i="10"/>
  <c r="S348" i="10"/>
  <c r="S364" i="10"/>
  <c r="S349" i="10"/>
  <c r="S350" i="10"/>
  <c r="S351" i="10"/>
  <c r="S352" i="10"/>
  <c r="S353" i="10"/>
  <c r="S354" i="10"/>
  <c r="S355" i="10"/>
  <c r="S356" i="10"/>
  <c r="S357" i="10"/>
  <c r="S358" i="10"/>
  <c r="S359" i="10"/>
  <c r="S360" i="10"/>
  <c r="S361" i="10"/>
  <c r="S362" i="10"/>
  <c r="S363" i="10"/>
  <c r="S365" i="10"/>
  <c r="S366" i="10"/>
  <c r="S367" i="10"/>
  <c r="S368" i="10"/>
  <c r="S369" i="10"/>
  <c r="S370" i="10"/>
  <c r="S371" i="10"/>
  <c r="S372" i="10"/>
  <c r="S373" i="10"/>
  <c r="S374" i="10"/>
  <c r="S376" i="10"/>
  <c r="S377" i="10"/>
  <c r="S378" i="10"/>
  <c r="S379" i="10"/>
  <c r="S380" i="10"/>
  <c r="S381" i="10"/>
  <c r="S382" i="10"/>
  <c r="AL374" i="10"/>
  <c r="B151" i="55" l="1"/>
  <c r="A510" i="10"/>
  <c r="I25" i="58"/>
  <c r="I29" i="58" s="1"/>
  <c r="G25" i="58"/>
  <c r="G29" i="58" s="1"/>
  <c r="L29" i="58"/>
  <c r="A25" i="58"/>
  <c r="A26" i="58" s="1"/>
  <c r="B25" i="58"/>
  <c r="B29" i="58" s="1"/>
  <c r="C25" i="58"/>
  <c r="C29" i="58" s="1"/>
  <c r="D25" i="58"/>
  <c r="D26" i="58" s="1"/>
  <c r="E25" i="58"/>
  <c r="E26" i="58" s="1"/>
  <c r="F25" i="58"/>
  <c r="F26" i="58" s="1"/>
  <c r="J25" i="58"/>
  <c r="J26" i="58" s="1"/>
  <c r="K25" i="58"/>
  <c r="K26" i="58" s="1"/>
  <c r="AL337" i="10"/>
  <c r="AL338" i="10"/>
  <c r="AL339" i="10"/>
  <c r="D693" i="31"/>
  <c r="C693" i="31"/>
  <c r="D692" i="31"/>
  <c r="C692" i="31"/>
  <c r="D691" i="31"/>
  <c r="C691" i="31"/>
  <c r="D690" i="31"/>
  <c r="C690" i="31"/>
  <c r="D689" i="31"/>
  <c r="C689" i="31"/>
  <c r="D688" i="31"/>
  <c r="C688" i="31"/>
  <c r="D687" i="31"/>
  <c r="C687" i="31"/>
  <c r="D686" i="31"/>
  <c r="C686" i="31"/>
  <c r="D685" i="31"/>
  <c r="C685" i="31"/>
  <c r="D684" i="31"/>
  <c r="C684" i="31"/>
  <c r="D683" i="31"/>
  <c r="C683" i="31"/>
  <c r="D682" i="31"/>
  <c r="C682" i="31"/>
  <c r="D681" i="31"/>
  <c r="C681" i="31"/>
  <c r="D680" i="31"/>
  <c r="C680" i="31"/>
  <c r="D679" i="31"/>
  <c r="C679" i="31"/>
  <c r="D678" i="31"/>
  <c r="C678" i="31"/>
  <c r="D677" i="31"/>
  <c r="C677" i="31"/>
  <c r="D676" i="31"/>
  <c r="C676" i="31"/>
  <c r="D675" i="31"/>
  <c r="C675" i="31"/>
  <c r="D674" i="31"/>
  <c r="C674" i="31"/>
  <c r="K29" i="58" l="1"/>
  <c r="J29" i="58"/>
  <c r="L26" i="58"/>
  <c r="F29" i="58"/>
  <c r="C26" i="58"/>
  <c r="B26" i="58"/>
  <c r="E29" i="58"/>
  <c r="D29" i="58"/>
  <c r="A29" i="58"/>
  <c r="B152" i="55"/>
  <c r="A511" i="10"/>
  <c r="I26" i="58"/>
  <c r="G26" i="58"/>
  <c r="B153" i="55" l="1"/>
  <c r="A514" i="10"/>
  <c r="AM248" i="10" a="1"/>
  <c r="AM248" i="10" s="1"/>
  <c r="AL266" i="10"/>
  <c r="N307" i="10"/>
  <c r="P307" i="10" s="1"/>
  <c r="A212" i="10"/>
  <c r="A213" i="10"/>
  <c r="A221" i="10"/>
  <c r="A516" i="10" l="1"/>
  <c r="A515" i="10"/>
  <c r="AM284" i="10" a="1"/>
  <c r="AM284" i="10" s="1"/>
  <c r="AF2" i="22"/>
  <c r="AE2" i="22"/>
  <c r="AM277" i="10" a="1"/>
  <c r="AM277" i="10" s="1"/>
  <c r="A519" i="10" l="1"/>
  <c r="AE4" i="22"/>
  <c r="E28" i="22"/>
  <c r="A520" i="10" l="1"/>
  <c r="A521" i="10"/>
  <c r="W28" i="22"/>
  <c r="R28" i="22"/>
  <c r="S28" i="22"/>
  <c r="T28" i="22"/>
  <c r="H28" i="50"/>
  <c r="H18" i="50"/>
  <c r="H24" i="50"/>
  <c r="H6" i="50"/>
  <c r="H4" i="50"/>
  <c r="H15" i="50"/>
  <c r="H32" i="50"/>
  <c r="H10" i="50"/>
  <c r="H16" i="50"/>
  <c r="H14" i="50"/>
  <c r="H8" i="50"/>
  <c r="H30" i="50"/>
  <c r="H20" i="50"/>
  <c r="H22" i="50"/>
  <c r="H26" i="50"/>
  <c r="H19" i="50"/>
  <c r="H9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47" i="50"/>
  <c r="H48" i="50"/>
  <c r="H49" i="50"/>
  <c r="H50" i="50"/>
  <c r="H51" i="50"/>
  <c r="H52" i="50"/>
  <c r="H53" i="50"/>
  <c r="H54" i="50"/>
  <c r="H55" i="50"/>
  <c r="H56" i="50"/>
  <c r="H57" i="50"/>
  <c r="H58" i="50"/>
  <c r="H59" i="50"/>
  <c r="H60" i="50"/>
  <c r="H61" i="50"/>
  <c r="H62" i="50"/>
  <c r="H63" i="50"/>
  <c r="H64" i="50"/>
  <c r="H65" i="50"/>
  <c r="H66" i="50"/>
  <c r="H67" i="50"/>
  <c r="H68" i="50"/>
  <c r="H69" i="50"/>
  <c r="H70" i="50"/>
  <c r="H71" i="50"/>
  <c r="H72" i="50"/>
  <c r="H73" i="50"/>
  <c r="H74" i="50"/>
  <c r="H75" i="50"/>
  <c r="H76" i="50"/>
  <c r="H77" i="50"/>
  <c r="H78" i="50"/>
  <c r="H79" i="50"/>
  <c r="H80" i="50"/>
  <c r="H81" i="50"/>
  <c r="H82" i="50"/>
  <c r="H83" i="50"/>
  <c r="H84" i="50"/>
  <c r="H85" i="50"/>
  <c r="H86" i="50"/>
  <c r="H87" i="50"/>
  <c r="H88" i="50"/>
  <c r="H89" i="50"/>
  <c r="H90" i="50"/>
  <c r="H91" i="50"/>
  <c r="H92" i="50"/>
  <c r="H93" i="50"/>
  <c r="H94" i="50"/>
  <c r="H95" i="50"/>
  <c r="H96" i="50"/>
  <c r="H97" i="50"/>
  <c r="H98" i="50"/>
  <c r="H99" i="50"/>
  <c r="H100" i="50"/>
  <c r="H101" i="50"/>
  <c r="H102" i="50"/>
  <c r="H103" i="50"/>
  <c r="H104" i="50"/>
  <c r="H105" i="50"/>
  <c r="H106" i="50"/>
  <c r="H107" i="50"/>
  <c r="H108" i="50"/>
  <c r="H109" i="50"/>
  <c r="H110" i="50"/>
  <c r="H111" i="50"/>
  <c r="H112" i="50"/>
  <c r="H113" i="50"/>
  <c r="H114" i="50"/>
  <c r="H115" i="50"/>
  <c r="H116" i="50"/>
  <c r="H117" i="50"/>
  <c r="H118" i="50"/>
  <c r="H119" i="50"/>
  <c r="H120" i="50"/>
  <c r="H121" i="50"/>
  <c r="H122" i="50"/>
  <c r="H123" i="50"/>
  <c r="H124" i="50"/>
  <c r="H125" i="50"/>
  <c r="H126" i="50"/>
  <c r="H127" i="50"/>
  <c r="H128" i="50"/>
  <c r="H129" i="50"/>
  <c r="H130" i="50"/>
  <c r="H131" i="50"/>
  <c r="H132" i="50"/>
  <c r="H133" i="50"/>
  <c r="H134" i="50"/>
  <c r="H135" i="50"/>
  <c r="H136" i="50"/>
  <c r="H137" i="50"/>
  <c r="H138" i="50"/>
  <c r="H139" i="50"/>
  <c r="H140" i="50"/>
  <c r="H141" i="50"/>
  <c r="H142" i="50"/>
  <c r="H143" i="50"/>
  <c r="H144" i="50"/>
  <c r="H145" i="50"/>
  <c r="H146" i="50"/>
  <c r="H147" i="50"/>
  <c r="H148" i="50"/>
  <c r="H149" i="50"/>
  <c r="H150" i="50"/>
  <c r="H151" i="50"/>
  <c r="H152" i="50"/>
  <c r="H153" i="50"/>
  <c r="H154" i="50"/>
  <c r="H155" i="50"/>
  <c r="H156" i="50"/>
  <c r="H157" i="50"/>
  <c r="H158" i="50"/>
  <c r="H159" i="50"/>
  <c r="H160" i="50"/>
  <c r="H161" i="50"/>
  <c r="H162" i="50"/>
  <c r="H163" i="50"/>
  <c r="H164" i="50"/>
  <c r="H165" i="50"/>
  <c r="H166" i="50"/>
  <c r="H167" i="50"/>
  <c r="H168" i="50"/>
  <c r="H169" i="50"/>
  <c r="H170" i="50"/>
  <c r="H171" i="50"/>
  <c r="H172" i="50"/>
  <c r="H173" i="50"/>
  <c r="H174" i="50"/>
  <c r="H175" i="50"/>
  <c r="H176" i="50"/>
  <c r="H177" i="50"/>
  <c r="H178" i="50"/>
  <c r="H179" i="50"/>
  <c r="H180" i="50"/>
  <c r="H181" i="50"/>
  <c r="H182" i="50"/>
  <c r="H183" i="50"/>
  <c r="H184" i="50"/>
  <c r="H185" i="50"/>
  <c r="H186" i="50"/>
  <c r="H187" i="50"/>
  <c r="H188" i="50"/>
  <c r="H189" i="50"/>
  <c r="H190" i="50"/>
  <c r="H191" i="50"/>
  <c r="H192" i="50"/>
  <c r="H193" i="50"/>
  <c r="H194" i="50"/>
  <c r="H195" i="50"/>
  <c r="H196" i="50"/>
  <c r="H197" i="50"/>
  <c r="H198" i="50"/>
  <c r="H199" i="50"/>
  <c r="H200" i="50"/>
  <c r="H201" i="50"/>
  <c r="H202" i="50"/>
  <c r="H203" i="50"/>
  <c r="H204" i="50"/>
  <c r="H205" i="50"/>
  <c r="H206" i="50"/>
  <c r="H207" i="50"/>
  <c r="H208" i="50"/>
  <c r="H209" i="50"/>
  <c r="H210" i="50"/>
  <c r="H211" i="50"/>
  <c r="H212" i="50"/>
  <c r="H213" i="50"/>
  <c r="H214" i="50"/>
  <c r="H215" i="50"/>
  <c r="H216" i="50"/>
  <c r="H217" i="50"/>
  <c r="H218" i="50"/>
  <c r="H219" i="50"/>
  <c r="H220" i="50"/>
  <c r="H221" i="50"/>
  <c r="H222" i="50"/>
  <c r="H223" i="50"/>
  <c r="H224" i="50"/>
  <c r="H225" i="50"/>
  <c r="H226" i="50"/>
  <c r="H227" i="50"/>
  <c r="H228" i="50"/>
  <c r="H229" i="50"/>
  <c r="H230" i="50"/>
  <c r="H231" i="50"/>
  <c r="H232" i="50"/>
  <c r="H233" i="50"/>
  <c r="H234" i="50"/>
  <c r="H235" i="50"/>
  <c r="H236" i="50"/>
  <c r="H237" i="50"/>
  <c r="H238" i="50"/>
  <c r="H239" i="50"/>
  <c r="H240" i="50"/>
  <c r="H241" i="50"/>
  <c r="H242" i="50"/>
  <c r="H243" i="50"/>
  <c r="H244" i="50"/>
  <c r="H245" i="50"/>
  <c r="H246" i="50"/>
  <c r="H247" i="50"/>
  <c r="H248" i="50"/>
  <c r="H249" i="50"/>
  <c r="H250" i="50"/>
  <c r="H251" i="50"/>
  <c r="H252" i="50"/>
  <c r="H253" i="50"/>
  <c r="H254" i="50"/>
  <c r="H255" i="50"/>
  <c r="H256" i="50"/>
  <c r="H257" i="50"/>
  <c r="H258" i="50"/>
  <c r="H259" i="50"/>
  <c r="H260" i="50"/>
  <c r="H261" i="50"/>
  <c r="H262" i="50"/>
  <c r="H263" i="50"/>
  <c r="H264" i="50"/>
  <c r="H265" i="50"/>
  <c r="H266" i="50"/>
  <c r="H267" i="50"/>
  <c r="H268" i="50"/>
  <c r="H269" i="50"/>
  <c r="H270" i="50"/>
  <c r="H271" i="50"/>
  <c r="H272" i="50"/>
  <c r="H273" i="50"/>
  <c r="H274" i="50"/>
  <c r="H275" i="50"/>
  <c r="H276" i="50"/>
  <c r="H277" i="50"/>
  <c r="H278" i="50"/>
  <c r="H279" i="50"/>
  <c r="H280" i="50"/>
  <c r="H281" i="50"/>
  <c r="H282" i="50"/>
  <c r="H283" i="50"/>
  <c r="H284" i="50"/>
  <c r="H285" i="50"/>
  <c r="H286" i="50"/>
  <c r="H287" i="50"/>
  <c r="H288" i="50"/>
  <c r="H289" i="50"/>
  <c r="H290" i="50"/>
  <c r="H291" i="50"/>
  <c r="H292" i="50"/>
  <c r="H293" i="50"/>
  <c r="H294" i="50"/>
  <c r="H295" i="50"/>
  <c r="H296" i="50"/>
  <c r="H297" i="50"/>
  <c r="H298" i="50"/>
  <c r="H299" i="50"/>
  <c r="H300" i="50"/>
  <c r="H301" i="50"/>
  <c r="H302" i="50"/>
  <c r="H303" i="50"/>
  <c r="H304" i="50"/>
  <c r="H305" i="50"/>
  <c r="H306" i="50"/>
  <c r="H307" i="50"/>
  <c r="H308" i="50"/>
  <c r="H309" i="50"/>
  <c r="H310" i="50"/>
  <c r="H311" i="50"/>
  <c r="H312" i="50"/>
  <c r="H313" i="50"/>
  <c r="H314" i="50"/>
  <c r="H315" i="50"/>
  <c r="H316" i="50"/>
  <c r="H317" i="50"/>
  <c r="H318" i="50"/>
  <c r="H319" i="50"/>
  <c r="H320" i="50"/>
  <c r="H321" i="50"/>
  <c r="H322" i="50"/>
  <c r="H323" i="50"/>
  <c r="H324" i="50"/>
  <c r="H325" i="50"/>
  <c r="H326" i="50"/>
  <c r="H327" i="50"/>
  <c r="H328" i="50"/>
  <c r="H329" i="50"/>
  <c r="H330" i="50"/>
  <c r="H331" i="50"/>
  <c r="H332" i="50"/>
  <c r="H333" i="50"/>
  <c r="H334" i="50"/>
  <c r="H335" i="50"/>
  <c r="H336" i="50"/>
  <c r="H337" i="50"/>
  <c r="H338" i="50"/>
  <c r="H339" i="50"/>
  <c r="H340" i="50"/>
  <c r="H341" i="50"/>
  <c r="H342" i="50"/>
  <c r="H343" i="50"/>
  <c r="H344" i="50"/>
  <c r="H345" i="50"/>
  <c r="H346" i="50"/>
  <c r="H347" i="50"/>
  <c r="H348" i="50"/>
  <c r="H349" i="50"/>
  <c r="H350" i="50"/>
  <c r="H351" i="50"/>
  <c r="H352" i="50"/>
  <c r="H353" i="50"/>
  <c r="H354" i="50"/>
  <c r="H355" i="50"/>
  <c r="H356" i="50"/>
  <c r="H357" i="50"/>
  <c r="H358" i="50"/>
  <c r="H359" i="50"/>
  <c r="H360" i="50"/>
  <c r="H361" i="50"/>
  <c r="H362" i="50"/>
  <c r="H363" i="50"/>
  <c r="H364" i="50"/>
  <c r="H365" i="50"/>
  <c r="H366" i="50"/>
  <c r="H367" i="50"/>
  <c r="H368" i="50"/>
  <c r="H369" i="50"/>
  <c r="H370" i="50"/>
  <c r="H371" i="50"/>
  <c r="H372" i="50"/>
  <c r="H373" i="50"/>
  <c r="H374" i="50"/>
  <c r="H375" i="50"/>
  <c r="H376" i="50"/>
  <c r="H377" i="50"/>
  <c r="H378" i="50"/>
  <c r="H379" i="50"/>
  <c r="H380" i="50"/>
  <c r="H381" i="50"/>
  <c r="H382" i="50"/>
  <c r="H383" i="50"/>
  <c r="H384" i="50"/>
  <c r="H385" i="50"/>
  <c r="H386" i="50"/>
  <c r="H387" i="50"/>
  <c r="H388" i="50"/>
  <c r="H389" i="50"/>
  <c r="H390" i="50"/>
  <c r="H391" i="50"/>
  <c r="H392" i="50"/>
  <c r="H393" i="50"/>
  <c r="H394" i="50"/>
  <c r="H395" i="50"/>
  <c r="H396" i="50"/>
  <c r="H397" i="50"/>
  <c r="H398" i="50"/>
  <c r="H399" i="50"/>
  <c r="H400" i="50"/>
  <c r="H401" i="50"/>
  <c r="H402" i="50"/>
  <c r="H403" i="50"/>
  <c r="H404" i="50"/>
  <c r="H405" i="50"/>
  <c r="H406" i="50"/>
  <c r="H407" i="50"/>
  <c r="H408" i="50"/>
  <c r="H409" i="50"/>
  <c r="H410" i="50"/>
  <c r="H411" i="50"/>
  <c r="H412" i="50"/>
  <c r="H413" i="50"/>
  <c r="H414" i="50"/>
  <c r="H415" i="50"/>
  <c r="H416" i="50"/>
  <c r="H417" i="50"/>
  <c r="H418" i="50"/>
  <c r="H419" i="50"/>
  <c r="H420" i="50"/>
  <c r="H421" i="50"/>
  <c r="H422" i="50"/>
  <c r="H423" i="50"/>
  <c r="H424" i="50"/>
  <c r="H425" i="50"/>
  <c r="H426" i="50"/>
  <c r="H427" i="50"/>
  <c r="H428" i="50"/>
  <c r="H429" i="50"/>
  <c r="H430" i="50"/>
  <c r="H431" i="50"/>
  <c r="H432" i="50"/>
  <c r="H433" i="50"/>
  <c r="H434" i="50"/>
  <c r="H435" i="50"/>
  <c r="H436" i="50"/>
  <c r="H437" i="50"/>
  <c r="H438" i="50"/>
  <c r="H439" i="50"/>
  <c r="H440" i="50"/>
  <c r="H441" i="50"/>
  <c r="H442" i="50"/>
  <c r="H443" i="50"/>
  <c r="H444" i="50"/>
  <c r="H445" i="50"/>
  <c r="H446" i="50"/>
  <c r="H447" i="50"/>
  <c r="H448" i="50"/>
  <c r="H449" i="50"/>
  <c r="H450" i="50"/>
  <c r="H451" i="50"/>
  <c r="H452" i="50"/>
  <c r="H453" i="50"/>
  <c r="H454" i="50"/>
  <c r="H455" i="50"/>
  <c r="H456" i="50"/>
  <c r="H457" i="50"/>
  <c r="H458" i="50"/>
  <c r="H459" i="50"/>
  <c r="H460" i="50"/>
  <c r="H461" i="50"/>
  <c r="H462" i="50"/>
  <c r="H463" i="50"/>
  <c r="H464" i="50"/>
  <c r="H465" i="50"/>
  <c r="H466" i="50"/>
  <c r="H467" i="50"/>
  <c r="H468" i="50"/>
  <c r="H469" i="50"/>
  <c r="H470" i="50"/>
  <c r="H471" i="50"/>
  <c r="H472" i="50"/>
  <c r="H473" i="50"/>
  <c r="H474" i="50"/>
  <c r="H475" i="50"/>
  <c r="H476" i="50"/>
  <c r="H477" i="50"/>
  <c r="H478" i="50"/>
  <c r="H479" i="50"/>
  <c r="H480" i="50"/>
  <c r="H481" i="50"/>
  <c r="H482" i="50"/>
  <c r="H483" i="50"/>
  <c r="H484" i="50"/>
  <c r="H485" i="50"/>
  <c r="H486" i="50"/>
  <c r="H487" i="50"/>
  <c r="H488" i="50"/>
  <c r="H489" i="50"/>
  <c r="H490" i="50"/>
  <c r="H491" i="50"/>
  <c r="H492" i="50"/>
  <c r="H493" i="50"/>
  <c r="H494" i="50"/>
  <c r="H495" i="50"/>
  <c r="H496" i="50"/>
  <c r="H497" i="50"/>
  <c r="H498" i="50"/>
  <c r="H499" i="50"/>
  <c r="H500" i="50"/>
  <c r="H501" i="50"/>
  <c r="H502" i="50"/>
  <c r="H503" i="50"/>
  <c r="H504" i="50"/>
  <c r="H505" i="50"/>
  <c r="H506" i="50"/>
  <c r="H507" i="50"/>
  <c r="H508" i="50"/>
  <c r="H509" i="50"/>
  <c r="H510" i="50"/>
  <c r="H511" i="50"/>
  <c r="H512" i="50"/>
  <c r="H513" i="50"/>
  <c r="H514" i="50"/>
  <c r="H515" i="50"/>
  <c r="H516" i="50"/>
  <c r="H517" i="50"/>
  <c r="H518" i="50"/>
  <c r="H519" i="50"/>
  <c r="H520" i="50"/>
  <c r="H521" i="50"/>
  <c r="H522" i="50"/>
  <c r="H523" i="50"/>
  <c r="H524" i="50"/>
  <c r="H525" i="50"/>
  <c r="H526" i="50"/>
  <c r="H527" i="50"/>
  <c r="H528" i="50"/>
  <c r="H529" i="50"/>
  <c r="H530" i="50"/>
  <c r="H531" i="50"/>
  <c r="H532" i="50"/>
  <c r="H533" i="50"/>
  <c r="H534" i="50"/>
  <c r="H535" i="50"/>
  <c r="H536" i="50"/>
  <c r="H537" i="50"/>
  <c r="H538" i="50"/>
  <c r="H539" i="50"/>
  <c r="H540" i="50"/>
  <c r="H541" i="50"/>
  <c r="H542" i="50"/>
  <c r="H543" i="50"/>
  <c r="H544" i="50"/>
  <c r="H545" i="50"/>
  <c r="H546" i="50"/>
  <c r="H547" i="50"/>
  <c r="H548" i="50"/>
  <c r="H549" i="50"/>
  <c r="H550" i="50"/>
  <c r="H551" i="50"/>
  <c r="H552" i="50"/>
  <c r="H553" i="50"/>
  <c r="H554" i="50"/>
  <c r="H555" i="50"/>
  <c r="H556" i="50"/>
  <c r="H557" i="50"/>
  <c r="H558" i="50"/>
  <c r="H559" i="50"/>
  <c r="H560" i="50"/>
  <c r="H561" i="50"/>
  <c r="H562" i="50"/>
  <c r="H563" i="50"/>
  <c r="H564" i="50"/>
  <c r="H565" i="50"/>
  <c r="H566" i="50"/>
  <c r="H567" i="50"/>
  <c r="H568" i="50"/>
  <c r="H569" i="50"/>
  <c r="H570" i="50"/>
  <c r="H571" i="50"/>
  <c r="H572" i="50"/>
  <c r="H573" i="50"/>
  <c r="H574" i="50"/>
  <c r="H575" i="50"/>
  <c r="H576" i="50"/>
  <c r="H577" i="50"/>
  <c r="H578" i="50"/>
  <c r="H579" i="50"/>
  <c r="H580" i="50"/>
  <c r="H581" i="50"/>
  <c r="H582" i="50"/>
  <c r="H583" i="50"/>
  <c r="H584" i="50"/>
  <c r="H585" i="50"/>
  <c r="H586" i="50"/>
  <c r="H587" i="50"/>
  <c r="H588" i="50"/>
  <c r="H589" i="50"/>
  <c r="H590" i="50"/>
  <c r="H591" i="50"/>
  <c r="H592" i="50"/>
  <c r="H593" i="50"/>
  <c r="H594" i="50"/>
  <c r="H595" i="50"/>
  <c r="H596" i="50"/>
  <c r="H597" i="50"/>
  <c r="H598" i="50"/>
  <c r="H599" i="50"/>
  <c r="H600" i="50"/>
  <c r="H601" i="50"/>
  <c r="H602" i="50"/>
  <c r="H603" i="50"/>
  <c r="H604" i="50"/>
  <c r="H605" i="50"/>
  <c r="H606" i="50"/>
  <c r="H607" i="50"/>
  <c r="H608" i="50"/>
  <c r="H609" i="50"/>
  <c r="H610" i="50"/>
  <c r="H611" i="50"/>
  <c r="H612" i="50"/>
  <c r="H613" i="50"/>
  <c r="H614" i="50"/>
  <c r="H615" i="50"/>
  <c r="H616" i="50"/>
  <c r="H617" i="50"/>
  <c r="H618" i="50"/>
  <c r="H619" i="50"/>
  <c r="H620" i="50"/>
  <c r="H621" i="50"/>
  <c r="H622" i="50"/>
  <c r="H623" i="50"/>
  <c r="H624" i="50"/>
  <c r="H625" i="50"/>
  <c r="H626" i="50"/>
  <c r="H627" i="50"/>
  <c r="H628" i="50"/>
  <c r="H629" i="50"/>
  <c r="H630" i="50"/>
  <c r="H631" i="50"/>
  <c r="H632" i="50"/>
  <c r="H633" i="50"/>
  <c r="H634" i="50"/>
  <c r="H635" i="50"/>
  <c r="H636" i="50"/>
  <c r="H637" i="50"/>
  <c r="H638" i="50"/>
  <c r="H639" i="50"/>
  <c r="H640" i="50"/>
  <c r="H641" i="50"/>
  <c r="H642" i="50"/>
  <c r="H643" i="50"/>
  <c r="H644" i="50"/>
  <c r="H645" i="50"/>
  <c r="H646" i="50"/>
  <c r="H647" i="50"/>
  <c r="H648" i="50"/>
  <c r="H649" i="50"/>
  <c r="H650" i="50"/>
  <c r="H651" i="50"/>
  <c r="H652" i="50"/>
  <c r="H653" i="50"/>
  <c r="H654" i="50"/>
  <c r="H655" i="50"/>
  <c r="H656" i="50"/>
  <c r="H657" i="50"/>
  <c r="H658" i="50"/>
  <c r="H659" i="50"/>
  <c r="H660" i="50"/>
  <c r="H661" i="50"/>
  <c r="H662" i="50"/>
  <c r="H663" i="50"/>
  <c r="H664" i="50"/>
  <c r="H665" i="50"/>
  <c r="H666" i="50"/>
  <c r="H667" i="50"/>
  <c r="H668" i="50"/>
  <c r="H669" i="50"/>
  <c r="H670" i="50"/>
  <c r="H671" i="50"/>
  <c r="H672" i="50"/>
  <c r="H673" i="50"/>
  <c r="H674" i="50"/>
  <c r="H675" i="50"/>
  <c r="H676" i="50"/>
  <c r="H677" i="50"/>
  <c r="H678" i="50"/>
  <c r="H679" i="50"/>
  <c r="H680" i="50"/>
  <c r="H681" i="50"/>
  <c r="H682" i="50"/>
  <c r="H683" i="50"/>
  <c r="H684" i="50"/>
  <c r="H685" i="50"/>
  <c r="H686" i="50"/>
  <c r="H687" i="50"/>
  <c r="H688" i="50"/>
  <c r="H689" i="50"/>
  <c r="H690" i="50"/>
  <c r="H691" i="50"/>
  <c r="H692" i="50"/>
  <c r="H693" i="50"/>
  <c r="H694" i="50"/>
  <c r="H695" i="50"/>
  <c r="H696" i="50"/>
  <c r="H697" i="50"/>
  <c r="H698" i="50"/>
  <c r="H699" i="50"/>
  <c r="H700" i="50"/>
  <c r="H701" i="50"/>
  <c r="H702" i="50"/>
  <c r="H703" i="50"/>
  <c r="H704" i="50"/>
  <c r="H705" i="50"/>
  <c r="H706" i="50"/>
  <c r="H707" i="50"/>
  <c r="H708" i="50"/>
  <c r="H709" i="50"/>
  <c r="H710" i="50"/>
  <c r="H711" i="50"/>
  <c r="H712" i="50"/>
  <c r="H713" i="50"/>
  <c r="H714" i="50"/>
  <c r="H715" i="50"/>
  <c r="H716" i="50"/>
  <c r="H717" i="50"/>
  <c r="H718" i="50"/>
  <c r="H719" i="50"/>
  <c r="H720" i="50"/>
  <c r="H721" i="50"/>
  <c r="H722" i="50"/>
  <c r="H723" i="50"/>
  <c r="H724" i="50"/>
  <c r="H725" i="50"/>
  <c r="H726" i="50"/>
  <c r="H727" i="50"/>
  <c r="H728" i="50"/>
  <c r="H729" i="50"/>
  <c r="H730" i="50"/>
  <c r="H731" i="50"/>
  <c r="H732" i="50"/>
  <c r="H733" i="50"/>
  <c r="H734" i="50"/>
  <c r="H735" i="50"/>
  <c r="H736" i="50"/>
  <c r="H737" i="50"/>
  <c r="H738" i="50"/>
  <c r="H739" i="50"/>
  <c r="H740" i="50"/>
  <c r="H741" i="50"/>
  <c r="H742" i="50"/>
  <c r="H743" i="50"/>
  <c r="H744" i="50"/>
  <c r="H745" i="50"/>
  <c r="H746" i="50"/>
  <c r="H747" i="50"/>
  <c r="H748" i="50"/>
  <c r="H749" i="50"/>
  <c r="H750" i="50"/>
  <c r="H751" i="50"/>
  <c r="H752" i="50"/>
  <c r="H753" i="50"/>
  <c r="H754" i="50"/>
  <c r="H755" i="50"/>
  <c r="H756" i="50"/>
  <c r="H757" i="50"/>
  <c r="H758" i="50"/>
  <c r="H759" i="50"/>
  <c r="H760" i="50"/>
  <c r="H761" i="50"/>
  <c r="H762" i="50"/>
  <c r="H763" i="50"/>
  <c r="H764" i="50"/>
  <c r="H765" i="50"/>
  <c r="H766" i="50"/>
  <c r="H767" i="50"/>
  <c r="H768" i="50"/>
  <c r="H769" i="50"/>
  <c r="H770" i="50"/>
  <c r="H771" i="50"/>
  <c r="H772" i="50"/>
  <c r="H773" i="50"/>
  <c r="H774" i="50"/>
  <c r="H775" i="50"/>
  <c r="H776" i="50"/>
  <c r="H777" i="50"/>
  <c r="H778" i="50"/>
  <c r="H779" i="50"/>
  <c r="H780" i="50"/>
  <c r="H781" i="50"/>
  <c r="H782" i="50"/>
  <c r="H783" i="50"/>
  <c r="H784" i="50"/>
  <c r="H785" i="50"/>
  <c r="H786" i="50"/>
  <c r="H787" i="50"/>
  <c r="H788" i="50"/>
  <c r="H789" i="50"/>
  <c r="H790" i="50"/>
  <c r="H791" i="50"/>
  <c r="H792" i="50"/>
  <c r="H793" i="50"/>
  <c r="H794" i="50"/>
  <c r="H795" i="50"/>
  <c r="H796" i="50"/>
  <c r="H797" i="50"/>
  <c r="H798" i="50"/>
  <c r="H799" i="50"/>
  <c r="H800" i="50"/>
  <c r="H801" i="50"/>
  <c r="H802" i="50"/>
  <c r="H803" i="50"/>
  <c r="H804" i="50"/>
  <c r="H805" i="50"/>
  <c r="H806" i="50"/>
  <c r="H807" i="50"/>
  <c r="H808" i="50"/>
  <c r="H809" i="50"/>
  <c r="H810" i="50"/>
  <c r="H811" i="50"/>
  <c r="H812" i="50"/>
  <c r="H813" i="50"/>
  <c r="H814" i="50"/>
  <c r="H815" i="50"/>
  <c r="H816" i="50"/>
  <c r="H817" i="50"/>
  <c r="H818" i="50"/>
  <c r="H819" i="50"/>
  <c r="H820" i="50"/>
  <c r="H821" i="50"/>
  <c r="H822" i="50"/>
  <c r="H823" i="50"/>
  <c r="H824" i="50"/>
  <c r="H825" i="50"/>
  <c r="H826" i="50"/>
  <c r="H827" i="50"/>
  <c r="H828" i="50"/>
  <c r="H829" i="50"/>
  <c r="H830" i="50"/>
  <c r="H831" i="50"/>
  <c r="H832" i="50"/>
  <c r="H833" i="50"/>
  <c r="H834" i="50"/>
  <c r="H835" i="50"/>
  <c r="H836" i="50"/>
  <c r="H837" i="50"/>
  <c r="H838" i="50"/>
  <c r="H839" i="50"/>
  <c r="H840" i="50"/>
  <c r="H841" i="50"/>
  <c r="H842" i="50"/>
  <c r="H843" i="50"/>
  <c r="H844" i="50"/>
  <c r="H845" i="50"/>
  <c r="H846" i="50"/>
  <c r="H847" i="50"/>
  <c r="H848" i="50"/>
  <c r="H849" i="50"/>
  <c r="H850" i="50"/>
  <c r="H851" i="50"/>
  <c r="H852" i="50"/>
  <c r="H853" i="50"/>
  <c r="H854" i="50"/>
  <c r="H855" i="50"/>
  <c r="H856" i="50"/>
  <c r="H857" i="50"/>
  <c r="H858" i="50"/>
  <c r="H859" i="50"/>
  <c r="H860" i="50"/>
  <c r="H861" i="50"/>
  <c r="H862" i="50"/>
  <c r="H863" i="50"/>
  <c r="H864" i="50"/>
  <c r="H865" i="50"/>
  <c r="H866" i="50"/>
  <c r="H867" i="50"/>
  <c r="H868" i="50"/>
  <c r="H869" i="50"/>
  <c r="H870" i="50"/>
  <c r="H871" i="50"/>
  <c r="H872" i="50"/>
  <c r="H873" i="50"/>
  <c r="H874" i="50"/>
  <c r="H875" i="50"/>
  <c r="H876" i="50"/>
  <c r="H877" i="50"/>
  <c r="H878" i="50"/>
  <c r="H879" i="50"/>
  <c r="H880" i="50"/>
  <c r="H881" i="50"/>
  <c r="H882" i="50"/>
  <c r="H883" i="50"/>
  <c r="H884" i="50"/>
  <c r="H885" i="50"/>
  <c r="H886" i="50"/>
  <c r="H887" i="50"/>
  <c r="H888" i="50"/>
  <c r="H889" i="50"/>
  <c r="H890" i="50"/>
  <c r="H891" i="50"/>
  <c r="H892" i="50"/>
  <c r="H893" i="50"/>
  <c r="H894" i="50"/>
  <c r="H895" i="50"/>
  <c r="H896" i="50"/>
  <c r="H897" i="50"/>
  <c r="H898" i="50"/>
  <c r="H899" i="50"/>
  <c r="H900" i="50"/>
  <c r="H901" i="50"/>
  <c r="H902" i="50"/>
  <c r="H903" i="50"/>
  <c r="H904" i="50"/>
  <c r="H905" i="50"/>
  <c r="H906" i="50"/>
  <c r="H907" i="50"/>
  <c r="H908" i="50"/>
  <c r="H909" i="50"/>
  <c r="H910" i="50"/>
  <c r="H911" i="50"/>
  <c r="H912" i="50"/>
  <c r="H913" i="50"/>
  <c r="H914" i="50"/>
  <c r="H915" i="50"/>
  <c r="H916" i="50"/>
  <c r="H917" i="50"/>
  <c r="H918" i="50"/>
  <c r="H919" i="50"/>
  <c r="H920" i="50"/>
  <c r="H921" i="50"/>
  <c r="H922" i="50"/>
  <c r="H923" i="50"/>
  <c r="H924" i="50"/>
  <c r="H925" i="50"/>
  <c r="H926" i="50"/>
  <c r="H927" i="50"/>
  <c r="H928" i="50"/>
  <c r="H929" i="50"/>
  <c r="H930" i="50"/>
  <c r="H931" i="50"/>
  <c r="H932" i="50"/>
  <c r="H933" i="50"/>
  <c r="H934" i="50"/>
  <c r="H935" i="50"/>
  <c r="H936" i="50"/>
  <c r="H937" i="50"/>
  <c r="H938" i="50"/>
  <c r="H939" i="50"/>
  <c r="H940" i="50"/>
  <c r="H941" i="50"/>
  <c r="H942" i="50"/>
  <c r="H943" i="50"/>
  <c r="H944" i="50"/>
  <c r="H945" i="50"/>
  <c r="H946" i="50"/>
  <c r="H947" i="50"/>
  <c r="H948" i="50"/>
  <c r="H949" i="50"/>
  <c r="H950" i="50"/>
  <c r="H951" i="50"/>
  <c r="H952" i="50"/>
  <c r="H953" i="50"/>
  <c r="H954" i="50"/>
  <c r="H955" i="50"/>
  <c r="H956" i="50"/>
  <c r="H957" i="50"/>
  <c r="H958" i="50"/>
  <c r="H959" i="50"/>
  <c r="H960" i="50"/>
  <c r="H961" i="50"/>
  <c r="H962" i="50"/>
  <c r="H963" i="50"/>
  <c r="H964" i="50"/>
  <c r="H965" i="50"/>
  <c r="H966" i="50"/>
  <c r="H967" i="50"/>
  <c r="H968" i="50"/>
  <c r="H969" i="50"/>
  <c r="H970" i="50"/>
  <c r="H971" i="50"/>
  <c r="H972" i="50"/>
  <c r="H973" i="50"/>
  <c r="H974" i="50"/>
  <c r="H975" i="50"/>
  <c r="H976" i="50"/>
  <c r="H977" i="50"/>
  <c r="H978" i="50"/>
  <c r="H979" i="50"/>
  <c r="H980" i="50"/>
  <c r="H981" i="50"/>
  <c r="H982" i="50"/>
  <c r="H983" i="50"/>
  <c r="H984" i="50"/>
  <c r="H985" i="50"/>
  <c r="H986" i="50"/>
  <c r="H987" i="50"/>
  <c r="H988" i="50"/>
  <c r="H989" i="50"/>
  <c r="H990" i="50"/>
  <c r="H991" i="50"/>
  <c r="H992" i="50"/>
  <c r="H993" i="50"/>
  <c r="H994" i="50"/>
  <c r="H995" i="50"/>
  <c r="H996" i="50"/>
  <c r="H997" i="50"/>
  <c r="H998" i="50"/>
  <c r="H999" i="50"/>
  <c r="H1000" i="50"/>
  <c r="H1001" i="50"/>
  <c r="H1002" i="50"/>
  <c r="H1003" i="50"/>
  <c r="H1004" i="50"/>
  <c r="H1005" i="50"/>
  <c r="H1006" i="50"/>
  <c r="H1007" i="50"/>
  <c r="H1008" i="50"/>
  <c r="H1009" i="50"/>
  <c r="H1010" i="50"/>
  <c r="H1011" i="50"/>
  <c r="H1012" i="50"/>
  <c r="H1013" i="50"/>
  <c r="H1014" i="50"/>
  <c r="H1015" i="50"/>
  <c r="H1016" i="50"/>
  <c r="H1017" i="50"/>
  <c r="H1018" i="50"/>
  <c r="H1019" i="50"/>
  <c r="H1020" i="50"/>
  <c r="H1021" i="50"/>
  <c r="H1022" i="50"/>
  <c r="H1023" i="50"/>
  <c r="H1024" i="50"/>
  <c r="H1025" i="50"/>
  <c r="H1026" i="50"/>
  <c r="H1027" i="50"/>
  <c r="H1028" i="50"/>
  <c r="H1029" i="50"/>
  <c r="H1030" i="50"/>
  <c r="H1031" i="50"/>
  <c r="H1032" i="50"/>
  <c r="H1033" i="50"/>
  <c r="H1034" i="50"/>
  <c r="H1035" i="50"/>
  <c r="H1036" i="50"/>
  <c r="H1037" i="50"/>
  <c r="H1038" i="50"/>
  <c r="H1039" i="50"/>
  <c r="H1040" i="50"/>
  <c r="H1041" i="50"/>
  <c r="H1042" i="50"/>
  <c r="H1043" i="50"/>
  <c r="H1044" i="50"/>
  <c r="H1045" i="50"/>
  <c r="H1046" i="50"/>
  <c r="H1047" i="50"/>
  <c r="H1048" i="50"/>
  <c r="H1049" i="50"/>
  <c r="H1050" i="50"/>
  <c r="H1051" i="50"/>
  <c r="H1052" i="50"/>
  <c r="H1053" i="50"/>
  <c r="H1054" i="50"/>
  <c r="H1055" i="50"/>
  <c r="H1056" i="50"/>
  <c r="H1057" i="50"/>
  <c r="H1058" i="50"/>
  <c r="H1059" i="50"/>
  <c r="H1060" i="50"/>
  <c r="H1061" i="50"/>
  <c r="H1062" i="50"/>
  <c r="H1063" i="50"/>
  <c r="H1064" i="50"/>
  <c r="H1065" i="50"/>
  <c r="H1066" i="50"/>
  <c r="H1067" i="50"/>
  <c r="H1068" i="50"/>
  <c r="H1069" i="50"/>
  <c r="H1070" i="50"/>
  <c r="H1071" i="50"/>
  <c r="H1072" i="50"/>
  <c r="H1073" i="50"/>
  <c r="H1074" i="50"/>
  <c r="H1075" i="50"/>
  <c r="H1076" i="50"/>
  <c r="H1077" i="50"/>
  <c r="H1078" i="50"/>
  <c r="H1079" i="50"/>
  <c r="H1080" i="50"/>
  <c r="H1081" i="50"/>
  <c r="H1082" i="50"/>
  <c r="H1083" i="50"/>
  <c r="H1084" i="50"/>
  <c r="H1085" i="50"/>
  <c r="H1086" i="50"/>
  <c r="H1087" i="50"/>
  <c r="H1088" i="50"/>
  <c r="H1089" i="50"/>
  <c r="H1090" i="50"/>
  <c r="H1091" i="50"/>
  <c r="H1092" i="50"/>
  <c r="H1093" i="50"/>
  <c r="H1094" i="50"/>
  <c r="H1095" i="50"/>
  <c r="H1096" i="50"/>
  <c r="H1097" i="50"/>
  <c r="H1098" i="50"/>
  <c r="H1099" i="50"/>
  <c r="H1100" i="50"/>
  <c r="H1101" i="50"/>
  <c r="H1102" i="50"/>
  <c r="H1103" i="50"/>
  <c r="H1104" i="50"/>
  <c r="H1105" i="50"/>
  <c r="H1106" i="50"/>
  <c r="H1107" i="50"/>
  <c r="H1108" i="50"/>
  <c r="H1109" i="50"/>
  <c r="H1110" i="50"/>
  <c r="H1111" i="50"/>
  <c r="H1112" i="50"/>
  <c r="H1113" i="50"/>
  <c r="H1114" i="50"/>
  <c r="H1115" i="50"/>
  <c r="H1116" i="50"/>
  <c r="H1117" i="50"/>
  <c r="H1118" i="50"/>
  <c r="H1119" i="50"/>
  <c r="H1120" i="50"/>
  <c r="H1121" i="50"/>
  <c r="H1122" i="50"/>
  <c r="H1123" i="50"/>
  <c r="H1124" i="50"/>
  <c r="H1125" i="50"/>
  <c r="H1126" i="50"/>
  <c r="H1127" i="50"/>
  <c r="H1128" i="50"/>
  <c r="H1129" i="50"/>
  <c r="H1130" i="50"/>
  <c r="H1131" i="50"/>
  <c r="H1132" i="50"/>
  <c r="H1133" i="50"/>
  <c r="H1134" i="50"/>
  <c r="H1135" i="50"/>
  <c r="H1136" i="50"/>
  <c r="H1137" i="50"/>
  <c r="H1138" i="50"/>
  <c r="H1139" i="50"/>
  <c r="H1140" i="50"/>
  <c r="H1141" i="50"/>
  <c r="H1142" i="50"/>
  <c r="H1143" i="50"/>
  <c r="H1144" i="50"/>
  <c r="H1145" i="50"/>
  <c r="H1146" i="50"/>
  <c r="H1147" i="50"/>
  <c r="H1148" i="50"/>
  <c r="H1149" i="50"/>
  <c r="H1150" i="50"/>
  <c r="H1151" i="50"/>
  <c r="H1152" i="50"/>
  <c r="H1153" i="50"/>
  <c r="H1154" i="50"/>
  <c r="H1155" i="50"/>
  <c r="H1156" i="50"/>
  <c r="H1157" i="50"/>
  <c r="H1158" i="50"/>
  <c r="H1159" i="50"/>
  <c r="H1160" i="50"/>
  <c r="H1161" i="50"/>
  <c r="H1162" i="50"/>
  <c r="H1163" i="50"/>
  <c r="H1164" i="50"/>
  <c r="H1165" i="50"/>
  <c r="H1166" i="50"/>
  <c r="H1167" i="50"/>
  <c r="H1168" i="50"/>
  <c r="H1169" i="50"/>
  <c r="H1170" i="50"/>
  <c r="H1171" i="50"/>
  <c r="H1172" i="50"/>
  <c r="H1173" i="50"/>
  <c r="H1174" i="50"/>
  <c r="H1175" i="50"/>
  <c r="H1176" i="50"/>
  <c r="H1177" i="50"/>
  <c r="H1178" i="50"/>
  <c r="H1179" i="50"/>
  <c r="H1180" i="50"/>
  <c r="H1181" i="50"/>
  <c r="H1182" i="50"/>
  <c r="H1183" i="50"/>
  <c r="H1184" i="50"/>
  <c r="H1185" i="50"/>
  <c r="H1186" i="50"/>
  <c r="H1187" i="50"/>
  <c r="H1188" i="50"/>
  <c r="H1189" i="50"/>
  <c r="H1190" i="50"/>
  <c r="H1191" i="50"/>
  <c r="H1192" i="50"/>
  <c r="H1193" i="50"/>
  <c r="H1194" i="50"/>
  <c r="H1195" i="50"/>
  <c r="H1196" i="50"/>
  <c r="H1197" i="50"/>
  <c r="H1198" i="50"/>
  <c r="H1199" i="50"/>
  <c r="H1200" i="50"/>
  <c r="H1201" i="50"/>
  <c r="H1202" i="50"/>
  <c r="H1203" i="50"/>
  <c r="H1204" i="50"/>
  <c r="H1205" i="50"/>
  <c r="H1206" i="50"/>
  <c r="H1207" i="50"/>
  <c r="H1208" i="50"/>
  <c r="H1209" i="50"/>
  <c r="H1210" i="50"/>
  <c r="H1211" i="50"/>
  <c r="H1212" i="50"/>
  <c r="H1213" i="50"/>
  <c r="H1214" i="50"/>
  <c r="H1215" i="50"/>
  <c r="H1216" i="50"/>
  <c r="H1217" i="50"/>
  <c r="H1218" i="50"/>
  <c r="H1219" i="50"/>
  <c r="H1220" i="50"/>
  <c r="H1221" i="50"/>
  <c r="H1222" i="50"/>
  <c r="H1223" i="50"/>
  <c r="H1224" i="50"/>
  <c r="H1225" i="50"/>
  <c r="H1226" i="50"/>
  <c r="H1227" i="50"/>
  <c r="H1228" i="50"/>
  <c r="H1229" i="50"/>
  <c r="H1230" i="50"/>
  <c r="H1231" i="50"/>
  <c r="H1232" i="50"/>
  <c r="H1233" i="50"/>
  <c r="H1234" i="50"/>
  <c r="H1235" i="50"/>
  <c r="H1236" i="50"/>
  <c r="H1237" i="50"/>
  <c r="H1238" i="50"/>
  <c r="H1239" i="50"/>
  <c r="H1240" i="50"/>
  <c r="H1241" i="50"/>
  <c r="H1242" i="50"/>
  <c r="H1243" i="50"/>
  <c r="H1244" i="50"/>
  <c r="H1245" i="50"/>
  <c r="H1246" i="50"/>
  <c r="H1247" i="50"/>
  <c r="H1248" i="50"/>
  <c r="H1249" i="50"/>
  <c r="H1250" i="50"/>
  <c r="H1251" i="50"/>
  <c r="H1252" i="50"/>
  <c r="H1253" i="50"/>
  <c r="H1254" i="50"/>
  <c r="H1255" i="50"/>
  <c r="H1256" i="50"/>
  <c r="H1257" i="50"/>
  <c r="H1258" i="50"/>
  <c r="H1259" i="50"/>
  <c r="H1260" i="50"/>
  <c r="H1261" i="50"/>
  <c r="H1262" i="50"/>
  <c r="H1263" i="50"/>
  <c r="H1264" i="50"/>
  <c r="H1265" i="50"/>
  <c r="H1266" i="50"/>
  <c r="H1267" i="50"/>
  <c r="H1268" i="50"/>
  <c r="H1269" i="50"/>
  <c r="H1270" i="50"/>
  <c r="H1271" i="50"/>
  <c r="H1272" i="50"/>
  <c r="H1273" i="50"/>
  <c r="H1274" i="50"/>
  <c r="H1275" i="50"/>
  <c r="H1276" i="50"/>
  <c r="H1277" i="50"/>
  <c r="H1278" i="50"/>
  <c r="H1279" i="50"/>
  <c r="H31" i="50"/>
  <c r="H11" i="50"/>
  <c r="H27" i="50"/>
  <c r="H23" i="50"/>
  <c r="H5" i="50"/>
  <c r="H3" i="50"/>
  <c r="H25" i="50"/>
  <c r="H7" i="50"/>
  <c r="H2" i="50"/>
  <c r="H29" i="50"/>
  <c r="H13" i="50"/>
  <c r="H21" i="50"/>
  <c r="H12" i="50"/>
  <c r="H17" i="50"/>
  <c r="A522" i="10" l="1"/>
  <c r="AM253" i="10" a="1"/>
  <c r="AM253" i="10" s="1"/>
  <c r="N284" i="10"/>
  <c r="P284" i="10" s="1"/>
  <c r="J2" i="50"/>
  <c r="A2" i="50" s="1"/>
  <c r="J31" i="50"/>
  <c r="A31" i="50" s="1"/>
  <c r="J17" i="50"/>
  <c r="A17" i="50" s="1"/>
  <c r="J13" i="50"/>
  <c r="A13" i="50" s="1"/>
  <c r="J5" i="50"/>
  <c r="A5" i="50" s="1"/>
  <c r="J7" i="50"/>
  <c r="A7" i="50" s="1"/>
  <c r="J3" i="50"/>
  <c r="A3" i="50" s="1"/>
  <c r="J25" i="50"/>
  <c r="A25" i="50" s="1"/>
  <c r="J29" i="50"/>
  <c r="A29" i="50" s="1"/>
  <c r="A11" i="50"/>
  <c r="J23" i="50"/>
  <c r="A23" i="50" s="1"/>
  <c r="J21" i="50"/>
  <c r="A21" i="50" s="1"/>
  <c r="A12" i="50"/>
  <c r="J28" i="50"/>
  <c r="A28" i="50" s="1"/>
  <c r="J18" i="50"/>
  <c r="J24" i="50"/>
  <c r="J6" i="50"/>
  <c r="J4" i="50"/>
  <c r="J15" i="50"/>
  <c r="J32" i="50"/>
  <c r="J16" i="50"/>
  <c r="J14" i="50"/>
  <c r="J30" i="50"/>
  <c r="J20" i="50"/>
  <c r="J22" i="50"/>
  <c r="J26" i="50"/>
  <c r="J19" i="50"/>
  <c r="J33" i="50"/>
  <c r="J34" i="50"/>
  <c r="J35" i="50"/>
  <c r="J36" i="50"/>
  <c r="J37" i="50"/>
  <c r="J38" i="50"/>
  <c r="J39" i="50"/>
  <c r="J40" i="50"/>
  <c r="J41" i="50"/>
  <c r="J42" i="50"/>
  <c r="J43" i="50"/>
  <c r="J44" i="50"/>
  <c r="J45" i="50"/>
  <c r="AM216" i="10" a="1"/>
  <c r="AM216" i="10" s="1"/>
  <c r="N207" i="10"/>
  <c r="P207" i="10" s="1"/>
  <c r="AM3" i="10" l="1" a="1"/>
  <c r="AM3" i="10" s="1"/>
  <c r="AM4" i="10" a="1"/>
  <c r="AM4" i="10" s="1"/>
  <c r="AM5" i="10" a="1"/>
  <c r="AM5" i="10" s="1"/>
  <c r="AM6" i="10" a="1"/>
  <c r="AM6" i="10" s="1"/>
  <c r="AM7" i="10" a="1"/>
  <c r="AM7" i="10" s="1"/>
  <c r="AM8" i="10" a="1"/>
  <c r="AM8" i="10" s="1"/>
  <c r="AM9" i="10" a="1"/>
  <c r="AM9" i="10" s="1"/>
  <c r="AM10" i="10" a="1"/>
  <c r="AM10" i="10" s="1"/>
  <c r="AM11" i="10" a="1"/>
  <c r="AM11" i="10" s="1"/>
  <c r="AM12" i="10" a="1"/>
  <c r="AM12" i="10" s="1"/>
  <c r="AM13" i="10" a="1"/>
  <c r="AM13" i="10" s="1"/>
  <c r="AM14" i="10" a="1"/>
  <c r="AM14" i="10" s="1"/>
  <c r="AM15" i="10" a="1"/>
  <c r="AM15" i="10" s="1"/>
  <c r="AM16" i="10" a="1"/>
  <c r="AM16" i="10" s="1"/>
  <c r="AM17" i="10" a="1"/>
  <c r="AM17" i="10" s="1"/>
  <c r="AM18" i="10" a="1"/>
  <c r="AM18" i="10" s="1"/>
  <c r="AM19" i="10" a="1"/>
  <c r="AM19" i="10" s="1"/>
  <c r="AM20" i="10" a="1"/>
  <c r="AM20" i="10" s="1"/>
  <c r="AM21" i="10" a="1"/>
  <c r="AM21" i="10" s="1"/>
  <c r="AM22" i="10" a="1"/>
  <c r="AM22" i="10" s="1"/>
  <c r="AM23" i="10" a="1"/>
  <c r="AM23" i="10" s="1"/>
  <c r="AM24" i="10" a="1"/>
  <c r="AM24" i="10" s="1"/>
  <c r="AM25" i="10" a="1"/>
  <c r="AM25" i="10" s="1"/>
  <c r="AM26" i="10" a="1"/>
  <c r="AM26" i="10" s="1"/>
  <c r="AM27" i="10" a="1"/>
  <c r="AM27" i="10" s="1"/>
  <c r="AM28" i="10" a="1"/>
  <c r="AM28" i="10" s="1"/>
  <c r="AM29" i="10" a="1"/>
  <c r="AM29" i="10" s="1"/>
  <c r="AM30" i="10" a="1"/>
  <c r="AM30" i="10" s="1"/>
  <c r="AM31" i="10" a="1"/>
  <c r="AM31" i="10" s="1"/>
  <c r="AM32" i="10" a="1"/>
  <c r="AM32" i="10" s="1"/>
  <c r="AM33" i="10" a="1"/>
  <c r="AM33" i="10" s="1"/>
  <c r="AM34" i="10" a="1"/>
  <c r="AM34" i="10" s="1"/>
  <c r="AM35" i="10" a="1"/>
  <c r="AM35" i="10" s="1"/>
  <c r="AM36" i="10" a="1"/>
  <c r="AM36" i="10" s="1"/>
  <c r="AM37" i="10" a="1"/>
  <c r="AM37" i="10" s="1"/>
  <c r="AM38" i="10" a="1"/>
  <c r="AM38" i="10" s="1"/>
  <c r="AM39" i="10" a="1"/>
  <c r="AM39" i="10" s="1"/>
  <c r="AM40" i="10" a="1"/>
  <c r="AM40" i="10" s="1"/>
  <c r="AM41" i="10" a="1"/>
  <c r="AM41" i="10" s="1"/>
  <c r="AM42" i="10" a="1"/>
  <c r="AM42" i="10" s="1"/>
  <c r="AM43" i="10" a="1"/>
  <c r="AM43" i="10" s="1"/>
  <c r="AM44" i="10" a="1"/>
  <c r="AM44" i="10" s="1"/>
  <c r="AM45" i="10" a="1"/>
  <c r="AM45" i="10" s="1"/>
  <c r="AM46" i="10" a="1"/>
  <c r="AM46" i="10" s="1"/>
  <c r="AM47" i="10" a="1"/>
  <c r="AM47" i="10" s="1"/>
  <c r="AM48" i="10" a="1"/>
  <c r="AM48" i="10" s="1"/>
  <c r="AM49" i="10" a="1"/>
  <c r="AM49" i="10" s="1"/>
  <c r="AM50" i="10" a="1"/>
  <c r="AM50" i="10" s="1"/>
  <c r="AM51" i="10" a="1"/>
  <c r="AM51" i="10" s="1"/>
  <c r="AM52" i="10" a="1"/>
  <c r="AM52" i="10" s="1"/>
  <c r="AM53" i="10" a="1"/>
  <c r="AM53" i="10" s="1"/>
  <c r="AM54" i="10" a="1"/>
  <c r="AM54" i="10" s="1"/>
  <c r="AM55" i="10" a="1"/>
  <c r="AM55" i="10" s="1"/>
  <c r="AM56" i="10" a="1"/>
  <c r="AM56" i="10" s="1"/>
  <c r="AM57" i="10" a="1"/>
  <c r="AM57" i="10" s="1"/>
  <c r="AM58" i="10" a="1"/>
  <c r="AM58" i="10" s="1"/>
  <c r="AM59" i="10" a="1"/>
  <c r="AM59" i="10" s="1"/>
  <c r="AM60" i="10" a="1"/>
  <c r="AM60" i="10" s="1"/>
  <c r="AM61" i="10" a="1"/>
  <c r="AM61" i="10" s="1"/>
  <c r="AM62" i="10" a="1"/>
  <c r="AM62" i="10" s="1"/>
  <c r="AM63" i="10" a="1"/>
  <c r="AM63" i="10" s="1"/>
  <c r="AM64" i="10" a="1"/>
  <c r="AM64" i="10" s="1"/>
  <c r="AM65" i="10" a="1"/>
  <c r="AM65" i="10" s="1"/>
  <c r="AM66" i="10" a="1"/>
  <c r="AM66" i="10" s="1"/>
  <c r="AM67" i="10" a="1"/>
  <c r="AM67" i="10" s="1"/>
  <c r="AM68" i="10" a="1"/>
  <c r="AM68" i="10" s="1"/>
  <c r="AM69" i="10" a="1"/>
  <c r="AM69" i="10" s="1"/>
  <c r="AM70" i="10" a="1"/>
  <c r="AM70" i="10" s="1"/>
  <c r="AM71" i="10" a="1"/>
  <c r="AM71" i="10" s="1"/>
  <c r="AM72" i="10" a="1"/>
  <c r="AM72" i="10" s="1"/>
  <c r="AM73" i="10" a="1"/>
  <c r="AM73" i="10" s="1"/>
  <c r="AM74" i="10" a="1"/>
  <c r="AM74" i="10" s="1"/>
  <c r="AM75" i="10" a="1"/>
  <c r="AM75" i="10" s="1"/>
  <c r="AM76" i="10" a="1"/>
  <c r="AM76" i="10" s="1"/>
  <c r="AM77" i="10" a="1"/>
  <c r="AM77" i="10" s="1"/>
  <c r="AM78" i="10" a="1"/>
  <c r="AM78" i="10" s="1"/>
  <c r="AM79" i="10" a="1"/>
  <c r="AM79" i="10" s="1"/>
  <c r="AM80" i="10" a="1"/>
  <c r="AM80" i="10" s="1"/>
  <c r="AM81" i="10" a="1"/>
  <c r="AM81" i="10" s="1"/>
  <c r="AM82" i="10" a="1"/>
  <c r="AM82" i="10" s="1"/>
  <c r="AM83" i="10" a="1"/>
  <c r="AM83" i="10" s="1"/>
  <c r="AM84" i="10" a="1"/>
  <c r="AM84" i="10" s="1"/>
  <c r="AM85" i="10" a="1"/>
  <c r="AM85" i="10" s="1"/>
  <c r="AM86" i="10" a="1"/>
  <c r="AM86" i="10" s="1"/>
  <c r="AM87" i="10" a="1"/>
  <c r="AM87" i="10" s="1"/>
  <c r="AM88" i="10" a="1"/>
  <c r="AM88" i="10" s="1"/>
  <c r="AM89" i="10" a="1"/>
  <c r="AM89" i="10" s="1"/>
  <c r="AM90" i="10" a="1"/>
  <c r="AM90" i="10" s="1"/>
  <c r="AM91" i="10" a="1"/>
  <c r="AM91" i="10" s="1"/>
  <c r="AM92" i="10" a="1"/>
  <c r="AM92" i="10" s="1"/>
  <c r="AM93" i="10" a="1"/>
  <c r="AM93" i="10" s="1"/>
  <c r="AM94" i="10" a="1"/>
  <c r="AM94" i="10" s="1"/>
  <c r="AM95" i="10" a="1"/>
  <c r="AM95" i="10" s="1"/>
  <c r="AM96" i="10" a="1"/>
  <c r="AM96" i="10" s="1"/>
  <c r="AM97" i="10" a="1"/>
  <c r="AM97" i="10" s="1"/>
  <c r="AM98" i="10" a="1"/>
  <c r="AM98" i="10" s="1"/>
  <c r="AM99" i="10" a="1"/>
  <c r="AM99" i="10" s="1"/>
  <c r="AM100" i="10" a="1"/>
  <c r="AM100" i="10" s="1"/>
  <c r="AM101" i="10" a="1"/>
  <c r="AM101" i="10" s="1"/>
  <c r="AM102" i="10" a="1"/>
  <c r="AM102" i="10" s="1"/>
  <c r="AM103" i="10" a="1"/>
  <c r="AM103" i="10" s="1"/>
  <c r="AM104" i="10" a="1"/>
  <c r="AM104" i="10" s="1"/>
  <c r="AM105" i="10" a="1"/>
  <c r="AM105" i="10" s="1"/>
  <c r="AM106" i="10" a="1"/>
  <c r="AM106" i="10" s="1"/>
  <c r="AM107" i="10" a="1"/>
  <c r="AM107" i="10" s="1"/>
  <c r="AM108" i="10" a="1"/>
  <c r="AM108" i="10" s="1"/>
  <c r="AM109" i="10" a="1"/>
  <c r="AM109" i="10" s="1"/>
  <c r="AM110" i="10" a="1"/>
  <c r="AM110" i="10" s="1"/>
  <c r="AM111" i="10" a="1"/>
  <c r="AM111" i="10" s="1"/>
  <c r="AM112" i="10" a="1"/>
  <c r="AM112" i="10" s="1"/>
  <c r="AM113" i="10" a="1"/>
  <c r="AM113" i="10" s="1"/>
  <c r="AM114" i="10" a="1"/>
  <c r="AM114" i="10" s="1"/>
  <c r="AM115" i="10" a="1"/>
  <c r="AM115" i="10" s="1"/>
  <c r="AM116" i="10" a="1"/>
  <c r="AM116" i="10" s="1"/>
  <c r="AM117" i="10" a="1"/>
  <c r="AM117" i="10" s="1"/>
  <c r="AM118" i="10" a="1"/>
  <c r="AM118" i="10" s="1"/>
  <c r="AM119" i="10" a="1"/>
  <c r="AM119" i="10" s="1"/>
  <c r="AM120" i="10" a="1"/>
  <c r="AM120" i="10" s="1"/>
  <c r="AM121" i="10" a="1"/>
  <c r="AM121" i="10" s="1"/>
  <c r="AM122" i="10" a="1"/>
  <c r="AM122" i="10" s="1"/>
  <c r="AM123" i="10" a="1"/>
  <c r="AM123" i="10" s="1"/>
  <c r="AM124" i="10" a="1"/>
  <c r="AM124" i="10" s="1"/>
  <c r="AM125" i="10" a="1"/>
  <c r="AM125" i="10" s="1"/>
  <c r="AM126" i="10" a="1"/>
  <c r="AM126" i="10" s="1"/>
  <c r="AM127" i="10" a="1"/>
  <c r="AM127" i="10" s="1"/>
  <c r="AM128" i="10" a="1"/>
  <c r="AM128" i="10" s="1"/>
  <c r="AM129" i="10" a="1"/>
  <c r="AM129" i="10" s="1"/>
  <c r="AM130" i="10" a="1"/>
  <c r="AM130" i="10" s="1"/>
  <c r="AM131" i="10" a="1"/>
  <c r="AM131" i="10" s="1"/>
  <c r="AM132" i="10" a="1"/>
  <c r="AM132" i="10" s="1"/>
  <c r="AM133" i="10" a="1"/>
  <c r="AM133" i="10" s="1"/>
  <c r="AM134" i="10" a="1"/>
  <c r="AM134" i="10" s="1"/>
  <c r="AM135" i="10" a="1"/>
  <c r="AM135" i="10" s="1"/>
  <c r="AM136" i="10" a="1"/>
  <c r="AM136" i="10" s="1"/>
  <c r="AM137" i="10" a="1"/>
  <c r="AM137" i="10" s="1"/>
  <c r="AM138" i="10" a="1"/>
  <c r="AM138" i="10" s="1"/>
  <c r="AM139" i="10" a="1"/>
  <c r="AM139" i="10" s="1"/>
  <c r="AM140" i="10" a="1"/>
  <c r="AM140" i="10" s="1"/>
  <c r="AM141" i="10" a="1"/>
  <c r="AM141" i="10" s="1"/>
  <c r="AM142" i="10" a="1"/>
  <c r="AM142" i="10" s="1"/>
  <c r="AM143" i="10" a="1"/>
  <c r="AM143" i="10" s="1"/>
  <c r="AM144" i="10" a="1"/>
  <c r="AM144" i="10" s="1"/>
  <c r="AM145" i="10" a="1"/>
  <c r="AM145" i="10" s="1"/>
  <c r="AM146" i="10" a="1"/>
  <c r="AM146" i="10" s="1"/>
  <c r="AM147" i="10" a="1"/>
  <c r="AM147" i="10" s="1"/>
  <c r="AM148" i="10" a="1"/>
  <c r="AM148" i="10" s="1"/>
  <c r="AM149" i="10" a="1"/>
  <c r="AM149" i="10" s="1"/>
  <c r="AM150" i="10" a="1"/>
  <c r="AM150" i="10" s="1"/>
  <c r="AM151" i="10" a="1"/>
  <c r="AM151" i="10" s="1"/>
  <c r="AM152" i="10" a="1"/>
  <c r="AM152" i="10" s="1"/>
  <c r="AM153" i="10" a="1"/>
  <c r="AM153" i="10" s="1"/>
  <c r="AM154" i="10" a="1"/>
  <c r="AM154" i="10" s="1"/>
  <c r="AM155" i="10" a="1"/>
  <c r="AM155" i="10" s="1"/>
  <c r="AM156" i="10" a="1"/>
  <c r="AM156" i="10" s="1"/>
  <c r="AM157" i="10" a="1"/>
  <c r="AM157" i="10" s="1"/>
  <c r="AM158" i="10" a="1"/>
  <c r="AM158" i="10" s="1"/>
  <c r="AM159" i="10" a="1"/>
  <c r="AM159" i="10" s="1"/>
  <c r="AM160" i="10" a="1"/>
  <c r="AM160" i="10" s="1"/>
  <c r="AM161" i="10" a="1"/>
  <c r="AM161" i="10" s="1"/>
  <c r="AM162" i="10" a="1"/>
  <c r="AM162" i="10" s="1"/>
  <c r="AM163" i="10" a="1"/>
  <c r="AM163" i="10" s="1"/>
  <c r="AM164" i="10" a="1"/>
  <c r="AM164" i="10" s="1"/>
  <c r="AM165" i="10" a="1"/>
  <c r="AM165" i="10" s="1"/>
  <c r="AM166" i="10" a="1"/>
  <c r="AM166" i="10" s="1"/>
  <c r="AM167" i="10" a="1"/>
  <c r="AM167" i="10" s="1"/>
  <c r="AM168" i="10" a="1"/>
  <c r="AM168" i="10" s="1"/>
  <c r="AM169" i="10" a="1"/>
  <c r="AM169" i="10" s="1"/>
  <c r="AM170" i="10" a="1"/>
  <c r="AM170" i="10" s="1"/>
  <c r="AM171" i="10" a="1"/>
  <c r="AM171" i="10" s="1"/>
  <c r="AM172" i="10" a="1"/>
  <c r="AM172" i="10" s="1"/>
  <c r="AM173" i="10" a="1"/>
  <c r="AM173" i="10" s="1"/>
  <c r="AM174" i="10" a="1"/>
  <c r="AM174" i="10" s="1"/>
  <c r="AM175" i="10" a="1"/>
  <c r="AM175" i="10" s="1"/>
  <c r="AM176" i="10" a="1"/>
  <c r="AM176" i="10" s="1"/>
  <c r="AM177" i="10" a="1"/>
  <c r="AM177" i="10" s="1"/>
  <c r="AM178" i="10" a="1"/>
  <c r="AM178" i="10" s="1"/>
  <c r="AM179" i="10" a="1"/>
  <c r="AM179" i="10" s="1"/>
  <c r="AM180" i="10" a="1"/>
  <c r="AM180" i="10" s="1"/>
  <c r="AM181" i="10" a="1"/>
  <c r="AM181" i="10" s="1"/>
  <c r="AM182" i="10" a="1"/>
  <c r="AM182" i="10" s="1"/>
  <c r="AM183" i="10" a="1"/>
  <c r="AM183" i="10" s="1"/>
  <c r="AM184" i="10" a="1"/>
  <c r="AM184" i="10" s="1"/>
  <c r="AM185" i="10" a="1"/>
  <c r="AM185" i="10" s="1"/>
  <c r="AM186" i="10" a="1"/>
  <c r="AM186" i="10" s="1"/>
  <c r="AM187" i="10" a="1"/>
  <c r="AM187" i="10" s="1"/>
  <c r="AM188" i="10" a="1"/>
  <c r="AM188" i="10" s="1"/>
  <c r="AM189" i="10" a="1"/>
  <c r="AM189" i="10" s="1"/>
  <c r="AM190" i="10" a="1"/>
  <c r="AM190" i="10" s="1"/>
  <c r="AM191" i="10" a="1"/>
  <c r="AM191" i="10" s="1"/>
  <c r="AM192" i="10" a="1"/>
  <c r="AM192" i="10" s="1"/>
  <c r="AM193" i="10" a="1"/>
  <c r="AM193" i="10" s="1"/>
  <c r="AM194" i="10" a="1"/>
  <c r="AM194" i="10" s="1"/>
  <c r="AM195" i="10" a="1"/>
  <c r="AM195" i="10" s="1"/>
  <c r="AM196" i="10" a="1"/>
  <c r="AM196" i="10" s="1"/>
  <c r="AM197" i="10" a="1"/>
  <c r="AM197" i="10" s="1"/>
  <c r="AM198" i="10" a="1"/>
  <c r="AM198" i="10" s="1"/>
  <c r="AM199" i="10" a="1"/>
  <c r="AM199" i="10" s="1"/>
  <c r="AM200" i="10" a="1"/>
  <c r="AM200" i="10" s="1"/>
  <c r="AM201" i="10" a="1"/>
  <c r="AM201" i="10" s="1"/>
  <c r="AM202" i="10" a="1"/>
  <c r="AM202" i="10" s="1"/>
  <c r="AM203" i="10" a="1"/>
  <c r="AM203" i="10" s="1"/>
  <c r="AM204" i="10" a="1"/>
  <c r="AM204" i="10" s="1"/>
  <c r="AM205" i="10" a="1"/>
  <c r="AM205" i="10" s="1"/>
  <c r="AM206" i="10" a="1"/>
  <c r="AM206" i="10" s="1"/>
  <c r="AM207" i="10" a="1"/>
  <c r="AM207" i="10" s="1"/>
  <c r="AM208" i="10" a="1"/>
  <c r="AM208" i="10" s="1"/>
  <c r="AM209" i="10" a="1"/>
  <c r="AM209" i="10" s="1"/>
  <c r="AM210" i="10" a="1"/>
  <c r="AM210" i="10" s="1"/>
  <c r="AM211" i="10" a="1"/>
  <c r="AM211" i="10" s="1"/>
  <c r="AM212" i="10" a="1"/>
  <c r="AM212" i="10" s="1"/>
  <c r="AM213" i="10" a="1"/>
  <c r="AM213" i="10" s="1"/>
  <c r="AM214" i="10" a="1"/>
  <c r="AM214" i="10" s="1"/>
  <c r="AM215" i="10" a="1"/>
  <c r="AM215" i="10" s="1"/>
  <c r="AM217" i="10" a="1"/>
  <c r="AM217" i="10" s="1"/>
  <c r="AM218" i="10" a="1"/>
  <c r="AM218" i="10" s="1"/>
  <c r="AM219" i="10" a="1"/>
  <c r="AM219" i="10" s="1"/>
  <c r="AM220" i="10" a="1"/>
  <c r="AM220" i="10" s="1"/>
  <c r="AM221" i="10" a="1"/>
  <c r="AM221" i="10" s="1"/>
  <c r="AM222" i="10" a="1"/>
  <c r="AM222" i="10" s="1"/>
  <c r="AM223" i="10" a="1"/>
  <c r="AM223" i="10" s="1"/>
  <c r="AM224" i="10" a="1"/>
  <c r="AM224" i="10" s="1"/>
  <c r="AM225" i="10" a="1"/>
  <c r="AM225" i="10" s="1"/>
  <c r="AM226" i="10" a="1"/>
  <c r="AM226" i="10" s="1"/>
  <c r="AM227" i="10" a="1"/>
  <c r="AM227" i="10" s="1"/>
  <c r="AM228" i="10" a="1"/>
  <c r="AM228" i="10" s="1"/>
  <c r="AM229" i="10" a="1"/>
  <c r="AM229" i="10" s="1"/>
  <c r="AM230" i="10" a="1"/>
  <c r="AM230" i="10" s="1"/>
  <c r="AM231" i="10" a="1"/>
  <c r="AM231" i="10" s="1"/>
  <c r="AM232" i="10" a="1"/>
  <c r="AM232" i="10" s="1"/>
  <c r="AM233" i="10" a="1"/>
  <c r="AM233" i="10" s="1"/>
  <c r="AM234" i="10" a="1"/>
  <c r="AM234" i="10" s="1"/>
  <c r="AM235" i="10" a="1"/>
  <c r="AM235" i="10" s="1"/>
  <c r="AM236" i="10" a="1"/>
  <c r="AM236" i="10" s="1"/>
  <c r="AM237" i="10" a="1"/>
  <c r="AM237" i="10" s="1"/>
  <c r="AM238" i="10" a="1"/>
  <c r="AM238" i="10" s="1"/>
  <c r="AM239" i="10" a="1"/>
  <c r="AM239" i="10" s="1"/>
  <c r="AM240" i="10" a="1"/>
  <c r="AM240" i="10" s="1"/>
  <c r="AM241" i="10" a="1"/>
  <c r="AM241" i="10" s="1"/>
  <c r="AM242" i="10" a="1"/>
  <c r="AM242" i="10" s="1"/>
  <c r="AM243" i="10" a="1"/>
  <c r="AM243" i="10" s="1"/>
  <c r="AM244" i="10" a="1"/>
  <c r="AM244" i="10" s="1"/>
  <c r="AM245" i="10" a="1"/>
  <c r="AM245" i="10" s="1"/>
  <c r="AM246" i="10" a="1"/>
  <c r="AM246" i="10" s="1"/>
  <c r="AM247" i="10" a="1"/>
  <c r="AM247" i="10" s="1"/>
  <c r="AM249" i="10" a="1"/>
  <c r="AM249" i="10" s="1"/>
  <c r="AM250" i="10" a="1"/>
  <c r="AM250" i="10" s="1"/>
  <c r="AM251" i="10" a="1"/>
  <c r="AM251" i="10" s="1"/>
  <c r="AM252" i="10" a="1"/>
  <c r="AM252" i="10" s="1"/>
  <c r="AM254" i="10" a="1"/>
  <c r="AM254" i="10" s="1"/>
  <c r="AM255" i="10" a="1"/>
  <c r="AM255" i="10" s="1"/>
  <c r="AM256" i="10" a="1"/>
  <c r="AM256" i="10" s="1"/>
  <c r="AM257" i="10" a="1"/>
  <c r="AM257" i="10" s="1"/>
  <c r="AM258" i="10" a="1"/>
  <c r="AM258" i="10" s="1"/>
  <c r="AM259" i="10" a="1"/>
  <c r="AM259" i="10" s="1"/>
  <c r="AM260" i="10" a="1"/>
  <c r="AM260" i="10" s="1"/>
  <c r="AM261" i="10" a="1"/>
  <c r="AM261" i="10" s="1"/>
  <c r="AM262" i="10" a="1"/>
  <c r="AM262" i="10" s="1"/>
  <c r="AM263" i="10" a="1"/>
  <c r="AM263" i="10" s="1"/>
  <c r="AM264" i="10" a="1"/>
  <c r="AM264" i="10" s="1"/>
  <c r="AM265" i="10" a="1"/>
  <c r="AM265" i="10" s="1"/>
  <c r="AM266" i="10" a="1"/>
  <c r="AM266" i="10" s="1"/>
  <c r="AM267" i="10" a="1"/>
  <c r="AM267" i="10" s="1"/>
  <c r="AM268" i="10" a="1"/>
  <c r="AM268" i="10" s="1"/>
  <c r="AM269" i="10" a="1"/>
  <c r="AM269" i="10" s="1"/>
  <c r="AM270" i="10" a="1"/>
  <c r="AM270" i="10" s="1"/>
  <c r="AM272" i="10" a="1"/>
  <c r="AM272" i="10" s="1"/>
  <c r="AM273" i="10" a="1"/>
  <c r="AM273" i="10" s="1"/>
  <c r="AM274" i="10" a="1"/>
  <c r="AM274" i="10" s="1"/>
  <c r="AM275" i="10" a="1"/>
  <c r="AM275" i="10" s="1"/>
  <c r="AM276" i="10" a="1"/>
  <c r="AM276" i="10" s="1"/>
  <c r="AM278" i="10" a="1"/>
  <c r="AM278" i="10" s="1"/>
  <c r="AM279" i="10" a="1"/>
  <c r="AM279" i="10" s="1"/>
  <c r="AM280" i="10" a="1"/>
  <c r="AM280" i="10" s="1"/>
  <c r="AM281" i="10" a="1"/>
  <c r="AM281" i="10" s="1"/>
  <c r="AM282" i="10" a="1"/>
  <c r="AM282" i="10" s="1"/>
  <c r="AM283" i="10" a="1"/>
  <c r="AM283" i="10" s="1"/>
  <c r="AM285" i="10" a="1"/>
  <c r="AM285" i="10" s="1"/>
  <c r="AM286" i="10" a="1"/>
  <c r="AM286" i="10" s="1"/>
  <c r="AM287" i="10" a="1"/>
  <c r="AM287" i="10" s="1"/>
  <c r="AM288" i="10" a="1"/>
  <c r="AM288" i="10" s="1"/>
  <c r="AM289" i="10" a="1"/>
  <c r="AM289" i="10" s="1"/>
  <c r="AM290" i="10" a="1"/>
  <c r="AM290" i="10" s="1"/>
  <c r="AM291" i="10" a="1"/>
  <c r="AM291" i="10" s="1"/>
  <c r="AM320" i="10" a="1"/>
  <c r="AM320" i="10" s="1"/>
  <c r="AM319" i="10" a="1"/>
  <c r="AM319" i="10" s="1"/>
  <c r="AM318" i="10" a="1"/>
  <c r="AM318" i="10" s="1"/>
  <c r="AM317" i="10" a="1"/>
  <c r="AM317" i="10" s="1"/>
  <c r="AM316" i="10" a="1"/>
  <c r="AM316" i="10" s="1"/>
  <c r="AM315" i="10" a="1"/>
  <c r="AM315" i="10" s="1"/>
  <c r="AM314" i="10" a="1"/>
  <c r="AM314" i="10" s="1"/>
  <c r="AM313" i="10" a="1"/>
  <c r="AM313" i="10" s="1"/>
  <c r="AM312" i="10" a="1"/>
  <c r="AM312" i="10" s="1"/>
  <c r="AM311" i="10" a="1"/>
  <c r="AM311" i="10" s="1"/>
  <c r="AM310" i="10" a="1"/>
  <c r="AM310" i="10" s="1"/>
  <c r="AM308" i="10" a="1"/>
  <c r="AM308" i="10" s="1"/>
  <c r="AM307" i="10" a="1"/>
  <c r="AM307" i="10" s="1"/>
  <c r="AM306" i="10" a="1"/>
  <c r="AM306" i="10" s="1"/>
  <c r="AM304" i="10" a="1"/>
  <c r="AM304" i="10" s="1"/>
  <c r="AM305" i="10" a="1"/>
  <c r="AM305" i="10" s="1"/>
  <c r="AM303" i="10" a="1"/>
  <c r="AM303" i="10" s="1"/>
  <c r="AM297" i="10" a="1"/>
  <c r="AM297" i="10" s="1"/>
  <c r="AM302" i="10" a="1"/>
  <c r="AM302" i="10" s="1"/>
  <c r="AM301" i="10" a="1"/>
  <c r="AM301" i="10" s="1"/>
  <c r="AM300" i="10" a="1"/>
  <c r="AM300" i="10" s="1"/>
  <c r="AM299" i="10" a="1"/>
  <c r="AM299" i="10" s="1"/>
  <c r="AM298" i="10" a="1"/>
  <c r="AM298" i="10" s="1"/>
  <c r="AM296" i="10" a="1"/>
  <c r="AM296" i="10" s="1"/>
  <c r="AM295" i="10" a="1"/>
  <c r="AM295" i="10" s="1"/>
  <c r="AM294" i="10" a="1"/>
  <c r="AM294" i="10" s="1"/>
  <c r="AM293" i="10" a="1"/>
  <c r="AM293" i="10" s="1"/>
  <c r="AM292" i="10" a="1"/>
  <c r="AM292" i="10" s="1"/>
  <c r="AM271" i="10" a="1"/>
  <c r="AM271" i="10" s="1"/>
  <c r="AM327" i="10" a="1"/>
  <c r="AM327" i="10" s="1"/>
  <c r="AM323" i="10" a="1"/>
  <c r="AM323" i="10" s="1"/>
  <c r="AM336" i="10" a="1"/>
  <c r="AM336" i="10" s="1"/>
  <c r="AM332" i="10" a="1"/>
  <c r="AM332" i="10" s="1"/>
  <c r="AM335" i="10" a="1"/>
  <c r="AM335" i="10" s="1"/>
  <c r="AM334" i="10" a="1"/>
  <c r="AM334" i="10" s="1"/>
  <c r="AM326" i="10" a="1"/>
  <c r="AM326" i="10" s="1"/>
  <c r="AM324" i="10" a="1"/>
  <c r="AM324" i="10" s="1"/>
  <c r="AM330" i="10" a="1"/>
  <c r="AM330" i="10" s="1"/>
  <c r="AM325" i="10" a="1"/>
  <c r="AM325" i="10" s="1"/>
  <c r="AM322" i="10" a="1"/>
  <c r="AM322" i="10" s="1"/>
  <c r="AM331" i="10" a="1"/>
  <c r="AM331" i="10" s="1"/>
  <c r="AM333" i="10" a="1"/>
  <c r="AM333" i="10" s="1"/>
  <c r="AM321" i="10" a="1"/>
  <c r="AM321" i="10" s="1"/>
  <c r="AM309" i="10" a="1"/>
  <c r="AM309" i="10" s="1"/>
  <c r="AM328" i="10" a="1"/>
  <c r="AM328" i="10" s="1"/>
  <c r="AM329" i="10" a="1"/>
  <c r="AM329" i="10" s="1"/>
  <c r="AM337" i="10" a="1"/>
  <c r="AM337" i="10" s="1"/>
  <c r="AM338" i="10" a="1"/>
  <c r="AM338" i="10" s="1"/>
  <c r="AM339" i="10" a="1"/>
  <c r="AM339" i="10" s="1"/>
  <c r="AM348" i="10" a="1"/>
  <c r="AM348" i="10" s="1"/>
  <c r="AM347" i="10" a="1"/>
  <c r="AM347" i="10" s="1"/>
  <c r="AM345" i="10" a="1"/>
  <c r="AM345" i="10" s="1"/>
  <c r="AM344" i="10" a="1"/>
  <c r="AM344" i="10" s="1"/>
  <c r="AM346" i="10" a="1"/>
  <c r="AM346" i="10" s="1"/>
  <c r="AM360" i="10" a="1"/>
  <c r="AM360" i="10" s="1"/>
  <c r="AM361" i="10" a="1"/>
  <c r="AM361" i="10" s="1"/>
  <c r="AM366" i="10" a="1"/>
  <c r="AM366" i="10" s="1"/>
  <c r="AM367" i="10" a="1"/>
  <c r="AM367" i="10" s="1"/>
  <c r="AM368" i="10" a="1"/>
  <c r="AM368" i="10" s="1"/>
  <c r="AM369" i="10" a="1"/>
  <c r="AM369" i="10" s="1"/>
  <c r="AM370" i="10" a="1"/>
  <c r="AM370" i="10" s="1"/>
  <c r="AM371" i="10" a="1"/>
  <c r="AM371" i="10" s="1"/>
  <c r="AM372" i="10" a="1"/>
  <c r="AM372" i="10" s="1"/>
  <c r="AM373" i="10" a="1"/>
  <c r="AM373" i="10" s="1"/>
  <c r="AM354" i="10" a="1"/>
  <c r="AM354" i="10" s="1"/>
  <c r="AM355" i="10" a="1"/>
  <c r="AM355" i="10" s="1"/>
  <c r="AM356" i="10" a="1"/>
  <c r="AM356" i="10" s="1"/>
  <c r="AM357" i="10" a="1"/>
  <c r="AM357" i="10" s="1"/>
  <c r="AM358" i="10" a="1"/>
  <c r="AM358" i="10" s="1"/>
  <c r="AM359" i="10" a="1"/>
  <c r="AM359" i="10" s="1"/>
  <c r="AM362" i="10" a="1"/>
  <c r="AM362" i="10" s="1"/>
  <c r="AM343" i="10" a="1"/>
  <c r="AM343" i="10" s="1"/>
  <c r="AM340" i="10" a="1"/>
  <c r="AM340" i="10" s="1"/>
  <c r="AM342" i="10" a="1"/>
  <c r="AM342" i="10" s="1"/>
  <c r="AM363" i="10" a="1"/>
  <c r="AM363" i="10" s="1"/>
  <c r="AM364" i="10" a="1"/>
  <c r="AM364" i="10" s="1"/>
  <c r="AM365" i="10" a="1"/>
  <c r="AM365" i="10" s="1"/>
  <c r="AM382" i="10" a="1"/>
  <c r="AM382" i="10" s="1"/>
  <c r="AM374" i="10" a="1"/>
  <c r="AM374" i="10" s="1"/>
  <c r="AM377" i="10" a="1"/>
  <c r="AM377" i="10" s="1"/>
  <c r="AM379" i="10" a="1"/>
  <c r="AM379" i="10" s="1"/>
  <c r="AM380" i="10" a="1"/>
  <c r="AM380" i="10" s="1"/>
  <c r="AM381" i="10" a="1"/>
  <c r="AM381" i="10" s="1"/>
  <c r="AM376" i="10" a="1"/>
  <c r="AM376" i="10" s="1"/>
  <c r="AM378" i="10" a="1"/>
  <c r="AM378" i="10" s="1"/>
  <c r="AM389" i="10" a="1"/>
  <c r="AM389" i="10" s="1"/>
  <c r="AM386" i="10" a="1"/>
  <c r="AM386" i="10" s="1"/>
  <c r="AM387" i="10" a="1"/>
  <c r="AM387" i="10" s="1"/>
  <c r="AM385" i="10" a="1"/>
  <c r="AM385" i="10" s="1"/>
  <c r="AM388" i="10" a="1"/>
  <c r="AM388" i="10" s="1"/>
  <c r="AM383" i="10" a="1"/>
  <c r="AM383" i="10" s="1"/>
  <c r="AM384" i="10" a="1"/>
  <c r="AM384" i="10" s="1"/>
  <c r="AM391" i="10" a="1"/>
  <c r="AM391" i="10" s="1"/>
  <c r="AM392" i="10" a="1"/>
  <c r="AM392" i="10" s="1"/>
  <c r="AM393" i="10" a="1"/>
  <c r="AM393" i="10" s="1"/>
  <c r="AM395" i="10" a="1"/>
  <c r="AM395" i="10" s="1"/>
  <c r="AM394" i="10" a="1"/>
  <c r="AM394" i="10" s="1"/>
  <c r="AM396" i="10" a="1"/>
  <c r="AM396" i="10" s="1"/>
  <c r="AM397" i="10" a="1"/>
  <c r="AM397" i="10" s="1"/>
  <c r="AM398" i="10" a="1"/>
  <c r="AM398" i="10" s="1"/>
  <c r="AM399" i="10" a="1"/>
  <c r="AM399" i="10" s="1"/>
  <c r="AM400" i="10" a="1"/>
  <c r="AM400" i="10" s="1"/>
  <c r="AM401" i="10" a="1"/>
  <c r="AM401" i="10" s="1"/>
  <c r="AM402" i="10" a="1"/>
  <c r="AM402" i="10" s="1"/>
  <c r="AM403" i="10" a="1"/>
  <c r="AM403" i="10" s="1"/>
  <c r="AM404" i="10" a="1"/>
  <c r="AM404" i="10" s="1"/>
  <c r="AM405" i="10" a="1"/>
  <c r="AM405" i="10" s="1"/>
  <c r="AM406" i="10" a="1"/>
  <c r="AM406" i="10" s="1"/>
  <c r="AM408" i="10" a="1"/>
  <c r="AM408" i="10" s="1"/>
  <c r="AM407" i="10" a="1"/>
  <c r="AM407" i="10" s="1"/>
  <c r="AM409" i="10" a="1"/>
  <c r="AM409" i="10" s="1"/>
  <c r="AM410" i="10" a="1"/>
  <c r="AM410" i="10" s="1"/>
  <c r="AM411" i="10" a="1"/>
  <c r="AM411" i="10" s="1"/>
  <c r="AM412" i="10" a="1"/>
  <c r="AM412" i="10" s="1"/>
  <c r="AM413" i="10" a="1"/>
  <c r="AM413" i="10" s="1"/>
  <c r="AM414" i="10" a="1"/>
  <c r="AM414" i="10" s="1"/>
  <c r="AM415" i="10" a="1"/>
  <c r="AM415" i="10" s="1"/>
  <c r="AM416" i="10" a="1"/>
  <c r="AM416" i="10" s="1"/>
  <c r="AM417" i="10" a="1"/>
  <c r="AM417" i="10" s="1"/>
  <c r="AM418" i="10" a="1"/>
  <c r="AM418" i="10" s="1"/>
  <c r="AM419" i="10" a="1"/>
  <c r="AM419" i="10" s="1"/>
  <c r="AM420" i="10" a="1"/>
  <c r="AM420" i="10" s="1"/>
  <c r="AM421" i="10" a="1"/>
  <c r="AM421" i="10" s="1"/>
  <c r="AM422" i="10" a="1"/>
  <c r="AM422" i="10" s="1"/>
  <c r="AM424" i="10" a="1"/>
  <c r="AM424" i="10" s="1"/>
  <c r="AM425" i="10" a="1"/>
  <c r="AM425" i="10" s="1"/>
  <c r="AM426" i="10" a="1"/>
  <c r="AM426" i="10" s="1"/>
  <c r="AM427" i="10" a="1"/>
  <c r="AM427" i="10" s="1"/>
  <c r="AM428" i="10" a="1"/>
  <c r="AM428" i="10" s="1"/>
  <c r="AM429" i="10" a="1"/>
  <c r="AM429" i="10" s="1"/>
  <c r="AM431" i="10" a="1"/>
  <c r="AM431" i="10" s="1"/>
  <c r="AM430" i="10" a="1"/>
  <c r="AM430" i="10" s="1"/>
  <c r="AM432" i="10" a="1"/>
  <c r="AM432" i="10" s="1"/>
  <c r="AM433" i="10" a="1"/>
  <c r="AM433" i="10" s="1"/>
  <c r="AM434" i="10" a="1"/>
  <c r="AM434" i="10" s="1"/>
  <c r="AM423" i="10" a="1"/>
  <c r="AM423" i="10" s="1"/>
  <c r="AM437" i="10" a="1"/>
  <c r="AM437" i="10" s="1"/>
  <c r="AM441" i="10" a="1"/>
  <c r="AM441" i="10" s="1"/>
  <c r="AM442" i="10" a="1"/>
  <c r="AM442" i="10" s="1"/>
  <c r="AM438" i="10" a="1"/>
  <c r="AM438" i="10" s="1"/>
  <c r="AM439" i="10" a="1"/>
  <c r="AM439" i="10" s="1"/>
  <c r="AM444" i="10" a="1"/>
  <c r="AM444" i="10" s="1"/>
  <c r="AM443" i="10" a="1"/>
  <c r="AM443" i="10" s="1"/>
  <c r="AM445" i="10" a="1"/>
  <c r="AM445" i="10" s="1"/>
  <c r="AM447" i="10" a="1"/>
  <c r="AM447" i="10" s="1"/>
  <c r="AM448" i="10" a="1"/>
  <c r="AM448" i="10" s="1"/>
  <c r="AM449" i="10" a="1"/>
  <c r="AM449" i="10" s="1"/>
  <c r="AM450" i="10" a="1"/>
  <c r="AM450" i="10" s="1"/>
  <c r="AM451" i="10" a="1"/>
  <c r="AM451" i="10" s="1"/>
  <c r="AM452" i="10" a="1"/>
  <c r="AM452" i="10" s="1"/>
  <c r="AM453" i="10" a="1"/>
  <c r="AM453" i="10" s="1"/>
  <c r="AM454" i="10" a="1"/>
  <c r="AM454" i="10" s="1"/>
  <c r="AM436" i="10" a="1"/>
  <c r="AM436" i="10" s="1"/>
  <c r="AM435" i="10" a="1"/>
  <c r="AM435" i="10" s="1"/>
  <c r="AM457" i="10" a="1"/>
  <c r="AM457" i="10" s="1"/>
  <c r="AM456" i="10" a="1"/>
  <c r="AM456" i="10" s="1"/>
  <c r="AM458" i="10" a="1"/>
  <c r="AM458" i="10" s="1"/>
  <c r="AM459" i="10" a="1"/>
  <c r="AM459" i="10" s="1"/>
  <c r="AM462" i="10" a="1"/>
  <c r="AM462" i="10" s="1"/>
  <c r="AM461" i="10" a="1"/>
  <c r="AM461" i="10" s="1"/>
  <c r="AM463" i="10" a="1"/>
  <c r="AM463" i="10" s="1"/>
  <c r="AM464" i="10" a="1"/>
  <c r="AM464" i="10" s="1"/>
  <c r="AM465" i="10" a="1"/>
  <c r="AM465" i="10" s="1"/>
  <c r="AM466" i="10" a="1"/>
  <c r="AM466" i="10" s="1"/>
  <c r="AM467" i="10" a="1"/>
  <c r="AM467" i="10" s="1"/>
  <c r="AM468" i="10" a="1"/>
  <c r="AM468" i="10" s="1"/>
  <c r="AM469" i="10" a="1"/>
  <c r="AM469" i="10" s="1"/>
  <c r="AM446" i="10" a="1"/>
  <c r="AM446" i="10" s="1"/>
  <c r="AM460" i="10" a="1"/>
  <c r="AM460" i="10" s="1"/>
  <c r="AM470" i="10" a="1"/>
  <c r="AM470" i="10" s="1"/>
  <c r="AM471" i="10" a="1"/>
  <c r="AM471" i="10" s="1"/>
  <c r="AM472" i="10" a="1"/>
  <c r="AM472" i="10" s="1"/>
  <c r="AM473" i="10" a="1"/>
  <c r="AM473" i="10" s="1"/>
  <c r="AM475" i="10" a="1"/>
  <c r="AM475" i="10" s="1"/>
  <c r="AM476" i="10" a="1"/>
  <c r="AM476" i="10" s="1"/>
  <c r="AM477" i="10" a="1"/>
  <c r="AM477" i="10" s="1"/>
  <c r="AM478" i="10" a="1"/>
  <c r="AM478" i="10" s="1"/>
  <c r="AM479" i="10" a="1"/>
  <c r="AM479" i="10" s="1"/>
  <c r="AM480" i="10" a="1"/>
  <c r="AM480" i="10" s="1"/>
  <c r="AM481" i="10" a="1"/>
  <c r="AM481" i="10" s="1"/>
  <c r="AM484" i="10" a="1"/>
  <c r="AM484" i="10" s="1"/>
  <c r="AM485" i="10" a="1"/>
  <c r="AM485" i="10" s="1"/>
  <c r="AM486" i="10" a="1"/>
  <c r="AM486" i="10" s="1"/>
  <c r="AM482" i="10" a="1"/>
  <c r="AM482" i="10" s="1"/>
  <c r="AM483" i="10" a="1"/>
  <c r="AM483" i="10" s="1"/>
  <c r="AM487" i="10" a="1"/>
  <c r="AM487" i="10" s="1"/>
  <c r="AM488" i="10" a="1"/>
  <c r="AM488" i="10" s="1"/>
  <c r="AM490" i="10" a="1"/>
  <c r="AM490" i="10" s="1"/>
  <c r="AM492" i="10" a="1"/>
  <c r="AM492" i="10" s="1"/>
  <c r="AM493" i="10" a="1"/>
  <c r="AM493" i="10" s="1"/>
  <c r="AM495" i="10" a="1"/>
  <c r="AM495" i="10" s="1"/>
  <c r="AM496" i="10" a="1"/>
  <c r="AM496" i="10" s="1"/>
  <c r="AM498" i="10" a="1"/>
  <c r="AM498" i="10" s="1"/>
  <c r="AM491" i="10" a="1"/>
  <c r="AM491" i="10" s="1"/>
  <c r="AM497" i="10" a="1"/>
  <c r="AM497" i="10" s="1"/>
  <c r="AM390" i="10" a="1"/>
  <c r="AM390" i="10" s="1"/>
  <c r="AM440" i="10" a="1"/>
  <c r="AM440" i="10" s="1"/>
  <c r="AM455" i="10" a="1"/>
  <c r="AM455" i="10" s="1"/>
  <c r="AM474" i="10" a="1"/>
  <c r="AM474" i="10" s="1"/>
  <c r="AM489" i="10" a="1"/>
  <c r="AM489" i="10" s="1"/>
  <c r="AM499" i="10" a="1"/>
  <c r="AM499" i="10" s="1"/>
  <c r="AM500" i="10" a="1"/>
  <c r="AM500" i="10" s="1"/>
  <c r="N206" i="10" l="1"/>
  <c r="P206" i="10" s="1"/>
  <c r="N208" i="10"/>
  <c r="P208" i="10" s="1"/>
  <c r="N209" i="10"/>
  <c r="P209" i="10" s="1"/>
  <c r="N200" i="10"/>
  <c r="P200" i="10" s="1"/>
  <c r="O200" i="10"/>
  <c r="O206" i="10"/>
  <c r="N205" i="10"/>
  <c r="P205" i="10" s="1"/>
  <c r="O205" i="10"/>
  <c r="R205" i="10"/>
  <c r="AL205" i="10"/>
  <c r="N198" i="10"/>
  <c r="P198" i="10" s="1"/>
  <c r="O198" i="10"/>
  <c r="R198" i="10"/>
  <c r="AL198" i="10"/>
  <c r="N201" i="10"/>
  <c r="P201" i="10" s="1"/>
  <c r="O201" i="10"/>
  <c r="R201" i="10"/>
  <c r="AL201" i="10"/>
  <c r="N212" i="10"/>
  <c r="P212" i="10" s="1"/>
  <c r="O212" i="10"/>
  <c r="R212" i="10"/>
  <c r="AL212" i="10"/>
  <c r="N197" i="10"/>
  <c r="P197" i="10" s="1"/>
  <c r="O197" i="10"/>
  <c r="R197" i="10"/>
  <c r="AL197" i="10"/>
  <c r="N215" i="10"/>
  <c r="P215" i="10" s="1"/>
  <c r="O215" i="10"/>
  <c r="R215" i="10"/>
  <c r="AL215" i="10"/>
  <c r="O207" i="10"/>
  <c r="O208" i="10"/>
  <c r="N194" i="10"/>
  <c r="P194" i="10" s="1"/>
  <c r="O194" i="10"/>
  <c r="R194" i="10"/>
  <c r="AL194" i="10"/>
  <c r="O209" i="10"/>
  <c r="N203" i="10"/>
  <c r="P203" i="10" s="1"/>
  <c r="O203" i="10"/>
  <c r="R203" i="10"/>
  <c r="AL203" i="10"/>
  <c r="N199" i="10"/>
  <c r="P199" i="10" s="1"/>
  <c r="O199" i="10"/>
  <c r="R199" i="10"/>
  <c r="AL199" i="10"/>
  <c r="N214" i="10"/>
  <c r="P214" i="10" s="1"/>
  <c r="O214" i="10"/>
  <c r="R214" i="10"/>
  <c r="AL214" i="10"/>
  <c r="N195" i="10"/>
  <c r="P195" i="10" s="1"/>
  <c r="O195" i="10"/>
  <c r="R195" i="10"/>
  <c r="AL195" i="10"/>
  <c r="N204" i="10"/>
  <c r="P204" i="10" s="1"/>
  <c r="O204" i="10"/>
  <c r="R204" i="10"/>
  <c r="AL204" i="10"/>
  <c r="N211" i="10"/>
  <c r="P211" i="10" s="1"/>
  <c r="O211" i="10"/>
  <c r="R211" i="10"/>
  <c r="AL211" i="10"/>
  <c r="N196" i="10"/>
  <c r="P196" i="10" s="1"/>
  <c r="O196" i="10"/>
  <c r="R196" i="10"/>
  <c r="AL196" i="10"/>
  <c r="N213" i="10"/>
  <c r="P213" i="10" s="1"/>
  <c r="O213" i="10"/>
  <c r="R213" i="10"/>
  <c r="AL213" i="10"/>
  <c r="N210" i="10"/>
  <c r="P210" i="10" s="1"/>
  <c r="O210" i="10"/>
  <c r="R210" i="10"/>
  <c r="AL210" i="10"/>
  <c r="N224" i="10"/>
  <c r="P224" i="10" s="1"/>
  <c r="O224" i="10"/>
  <c r="R224" i="10"/>
  <c r="AL224" i="10"/>
  <c r="N237" i="10"/>
  <c r="P237" i="10" s="1"/>
  <c r="O237" i="10"/>
  <c r="R237" i="10"/>
  <c r="AL237" i="10"/>
  <c r="N234" i="10"/>
  <c r="P234" i="10" s="1"/>
  <c r="O234" i="10"/>
  <c r="R234" i="10"/>
  <c r="AL234" i="10"/>
  <c r="N238" i="10"/>
  <c r="P238" i="10" s="1"/>
  <c r="O238" i="10"/>
  <c r="R238" i="10"/>
  <c r="AL238" i="10"/>
  <c r="N217" i="10"/>
  <c r="P217" i="10" s="1"/>
  <c r="O217" i="10"/>
  <c r="R217" i="10"/>
  <c r="AL217" i="10"/>
  <c r="N220" i="10"/>
  <c r="P220" i="10" s="1"/>
  <c r="O220" i="10"/>
  <c r="R220" i="10"/>
  <c r="AL220" i="10"/>
  <c r="N223" i="10"/>
  <c r="P223" i="10" s="1"/>
  <c r="O223" i="10"/>
  <c r="R223" i="10"/>
  <c r="AL223" i="10"/>
  <c r="N229" i="10"/>
  <c r="P229" i="10" s="1"/>
  <c r="O229" i="10"/>
  <c r="R229" i="10"/>
  <c r="AL229" i="10"/>
  <c r="N226" i="10"/>
  <c r="P226" i="10" s="1"/>
  <c r="O226" i="10"/>
  <c r="R226" i="10"/>
  <c r="AL226" i="10"/>
  <c r="N221" i="10"/>
  <c r="P221" i="10" s="1"/>
  <c r="O221" i="10"/>
  <c r="R221" i="10"/>
  <c r="AL221" i="10"/>
  <c r="N227" i="10"/>
  <c r="P227" i="10" s="1"/>
  <c r="O227" i="10"/>
  <c r="R227" i="10"/>
  <c r="AL227" i="10"/>
  <c r="N219" i="10"/>
  <c r="P219" i="10" s="1"/>
  <c r="O219" i="10"/>
  <c r="R219" i="10"/>
  <c r="AL219" i="10"/>
  <c r="N232" i="10"/>
  <c r="P232" i="10" s="1"/>
  <c r="O232" i="10"/>
  <c r="R232" i="10"/>
  <c r="AL232" i="10"/>
  <c r="N240" i="10"/>
  <c r="P240" i="10" s="1"/>
  <c r="O240" i="10"/>
  <c r="R240" i="10"/>
  <c r="AL240" i="10"/>
  <c r="N228" i="10"/>
  <c r="O228" i="10"/>
  <c r="R228" i="10"/>
  <c r="AL228" i="10"/>
  <c r="N218" i="10"/>
  <c r="P218" i="10" s="1"/>
  <c r="O218" i="10"/>
  <c r="R218" i="10"/>
  <c r="AL218" i="10"/>
  <c r="N236" i="10"/>
  <c r="P236" i="10" s="1"/>
  <c r="O236" i="10"/>
  <c r="R236" i="10"/>
  <c r="AL236" i="10"/>
  <c r="N239" i="10"/>
  <c r="P239" i="10" s="1"/>
  <c r="O239" i="10"/>
  <c r="R239" i="10"/>
  <c r="AL239" i="10"/>
  <c r="N222" i="10"/>
  <c r="P222" i="10" s="1"/>
  <c r="O222" i="10"/>
  <c r="R222" i="10"/>
  <c r="AL222" i="10"/>
  <c r="N231" i="10"/>
  <c r="P231" i="10" s="1"/>
  <c r="O231" i="10"/>
  <c r="R231" i="10"/>
  <c r="AL231" i="10"/>
  <c r="N225" i="10"/>
  <c r="P225" i="10" s="1"/>
  <c r="O225" i="10"/>
  <c r="R225" i="10"/>
  <c r="AL225" i="10"/>
  <c r="N230" i="10"/>
  <c r="P230" i="10" s="1"/>
  <c r="O230" i="10"/>
  <c r="R230" i="10"/>
  <c r="AL230" i="10"/>
  <c r="N233" i="10"/>
  <c r="P233" i="10" s="1"/>
  <c r="O233" i="10"/>
  <c r="R233" i="10"/>
  <c r="AL233" i="10"/>
  <c r="N235" i="10"/>
  <c r="P235" i="10" s="1"/>
  <c r="O235" i="10"/>
  <c r="R235" i="10"/>
  <c r="AL235" i="10"/>
  <c r="N241" i="10"/>
  <c r="P241" i="10" s="1"/>
  <c r="O241" i="10"/>
  <c r="R241" i="10"/>
  <c r="AL241" i="10"/>
  <c r="N242" i="10"/>
  <c r="P242" i="10" s="1"/>
  <c r="O242" i="10"/>
  <c r="R242" i="10"/>
  <c r="AL242" i="10"/>
  <c r="N243" i="10"/>
  <c r="P243" i="10" s="1"/>
  <c r="O243" i="10"/>
  <c r="R243" i="10"/>
  <c r="AL243" i="10"/>
  <c r="N244" i="10"/>
  <c r="P244" i="10" s="1"/>
  <c r="O244" i="10"/>
  <c r="R244" i="10"/>
  <c r="AL244" i="10"/>
  <c r="N245" i="10"/>
  <c r="P245" i="10" s="1"/>
  <c r="O245" i="10"/>
  <c r="R245" i="10"/>
  <c r="AL245" i="10"/>
  <c r="N246" i="10"/>
  <c r="P246" i="10" s="1"/>
  <c r="O246" i="10"/>
  <c r="R246" i="10"/>
  <c r="AL246" i="10"/>
  <c r="N247" i="10"/>
  <c r="P247" i="10" s="1"/>
  <c r="O247" i="10"/>
  <c r="R247" i="10"/>
  <c r="AL247" i="10"/>
  <c r="N248" i="10"/>
  <c r="P248" i="10" s="1"/>
  <c r="O248" i="10"/>
  <c r="R248" i="10"/>
  <c r="AL248" i="10"/>
  <c r="N249" i="10"/>
  <c r="P249" i="10" s="1"/>
  <c r="O249" i="10"/>
  <c r="R249" i="10"/>
  <c r="AL249" i="10"/>
  <c r="N250" i="10"/>
  <c r="P250" i="10" s="1"/>
  <c r="O250" i="10"/>
  <c r="R250" i="10"/>
  <c r="AL250" i="10"/>
  <c r="N251" i="10"/>
  <c r="P251" i="10" s="1"/>
  <c r="O251" i="10"/>
  <c r="R251" i="10"/>
  <c r="AL251" i="10"/>
  <c r="N252" i="10"/>
  <c r="P252" i="10" s="1"/>
  <c r="O252" i="10"/>
  <c r="R252" i="10"/>
  <c r="AL252" i="10"/>
  <c r="N253" i="10"/>
  <c r="P253" i="10" s="1"/>
  <c r="O253" i="10"/>
  <c r="R253" i="10"/>
  <c r="AL253" i="10"/>
  <c r="N254" i="10"/>
  <c r="P254" i="10" s="1"/>
  <c r="O254" i="10"/>
  <c r="R254" i="10"/>
  <c r="AL254" i="10"/>
  <c r="N255" i="10"/>
  <c r="P255" i="10" s="1"/>
  <c r="O255" i="10"/>
  <c r="R255" i="10"/>
  <c r="AL255" i="10"/>
  <c r="N256" i="10"/>
  <c r="P256" i="10" s="1"/>
  <c r="O256" i="10"/>
  <c r="R256" i="10"/>
  <c r="AL256" i="10"/>
  <c r="N257" i="10"/>
  <c r="P257" i="10" s="1"/>
  <c r="O257" i="10"/>
  <c r="R257" i="10"/>
  <c r="AL257" i="10"/>
  <c r="N258" i="10"/>
  <c r="P258" i="10" s="1"/>
  <c r="O258" i="10"/>
  <c r="R258" i="10"/>
  <c r="AL258" i="10"/>
  <c r="N259" i="10"/>
  <c r="P259" i="10" s="1"/>
  <c r="O259" i="10"/>
  <c r="R259" i="10"/>
  <c r="AL259" i="10"/>
  <c r="N260" i="10"/>
  <c r="P260" i="10" s="1"/>
  <c r="O260" i="10"/>
  <c r="R260" i="10"/>
  <c r="AL260" i="10"/>
  <c r="N261" i="10"/>
  <c r="P261" i="10" s="1"/>
  <c r="O261" i="10"/>
  <c r="R261" i="10"/>
  <c r="AL261" i="10"/>
  <c r="N262" i="10"/>
  <c r="P262" i="10" s="1"/>
  <c r="O262" i="10"/>
  <c r="R262" i="10"/>
  <c r="AL262" i="10"/>
  <c r="N263" i="10"/>
  <c r="P263" i="10" s="1"/>
  <c r="O263" i="10"/>
  <c r="R263" i="10"/>
  <c r="AL263" i="10"/>
  <c r="N264" i="10"/>
  <c r="P264" i="10" s="1"/>
  <c r="O264" i="10"/>
  <c r="R264" i="10"/>
  <c r="AL264" i="10"/>
  <c r="N265" i="10"/>
  <c r="P265" i="10" s="1"/>
  <c r="O265" i="10"/>
  <c r="R265" i="10"/>
  <c r="AL265" i="10"/>
  <c r="N266" i="10"/>
  <c r="P266" i="10" s="1"/>
  <c r="O266" i="10"/>
  <c r="R266" i="10"/>
  <c r="N267" i="10"/>
  <c r="P267" i="10" s="1"/>
  <c r="O267" i="10"/>
  <c r="R267" i="10"/>
  <c r="AL267" i="10"/>
  <c r="N268" i="10"/>
  <c r="P268" i="10" s="1"/>
  <c r="O268" i="10"/>
  <c r="R268" i="10"/>
  <c r="AL268" i="10"/>
  <c r="N269" i="10"/>
  <c r="P269" i="10" s="1"/>
  <c r="O269" i="10"/>
  <c r="R269" i="10"/>
  <c r="AL269" i="10"/>
  <c r="N270" i="10"/>
  <c r="P270" i="10" s="1"/>
  <c r="O270" i="10"/>
  <c r="R270" i="10"/>
  <c r="AL270" i="10"/>
  <c r="N272" i="10"/>
  <c r="P272" i="10" s="1"/>
  <c r="O272" i="10"/>
  <c r="R272" i="10"/>
  <c r="AL272" i="10"/>
  <c r="N273" i="10"/>
  <c r="P273" i="10" s="1"/>
  <c r="O273" i="10"/>
  <c r="R273" i="10"/>
  <c r="AL273" i="10"/>
  <c r="N274" i="10"/>
  <c r="P274" i="10" s="1"/>
  <c r="O274" i="10"/>
  <c r="R274" i="10"/>
  <c r="AL274" i="10"/>
  <c r="N275" i="10"/>
  <c r="P275" i="10" s="1"/>
  <c r="O275" i="10"/>
  <c r="R275" i="10"/>
  <c r="AL275" i="10"/>
  <c r="N276" i="10"/>
  <c r="P276" i="10" s="1"/>
  <c r="O276" i="10"/>
  <c r="R276" i="10"/>
  <c r="AL276" i="10"/>
  <c r="N277" i="10"/>
  <c r="P277" i="10" s="1"/>
  <c r="O277" i="10"/>
  <c r="R277" i="10"/>
  <c r="AL277" i="10"/>
  <c r="N278" i="10"/>
  <c r="P278" i="10" s="1"/>
  <c r="O278" i="10"/>
  <c r="R278" i="10"/>
  <c r="AL278" i="10"/>
  <c r="N282" i="10"/>
  <c r="P282" i="10" s="1"/>
  <c r="O282" i="10"/>
  <c r="R282" i="10"/>
  <c r="AL282" i="10"/>
  <c r="N290" i="10"/>
  <c r="P290" i="10" s="1"/>
  <c r="O290" i="10"/>
  <c r="R290" i="10"/>
  <c r="AL290" i="10"/>
  <c r="N279" i="10"/>
  <c r="P279" i="10" s="1"/>
  <c r="O279" i="10"/>
  <c r="R279" i="10"/>
  <c r="AL279" i="10"/>
  <c r="N280" i="10"/>
  <c r="P280" i="10" s="1"/>
  <c r="O280" i="10"/>
  <c r="R280" i="10"/>
  <c r="AL280" i="10"/>
  <c r="N281" i="10"/>
  <c r="P281" i="10" s="1"/>
  <c r="O281" i="10"/>
  <c r="R281" i="10"/>
  <c r="AL281" i="10"/>
  <c r="N283" i="10"/>
  <c r="P283" i="10" s="1"/>
  <c r="O283" i="10"/>
  <c r="R283" i="10"/>
  <c r="AL283" i="10"/>
  <c r="O284" i="10"/>
  <c r="R284" i="10"/>
  <c r="AL284" i="10"/>
  <c r="N285" i="10"/>
  <c r="P285" i="10" s="1"/>
  <c r="O285" i="10"/>
  <c r="R285" i="10"/>
  <c r="AL285" i="10"/>
  <c r="N286" i="10"/>
  <c r="P286" i="10" s="1"/>
  <c r="O286" i="10"/>
  <c r="R286" i="10"/>
  <c r="AL286" i="10"/>
  <c r="N287" i="10"/>
  <c r="P287" i="10" s="1"/>
  <c r="O287" i="10"/>
  <c r="R287" i="10"/>
  <c r="AL287" i="10"/>
  <c r="N288" i="10"/>
  <c r="P288" i="10" s="1"/>
  <c r="O288" i="10"/>
  <c r="R288" i="10"/>
  <c r="AL288" i="10"/>
  <c r="N289" i="10"/>
  <c r="P289" i="10" s="1"/>
  <c r="O289" i="10"/>
  <c r="R289" i="10"/>
  <c r="AL289" i="10"/>
  <c r="N291" i="10"/>
  <c r="P291" i="10" s="1"/>
  <c r="O291" i="10"/>
  <c r="R291" i="10"/>
  <c r="AL291" i="10"/>
  <c r="N216" i="10"/>
  <c r="P216" i="10" s="1"/>
  <c r="O216" i="10"/>
  <c r="R216" i="10"/>
  <c r="AL216" i="10"/>
  <c r="N202" i="10"/>
  <c r="P202" i="10" s="1"/>
  <c r="O202" i="10"/>
  <c r="R202" i="10"/>
  <c r="AL202" i="10"/>
  <c r="N320" i="10"/>
  <c r="P320" i="10" s="1"/>
  <c r="O320" i="10"/>
  <c r="R320" i="10"/>
  <c r="AL320" i="10"/>
  <c r="N319" i="10"/>
  <c r="P319" i="10" s="1"/>
  <c r="O319" i="10"/>
  <c r="R319" i="10"/>
  <c r="AL319" i="10"/>
  <c r="N318" i="10"/>
  <c r="P318" i="10" s="1"/>
  <c r="O318" i="10"/>
  <c r="R318" i="10"/>
  <c r="AL318" i="10"/>
  <c r="N317" i="10"/>
  <c r="P317" i="10" s="1"/>
  <c r="O317" i="10"/>
  <c r="R317" i="10"/>
  <c r="AL317" i="10"/>
  <c r="N316" i="10"/>
  <c r="P316" i="10" s="1"/>
  <c r="O316" i="10"/>
  <c r="R316" i="10"/>
  <c r="AL316" i="10"/>
  <c r="N315" i="10"/>
  <c r="P315" i="10" s="1"/>
  <c r="O315" i="10"/>
  <c r="R315" i="10"/>
  <c r="AL315" i="10"/>
  <c r="N314" i="10"/>
  <c r="P314" i="10" s="1"/>
  <c r="O314" i="10"/>
  <c r="R314" i="10"/>
  <c r="AL314" i="10"/>
  <c r="N313" i="10"/>
  <c r="P313" i="10" s="1"/>
  <c r="O313" i="10"/>
  <c r="R313" i="10"/>
  <c r="AL313" i="10"/>
  <c r="N312" i="10"/>
  <c r="P312" i="10" s="1"/>
  <c r="O312" i="10"/>
  <c r="R312" i="10"/>
  <c r="AL312" i="10"/>
  <c r="N311" i="10"/>
  <c r="P311" i="10" s="1"/>
  <c r="O311" i="10"/>
  <c r="R311" i="10"/>
  <c r="AL311" i="10"/>
  <c r="N310" i="10"/>
  <c r="P310" i="10" s="1"/>
  <c r="O310" i="10"/>
  <c r="R310" i="10"/>
  <c r="AL310" i="10"/>
  <c r="N308" i="10"/>
  <c r="P308" i="10" s="1"/>
  <c r="O308" i="10"/>
  <c r="R308" i="10"/>
  <c r="AL308" i="10"/>
  <c r="O307" i="10"/>
  <c r="R307" i="10"/>
  <c r="AL307" i="10"/>
  <c r="N306" i="10"/>
  <c r="P306" i="10" s="1"/>
  <c r="O306" i="10"/>
  <c r="R306" i="10"/>
  <c r="AL306" i="10"/>
  <c r="N304" i="10"/>
  <c r="P304" i="10" s="1"/>
  <c r="O304" i="10"/>
  <c r="R304" i="10"/>
  <c r="AL304" i="10"/>
  <c r="N305" i="10"/>
  <c r="P305" i="10" s="1"/>
  <c r="O305" i="10"/>
  <c r="R305" i="10"/>
  <c r="AL305" i="10"/>
  <c r="N303" i="10"/>
  <c r="P303" i="10" s="1"/>
  <c r="O303" i="10"/>
  <c r="R303" i="10"/>
  <c r="AL303" i="10"/>
  <c r="N297" i="10"/>
  <c r="P297" i="10" s="1"/>
  <c r="O297" i="10"/>
  <c r="R297" i="10"/>
  <c r="AL297" i="10"/>
  <c r="N302" i="10"/>
  <c r="P302" i="10" s="1"/>
  <c r="O302" i="10"/>
  <c r="R302" i="10"/>
  <c r="AL302" i="10"/>
  <c r="N301" i="10"/>
  <c r="P301" i="10" s="1"/>
  <c r="O301" i="10"/>
  <c r="R301" i="10"/>
  <c r="AL301" i="10"/>
  <c r="N300" i="10"/>
  <c r="P300" i="10" s="1"/>
  <c r="O300" i="10"/>
  <c r="R300" i="10"/>
  <c r="AL300" i="10"/>
  <c r="N299" i="10"/>
  <c r="P299" i="10" s="1"/>
  <c r="O299" i="10"/>
  <c r="R299" i="10"/>
  <c r="AL299" i="10"/>
  <c r="N298" i="10"/>
  <c r="P298" i="10" s="1"/>
  <c r="O298" i="10"/>
  <c r="R298" i="10"/>
  <c r="AL298" i="10"/>
  <c r="N296" i="10"/>
  <c r="P296" i="10" s="1"/>
  <c r="O296" i="10"/>
  <c r="R296" i="10"/>
  <c r="AL296" i="10"/>
  <c r="N295" i="10"/>
  <c r="P295" i="10" s="1"/>
  <c r="O295" i="10"/>
  <c r="R295" i="10"/>
  <c r="AL295" i="10"/>
  <c r="N294" i="10"/>
  <c r="P294" i="10" s="1"/>
  <c r="O294" i="10"/>
  <c r="R294" i="10"/>
  <c r="AL294" i="10"/>
  <c r="N293" i="10"/>
  <c r="P293" i="10" s="1"/>
  <c r="O293" i="10"/>
  <c r="R293" i="10"/>
  <c r="AL293" i="10"/>
  <c r="N292" i="10"/>
  <c r="P292" i="10" s="1"/>
  <c r="O292" i="10"/>
  <c r="R292" i="10"/>
  <c r="AL292" i="10"/>
  <c r="N271" i="10"/>
  <c r="P271" i="10" s="1"/>
  <c r="O271" i="10"/>
  <c r="R271" i="10"/>
  <c r="AL271" i="10"/>
  <c r="N327" i="10"/>
  <c r="P327" i="10" s="1"/>
  <c r="O327" i="10"/>
  <c r="R327" i="10"/>
  <c r="AL327" i="10"/>
  <c r="N323" i="10"/>
  <c r="P323" i="10" s="1"/>
  <c r="O323" i="10"/>
  <c r="R323" i="10"/>
  <c r="AL323" i="10"/>
  <c r="N336" i="10"/>
  <c r="P336" i="10" s="1"/>
  <c r="O336" i="10"/>
  <c r="R336" i="10"/>
  <c r="AL336" i="10"/>
  <c r="N332" i="10"/>
  <c r="P332" i="10" s="1"/>
  <c r="O332" i="10"/>
  <c r="R332" i="10"/>
  <c r="AL332" i="10"/>
  <c r="N335" i="10"/>
  <c r="P335" i="10" s="1"/>
  <c r="O335" i="10"/>
  <c r="R335" i="10"/>
  <c r="AL335" i="10"/>
  <c r="N334" i="10"/>
  <c r="P334" i="10" s="1"/>
  <c r="O334" i="10"/>
  <c r="R334" i="10"/>
  <c r="AL334" i="10"/>
  <c r="N326" i="10"/>
  <c r="P326" i="10" s="1"/>
  <c r="O326" i="10"/>
  <c r="R326" i="10"/>
  <c r="AL326" i="10"/>
  <c r="N324" i="10"/>
  <c r="P324" i="10" s="1"/>
  <c r="O324" i="10"/>
  <c r="R324" i="10"/>
  <c r="AL324" i="10"/>
  <c r="N330" i="10"/>
  <c r="P330" i="10" s="1"/>
  <c r="O330" i="10"/>
  <c r="R330" i="10"/>
  <c r="AL330" i="10"/>
  <c r="N325" i="10"/>
  <c r="P325" i="10" s="1"/>
  <c r="O325" i="10"/>
  <c r="R325" i="10"/>
  <c r="AL325" i="10"/>
  <c r="N322" i="10"/>
  <c r="P322" i="10" s="1"/>
  <c r="O322" i="10"/>
  <c r="R322" i="10"/>
  <c r="AL322" i="10"/>
  <c r="N331" i="10"/>
  <c r="P331" i="10" s="1"/>
  <c r="O331" i="10"/>
  <c r="R331" i="10"/>
  <c r="AL331" i="10"/>
  <c r="N333" i="10"/>
  <c r="P333" i="10" s="1"/>
  <c r="O333" i="10"/>
  <c r="R333" i="10"/>
  <c r="AL333" i="10"/>
  <c r="N321" i="10"/>
  <c r="P321" i="10" s="1"/>
  <c r="O321" i="10"/>
  <c r="R321" i="10"/>
  <c r="AL321" i="10"/>
  <c r="N309" i="10"/>
  <c r="P309" i="10" s="1"/>
  <c r="O309" i="10"/>
  <c r="R309" i="10"/>
  <c r="AL309" i="10"/>
  <c r="N328" i="10"/>
  <c r="P328" i="10" s="1"/>
  <c r="O328" i="10"/>
  <c r="R328" i="10"/>
  <c r="AL328" i="10"/>
  <c r="N329" i="10"/>
  <c r="P329" i="10" s="1"/>
  <c r="O329" i="10"/>
  <c r="R329" i="10"/>
  <c r="AL329" i="10"/>
  <c r="N337" i="10"/>
  <c r="P337" i="10" s="1"/>
  <c r="O337" i="10"/>
  <c r="R337" i="10"/>
  <c r="N338" i="10"/>
  <c r="P338" i="10" s="1"/>
  <c r="O338" i="10"/>
  <c r="R338" i="10"/>
  <c r="N339" i="10"/>
  <c r="P339" i="10" s="1"/>
  <c r="O339" i="10"/>
  <c r="R339" i="10"/>
  <c r="N348" i="10"/>
  <c r="P348" i="10" s="1"/>
  <c r="O348" i="10"/>
  <c r="R348" i="10"/>
  <c r="AL348" i="10"/>
  <c r="N347" i="10"/>
  <c r="P347" i="10" s="1"/>
  <c r="O347" i="10"/>
  <c r="R347" i="10"/>
  <c r="AL347" i="10"/>
  <c r="N345" i="10"/>
  <c r="P345" i="10" s="1"/>
  <c r="O345" i="10"/>
  <c r="R345" i="10"/>
  <c r="AL345" i="10"/>
  <c r="N344" i="10"/>
  <c r="P344" i="10" s="1"/>
  <c r="O344" i="10"/>
  <c r="R344" i="10"/>
  <c r="AL344" i="10"/>
  <c r="N346" i="10"/>
  <c r="P346" i="10" s="1"/>
  <c r="O346" i="10"/>
  <c r="R346" i="10"/>
  <c r="AL346" i="10"/>
  <c r="N350" i="10"/>
  <c r="P350" i="10" s="1"/>
  <c r="O350" i="10"/>
  <c r="R350" i="10"/>
  <c r="N349" i="10"/>
  <c r="P349" i="10" s="1"/>
  <c r="O349" i="10"/>
  <c r="R349" i="10"/>
  <c r="N351" i="10"/>
  <c r="P351" i="10" s="1"/>
  <c r="O351" i="10"/>
  <c r="R351" i="10"/>
  <c r="N352" i="10"/>
  <c r="P352" i="10" s="1"/>
  <c r="O352" i="10"/>
  <c r="R352" i="10"/>
  <c r="N353" i="10"/>
  <c r="O353" i="10"/>
  <c r="R353" i="10"/>
  <c r="N360" i="10"/>
  <c r="O360" i="10"/>
  <c r="R360" i="10"/>
  <c r="AL360" i="10"/>
  <c r="N361" i="10"/>
  <c r="O361" i="10"/>
  <c r="R361" i="10"/>
  <c r="AL361" i="10"/>
  <c r="N366" i="10"/>
  <c r="P366" i="10" s="1"/>
  <c r="O366" i="10"/>
  <c r="R366" i="10"/>
  <c r="AL366" i="10"/>
  <c r="N367" i="10"/>
  <c r="P367" i="10" s="1"/>
  <c r="O367" i="10"/>
  <c r="R367" i="10"/>
  <c r="AL367" i="10"/>
  <c r="N368" i="10"/>
  <c r="P368" i="10" s="1"/>
  <c r="O368" i="10"/>
  <c r="R368" i="10"/>
  <c r="AL368" i="10"/>
  <c r="N369" i="10"/>
  <c r="P369" i="10" s="1"/>
  <c r="O369" i="10"/>
  <c r="R369" i="10"/>
  <c r="AL369" i="10"/>
  <c r="N370" i="10"/>
  <c r="P370" i="10" s="1"/>
  <c r="O370" i="10"/>
  <c r="R370" i="10"/>
  <c r="AL370" i="10"/>
  <c r="N371" i="10"/>
  <c r="O371" i="10"/>
  <c r="R371" i="10"/>
  <c r="AL371" i="10"/>
  <c r="N372" i="10"/>
  <c r="P372" i="10" s="1"/>
  <c r="O372" i="10"/>
  <c r="R372" i="10"/>
  <c r="AL372" i="10"/>
  <c r="N373" i="10"/>
  <c r="P373" i="10" s="1"/>
  <c r="O373" i="10"/>
  <c r="R373" i="10"/>
  <c r="AL373" i="10"/>
  <c r="N354" i="10"/>
  <c r="O354" i="10"/>
  <c r="R354" i="10"/>
  <c r="AL354" i="10"/>
  <c r="N355" i="10"/>
  <c r="O355" i="10"/>
  <c r="R355" i="10"/>
  <c r="AL355" i="10"/>
  <c r="N356" i="10"/>
  <c r="O356" i="10"/>
  <c r="R356" i="10"/>
  <c r="AL356" i="10"/>
  <c r="N357" i="10"/>
  <c r="O357" i="10"/>
  <c r="R357" i="10"/>
  <c r="AL357" i="10"/>
  <c r="N358" i="10"/>
  <c r="P358" i="10" s="1"/>
  <c r="O358" i="10"/>
  <c r="R358" i="10"/>
  <c r="AL358" i="10"/>
  <c r="N359" i="10"/>
  <c r="O359" i="10"/>
  <c r="R359" i="10"/>
  <c r="AL359" i="10"/>
  <c r="N362" i="10"/>
  <c r="O362" i="10"/>
  <c r="R362" i="10"/>
  <c r="AL362" i="10"/>
  <c r="N343" i="10"/>
  <c r="P343" i="10" s="1"/>
  <c r="O343" i="10"/>
  <c r="R343" i="10"/>
  <c r="AL343" i="10"/>
  <c r="N340" i="10"/>
  <c r="P340" i="10" s="1"/>
  <c r="O340" i="10"/>
  <c r="R340" i="10"/>
  <c r="AL340" i="10"/>
  <c r="N342" i="10"/>
  <c r="P342" i="10" s="1"/>
  <c r="O342" i="10"/>
  <c r="R342" i="10"/>
  <c r="AL342" i="10"/>
  <c r="N363" i="10"/>
  <c r="P363" i="10" s="1"/>
  <c r="O363" i="10"/>
  <c r="R363" i="10"/>
  <c r="AL363" i="10"/>
  <c r="N364" i="10"/>
  <c r="P364" i="10" s="1"/>
  <c r="O364" i="10"/>
  <c r="R364" i="10"/>
  <c r="AL364" i="10"/>
  <c r="N365" i="10"/>
  <c r="O365" i="10"/>
  <c r="R365" i="10"/>
  <c r="AL365" i="10"/>
  <c r="N382" i="10"/>
  <c r="P382" i="10" s="1"/>
  <c r="O382" i="10"/>
  <c r="R382" i="10"/>
  <c r="AL382" i="10"/>
  <c r="N374" i="10"/>
  <c r="O374" i="10"/>
  <c r="R374" i="10"/>
  <c r="N377" i="10"/>
  <c r="P377" i="10" s="1"/>
  <c r="O377" i="10"/>
  <c r="R377" i="10"/>
  <c r="AL377" i="10"/>
  <c r="N379" i="10"/>
  <c r="P379" i="10" s="1"/>
  <c r="O379" i="10"/>
  <c r="R379" i="10"/>
  <c r="AL379" i="10"/>
  <c r="N380" i="10"/>
  <c r="P380" i="10" s="1"/>
  <c r="O380" i="10"/>
  <c r="R380" i="10"/>
  <c r="AL380" i="10"/>
  <c r="N381" i="10"/>
  <c r="P381" i="10" s="1"/>
  <c r="O381" i="10"/>
  <c r="R381" i="10"/>
  <c r="AL381" i="10"/>
  <c r="N376" i="10"/>
  <c r="O376" i="10"/>
  <c r="R376" i="10"/>
  <c r="AL376" i="10"/>
  <c r="N378" i="10"/>
  <c r="P378" i="10" s="1"/>
  <c r="O378" i="10"/>
  <c r="R378" i="10"/>
  <c r="AL378" i="10"/>
  <c r="N389" i="10"/>
  <c r="P389" i="10" s="1"/>
  <c r="O389" i="10"/>
  <c r="R389" i="10"/>
  <c r="AL389" i="10"/>
  <c r="N386" i="10"/>
  <c r="P386" i="10" s="1"/>
  <c r="O386" i="10"/>
  <c r="R386" i="10"/>
  <c r="AL386" i="10"/>
  <c r="N387" i="10"/>
  <c r="O387" i="10"/>
  <c r="R387" i="10"/>
  <c r="AL387" i="10"/>
  <c r="N385" i="10"/>
  <c r="P385" i="10" s="1"/>
  <c r="O385" i="10"/>
  <c r="R385" i="10"/>
  <c r="AL385" i="10"/>
  <c r="N388" i="10"/>
  <c r="P388" i="10" s="1"/>
  <c r="O388" i="10"/>
  <c r="R388" i="10"/>
  <c r="AL388" i="10"/>
  <c r="N383" i="10"/>
  <c r="P383" i="10" s="1"/>
  <c r="O383" i="10"/>
  <c r="R383" i="10"/>
  <c r="AL383" i="10"/>
  <c r="N384" i="10"/>
  <c r="P384" i="10" s="1"/>
  <c r="O384" i="10"/>
  <c r="R384" i="10"/>
  <c r="AL384" i="10"/>
  <c r="N391" i="10"/>
  <c r="P391" i="10" s="1"/>
  <c r="O391" i="10"/>
  <c r="R391" i="10"/>
  <c r="AL391" i="10"/>
  <c r="N392" i="10"/>
  <c r="P392" i="10" s="1"/>
  <c r="O392" i="10"/>
  <c r="R392" i="10"/>
  <c r="AL392" i="10"/>
  <c r="N393" i="10"/>
  <c r="P393" i="10" s="1"/>
  <c r="O393" i="10"/>
  <c r="R393" i="10"/>
  <c r="AL393" i="10"/>
  <c r="N395" i="10"/>
  <c r="P395" i="10" s="1"/>
  <c r="O395" i="10"/>
  <c r="R395" i="10"/>
  <c r="AL395" i="10"/>
  <c r="N394" i="10"/>
  <c r="P394" i="10" s="1"/>
  <c r="O394" i="10"/>
  <c r="R394" i="10"/>
  <c r="AL394" i="10"/>
  <c r="N396" i="10"/>
  <c r="P396" i="10" s="1"/>
  <c r="O396" i="10"/>
  <c r="R396" i="10"/>
  <c r="AL396" i="10"/>
  <c r="N397" i="10"/>
  <c r="P397" i="10" s="1"/>
  <c r="O397" i="10"/>
  <c r="R397" i="10"/>
  <c r="AL397" i="10"/>
  <c r="N398" i="10"/>
  <c r="P398" i="10" s="1"/>
  <c r="O398" i="10"/>
  <c r="R398" i="10"/>
  <c r="AL398" i="10"/>
  <c r="N399" i="10"/>
  <c r="P399" i="10" s="1"/>
  <c r="O399" i="10"/>
  <c r="R399" i="10"/>
  <c r="AL399" i="10"/>
  <c r="N400" i="10"/>
  <c r="P400" i="10" s="1"/>
  <c r="O400" i="10"/>
  <c r="R400" i="10"/>
  <c r="AL400" i="10"/>
  <c r="N401" i="10"/>
  <c r="P401" i="10" s="1"/>
  <c r="O401" i="10"/>
  <c r="R401" i="10"/>
  <c r="AL401" i="10"/>
  <c r="N402" i="10"/>
  <c r="P402" i="10" s="1"/>
  <c r="O402" i="10"/>
  <c r="R402" i="10"/>
  <c r="AL402" i="10"/>
  <c r="N403" i="10"/>
  <c r="P403" i="10" s="1"/>
  <c r="O403" i="10"/>
  <c r="R403" i="10"/>
  <c r="AL403" i="10"/>
  <c r="N404" i="10"/>
  <c r="P404" i="10" s="1"/>
  <c r="O404" i="10"/>
  <c r="R404" i="10"/>
  <c r="AL404" i="10"/>
  <c r="N405" i="10"/>
  <c r="P405" i="10" s="1"/>
  <c r="O405" i="10"/>
  <c r="R405" i="10"/>
  <c r="AL405" i="10"/>
  <c r="N406" i="10"/>
  <c r="P406" i="10" s="1"/>
  <c r="O406" i="10"/>
  <c r="R406" i="10"/>
  <c r="AL406" i="10"/>
  <c r="N408" i="10"/>
  <c r="P408" i="10" s="1"/>
  <c r="O408" i="10"/>
  <c r="R408" i="10"/>
  <c r="AL408" i="10"/>
  <c r="N407" i="10"/>
  <c r="P407" i="10" s="1"/>
  <c r="O407" i="10"/>
  <c r="R407" i="10"/>
  <c r="AL407" i="10"/>
  <c r="N409" i="10"/>
  <c r="P409" i="10" s="1"/>
  <c r="O409" i="10"/>
  <c r="R409" i="10"/>
  <c r="AL409" i="10"/>
  <c r="N410" i="10"/>
  <c r="P410" i="10" s="1"/>
  <c r="O410" i="10"/>
  <c r="R410" i="10"/>
  <c r="AL410" i="10"/>
  <c r="N411" i="10"/>
  <c r="P411" i="10" s="1"/>
  <c r="O411" i="10"/>
  <c r="R411" i="10"/>
  <c r="AL411" i="10"/>
  <c r="N412" i="10"/>
  <c r="P412" i="10" s="1"/>
  <c r="O412" i="10"/>
  <c r="R412" i="10"/>
  <c r="AL412" i="10"/>
  <c r="N413" i="10"/>
  <c r="P413" i="10" s="1"/>
  <c r="O413" i="10"/>
  <c r="R413" i="10"/>
  <c r="AL413" i="10"/>
  <c r="N414" i="10"/>
  <c r="P414" i="10" s="1"/>
  <c r="O414" i="10"/>
  <c r="R414" i="10"/>
  <c r="AL414" i="10"/>
  <c r="N415" i="10"/>
  <c r="P415" i="10" s="1"/>
  <c r="O415" i="10"/>
  <c r="R415" i="10"/>
  <c r="AL415" i="10"/>
  <c r="N416" i="10"/>
  <c r="P416" i="10" s="1"/>
  <c r="O416" i="10"/>
  <c r="R416" i="10"/>
  <c r="AL416" i="10"/>
  <c r="N417" i="10"/>
  <c r="P417" i="10" s="1"/>
  <c r="O417" i="10"/>
  <c r="R417" i="10"/>
  <c r="AL417" i="10"/>
  <c r="N418" i="10"/>
  <c r="P418" i="10" s="1"/>
  <c r="O418" i="10"/>
  <c r="R418" i="10"/>
  <c r="AL418" i="10"/>
  <c r="N419" i="10"/>
  <c r="P419" i="10" s="1"/>
  <c r="O419" i="10"/>
  <c r="R419" i="10"/>
  <c r="AL419" i="10"/>
  <c r="O420" i="10"/>
  <c r="R420" i="10"/>
  <c r="AL420" i="10"/>
  <c r="N421" i="10"/>
  <c r="P421" i="10" s="1"/>
  <c r="O421" i="10"/>
  <c r="R421" i="10"/>
  <c r="AL421" i="10"/>
  <c r="N422" i="10"/>
  <c r="P422" i="10" s="1"/>
  <c r="O422" i="10"/>
  <c r="R422" i="10"/>
  <c r="AL422" i="10"/>
  <c r="N424" i="10"/>
  <c r="P424" i="10" s="1"/>
  <c r="O424" i="10"/>
  <c r="R424" i="10"/>
  <c r="AL424" i="10"/>
  <c r="N425" i="10"/>
  <c r="P425" i="10" s="1"/>
  <c r="O425" i="10"/>
  <c r="R425" i="10"/>
  <c r="AL425" i="10"/>
  <c r="N426" i="10"/>
  <c r="P426" i="10" s="1"/>
  <c r="O426" i="10"/>
  <c r="R426" i="10"/>
  <c r="AL426" i="10"/>
  <c r="N427" i="10"/>
  <c r="P427" i="10" s="1"/>
  <c r="O427" i="10"/>
  <c r="R427" i="10"/>
  <c r="AL427" i="10"/>
  <c r="N428" i="10"/>
  <c r="P428" i="10" s="1"/>
  <c r="O428" i="10"/>
  <c r="R428" i="10"/>
  <c r="AL428" i="10"/>
  <c r="N429" i="10"/>
  <c r="P429" i="10" s="1"/>
  <c r="O429" i="10"/>
  <c r="R429" i="10"/>
  <c r="AL429" i="10"/>
  <c r="N431" i="10"/>
  <c r="O431" i="10"/>
  <c r="R431" i="10"/>
  <c r="AL431" i="10"/>
  <c r="N430" i="10"/>
  <c r="P430" i="10" s="1"/>
  <c r="O430" i="10"/>
  <c r="R430" i="10"/>
  <c r="AL430" i="10"/>
  <c r="N432" i="10"/>
  <c r="P432" i="10" s="1"/>
  <c r="O432" i="10"/>
  <c r="R432" i="10"/>
  <c r="AL432" i="10"/>
  <c r="N433" i="10"/>
  <c r="P433" i="10" s="1"/>
  <c r="O433" i="10"/>
  <c r="R433" i="10"/>
  <c r="AL433" i="10"/>
  <c r="N434" i="10"/>
  <c r="P434" i="10" s="1"/>
  <c r="O434" i="10"/>
  <c r="R434" i="10"/>
  <c r="AL434" i="10"/>
  <c r="N423" i="10"/>
  <c r="P423" i="10" s="1"/>
  <c r="O423" i="10"/>
  <c r="R423" i="10"/>
  <c r="AL423" i="10"/>
  <c r="N437" i="10"/>
  <c r="P437" i="10" s="1"/>
  <c r="O437" i="10"/>
  <c r="R437" i="10"/>
  <c r="AL437" i="10"/>
  <c r="N441" i="10"/>
  <c r="P441" i="10" s="1"/>
  <c r="O441" i="10"/>
  <c r="R441" i="10"/>
  <c r="AL441" i="10"/>
  <c r="N442" i="10"/>
  <c r="O442" i="10"/>
  <c r="R442" i="10"/>
  <c r="AL442" i="10"/>
  <c r="N438" i="10"/>
  <c r="P438" i="10" s="1"/>
  <c r="O438" i="10"/>
  <c r="R438" i="10"/>
  <c r="AL438" i="10"/>
  <c r="N439" i="10"/>
  <c r="P439" i="10" s="1"/>
  <c r="O439" i="10"/>
  <c r="R439" i="10"/>
  <c r="AL439" i="10"/>
  <c r="N444" i="10"/>
  <c r="P444" i="10" s="1"/>
  <c r="O444" i="10"/>
  <c r="R444" i="10"/>
  <c r="AL444" i="10"/>
  <c r="N443" i="10"/>
  <c r="P443" i="10" s="1"/>
  <c r="O443" i="10"/>
  <c r="R443" i="10"/>
  <c r="AL443" i="10"/>
  <c r="N445" i="10"/>
  <c r="P445" i="10" s="1"/>
  <c r="O445" i="10"/>
  <c r="R445" i="10"/>
  <c r="AL445" i="10"/>
  <c r="N447" i="10"/>
  <c r="P447" i="10" s="1"/>
  <c r="O447" i="10"/>
  <c r="R447" i="10"/>
  <c r="AL447" i="10"/>
  <c r="N448" i="10"/>
  <c r="P448" i="10" s="1"/>
  <c r="O448" i="10"/>
  <c r="R448" i="10"/>
  <c r="AL448" i="10"/>
  <c r="N449" i="10"/>
  <c r="P449" i="10" s="1"/>
  <c r="O449" i="10"/>
  <c r="R449" i="10"/>
  <c r="AL449" i="10"/>
  <c r="N450" i="10"/>
  <c r="P450" i="10" s="1"/>
  <c r="O450" i="10"/>
  <c r="R450" i="10"/>
  <c r="AL450" i="10"/>
  <c r="N451" i="10"/>
  <c r="P451" i="10" s="1"/>
  <c r="O451" i="10"/>
  <c r="R451" i="10"/>
  <c r="AL451" i="10"/>
  <c r="N452" i="10"/>
  <c r="P452" i="10" s="1"/>
  <c r="O452" i="10"/>
  <c r="R452" i="10"/>
  <c r="AL452" i="10"/>
  <c r="N453" i="10"/>
  <c r="P453" i="10" s="1"/>
  <c r="O453" i="10"/>
  <c r="R453" i="10"/>
  <c r="AL453" i="10"/>
  <c r="N454" i="10"/>
  <c r="P454" i="10" s="1"/>
  <c r="O454" i="10"/>
  <c r="R454" i="10"/>
  <c r="AL454" i="10"/>
  <c r="N436" i="10"/>
  <c r="P436" i="10" s="1"/>
  <c r="O436" i="10"/>
  <c r="R436" i="10"/>
  <c r="AL436" i="10"/>
  <c r="N435" i="10"/>
  <c r="P435" i="10" s="1"/>
  <c r="O435" i="10"/>
  <c r="R435" i="10"/>
  <c r="AL435" i="10"/>
  <c r="N457" i="10"/>
  <c r="P457" i="10" s="1"/>
  <c r="O457" i="10"/>
  <c r="R457" i="10"/>
  <c r="AL457" i="10"/>
  <c r="N456" i="10"/>
  <c r="P456" i="10" s="1"/>
  <c r="O456" i="10"/>
  <c r="R456" i="10"/>
  <c r="AL456" i="10"/>
  <c r="N458" i="10"/>
  <c r="P458" i="10" s="1"/>
  <c r="O458" i="10"/>
  <c r="R458" i="10"/>
  <c r="AL458" i="10"/>
  <c r="N459" i="10"/>
  <c r="P459" i="10" s="1"/>
  <c r="O459" i="10"/>
  <c r="R459" i="10"/>
  <c r="AL459" i="10"/>
  <c r="N462" i="10"/>
  <c r="P462" i="10" s="1"/>
  <c r="O462" i="10"/>
  <c r="R462" i="10"/>
  <c r="AL462" i="10"/>
  <c r="N461" i="10"/>
  <c r="P461" i="10" s="1"/>
  <c r="O461" i="10"/>
  <c r="R461" i="10"/>
  <c r="AL461" i="10"/>
  <c r="N463" i="10"/>
  <c r="P463" i="10" s="1"/>
  <c r="O463" i="10"/>
  <c r="R463" i="10"/>
  <c r="AL463" i="10"/>
  <c r="N464" i="10"/>
  <c r="P464" i="10" s="1"/>
  <c r="O464" i="10"/>
  <c r="R464" i="10"/>
  <c r="AL464" i="10"/>
  <c r="N465" i="10"/>
  <c r="P465" i="10" s="1"/>
  <c r="O465" i="10"/>
  <c r="R465" i="10"/>
  <c r="AL465" i="10"/>
  <c r="N466" i="10"/>
  <c r="P466" i="10" s="1"/>
  <c r="O466" i="10"/>
  <c r="R466" i="10"/>
  <c r="AL466" i="10"/>
  <c r="N467" i="10"/>
  <c r="P467" i="10" s="1"/>
  <c r="O467" i="10"/>
  <c r="R467" i="10"/>
  <c r="AL467" i="10"/>
  <c r="N468" i="10"/>
  <c r="P468" i="10" s="1"/>
  <c r="O468" i="10"/>
  <c r="R468" i="10"/>
  <c r="AL468" i="10"/>
  <c r="N469" i="10"/>
  <c r="P469" i="10" s="1"/>
  <c r="O469" i="10"/>
  <c r="R469" i="10"/>
  <c r="AL469" i="10"/>
  <c r="N446" i="10"/>
  <c r="P446" i="10" s="1"/>
  <c r="O446" i="10"/>
  <c r="R446" i="10"/>
  <c r="AL446" i="10"/>
  <c r="N460" i="10"/>
  <c r="P460" i="10" s="1"/>
  <c r="O460" i="10"/>
  <c r="R460" i="10"/>
  <c r="AL460" i="10"/>
  <c r="N470" i="10"/>
  <c r="P470" i="10" s="1"/>
  <c r="O470" i="10"/>
  <c r="R470" i="10"/>
  <c r="AL470" i="10"/>
  <c r="N471" i="10"/>
  <c r="P471" i="10" s="1"/>
  <c r="O471" i="10"/>
  <c r="R471" i="10"/>
  <c r="AL471" i="10"/>
  <c r="N472" i="10"/>
  <c r="P472" i="10" s="1"/>
  <c r="O472" i="10"/>
  <c r="R472" i="10"/>
  <c r="AL472" i="10"/>
  <c r="N473" i="10"/>
  <c r="P473" i="10" s="1"/>
  <c r="O473" i="10"/>
  <c r="R473" i="10"/>
  <c r="AL473" i="10"/>
  <c r="N475" i="10"/>
  <c r="P475" i="10" s="1"/>
  <c r="O475" i="10"/>
  <c r="R475" i="10"/>
  <c r="AL475" i="10"/>
  <c r="N476" i="10"/>
  <c r="P476" i="10" s="1"/>
  <c r="O476" i="10"/>
  <c r="R476" i="10"/>
  <c r="AL476" i="10"/>
  <c r="N477" i="10"/>
  <c r="P477" i="10" s="1"/>
  <c r="O477" i="10"/>
  <c r="R477" i="10"/>
  <c r="AL477" i="10"/>
  <c r="N478" i="10"/>
  <c r="P478" i="10" s="1"/>
  <c r="O478" i="10"/>
  <c r="R478" i="10"/>
  <c r="AL478" i="10"/>
  <c r="N479" i="10"/>
  <c r="P479" i="10" s="1"/>
  <c r="O479" i="10"/>
  <c r="R479" i="10"/>
  <c r="AL479" i="10"/>
  <c r="N480" i="10"/>
  <c r="P480" i="10" s="1"/>
  <c r="O480" i="10"/>
  <c r="R480" i="10"/>
  <c r="AL480" i="10"/>
  <c r="N481" i="10"/>
  <c r="P481" i="10" s="1"/>
  <c r="O481" i="10"/>
  <c r="R481" i="10"/>
  <c r="AL481" i="10"/>
  <c r="N484" i="10"/>
  <c r="P484" i="10" s="1"/>
  <c r="O484" i="10"/>
  <c r="R484" i="10"/>
  <c r="AL484" i="10"/>
  <c r="N485" i="10"/>
  <c r="P485" i="10" s="1"/>
  <c r="O485" i="10"/>
  <c r="R485" i="10"/>
  <c r="AL485" i="10"/>
  <c r="N486" i="10"/>
  <c r="P486" i="10" s="1"/>
  <c r="O486" i="10"/>
  <c r="R486" i="10"/>
  <c r="AL486" i="10"/>
  <c r="N482" i="10"/>
  <c r="P482" i="10" s="1"/>
  <c r="O482" i="10"/>
  <c r="R482" i="10"/>
  <c r="AL482" i="10"/>
  <c r="N483" i="10"/>
  <c r="P483" i="10" s="1"/>
  <c r="O483" i="10"/>
  <c r="R483" i="10"/>
  <c r="AL483" i="10"/>
  <c r="N487" i="10"/>
  <c r="P487" i="10" s="1"/>
  <c r="O487" i="10"/>
  <c r="R487" i="10"/>
  <c r="AL487" i="10"/>
  <c r="N488" i="10"/>
  <c r="O488" i="10"/>
  <c r="R488" i="10"/>
  <c r="AL488" i="10"/>
  <c r="N490" i="10"/>
  <c r="O490" i="10"/>
  <c r="R490" i="10"/>
  <c r="AL490" i="10"/>
  <c r="N492" i="10"/>
  <c r="O492" i="10"/>
  <c r="R492" i="10"/>
  <c r="AL492" i="10"/>
  <c r="N493" i="10"/>
  <c r="O493" i="10"/>
  <c r="R493" i="10"/>
  <c r="AL493" i="10"/>
  <c r="N495" i="10"/>
  <c r="O495" i="10"/>
  <c r="R495" i="10"/>
  <c r="AL495" i="10"/>
  <c r="N496" i="10"/>
  <c r="O496" i="10"/>
  <c r="R496" i="10"/>
  <c r="AL496" i="10"/>
  <c r="N498" i="10"/>
  <c r="O498" i="10"/>
  <c r="R498" i="10"/>
  <c r="AL498" i="10"/>
  <c r="N491" i="10"/>
  <c r="P491" i="10" s="1"/>
  <c r="O491" i="10"/>
  <c r="R491" i="10"/>
  <c r="AL491" i="10"/>
  <c r="N497" i="10"/>
  <c r="O497" i="10"/>
  <c r="R497" i="10"/>
  <c r="AL497" i="10"/>
  <c r="N390" i="10"/>
  <c r="O390" i="10"/>
  <c r="R390" i="10"/>
  <c r="AL390" i="10"/>
  <c r="N440" i="10"/>
  <c r="P440" i="10" s="1"/>
  <c r="O440" i="10"/>
  <c r="R440" i="10"/>
  <c r="AL440" i="10"/>
  <c r="N455" i="10"/>
  <c r="P455" i="10" s="1"/>
  <c r="O455" i="10"/>
  <c r="R455" i="10"/>
  <c r="AL455" i="10"/>
  <c r="N474" i="10"/>
  <c r="P474" i="10" s="1"/>
  <c r="O474" i="10"/>
  <c r="R474" i="10"/>
  <c r="AL474" i="10"/>
  <c r="N489" i="10"/>
  <c r="P489" i="10" s="1"/>
  <c r="O489" i="10"/>
  <c r="R489" i="10"/>
  <c r="AL489" i="10"/>
  <c r="N499" i="10"/>
  <c r="O499" i="10"/>
  <c r="R499" i="10"/>
  <c r="N500" i="10"/>
  <c r="O500" i="10"/>
  <c r="AL509" i="10"/>
  <c r="AL510" i="10"/>
  <c r="AL511" i="10"/>
  <c r="N512" i="10"/>
  <c r="O512" i="10"/>
  <c r="R512" i="10"/>
  <c r="AL512" i="10"/>
  <c r="N147" i="10"/>
  <c r="P147" i="10" s="1"/>
  <c r="N169" i="10"/>
  <c r="P169" i="10" s="1"/>
  <c r="R172" i="10"/>
  <c r="R181" i="10"/>
  <c r="N136" i="10"/>
  <c r="P136" i="10" s="1"/>
  <c r="A16" i="50"/>
  <c r="A38" i="50"/>
  <c r="A41" i="50"/>
  <c r="A20" i="50"/>
  <c r="A24" i="50"/>
  <c r="A26" i="50"/>
  <c r="A34" i="50"/>
  <c r="A22" i="50"/>
  <c r="A15" i="50"/>
  <c r="A18" i="50"/>
  <c r="A19" i="50"/>
  <c r="A30" i="50"/>
  <c r="A10" i="50"/>
  <c r="A40" i="50"/>
  <c r="A8" i="50"/>
  <c r="A36" i="50"/>
  <c r="A6" i="50"/>
  <c r="A33" i="50"/>
  <c r="A14" i="50"/>
  <c r="A39" i="50"/>
  <c r="J27" i="50"/>
  <c r="A27" i="50" s="1"/>
  <c r="A4" i="50"/>
  <c r="A9" i="50"/>
  <c r="A37" i="50"/>
  <c r="A32" i="50"/>
  <c r="A35" i="50"/>
  <c r="A44" i="50"/>
  <c r="A45" i="50"/>
  <c r="J46" i="50"/>
  <c r="A46" i="50" s="1"/>
  <c r="J47" i="50"/>
  <c r="A47" i="50" s="1"/>
  <c r="J48" i="50"/>
  <c r="A48" i="50" s="1"/>
  <c r="J49" i="50"/>
  <c r="A49" i="50" s="1"/>
  <c r="J50" i="50"/>
  <c r="A50" i="50" s="1"/>
  <c r="A42" i="50"/>
  <c r="J51" i="50"/>
  <c r="A51" i="50" s="1"/>
  <c r="A43" i="50"/>
  <c r="J52" i="50"/>
  <c r="A52" i="50" s="1"/>
  <c r="J53" i="50"/>
  <c r="A53" i="50" s="1"/>
  <c r="J54" i="50"/>
  <c r="A54" i="50" s="1"/>
  <c r="J55" i="50"/>
  <c r="A55" i="50" s="1"/>
  <c r="J56" i="50"/>
  <c r="A56" i="50" s="1"/>
  <c r="J57" i="50"/>
  <c r="A57" i="50" s="1"/>
  <c r="J58" i="50"/>
  <c r="A58" i="50" s="1"/>
  <c r="J59" i="50"/>
  <c r="A59" i="50" s="1"/>
  <c r="J60" i="50"/>
  <c r="A60" i="50" s="1"/>
  <c r="J61" i="50"/>
  <c r="A61" i="50" s="1"/>
  <c r="J62" i="50"/>
  <c r="A62" i="50" s="1"/>
  <c r="J63" i="50"/>
  <c r="A63" i="50" s="1"/>
  <c r="J64" i="50"/>
  <c r="A64" i="50" s="1"/>
  <c r="J65" i="50"/>
  <c r="A65" i="50" s="1"/>
  <c r="J66" i="50"/>
  <c r="A66" i="50" s="1"/>
  <c r="J67" i="50"/>
  <c r="A67" i="50" s="1"/>
  <c r="J68" i="50"/>
  <c r="A68" i="50" s="1"/>
  <c r="J69" i="50"/>
  <c r="A69" i="50" s="1"/>
  <c r="J70" i="50"/>
  <c r="A70" i="50" s="1"/>
  <c r="J71" i="50"/>
  <c r="A71" i="50" s="1"/>
  <c r="J72" i="50"/>
  <c r="A72" i="50" s="1"/>
  <c r="J73" i="50"/>
  <c r="A73" i="50" s="1"/>
  <c r="J74" i="50"/>
  <c r="A74" i="50" s="1"/>
  <c r="J75" i="50"/>
  <c r="A75" i="50" s="1"/>
  <c r="J76" i="50"/>
  <c r="A76" i="50" s="1"/>
  <c r="J77" i="50"/>
  <c r="A77" i="50" s="1"/>
  <c r="J78" i="50"/>
  <c r="A78" i="50" s="1"/>
  <c r="J79" i="50"/>
  <c r="A79" i="50" s="1"/>
  <c r="J80" i="50"/>
  <c r="A80" i="50" s="1"/>
  <c r="J81" i="50"/>
  <c r="A81" i="50" s="1"/>
  <c r="J82" i="50"/>
  <c r="A82" i="50" s="1"/>
  <c r="J83" i="50"/>
  <c r="A83" i="50" s="1"/>
  <c r="J84" i="50"/>
  <c r="A84" i="50" s="1"/>
  <c r="J85" i="50"/>
  <c r="A85" i="50" s="1"/>
  <c r="J86" i="50"/>
  <c r="A86" i="50" s="1"/>
  <c r="J87" i="50"/>
  <c r="A87" i="50" s="1"/>
  <c r="J88" i="50"/>
  <c r="A88" i="50" s="1"/>
  <c r="J89" i="50"/>
  <c r="A89" i="50" s="1"/>
  <c r="J90" i="50"/>
  <c r="A90" i="50" s="1"/>
  <c r="J91" i="50"/>
  <c r="A91" i="50" s="1"/>
  <c r="J92" i="50"/>
  <c r="A92" i="50" s="1"/>
  <c r="J93" i="50"/>
  <c r="A93" i="50" s="1"/>
  <c r="J94" i="50"/>
  <c r="A94" i="50" s="1"/>
  <c r="J95" i="50"/>
  <c r="A95" i="50" s="1"/>
  <c r="J96" i="50"/>
  <c r="A96" i="50" s="1"/>
  <c r="J97" i="50"/>
  <c r="A97" i="50" s="1"/>
  <c r="J98" i="50"/>
  <c r="A98" i="50" s="1"/>
  <c r="J99" i="50"/>
  <c r="A99" i="50" s="1"/>
  <c r="J100" i="50"/>
  <c r="A100" i="50" s="1"/>
  <c r="J101" i="50"/>
  <c r="A101" i="50" s="1"/>
  <c r="J102" i="50"/>
  <c r="A102" i="50" s="1"/>
  <c r="J103" i="50"/>
  <c r="A103" i="50" s="1"/>
  <c r="J104" i="50"/>
  <c r="A104" i="50" s="1"/>
  <c r="J105" i="50"/>
  <c r="A105" i="50" s="1"/>
  <c r="J106" i="50"/>
  <c r="A106" i="50" s="1"/>
  <c r="J107" i="50"/>
  <c r="A107" i="50" s="1"/>
  <c r="J108" i="50"/>
  <c r="A108" i="50" s="1"/>
  <c r="J109" i="50"/>
  <c r="A109" i="50" s="1"/>
  <c r="J110" i="50"/>
  <c r="A110" i="50" s="1"/>
  <c r="J111" i="50"/>
  <c r="A111" i="50" s="1"/>
  <c r="J112" i="50"/>
  <c r="A112" i="50" s="1"/>
  <c r="J113" i="50"/>
  <c r="A113" i="50" s="1"/>
  <c r="J114" i="50"/>
  <c r="A114" i="50" s="1"/>
  <c r="J115" i="50"/>
  <c r="A115" i="50" s="1"/>
  <c r="J116" i="50"/>
  <c r="A116" i="50" s="1"/>
  <c r="J117" i="50"/>
  <c r="A117" i="50" s="1"/>
  <c r="J118" i="50"/>
  <c r="A118" i="50" s="1"/>
  <c r="J119" i="50"/>
  <c r="A119" i="50" s="1"/>
  <c r="J120" i="50"/>
  <c r="A120" i="50" s="1"/>
  <c r="J121" i="50"/>
  <c r="A121" i="50" s="1"/>
  <c r="J122" i="50"/>
  <c r="A122" i="50" s="1"/>
  <c r="J123" i="50"/>
  <c r="A123" i="50" s="1"/>
  <c r="J124" i="50"/>
  <c r="A124" i="50" s="1"/>
  <c r="J125" i="50"/>
  <c r="A125" i="50" s="1"/>
  <c r="J126" i="50"/>
  <c r="A126" i="50" s="1"/>
  <c r="J127" i="50"/>
  <c r="A127" i="50" s="1"/>
  <c r="J128" i="50"/>
  <c r="A128" i="50" s="1"/>
  <c r="J129" i="50"/>
  <c r="A129" i="50" s="1"/>
  <c r="J130" i="50"/>
  <c r="A130" i="50" s="1"/>
  <c r="J131" i="50"/>
  <c r="A131" i="50" s="1"/>
  <c r="J132" i="50"/>
  <c r="A132" i="50" s="1"/>
  <c r="J133" i="50"/>
  <c r="A133" i="50" s="1"/>
  <c r="J134" i="50"/>
  <c r="A134" i="50" s="1"/>
  <c r="J135" i="50"/>
  <c r="A135" i="50" s="1"/>
  <c r="J136" i="50"/>
  <c r="A136" i="50" s="1"/>
  <c r="J137" i="50"/>
  <c r="A137" i="50" s="1"/>
  <c r="J138" i="50"/>
  <c r="A138" i="50" s="1"/>
  <c r="J139" i="50"/>
  <c r="A139" i="50" s="1"/>
  <c r="J140" i="50"/>
  <c r="A140" i="50" s="1"/>
  <c r="J141" i="50"/>
  <c r="A141" i="50" s="1"/>
  <c r="J142" i="50"/>
  <c r="A142" i="50" s="1"/>
  <c r="J143" i="50"/>
  <c r="A143" i="50" s="1"/>
  <c r="J144" i="50"/>
  <c r="A144" i="50" s="1"/>
  <c r="J145" i="50"/>
  <c r="A145" i="50" s="1"/>
  <c r="J146" i="50"/>
  <c r="A146" i="50" s="1"/>
  <c r="J147" i="50"/>
  <c r="A147" i="50" s="1"/>
  <c r="J148" i="50"/>
  <c r="A148" i="50" s="1"/>
  <c r="J149" i="50"/>
  <c r="A149" i="50" s="1"/>
  <c r="J150" i="50"/>
  <c r="A150" i="50" s="1"/>
  <c r="J151" i="50"/>
  <c r="A151" i="50" s="1"/>
  <c r="J152" i="50"/>
  <c r="A152" i="50" s="1"/>
  <c r="J153" i="50"/>
  <c r="A153" i="50" s="1"/>
  <c r="J154" i="50"/>
  <c r="A154" i="50" s="1"/>
  <c r="J155" i="50"/>
  <c r="A155" i="50" s="1"/>
  <c r="J156" i="50"/>
  <c r="A156" i="50" s="1"/>
  <c r="J157" i="50"/>
  <c r="A157" i="50" s="1"/>
  <c r="J158" i="50"/>
  <c r="A158" i="50" s="1"/>
  <c r="J159" i="50"/>
  <c r="A159" i="50" s="1"/>
  <c r="J160" i="50"/>
  <c r="A160" i="50" s="1"/>
  <c r="J161" i="50"/>
  <c r="A161" i="50" s="1"/>
  <c r="J162" i="50"/>
  <c r="A162" i="50" s="1"/>
  <c r="J163" i="50"/>
  <c r="A163" i="50" s="1"/>
  <c r="J164" i="50"/>
  <c r="A164" i="50" s="1"/>
  <c r="J165" i="50"/>
  <c r="A165" i="50" s="1"/>
  <c r="J166" i="50"/>
  <c r="A166" i="50" s="1"/>
  <c r="J167" i="50"/>
  <c r="A167" i="50" s="1"/>
  <c r="J168" i="50"/>
  <c r="A168" i="50" s="1"/>
  <c r="J169" i="50"/>
  <c r="A169" i="50" s="1"/>
  <c r="J170" i="50"/>
  <c r="A170" i="50" s="1"/>
  <c r="J171" i="50"/>
  <c r="A171" i="50" s="1"/>
  <c r="J172" i="50"/>
  <c r="A172" i="50" s="1"/>
  <c r="J173" i="50"/>
  <c r="A173" i="50" s="1"/>
  <c r="J174" i="50"/>
  <c r="A174" i="50" s="1"/>
  <c r="J175" i="50"/>
  <c r="A175" i="50" s="1"/>
  <c r="J176" i="50"/>
  <c r="A176" i="50" s="1"/>
  <c r="J177" i="50"/>
  <c r="A177" i="50" s="1"/>
  <c r="J178" i="50"/>
  <c r="A178" i="50" s="1"/>
  <c r="J179" i="50"/>
  <c r="A179" i="50" s="1"/>
  <c r="J180" i="50"/>
  <c r="A180" i="50" s="1"/>
  <c r="J181" i="50"/>
  <c r="A181" i="50" s="1"/>
  <c r="J182" i="50"/>
  <c r="A182" i="50" s="1"/>
  <c r="J183" i="50"/>
  <c r="A183" i="50" s="1"/>
  <c r="J184" i="50"/>
  <c r="A184" i="50" s="1"/>
  <c r="J185" i="50"/>
  <c r="A185" i="50" s="1"/>
  <c r="J186" i="50"/>
  <c r="A186" i="50" s="1"/>
  <c r="J187" i="50"/>
  <c r="A187" i="50" s="1"/>
  <c r="J188" i="50"/>
  <c r="A188" i="50" s="1"/>
  <c r="J189" i="50"/>
  <c r="A189" i="50" s="1"/>
  <c r="J190" i="50"/>
  <c r="A190" i="50" s="1"/>
  <c r="J191" i="50"/>
  <c r="A191" i="50" s="1"/>
  <c r="J192" i="50"/>
  <c r="A192" i="50" s="1"/>
  <c r="J193" i="50"/>
  <c r="A193" i="50" s="1"/>
  <c r="J194" i="50"/>
  <c r="A194" i="50" s="1"/>
  <c r="J195" i="50"/>
  <c r="A195" i="50" s="1"/>
  <c r="J196" i="50"/>
  <c r="A196" i="50" s="1"/>
  <c r="J197" i="50"/>
  <c r="A197" i="50" s="1"/>
  <c r="J198" i="50"/>
  <c r="A198" i="50" s="1"/>
  <c r="J199" i="50"/>
  <c r="A199" i="50" s="1"/>
  <c r="J200" i="50"/>
  <c r="A200" i="50" s="1"/>
  <c r="J201" i="50"/>
  <c r="A201" i="50" s="1"/>
  <c r="J202" i="50"/>
  <c r="A202" i="50" s="1"/>
  <c r="J203" i="50"/>
  <c r="A203" i="50" s="1"/>
  <c r="J204" i="50"/>
  <c r="A204" i="50" s="1"/>
  <c r="J205" i="50"/>
  <c r="A205" i="50" s="1"/>
  <c r="J206" i="50"/>
  <c r="A206" i="50" s="1"/>
  <c r="J207" i="50"/>
  <c r="A207" i="50" s="1"/>
  <c r="J208" i="50"/>
  <c r="A208" i="50" s="1"/>
  <c r="J209" i="50"/>
  <c r="A209" i="50" s="1"/>
  <c r="J210" i="50"/>
  <c r="A210" i="50" s="1"/>
  <c r="J211" i="50"/>
  <c r="A211" i="50" s="1"/>
  <c r="J212" i="50"/>
  <c r="A212" i="50" s="1"/>
  <c r="J213" i="50"/>
  <c r="A213" i="50" s="1"/>
  <c r="J214" i="50"/>
  <c r="A214" i="50" s="1"/>
  <c r="J215" i="50"/>
  <c r="A215" i="50" s="1"/>
  <c r="J216" i="50"/>
  <c r="A216" i="50" s="1"/>
  <c r="J217" i="50"/>
  <c r="A217" i="50" s="1"/>
  <c r="J218" i="50"/>
  <c r="A218" i="50" s="1"/>
  <c r="J219" i="50"/>
  <c r="A219" i="50" s="1"/>
  <c r="J220" i="50"/>
  <c r="A220" i="50" s="1"/>
  <c r="J221" i="50"/>
  <c r="A221" i="50" s="1"/>
  <c r="J222" i="50"/>
  <c r="A222" i="50" s="1"/>
  <c r="J223" i="50"/>
  <c r="A223" i="50" s="1"/>
  <c r="J224" i="50"/>
  <c r="A224" i="50" s="1"/>
  <c r="J225" i="50"/>
  <c r="A225" i="50" s="1"/>
  <c r="J226" i="50"/>
  <c r="A226" i="50" s="1"/>
  <c r="J227" i="50"/>
  <c r="A227" i="50" s="1"/>
  <c r="J228" i="50"/>
  <c r="A228" i="50" s="1"/>
  <c r="J229" i="50"/>
  <c r="A229" i="50" s="1"/>
  <c r="J230" i="50"/>
  <c r="A230" i="50" s="1"/>
  <c r="J231" i="50"/>
  <c r="A231" i="50" s="1"/>
  <c r="J232" i="50"/>
  <c r="A232" i="50" s="1"/>
  <c r="J233" i="50"/>
  <c r="A233" i="50" s="1"/>
  <c r="J234" i="50"/>
  <c r="A234" i="50" s="1"/>
  <c r="J235" i="50"/>
  <c r="A235" i="50" s="1"/>
  <c r="J236" i="50"/>
  <c r="A236" i="50" s="1"/>
  <c r="J237" i="50"/>
  <c r="A237" i="50" s="1"/>
  <c r="J238" i="50"/>
  <c r="A238" i="50" s="1"/>
  <c r="J239" i="50"/>
  <c r="A239" i="50" s="1"/>
  <c r="J240" i="50"/>
  <c r="A240" i="50" s="1"/>
  <c r="J241" i="50"/>
  <c r="A241" i="50" s="1"/>
  <c r="J242" i="50"/>
  <c r="A242" i="50" s="1"/>
  <c r="J243" i="50"/>
  <c r="A243" i="50" s="1"/>
  <c r="J244" i="50"/>
  <c r="A244" i="50" s="1"/>
  <c r="J245" i="50"/>
  <c r="A245" i="50" s="1"/>
  <c r="J246" i="50"/>
  <c r="A246" i="50" s="1"/>
  <c r="J247" i="50"/>
  <c r="A247" i="50" s="1"/>
  <c r="J248" i="50"/>
  <c r="A248" i="50" s="1"/>
  <c r="J249" i="50"/>
  <c r="A249" i="50" s="1"/>
  <c r="J250" i="50"/>
  <c r="A250" i="50" s="1"/>
  <c r="J251" i="50"/>
  <c r="A251" i="50" s="1"/>
  <c r="J252" i="50"/>
  <c r="A252" i="50" s="1"/>
  <c r="J253" i="50"/>
  <c r="A253" i="50" s="1"/>
  <c r="J254" i="50"/>
  <c r="A254" i="50" s="1"/>
  <c r="J255" i="50"/>
  <c r="A255" i="50" s="1"/>
  <c r="J256" i="50"/>
  <c r="A256" i="50" s="1"/>
  <c r="J257" i="50"/>
  <c r="A257" i="50" s="1"/>
  <c r="J258" i="50"/>
  <c r="A258" i="50" s="1"/>
  <c r="J259" i="50"/>
  <c r="A259" i="50" s="1"/>
  <c r="J260" i="50"/>
  <c r="A260" i="50" s="1"/>
  <c r="J261" i="50"/>
  <c r="A261" i="50" s="1"/>
  <c r="J262" i="50"/>
  <c r="A262" i="50" s="1"/>
  <c r="J263" i="50"/>
  <c r="A263" i="50" s="1"/>
  <c r="J264" i="50"/>
  <c r="A264" i="50" s="1"/>
  <c r="J265" i="50"/>
  <c r="A265" i="50" s="1"/>
  <c r="J266" i="50"/>
  <c r="A266" i="50" s="1"/>
  <c r="J267" i="50"/>
  <c r="A267" i="50" s="1"/>
  <c r="J268" i="50"/>
  <c r="A268" i="50" s="1"/>
  <c r="J269" i="50"/>
  <c r="A269" i="50" s="1"/>
  <c r="J270" i="50"/>
  <c r="A270" i="50" s="1"/>
  <c r="J271" i="50"/>
  <c r="A271" i="50" s="1"/>
  <c r="J272" i="50"/>
  <c r="A272" i="50" s="1"/>
  <c r="J273" i="50"/>
  <c r="A273" i="50" s="1"/>
  <c r="J274" i="50"/>
  <c r="A274" i="50" s="1"/>
  <c r="J275" i="50"/>
  <c r="A275" i="50" s="1"/>
  <c r="J276" i="50"/>
  <c r="A276" i="50" s="1"/>
  <c r="J277" i="50"/>
  <c r="A277" i="50" s="1"/>
  <c r="J278" i="50"/>
  <c r="A278" i="50" s="1"/>
  <c r="J279" i="50"/>
  <c r="A279" i="50" s="1"/>
  <c r="J280" i="50"/>
  <c r="A280" i="50" s="1"/>
  <c r="J281" i="50"/>
  <c r="A281" i="50" s="1"/>
  <c r="J282" i="50"/>
  <c r="A282" i="50" s="1"/>
  <c r="J283" i="50"/>
  <c r="A283" i="50" s="1"/>
  <c r="J284" i="50"/>
  <c r="A284" i="50" s="1"/>
  <c r="J285" i="50"/>
  <c r="A285" i="50" s="1"/>
  <c r="J286" i="50"/>
  <c r="A286" i="50" s="1"/>
  <c r="J287" i="50"/>
  <c r="A287" i="50" s="1"/>
  <c r="J288" i="50"/>
  <c r="A288" i="50" s="1"/>
  <c r="J289" i="50"/>
  <c r="A289" i="50" s="1"/>
  <c r="J290" i="50"/>
  <c r="A290" i="50" s="1"/>
  <c r="J291" i="50"/>
  <c r="A291" i="50" s="1"/>
  <c r="J292" i="50"/>
  <c r="A292" i="50" s="1"/>
  <c r="J293" i="50"/>
  <c r="A293" i="50" s="1"/>
  <c r="J294" i="50"/>
  <c r="A294" i="50" s="1"/>
  <c r="J295" i="50"/>
  <c r="A295" i="50" s="1"/>
  <c r="J296" i="50"/>
  <c r="A296" i="50" s="1"/>
  <c r="J297" i="50"/>
  <c r="A297" i="50" s="1"/>
  <c r="J298" i="50"/>
  <c r="A298" i="50" s="1"/>
  <c r="J299" i="50"/>
  <c r="A299" i="50" s="1"/>
  <c r="J300" i="50"/>
  <c r="A300" i="50" s="1"/>
  <c r="J301" i="50"/>
  <c r="A301" i="50" s="1"/>
  <c r="J302" i="50"/>
  <c r="A302" i="50" s="1"/>
  <c r="J303" i="50"/>
  <c r="A303" i="50" s="1"/>
  <c r="J304" i="50"/>
  <c r="A304" i="50" s="1"/>
  <c r="J305" i="50"/>
  <c r="A305" i="50" s="1"/>
  <c r="J306" i="50"/>
  <c r="A306" i="50" s="1"/>
  <c r="J307" i="50"/>
  <c r="A307" i="50" s="1"/>
  <c r="J308" i="50"/>
  <c r="A308" i="50" s="1"/>
  <c r="J309" i="50"/>
  <c r="A309" i="50" s="1"/>
  <c r="J310" i="50"/>
  <c r="A310" i="50" s="1"/>
  <c r="J311" i="50"/>
  <c r="A311" i="50" s="1"/>
  <c r="J312" i="50"/>
  <c r="A312" i="50" s="1"/>
  <c r="J313" i="50"/>
  <c r="A313" i="50" s="1"/>
  <c r="J314" i="50"/>
  <c r="A314" i="50" s="1"/>
  <c r="J315" i="50"/>
  <c r="A315" i="50" s="1"/>
  <c r="J316" i="50"/>
  <c r="A316" i="50" s="1"/>
  <c r="J317" i="50"/>
  <c r="A317" i="50" s="1"/>
  <c r="J318" i="50"/>
  <c r="A318" i="50" s="1"/>
  <c r="J319" i="50"/>
  <c r="A319" i="50" s="1"/>
  <c r="J320" i="50"/>
  <c r="A320" i="50" s="1"/>
  <c r="J321" i="50"/>
  <c r="A321" i="50" s="1"/>
  <c r="J322" i="50"/>
  <c r="A322" i="50" s="1"/>
  <c r="J323" i="50"/>
  <c r="A323" i="50" s="1"/>
  <c r="J324" i="50"/>
  <c r="A324" i="50" s="1"/>
  <c r="J325" i="50"/>
  <c r="A325" i="50" s="1"/>
  <c r="J326" i="50"/>
  <c r="A326" i="50" s="1"/>
  <c r="J327" i="50"/>
  <c r="A327" i="50" s="1"/>
  <c r="J328" i="50"/>
  <c r="A328" i="50" s="1"/>
  <c r="J329" i="50"/>
  <c r="A329" i="50" s="1"/>
  <c r="J330" i="50"/>
  <c r="A330" i="50" s="1"/>
  <c r="J331" i="50"/>
  <c r="A331" i="50" s="1"/>
  <c r="J332" i="50"/>
  <c r="A332" i="50" s="1"/>
  <c r="J333" i="50"/>
  <c r="A333" i="50" s="1"/>
  <c r="J334" i="50"/>
  <c r="A334" i="50" s="1"/>
  <c r="J335" i="50"/>
  <c r="A335" i="50" s="1"/>
  <c r="J336" i="50"/>
  <c r="A336" i="50" s="1"/>
  <c r="J337" i="50"/>
  <c r="A337" i="50" s="1"/>
  <c r="J338" i="50"/>
  <c r="A338" i="50" s="1"/>
  <c r="J339" i="50"/>
  <c r="A339" i="50" s="1"/>
  <c r="J340" i="50"/>
  <c r="A340" i="50" s="1"/>
  <c r="J341" i="50"/>
  <c r="A341" i="50" s="1"/>
  <c r="J342" i="50"/>
  <c r="A342" i="50" s="1"/>
  <c r="J343" i="50"/>
  <c r="A343" i="50" s="1"/>
  <c r="J344" i="50"/>
  <c r="A344" i="50" s="1"/>
  <c r="J345" i="50"/>
  <c r="A345" i="50" s="1"/>
  <c r="J346" i="50"/>
  <c r="A346" i="50" s="1"/>
  <c r="J347" i="50"/>
  <c r="A347" i="50" s="1"/>
  <c r="J348" i="50"/>
  <c r="A348" i="50" s="1"/>
  <c r="J349" i="50"/>
  <c r="A349" i="50" s="1"/>
  <c r="J350" i="50"/>
  <c r="A350" i="50" s="1"/>
  <c r="J351" i="50"/>
  <c r="A351" i="50" s="1"/>
  <c r="J352" i="50"/>
  <c r="A352" i="50" s="1"/>
  <c r="J353" i="50"/>
  <c r="A353" i="50" s="1"/>
  <c r="J354" i="50"/>
  <c r="A354" i="50" s="1"/>
  <c r="J355" i="50"/>
  <c r="A355" i="50" s="1"/>
  <c r="J356" i="50"/>
  <c r="A356" i="50" s="1"/>
  <c r="J357" i="50"/>
  <c r="A357" i="50" s="1"/>
  <c r="J358" i="50"/>
  <c r="A358" i="50" s="1"/>
  <c r="J359" i="50"/>
  <c r="A359" i="50" s="1"/>
  <c r="J360" i="50"/>
  <c r="A360" i="50" s="1"/>
  <c r="J361" i="50"/>
  <c r="A361" i="50" s="1"/>
  <c r="J362" i="50"/>
  <c r="A362" i="50" s="1"/>
  <c r="J363" i="50"/>
  <c r="A363" i="50" s="1"/>
  <c r="J364" i="50"/>
  <c r="A364" i="50" s="1"/>
  <c r="J365" i="50"/>
  <c r="A365" i="50" s="1"/>
  <c r="J366" i="50"/>
  <c r="A366" i="50" s="1"/>
  <c r="J367" i="50"/>
  <c r="A367" i="50" s="1"/>
  <c r="J368" i="50"/>
  <c r="A368" i="50" s="1"/>
  <c r="J369" i="50"/>
  <c r="A369" i="50" s="1"/>
  <c r="J370" i="50"/>
  <c r="A370" i="50" s="1"/>
  <c r="J371" i="50"/>
  <c r="A371" i="50" s="1"/>
  <c r="J372" i="50"/>
  <c r="A372" i="50" s="1"/>
  <c r="J373" i="50"/>
  <c r="A373" i="50" s="1"/>
  <c r="J374" i="50"/>
  <c r="A374" i="50" s="1"/>
  <c r="J375" i="50"/>
  <c r="A375" i="50" s="1"/>
  <c r="J376" i="50"/>
  <c r="A376" i="50" s="1"/>
  <c r="J377" i="50"/>
  <c r="A377" i="50" s="1"/>
  <c r="J378" i="50"/>
  <c r="A378" i="50" s="1"/>
  <c r="J379" i="50"/>
  <c r="A379" i="50" s="1"/>
  <c r="J380" i="50"/>
  <c r="A380" i="50" s="1"/>
  <c r="J381" i="50"/>
  <c r="A381" i="50" s="1"/>
  <c r="J382" i="50"/>
  <c r="A382" i="50" s="1"/>
  <c r="J383" i="50"/>
  <c r="A383" i="50" s="1"/>
  <c r="J384" i="50"/>
  <c r="A384" i="50" s="1"/>
  <c r="J385" i="50"/>
  <c r="A385" i="50" s="1"/>
  <c r="J386" i="50"/>
  <c r="A386" i="50" s="1"/>
  <c r="J387" i="50"/>
  <c r="A387" i="50" s="1"/>
  <c r="J388" i="50"/>
  <c r="A388" i="50" s="1"/>
  <c r="J389" i="50"/>
  <c r="A389" i="50" s="1"/>
  <c r="J390" i="50"/>
  <c r="A390" i="50" s="1"/>
  <c r="J391" i="50"/>
  <c r="A391" i="50" s="1"/>
  <c r="J392" i="50"/>
  <c r="A392" i="50" s="1"/>
  <c r="J393" i="50"/>
  <c r="A393" i="50" s="1"/>
  <c r="J394" i="50"/>
  <c r="A394" i="50" s="1"/>
  <c r="J395" i="50"/>
  <c r="A395" i="50" s="1"/>
  <c r="J396" i="50"/>
  <c r="A396" i="50" s="1"/>
  <c r="J397" i="50"/>
  <c r="A397" i="50" s="1"/>
  <c r="J398" i="50"/>
  <c r="A398" i="50" s="1"/>
  <c r="J399" i="50"/>
  <c r="A399" i="50" s="1"/>
  <c r="J400" i="50"/>
  <c r="A400" i="50" s="1"/>
  <c r="J401" i="50"/>
  <c r="A401" i="50" s="1"/>
  <c r="J402" i="50"/>
  <c r="A402" i="50" s="1"/>
  <c r="J403" i="50"/>
  <c r="A403" i="50" s="1"/>
  <c r="J404" i="50"/>
  <c r="A404" i="50" s="1"/>
  <c r="J405" i="50"/>
  <c r="A405" i="50" s="1"/>
  <c r="J406" i="50"/>
  <c r="A406" i="50" s="1"/>
  <c r="J407" i="50"/>
  <c r="A407" i="50" s="1"/>
  <c r="J408" i="50"/>
  <c r="A408" i="50" s="1"/>
  <c r="J409" i="50"/>
  <c r="A409" i="50" s="1"/>
  <c r="J410" i="50"/>
  <c r="A410" i="50" s="1"/>
  <c r="J411" i="50"/>
  <c r="A411" i="50" s="1"/>
  <c r="J412" i="50"/>
  <c r="A412" i="50" s="1"/>
  <c r="J413" i="50"/>
  <c r="A413" i="50" s="1"/>
  <c r="J414" i="50"/>
  <c r="A414" i="50" s="1"/>
  <c r="J415" i="50"/>
  <c r="A415" i="50" s="1"/>
  <c r="J416" i="50"/>
  <c r="A416" i="50" s="1"/>
  <c r="J417" i="50"/>
  <c r="A417" i="50" s="1"/>
  <c r="J418" i="50"/>
  <c r="A418" i="50" s="1"/>
  <c r="J419" i="50"/>
  <c r="A419" i="50" s="1"/>
  <c r="J420" i="50"/>
  <c r="A420" i="50" s="1"/>
  <c r="J421" i="50"/>
  <c r="A421" i="50" s="1"/>
  <c r="J422" i="50"/>
  <c r="A422" i="50" s="1"/>
  <c r="J423" i="50"/>
  <c r="A423" i="50" s="1"/>
  <c r="J424" i="50"/>
  <c r="A424" i="50" s="1"/>
  <c r="J425" i="50"/>
  <c r="A425" i="50" s="1"/>
  <c r="J426" i="50"/>
  <c r="A426" i="50" s="1"/>
  <c r="J427" i="50"/>
  <c r="A427" i="50" s="1"/>
  <c r="J428" i="50"/>
  <c r="A428" i="50" s="1"/>
  <c r="J429" i="50"/>
  <c r="A429" i="50" s="1"/>
  <c r="J430" i="50"/>
  <c r="A430" i="50" s="1"/>
  <c r="J431" i="50"/>
  <c r="A431" i="50" s="1"/>
  <c r="J432" i="50"/>
  <c r="A432" i="50" s="1"/>
  <c r="J433" i="50"/>
  <c r="A433" i="50" s="1"/>
  <c r="J434" i="50"/>
  <c r="A434" i="50" s="1"/>
  <c r="J435" i="50"/>
  <c r="A435" i="50" s="1"/>
  <c r="J436" i="50"/>
  <c r="A436" i="50" s="1"/>
  <c r="J437" i="50"/>
  <c r="A437" i="50" s="1"/>
  <c r="J438" i="50"/>
  <c r="A438" i="50" s="1"/>
  <c r="J439" i="50"/>
  <c r="A439" i="50" s="1"/>
  <c r="J440" i="50"/>
  <c r="A440" i="50" s="1"/>
  <c r="J441" i="50"/>
  <c r="A441" i="50" s="1"/>
  <c r="J442" i="50"/>
  <c r="A442" i="50" s="1"/>
  <c r="J443" i="50"/>
  <c r="A443" i="50" s="1"/>
  <c r="J444" i="50"/>
  <c r="A444" i="50" s="1"/>
  <c r="J445" i="50"/>
  <c r="A445" i="50" s="1"/>
  <c r="J446" i="50"/>
  <c r="A446" i="50" s="1"/>
  <c r="J447" i="50"/>
  <c r="A447" i="50" s="1"/>
  <c r="J448" i="50"/>
  <c r="A448" i="50" s="1"/>
  <c r="J449" i="50"/>
  <c r="A449" i="50" s="1"/>
  <c r="J450" i="50"/>
  <c r="A450" i="50" s="1"/>
  <c r="J451" i="50"/>
  <c r="A451" i="50" s="1"/>
  <c r="J452" i="50"/>
  <c r="A452" i="50" s="1"/>
  <c r="J453" i="50"/>
  <c r="A453" i="50" s="1"/>
  <c r="J454" i="50"/>
  <c r="A454" i="50" s="1"/>
  <c r="J455" i="50"/>
  <c r="A455" i="50" s="1"/>
  <c r="J456" i="50"/>
  <c r="A456" i="50" s="1"/>
  <c r="J457" i="50"/>
  <c r="A457" i="50" s="1"/>
  <c r="J458" i="50"/>
  <c r="A458" i="50" s="1"/>
  <c r="J459" i="50"/>
  <c r="A459" i="50" s="1"/>
  <c r="J460" i="50"/>
  <c r="A460" i="50" s="1"/>
  <c r="J461" i="50"/>
  <c r="A461" i="50" s="1"/>
  <c r="J462" i="50"/>
  <c r="A462" i="50" s="1"/>
  <c r="J463" i="50"/>
  <c r="A463" i="50" s="1"/>
  <c r="J464" i="50"/>
  <c r="A464" i="50" s="1"/>
  <c r="J465" i="50"/>
  <c r="A465" i="50" s="1"/>
  <c r="J466" i="50"/>
  <c r="A466" i="50" s="1"/>
  <c r="J467" i="50"/>
  <c r="A467" i="50" s="1"/>
  <c r="J468" i="50"/>
  <c r="A468" i="50" s="1"/>
  <c r="J469" i="50"/>
  <c r="A469" i="50" s="1"/>
  <c r="J470" i="50"/>
  <c r="A470" i="50" s="1"/>
  <c r="J471" i="50"/>
  <c r="A471" i="50" s="1"/>
  <c r="J472" i="50"/>
  <c r="A472" i="50" s="1"/>
  <c r="J473" i="50"/>
  <c r="A473" i="50" s="1"/>
  <c r="J474" i="50"/>
  <c r="A474" i="50" s="1"/>
  <c r="J475" i="50"/>
  <c r="A475" i="50" s="1"/>
  <c r="J476" i="50"/>
  <c r="A476" i="50" s="1"/>
  <c r="J477" i="50"/>
  <c r="A477" i="50" s="1"/>
  <c r="J478" i="50"/>
  <c r="A478" i="50" s="1"/>
  <c r="J479" i="50"/>
  <c r="A479" i="50" s="1"/>
  <c r="J480" i="50"/>
  <c r="A480" i="50" s="1"/>
  <c r="J481" i="50"/>
  <c r="A481" i="50" s="1"/>
  <c r="J482" i="50"/>
  <c r="A482" i="50" s="1"/>
  <c r="J483" i="50"/>
  <c r="A483" i="50" s="1"/>
  <c r="J484" i="50"/>
  <c r="A484" i="50" s="1"/>
  <c r="J485" i="50"/>
  <c r="A485" i="50" s="1"/>
  <c r="J486" i="50"/>
  <c r="A486" i="50" s="1"/>
  <c r="J487" i="50"/>
  <c r="A487" i="50" s="1"/>
  <c r="J488" i="50"/>
  <c r="A488" i="50" s="1"/>
  <c r="J489" i="50"/>
  <c r="A489" i="50" s="1"/>
  <c r="J490" i="50"/>
  <c r="A490" i="50" s="1"/>
  <c r="J491" i="50"/>
  <c r="A491" i="50" s="1"/>
  <c r="J492" i="50"/>
  <c r="A492" i="50" s="1"/>
  <c r="J493" i="50"/>
  <c r="A493" i="50" s="1"/>
  <c r="J494" i="50"/>
  <c r="A494" i="50" s="1"/>
  <c r="J495" i="50"/>
  <c r="A495" i="50" s="1"/>
  <c r="J496" i="50"/>
  <c r="A496" i="50" s="1"/>
  <c r="J497" i="50"/>
  <c r="A497" i="50" s="1"/>
  <c r="J498" i="50"/>
  <c r="A498" i="50" s="1"/>
  <c r="J499" i="50"/>
  <c r="A499" i="50" s="1"/>
  <c r="J500" i="50"/>
  <c r="A500" i="50" s="1"/>
  <c r="J501" i="50"/>
  <c r="A501" i="50" s="1"/>
  <c r="J502" i="50"/>
  <c r="A502" i="50" s="1"/>
  <c r="J503" i="50"/>
  <c r="A503" i="50" s="1"/>
  <c r="J504" i="50"/>
  <c r="A504" i="50" s="1"/>
  <c r="J505" i="50"/>
  <c r="A505" i="50" s="1"/>
  <c r="J506" i="50"/>
  <c r="A506" i="50" s="1"/>
  <c r="J507" i="50"/>
  <c r="A507" i="50" s="1"/>
  <c r="J508" i="50"/>
  <c r="A508" i="50" s="1"/>
  <c r="J509" i="50"/>
  <c r="A509" i="50" s="1"/>
  <c r="J510" i="50"/>
  <c r="A510" i="50" s="1"/>
  <c r="J511" i="50"/>
  <c r="A511" i="50" s="1"/>
  <c r="J512" i="50"/>
  <c r="A512" i="50" s="1"/>
  <c r="J513" i="50"/>
  <c r="A513" i="50" s="1"/>
  <c r="J514" i="50"/>
  <c r="A514" i="50" s="1"/>
  <c r="J515" i="50"/>
  <c r="A515" i="50" s="1"/>
  <c r="J516" i="50"/>
  <c r="A516" i="50" s="1"/>
  <c r="J517" i="50"/>
  <c r="A517" i="50" s="1"/>
  <c r="J518" i="50"/>
  <c r="A518" i="50" s="1"/>
  <c r="J519" i="50"/>
  <c r="A519" i="50" s="1"/>
  <c r="J520" i="50"/>
  <c r="A520" i="50" s="1"/>
  <c r="J521" i="50"/>
  <c r="A521" i="50" s="1"/>
  <c r="J522" i="50"/>
  <c r="A522" i="50" s="1"/>
  <c r="J523" i="50"/>
  <c r="A523" i="50" s="1"/>
  <c r="J524" i="50"/>
  <c r="A524" i="50" s="1"/>
  <c r="J525" i="50"/>
  <c r="A525" i="50" s="1"/>
  <c r="J526" i="50"/>
  <c r="A526" i="50" s="1"/>
  <c r="J527" i="50"/>
  <c r="A527" i="50" s="1"/>
  <c r="J528" i="50"/>
  <c r="A528" i="50" s="1"/>
  <c r="J529" i="50"/>
  <c r="A529" i="50" s="1"/>
  <c r="J530" i="50"/>
  <c r="A530" i="50" s="1"/>
  <c r="J531" i="50"/>
  <c r="A531" i="50" s="1"/>
  <c r="J532" i="50"/>
  <c r="A532" i="50" s="1"/>
  <c r="J533" i="50"/>
  <c r="A533" i="50" s="1"/>
  <c r="J534" i="50"/>
  <c r="A534" i="50" s="1"/>
  <c r="J535" i="50"/>
  <c r="A535" i="50" s="1"/>
  <c r="J536" i="50"/>
  <c r="A536" i="50" s="1"/>
  <c r="J537" i="50"/>
  <c r="A537" i="50" s="1"/>
  <c r="J538" i="50"/>
  <c r="A538" i="50" s="1"/>
  <c r="J539" i="50"/>
  <c r="A539" i="50" s="1"/>
  <c r="J540" i="50"/>
  <c r="A540" i="50" s="1"/>
  <c r="J541" i="50"/>
  <c r="A541" i="50" s="1"/>
  <c r="J542" i="50"/>
  <c r="A542" i="50" s="1"/>
  <c r="J543" i="50"/>
  <c r="A543" i="50" s="1"/>
  <c r="J544" i="50"/>
  <c r="A544" i="50" s="1"/>
  <c r="J545" i="50"/>
  <c r="A545" i="50" s="1"/>
  <c r="J546" i="50"/>
  <c r="A546" i="50" s="1"/>
  <c r="J547" i="50"/>
  <c r="A547" i="50" s="1"/>
  <c r="J548" i="50"/>
  <c r="A548" i="50" s="1"/>
  <c r="J549" i="50"/>
  <c r="A549" i="50" s="1"/>
  <c r="J550" i="50"/>
  <c r="A550" i="50" s="1"/>
  <c r="J551" i="50"/>
  <c r="A551" i="50" s="1"/>
  <c r="J552" i="50"/>
  <c r="A552" i="50" s="1"/>
  <c r="J553" i="50"/>
  <c r="A553" i="50" s="1"/>
  <c r="J554" i="50"/>
  <c r="A554" i="50" s="1"/>
  <c r="J555" i="50"/>
  <c r="A555" i="50" s="1"/>
  <c r="J556" i="50"/>
  <c r="A556" i="50" s="1"/>
  <c r="J557" i="50"/>
  <c r="A557" i="50" s="1"/>
  <c r="J558" i="50"/>
  <c r="A558" i="50" s="1"/>
  <c r="J559" i="50"/>
  <c r="A559" i="50" s="1"/>
  <c r="J560" i="50"/>
  <c r="A560" i="50" s="1"/>
  <c r="J561" i="50"/>
  <c r="A561" i="50" s="1"/>
  <c r="J562" i="50"/>
  <c r="A562" i="50" s="1"/>
  <c r="J563" i="50"/>
  <c r="A563" i="50" s="1"/>
  <c r="J564" i="50"/>
  <c r="A564" i="50" s="1"/>
  <c r="J565" i="50"/>
  <c r="A565" i="50" s="1"/>
  <c r="J566" i="50"/>
  <c r="A566" i="50" s="1"/>
  <c r="J567" i="50"/>
  <c r="A567" i="50" s="1"/>
  <c r="J568" i="50"/>
  <c r="A568" i="50" s="1"/>
  <c r="J569" i="50"/>
  <c r="A569" i="50" s="1"/>
  <c r="J570" i="50"/>
  <c r="A570" i="50" s="1"/>
  <c r="J571" i="50"/>
  <c r="A571" i="50" s="1"/>
  <c r="J572" i="50"/>
  <c r="A572" i="50" s="1"/>
  <c r="J573" i="50"/>
  <c r="A573" i="50" s="1"/>
  <c r="J574" i="50"/>
  <c r="A574" i="50" s="1"/>
  <c r="J575" i="50"/>
  <c r="A575" i="50" s="1"/>
  <c r="J576" i="50"/>
  <c r="A576" i="50" s="1"/>
  <c r="J577" i="50"/>
  <c r="A577" i="50" s="1"/>
  <c r="J578" i="50"/>
  <c r="A578" i="50" s="1"/>
  <c r="J579" i="50"/>
  <c r="A579" i="50" s="1"/>
  <c r="J580" i="50"/>
  <c r="A580" i="50" s="1"/>
  <c r="J581" i="50"/>
  <c r="A581" i="50" s="1"/>
  <c r="J582" i="50"/>
  <c r="A582" i="50" s="1"/>
  <c r="J583" i="50"/>
  <c r="A583" i="50" s="1"/>
  <c r="J584" i="50"/>
  <c r="A584" i="50" s="1"/>
  <c r="J585" i="50"/>
  <c r="A585" i="50" s="1"/>
  <c r="J586" i="50"/>
  <c r="A586" i="50" s="1"/>
  <c r="J587" i="50"/>
  <c r="A587" i="50" s="1"/>
  <c r="J588" i="50"/>
  <c r="A588" i="50" s="1"/>
  <c r="J589" i="50"/>
  <c r="A589" i="50" s="1"/>
  <c r="J590" i="50"/>
  <c r="A590" i="50" s="1"/>
  <c r="J591" i="50"/>
  <c r="A591" i="50" s="1"/>
  <c r="J592" i="50"/>
  <c r="A592" i="50" s="1"/>
  <c r="J593" i="50"/>
  <c r="A593" i="50" s="1"/>
  <c r="J594" i="50"/>
  <c r="A594" i="50" s="1"/>
  <c r="J595" i="50"/>
  <c r="A595" i="50" s="1"/>
  <c r="J596" i="50"/>
  <c r="A596" i="50" s="1"/>
  <c r="J597" i="50"/>
  <c r="A597" i="50" s="1"/>
  <c r="J598" i="50"/>
  <c r="A598" i="50" s="1"/>
  <c r="J599" i="50"/>
  <c r="A599" i="50" s="1"/>
  <c r="J600" i="50"/>
  <c r="A600" i="50" s="1"/>
  <c r="J601" i="50"/>
  <c r="A601" i="50" s="1"/>
  <c r="J602" i="50"/>
  <c r="A602" i="50" s="1"/>
  <c r="J603" i="50"/>
  <c r="A603" i="50" s="1"/>
  <c r="J604" i="50"/>
  <c r="A604" i="50" s="1"/>
  <c r="J605" i="50"/>
  <c r="A605" i="50" s="1"/>
  <c r="J606" i="50"/>
  <c r="A606" i="50" s="1"/>
  <c r="J607" i="50"/>
  <c r="A607" i="50" s="1"/>
  <c r="J608" i="50"/>
  <c r="A608" i="50" s="1"/>
  <c r="J609" i="50"/>
  <c r="A609" i="50" s="1"/>
  <c r="J610" i="50"/>
  <c r="A610" i="50" s="1"/>
  <c r="J611" i="50"/>
  <c r="A611" i="50" s="1"/>
  <c r="J612" i="50"/>
  <c r="A612" i="50" s="1"/>
  <c r="J613" i="50"/>
  <c r="A613" i="50" s="1"/>
  <c r="J614" i="50"/>
  <c r="A614" i="50" s="1"/>
  <c r="J615" i="50"/>
  <c r="A615" i="50" s="1"/>
  <c r="J616" i="50"/>
  <c r="A616" i="50" s="1"/>
  <c r="J617" i="50"/>
  <c r="A617" i="50" s="1"/>
  <c r="J618" i="50"/>
  <c r="A618" i="50" s="1"/>
  <c r="J619" i="50"/>
  <c r="A619" i="50" s="1"/>
  <c r="J620" i="50"/>
  <c r="A620" i="50" s="1"/>
  <c r="J621" i="50"/>
  <c r="A621" i="50" s="1"/>
  <c r="J622" i="50"/>
  <c r="A622" i="50" s="1"/>
  <c r="J623" i="50"/>
  <c r="A623" i="50" s="1"/>
  <c r="J624" i="50"/>
  <c r="A624" i="50" s="1"/>
  <c r="J625" i="50"/>
  <c r="A625" i="50" s="1"/>
  <c r="J626" i="50"/>
  <c r="A626" i="50" s="1"/>
  <c r="J627" i="50"/>
  <c r="A627" i="50" s="1"/>
  <c r="J628" i="50"/>
  <c r="A628" i="50" s="1"/>
  <c r="J629" i="50"/>
  <c r="A629" i="50" s="1"/>
  <c r="J630" i="50"/>
  <c r="A630" i="50" s="1"/>
  <c r="J631" i="50"/>
  <c r="A631" i="50" s="1"/>
  <c r="J632" i="50"/>
  <c r="A632" i="50" s="1"/>
  <c r="J633" i="50"/>
  <c r="A633" i="50" s="1"/>
  <c r="J634" i="50"/>
  <c r="A634" i="50" s="1"/>
  <c r="J635" i="50"/>
  <c r="A635" i="50" s="1"/>
  <c r="J636" i="50"/>
  <c r="A636" i="50" s="1"/>
  <c r="J637" i="50"/>
  <c r="A637" i="50" s="1"/>
  <c r="J638" i="50"/>
  <c r="A638" i="50" s="1"/>
  <c r="J639" i="50"/>
  <c r="A639" i="50" s="1"/>
  <c r="J640" i="50"/>
  <c r="A640" i="50" s="1"/>
  <c r="J641" i="50"/>
  <c r="A641" i="50" s="1"/>
  <c r="J642" i="50"/>
  <c r="A642" i="50" s="1"/>
  <c r="J643" i="50"/>
  <c r="A643" i="50" s="1"/>
  <c r="J644" i="50"/>
  <c r="A644" i="50" s="1"/>
  <c r="J645" i="50"/>
  <c r="A645" i="50" s="1"/>
  <c r="J646" i="50"/>
  <c r="A646" i="50" s="1"/>
  <c r="J647" i="50"/>
  <c r="A647" i="50" s="1"/>
  <c r="J648" i="50"/>
  <c r="A648" i="50" s="1"/>
  <c r="J649" i="50"/>
  <c r="A649" i="50" s="1"/>
  <c r="J650" i="50"/>
  <c r="A650" i="50" s="1"/>
  <c r="J651" i="50"/>
  <c r="A651" i="50" s="1"/>
  <c r="J652" i="50"/>
  <c r="A652" i="50" s="1"/>
  <c r="J653" i="50"/>
  <c r="A653" i="50" s="1"/>
  <c r="J654" i="50"/>
  <c r="A654" i="50" s="1"/>
  <c r="J655" i="50"/>
  <c r="A655" i="50" s="1"/>
  <c r="J656" i="50"/>
  <c r="A656" i="50" s="1"/>
  <c r="J657" i="50"/>
  <c r="A657" i="50" s="1"/>
  <c r="J658" i="50"/>
  <c r="A658" i="50" s="1"/>
  <c r="J659" i="50"/>
  <c r="A659" i="50" s="1"/>
  <c r="J660" i="50"/>
  <c r="A660" i="50" s="1"/>
  <c r="J661" i="50"/>
  <c r="A661" i="50" s="1"/>
  <c r="J662" i="50"/>
  <c r="A662" i="50" s="1"/>
  <c r="J663" i="50"/>
  <c r="A663" i="50" s="1"/>
  <c r="J664" i="50"/>
  <c r="A664" i="50" s="1"/>
  <c r="J665" i="50"/>
  <c r="A665" i="50" s="1"/>
  <c r="J666" i="50"/>
  <c r="A666" i="50" s="1"/>
  <c r="J667" i="50"/>
  <c r="A667" i="50" s="1"/>
  <c r="J668" i="50"/>
  <c r="A668" i="50" s="1"/>
  <c r="J669" i="50"/>
  <c r="A669" i="50" s="1"/>
  <c r="J670" i="50"/>
  <c r="A670" i="50" s="1"/>
  <c r="J671" i="50"/>
  <c r="A671" i="50" s="1"/>
  <c r="J672" i="50"/>
  <c r="A672" i="50" s="1"/>
  <c r="J673" i="50"/>
  <c r="A673" i="50" s="1"/>
  <c r="J674" i="50"/>
  <c r="A674" i="50" s="1"/>
  <c r="J675" i="50"/>
  <c r="A675" i="50" s="1"/>
  <c r="J676" i="50"/>
  <c r="A676" i="50" s="1"/>
  <c r="J677" i="50"/>
  <c r="A677" i="50" s="1"/>
  <c r="J678" i="50"/>
  <c r="A678" i="50" s="1"/>
  <c r="J679" i="50"/>
  <c r="A679" i="50" s="1"/>
  <c r="J680" i="50"/>
  <c r="A680" i="50" s="1"/>
  <c r="J681" i="50"/>
  <c r="A681" i="50" s="1"/>
  <c r="J682" i="50"/>
  <c r="A682" i="50" s="1"/>
  <c r="J683" i="50"/>
  <c r="A683" i="50" s="1"/>
  <c r="J684" i="50"/>
  <c r="A684" i="50" s="1"/>
  <c r="J685" i="50"/>
  <c r="A685" i="50" s="1"/>
  <c r="J686" i="50"/>
  <c r="A686" i="50" s="1"/>
  <c r="J687" i="50"/>
  <c r="A687" i="50" s="1"/>
  <c r="J688" i="50"/>
  <c r="A688" i="50" s="1"/>
  <c r="J689" i="50"/>
  <c r="A689" i="50" s="1"/>
  <c r="J690" i="50"/>
  <c r="A690" i="50" s="1"/>
  <c r="J691" i="50"/>
  <c r="A691" i="50" s="1"/>
  <c r="J692" i="50"/>
  <c r="A692" i="50" s="1"/>
  <c r="J693" i="50"/>
  <c r="A693" i="50" s="1"/>
  <c r="J694" i="50"/>
  <c r="A694" i="50" s="1"/>
  <c r="J695" i="50"/>
  <c r="A695" i="50" s="1"/>
  <c r="J696" i="50"/>
  <c r="A696" i="50" s="1"/>
  <c r="J697" i="50"/>
  <c r="A697" i="50" s="1"/>
  <c r="J698" i="50"/>
  <c r="A698" i="50" s="1"/>
  <c r="J699" i="50"/>
  <c r="A699" i="50" s="1"/>
  <c r="J700" i="50"/>
  <c r="A700" i="50" s="1"/>
  <c r="J701" i="50"/>
  <c r="A701" i="50" s="1"/>
  <c r="J702" i="50"/>
  <c r="A702" i="50" s="1"/>
  <c r="J703" i="50"/>
  <c r="A703" i="50" s="1"/>
  <c r="J704" i="50"/>
  <c r="A704" i="50" s="1"/>
  <c r="J705" i="50"/>
  <c r="A705" i="50" s="1"/>
  <c r="J706" i="50"/>
  <c r="A706" i="50" s="1"/>
  <c r="J707" i="50"/>
  <c r="A707" i="50" s="1"/>
  <c r="J708" i="50"/>
  <c r="A708" i="50" s="1"/>
  <c r="J709" i="50"/>
  <c r="A709" i="50" s="1"/>
  <c r="J710" i="50"/>
  <c r="A710" i="50" s="1"/>
  <c r="J711" i="50"/>
  <c r="A711" i="50" s="1"/>
  <c r="J712" i="50"/>
  <c r="A712" i="50" s="1"/>
  <c r="J713" i="50"/>
  <c r="A713" i="50" s="1"/>
  <c r="J714" i="50"/>
  <c r="A714" i="50" s="1"/>
  <c r="J715" i="50"/>
  <c r="A715" i="50" s="1"/>
  <c r="J716" i="50"/>
  <c r="A716" i="50" s="1"/>
  <c r="J717" i="50"/>
  <c r="A717" i="50" s="1"/>
  <c r="J718" i="50"/>
  <c r="A718" i="50" s="1"/>
  <c r="J719" i="50"/>
  <c r="A719" i="50" s="1"/>
  <c r="J720" i="50"/>
  <c r="A720" i="50" s="1"/>
  <c r="J721" i="50"/>
  <c r="A721" i="50" s="1"/>
  <c r="J722" i="50"/>
  <c r="A722" i="50" s="1"/>
  <c r="J723" i="50"/>
  <c r="A723" i="50" s="1"/>
  <c r="J724" i="50"/>
  <c r="A724" i="50" s="1"/>
  <c r="J725" i="50"/>
  <c r="A725" i="50" s="1"/>
  <c r="J726" i="50"/>
  <c r="A726" i="50" s="1"/>
  <c r="J727" i="50"/>
  <c r="A727" i="50" s="1"/>
  <c r="J728" i="50"/>
  <c r="A728" i="50" s="1"/>
  <c r="J729" i="50"/>
  <c r="A729" i="50" s="1"/>
  <c r="J730" i="50"/>
  <c r="A730" i="50" s="1"/>
  <c r="J731" i="50"/>
  <c r="A731" i="50" s="1"/>
  <c r="J732" i="50"/>
  <c r="A732" i="50" s="1"/>
  <c r="J733" i="50"/>
  <c r="A733" i="50" s="1"/>
  <c r="J734" i="50"/>
  <c r="A734" i="50" s="1"/>
  <c r="J735" i="50"/>
  <c r="A735" i="50" s="1"/>
  <c r="J736" i="50"/>
  <c r="A736" i="50" s="1"/>
  <c r="J737" i="50"/>
  <c r="A737" i="50" s="1"/>
  <c r="J738" i="50"/>
  <c r="A738" i="50" s="1"/>
  <c r="J739" i="50"/>
  <c r="A739" i="50" s="1"/>
  <c r="J740" i="50"/>
  <c r="A740" i="50" s="1"/>
  <c r="J741" i="50"/>
  <c r="A741" i="50" s="1"/>
  <c r="J742" i="50"/>
  <c r="A742" i="50" s="1"/>
  <c r="J743" i="50"/>
  <c r="A743" i="50" s="1"/>
  <c r="J744" i="50"/>
  <c r="A744" i="50" s="1"/>
  <c r="J745" i="50"/>
  <c r="A745" i="50" s="1"/>
  <c r="J746" i="50"/>
  <c r="A746" i="50" s="1"/>
  <c r="J747" i="50"/>
  <c r="A747" i="50" s="1"/>
  <c r="J748" i="50"/>
  <c r="A748" i="50" s="1"/>
  <c r="J749" i="50"/>
  <c r="A749" i="50" s="1"/>
  <c r="J750" i="50"/>
  <c r="A750" i="50" s="1"/>
  <c r="J751" i="50"/>
  <c r="A751" i="50" s="1"/>
  <c r="J752" i="50"/>
  <c r="A752" i="50" s="1"/>
  <c r="J753" i="50"/>
  <c r="A753" i="50" s="1"/>
  <c r="J754" i="50"/>
  <c r="A754" i="50" s="1"/>
  <c r="J755" i="50"/>
  <c r="A755" i="50" s="1"/>
  <c r="J756" i="50"/>
  <c r="A756" i="50" s="1"/>
  <c r="J757" i="50"/>
  <c r="A757" i="50" s="1"/>
  <c r="J758" i="50"/>
  <c r="A758" i="50" s="1"/>
  <c r="J759" i="50"/>
  <c r="A759" i="50" s="1"/>
  <c r="J760" i="50"/>
  <c r="A760" i="50" s="1"/>
  <c r="J761" i="50"/>
  <c r="A761" i="50" s="1"/>
  <c r="J762" i="50"/>
  <c r="A762" i="50" s="1"/>
  <c r="J763" i="50"/>
  <c r="A763" i="50" s="1"/>
  <c r="J764" i="50"/>
  <c r="A764" i="50" s="1"/>
  <c r="J765" i="50"/>
  <c r="A765" i="50" s="1"/>
  <c r="J766" i="50"/>
  <c r="A766" i="50" s="1"/>
  <c r="J767" i="50"/>
  <c r="A767" i="50" s="1"/>
  <c r="J768" i="50"/>
  <c r="A768" i="50" s="1"/>
  <c r="J769" i="50"/>
  <c r="A769" i="50" s="1"/>
  <c r="J770" i="50"/>
  <c r="A770" i="50" s="1"/>
  <c r="J771" i="50"/>
  <c r="A771" i="50" s="1"/>
  <c r="J772" i="50"/>
  <c r="A772" i="50" s="1"/>
  <c r="J773" i="50"/>
  <c r="A773" i="50" s="1"/>
  <c r="J774" i="50"/>
  <c r="A774" i="50" s="1"/>
  <c r="J775" i="50"/>
  <c r="A775" i="50" s="1"/>
  <c r="J776" i="50"/>
  <c r="A776" i="50" s="1"/>
  <c r="J777" i="50"/>
  <c r="A777" i="50" s="1"/>
  <c r="J778" i="50"/>
  <c r="A778" i="50" s="1"/>
  <c r="J779" i="50"/>
  <c r="A779" i="50" s="1"/>
  <c r="J780" i="50"/>
  <c r="A780" i="50" s="1"/>
  <c r="J781" i="50"/>
  <c r="A781" i="50" s="1"/>
  <c r="J782" i="50"/>
  <c r="A782" i="50" s="1"/>
  <c r="J783" i="50"/>
  <c r="A783" i="50" s="1"/>
  <c r="J784" i="50"/>
  <c r="A784" i="50" s="1"/>
  <c r="J785" i="50"/>
  <c r="A785" i="50" s="1"/>
  <c r="J786" i="50"/>
  <c r="A786" i="50" s="1"/>
  <c r="J787" i="50"/>
  <c r="A787" i="50" s="1"/>
  <c r="J788" i="50"/>
  <c r="A788" i="50" s="1"/>
  <c r="J789" i="50"/>
  <c r="A789" i="50" s="1"/>
  <c r="J790" i="50"/>
  <c r="A790" i="50" s="1"/>
  <c r="J791" i="50"/>
  <c r="A791" i="50" s="1"/>
  <c r="J792" i="50"/>
  <c r="A792" i="50" s="1"/>
  <c r="J793" i="50"/>
  <c r="A793" i="50" s="1"/>
  <c r="J794" i="50"/>
  <c r="A794" i="50" s="1"/>
  <c r="J795" i="50"/>
  <c r="A795" i="50" s="1"/>
  <c r="J796" i="50"/>
  <c r="A796" i="50" s="1"/>
  <c r="J797" i="50"/>
  <c r="A797" i="50" s="1"/>
  <c r="J798" i="50"/>
  <c r="A798" i="50" s="1"/>
  <c r="J799" i="50"/>
  <c r="A799" i="50" s="1"/>
  <c r="J800" i="50"/>
  <c r="A800" i="50" s="1"/>
  <c r="J801" i="50"/>
  <c r="A801" i="50" s="1"/>
  <c r="J802" i="50"/>
  <c r="A802" i="50" s="1"/>
  <c r="J803" i="50"/>
  <c r="A803" i="50" s="1"/>
  <c r="J804" i="50"/>
  <c r="A804" i="50" s="1"/>
  <c r="J805" i="50"/>
  <c r="A805" i="50" s="1"/>
  <c r="J806" i="50"/>
  <c r="A806" i="50" s="1"/>
  <c r="J807" i="50"/>
  <c r="A807" i="50" s="1"/>
  <c r="J808" i="50"/>
  <c r="A808" i="50" s="1"/>
  <c r="J809" i="50"/>
  <c r="A809" i="50" s="1"/>
  <c r="J810" i="50"/>
  <c r="A810" i="50" s="1"/>
  <c r="J811" i="50"/>
  <c r="A811" i="50" s="1"/>
  <c r="J812" i="50"/>
  <c r="A812" i="50" s="1"/>
  <c r="J813" i="50"/>
  <c r="A813" i="50" s="1"/>
  <c r="J814" i="50"/>
  <c r="A814" i="50" s="1"/>
  <c r="J815" i="50"/>
  <c r="A815" i="50" s="1"/>
  <c r="J816" i="50"/>
  <c r="A816" i="50" s="1"/>
  <c r="J817" i="50"/>
  <c r="A817" i="50" s="1"/>
  <c r="J818" i="50"/>
  <c r="A818" i="50" s="1"/>
  <c r="J819" i="50"/>
  <c r="A819" i="50" s="1"/>
  <c r="J820" i="50"/>
  <c r="A820" i="50" s="1"/>
  <c r="J821" i="50"/>
  <c r="A821" i="50" s="1"/>
  <c r="J822" i="50"/>
  <c r="A822" i="50" s="1"/>
  <c r="J823" i="50"/>
  <c r="A823" i="50" s="1"/>
  <c r="J824" i="50"/>
  <c r="A824" i="50" s="1"/>
  <c r="J825" i="50"/>
  <c r="A825" i="50" s="1"/>
  <c r="J826" i="50"/>
  <c r="A826" i="50" s="1"/>
  <c r="J827" i="50"/>
  <c r="A827" i="50" s="1"/>
  <c r="J828" i="50"/>
  <c r="A828" i="50" s="1"/>
  <c r="J829" i="50"/>
  <c r="A829" i="50" s="1"/>
  <c r="J830" i="50"/>
  <c r="A830" i="50" s="1"/>
  <c r="J831" i="50"/>
  <c r="A831" i="50" s="1"/>
  <c r="J832" i="50"/>
  <c r="A832" i="50" s="1"/>
  <c r="J833" i="50"/>
  <c r="A833" i="50" s="1"/>
  <c r="J834" i="50"/>
  <c r="A834" i="50" s="1"/>
  <c r="J835" i="50"/>
  <c r="A835" i="50" s="1"/>
  <c r="J836" i="50"/>
  <c r="A836" i="50" s="1"/>
  <c r="J837" i="50"/>
  <c r="A837" i="50" s="1"/>
  <c r="J838" i="50"/>
  <c r="A838" i="50" s="1"/>
  <c r="J839" i="50"/>
  <c r="A839" i="50" s="1"/>
  <c r="J840" i="50"/>
  <c r="A840" i="50" s="1"/>
  <c r="J841" i="50"/>
  <c r="A841" i="50" s="1"/>
  <c r="J842" i="50"/>
  <c r="A842" i="50" s="1"/>
  <c r="J843" i="50"/>
  <c r="A843" i="50" s="1"/>
  <c r="J844" i="50"/>
  <c r="A844" i="50" s="1"/>
  <c r="J845" i="50"/>
  <c r="A845" i="50" s="1"/>
  <c r="J846" i="50"/>
  <c r="A846" i="50" s="1"/>
  <c r="J847" i="50"/>
  <c r="A847" i="50" s="1"/>
  <c r="J848" i="50"/>
  <c r="A848" i="50" s="1"/>
  <c r="J849" i="50"/>
  <c r="A849" i="50" s="1"/>
  <c r="J850" i="50"/>
  <c r="A850" i="50" s="1"/>
  <c r="J851" i="50"/>
  <c r="A851" i="50" s="1"/>
  <c r="J852" i="50"/>
  <c r="A852" i="50" s="1"/>
  <c r="J853" i="50"/>
  <c r="A853" i="50" s="1"/>
  <c r="J854" i="50"/>
  <c r="A854" i="50" s="1"/>
  <c r="J855" i="50"/>
  <c r="A855" i="50" s="1"/>
  <c r="J856" i="50"/>
  <c r="A856" i="50" s="1"/>
  <c r="J857" i="50"/>
  <c r="A857" i="50" s="1"/>
  <c r="J858" i="50"/>
  <c r="A858" i="50" s="1"/>
  <c r="J859" i="50"/>
  <c r="A859" i="50" s="1"/>
  <c r="J860" i="50"/>
  <c r="A860" i="50" s="1"/>
  <c r="J861" i="50"/>
  <c r="A861" i="50" s="1"/>
  <c r="J862" i="50"/>
  <c r="A862" i="50" s="1"/>
  <c r="J863" i="50"/>
  <c r="A863" i="50" s="1"/>
  <c r="J864" i="50"/>
  <c r="A864" i="50" s="1"/>
  <c r="J865" i="50"/>
  <c r="A865" i="50" s="1"/>
  <c r="J866" i="50"/>
  <c r="A866" i="50" s="1"/>
  <c r="J867" i="50"/>
  <c r="A867" i="50" s="1"/>
  <c r="J868" i="50"/>
  <c r="A868" i="50" s="1"/>
  <c r="J869" i="50"/>
  <c r="A869" i="50" s="1"/>
  <c r="J870" i="50"/>
  <c r="A870" i="50" s="1"/>
  <c r="J871" i="50"/>
  <c r="A871" i="50" s="1"/>
  <c r="J872" i="50"/>
  <c r="A872" i="50" s="1"/>
  <c r="J873" i="50"/>
  <c r="A873" i="50" s="1"/>
  <c r="J874" i="50"/>
  <c r="A874" i="50" s="1"/>
  <c r="J875" i="50"/>
  <c r="A875" i="50" s="1"/>
  <c r="J876" i="50"/>
  <c r="A876" i="50" s="1"/>
  <c r="J877" i="50"/>
  <c r="A877" i="50" s="1"/>
  <c r="J878" i="50"/>
  <c r="A878" i="50" s="1"/>
  <c r="J879" i="50"/>
  <c r="A879" i="50" s="1"/>
  <c r="J880" i="50"/>
  <c r="A880" i="50" s="1"/>
  <c r="J881" i="50"/>
  <c r="A881" i="50" s="1"/>
  <c r="J882" i="50"/>
  <c r="A882" i="50" s="1"/>
  <c r="J883" i="50"/>
  <c r="A883" i="50" s="1"/>
  <c r="J884" i="50"/>
  <c r="A884" i="50" s="1"/>
  <c r="J885" i="50"/>
  <c r="A885" i="50" s="1"/>
  <c r="J886" i="50"/>
  <c r="A886" i="50" s="1"/>
  <c r="J887" i="50"/>
  <c r="A887" i="50" s="1"/>
  <c r="J888" i="50"/>
  <c r="A888" i="50" s="1"/>
  <c r="J889" i="50"/>
  <c r="A889" i="50" s="1"/>
  <c r="J890" i="50"/>
  <c r="A890" i="50" s="1"/>
  <c r="J891" i="50"/>
  <c r="A891" i="50" s="1"/>
  <c r="J892" i="50"/>
  <c r="A892" i="50" s="1"/>
  <c r="J893" i="50"/>
  <c r="A893" i="50" s="1"/>
  <c r="J894" i="50"/>
  <c r="A894" i="50" s="1"/>
  <c r="J895" i="50"/>
  <c r="A895" i="50" s="1"/>
  <c r="J896" i="50"/>
  <c r="A896" i="50" s="1"/>
  <c r="J897" i="50"/>
  <c r="A897" i="50" s="1"/>
  <c r="J898" i="50"/>
  <c r="A898" i="50" s="1"/>
  <c r="J899" i="50"/>
  <c r="A899" i="50" s="1"/>
  <c r="J900" i="50"/>
  <c r="A900" i="50" s="1"/>
  <c r="J901" i="50"/>
  <c r="A901" i="50" s="1"/>
  <c r="J902" i="50"/>
  <c r="A902" i="50" s="1"/>
  <c r="J903" i="50"/>
  <c r="A903" i="50" s="1"/>
  <c r="J904" i="50"/>
  <c r="A904" i="50" s="1"/>
  <c r="J905" i="50"/>
  <c r="A905" i="50" s="1"/>
  <c r="J906" i="50"/>
  <c r="A906" i="50" s="1"/>
  <c r="J907" i="50"/>
  <c r="A907" i="50" s="1"/>
  <c r="J908" i="50"/>
  <c r="A908" i="50" s="1"/>
  <c r="J909" i="50"/>
  <c r="A909" i="50" s="1"/>
  <c r="J910" i="50"/>
  <c r="A910" i="50" s="1"/>
  <c r="J911" i="50"/>
  <c r="A911" i="50" s="1"/>
  <c r="J912" i="50"/>
  <c r="A912" i="50" s="1"/>
  <c r="J913" i="50"/>
  <c r="A913" i="50" s="1"/>
  <c r="J914" i="50"/>
  <c r="A914" i="50" s="1"/>
  <c r="J915" i="50"/>
  <c r="A915" i="50" s="1"/>
  <c r="J916" i="50"/>
  <c r="A916" i="50" s="1"/>
  <c r="J917" i="50"/>
  <c r="A917" i="50" s="1"/>
  <c r="J918" i="50"/>
  <c r="A918" i="50" s="1"/>
  <c r="J919" i="50"/>
  <c r="A919" i="50" s="1"/>
  <c r="J920" i="50"/>
  <c r="A920" i="50" s="1"/>
  <c r="J921" i="50"/>
  <c r="A921" i="50" s="1"/>
  <c r="J922" i="50"/>
  <c r="A922" i="50" s="1"/>
  <c r="J923" i="50"/>
  <c r="A923" i="50" s="1"/>
  <c r="J924" i="50"/>
  <c r="A924" i="50" s="1"/>
  <c r="J925" i="50"/>
  <c r="A925" i="50" s="1"/>
  <c r="J926" i="50"/>
  <c r="A926" i="50" s="1"/>
  <c r="J927" i="50"/>
  <c r="A927" i="50" s="1"/>
  <c r="J928" i="50"/>
  <c r="A928" i="50" s="1"/>
  <c r="J929" i="50"/>
  <c r="A929" i="50" s="1"/>
  <c r="J930" i="50"/>
  <c r="A930" i="50" s="1"/>
  <c r="J931" i="50"/>
  <c r="A931" i="50" s="1"/>
  <c r="J932" i="50"/>
  <c r="A932" i="50" s="1"/>
  <c r="J933" i="50"/>
  <c r="A933" i="50" s="1"/>
  <c r="J934" i="50"/>
  <c r="A934" i="50" s="1"/>
  <c r="J935" i="50"/>
  <c r="A935" i="50" s="1"/>
  <c r="J936" i="50"/>
  <c r="A936" i="50" s="1"/>
  <c r="J937" i="50"/>
  <c r="A937" i="50" s="1"/>
  <c r="J938" i="50"/>
  <c r="A938" i="50" s="1"/>
  <c r="J939" i="50"/>
  <c r="A939" i="50" s="1"/>
  <c r="J940" i="50"/>
  <c r="A940" i="50" s="1"/>
  <c r="J941" i="50"/>
  <c r="A941" i="50" s="1"/>
  <c r="J942" i="50"/>
  <c r="A942" i="50" s="1"/>
  <c r="J943" i="50"/>
  <c r="A943" i="50" s="1"/>
  <c r="J944" i="50"/>
  <c r="A944" i="50" s="1"/>
  <c r="J945" i="50"/>
  <c r="A945" i="50" s="1"/>
  <c r="J946" i="50"/>
  <c r="A946" i="50" s="1"/>
  <c r="J947" i="50"/>
  <c r="A947" i="50" s="1"/>
  <c r="J948" i="50"/>
  <c r="A948" i="50" s="1"/>
  <c r="J949" i="50"/>
  <c r="A949" i="50" s="1"/>
  <c r="J950" i="50"/>
  <c r="A950" i="50" s="1"/>
  <c r="J951" i="50"/>
  <c r="A951" i="50" s="1"/>
  <c r="J952" i="50"/>
  <c r="A952" i="50" s="1"/>
  <c r="J953" i="50"/>
  <c r="A953" i="50" s="1"/>
  <c r="J954" i="50"/>
  <c r="A954" i="50" s="1"/>
  <c r="J955" i="50"/>
  <c r="A955" i="50" s="1"/>
  <c r="J956" i="50"/>
  <c r="A956" i="50" s="1"/>
  <c r="J957" i="50"/>
  <c r="A957" i="50" s="1"/>
  <c r="J958" i="50"/>
  <c r="A958" i="50" s="1"/>
  <c r="J959" i="50"/>
  <c r="A959" i="50" s="1"/>
  <c r="J960" i="50"/>
  <c r="A960" i="50" s="1"/>
  <c r="J961" i="50"/>
  <c r="A961" i="50" s="1"/>
  <c r="J962" i="50"/>
  <c r="A962" i="50" s="1"/>
  <c r="J963" i="50"/>
  <c r="A963" i="50" s="1"/>
  <c r="J964" i="50"/>
  <c r="A964" i="50" s="1"/>
  <c r="J965" i="50"/>
  <c r="A965" i="50" s="1"/>
  <c r="J966" i="50"/>
  <c r="A966" i="50" s="1"/>
  <c r="J967" i="50"/>
  <c r="A967" i="50" s="1"/>
  <c r="J968" i="50"/>
  <c r="A968" i="50" s="1"/>
  <c r="J969" i="50"/>
  <c r="A969" i="50" s="1"/>
  <c r="J970" i="50"/>
  <c r="A970" i="50" s="1"/>
  <c r="J971" i="50"/>
  <c r="A971" i="50" s="1"/>
  <c r="J972" i="50"/>
  <c r="A972" i="50" s="1"/>
  <c r="J973" i="50"/>
  <c r="A973" i="50" s="1"/>
  <c r="J974" i="50"/>
  <c r="A974" i="50" s="1"/>
  <c r="J975" i="50"/>
  <c r="A975" i="50" s="1"/>
  <c r="J976" i="50"/>
  <c r="A976" i="50" s="1"/>
  <c r="J977" i="50"/>
  <c r="A977" i="50" s="1"/>
  <c r="J978" i="50"/>
  <c r="A978" i="50" s="1"/>
  <c r="J979" i="50"/>
  <c r="A979" i="50" s="1"/>
  <c r="J980" i="50"/>
  <c r="A980" i="50" s="1"/>
  <c r="J981" i="50"/>
  <c r="A981" i="50" s="1"/>
  <c r="J982" i="50"/>
  <c r="A982" i="50" s="1"/>
  <c r="J983" i="50"/>
  <c r="A983" i="50" s="1"/>
  <c r="J984" i="50"/>
  <c r="A984" i="50" s="1"/>
  <c r="J985" i="50"/>
  <c r="A985" i="50" s="1"/>
  <c r="J986" i="50"/>
  <c r="A986" i="50" s="1"/>
  <c r="J987" i="50"/>
  <c r="A987" i="50" s="1"/>
  <c r="J988" i="50"/>
  <c r="A988" i="50" s="1"/>
  <c r="J989" i="50"/>
  <c r="A989" i="50" s="1"/>
  <c r="J990" i="50"/>
  <c r="A990" i="50" s="1"/>
  <c r="J991" i="50"/>
  <c r="A991" i="50" s="1"/>
  <c r="J992" i="50"/>
  <c r="A992" i="50" s="1"/>
  <c r="J993" i="50"/>
  <c r="A993" i="50" s="1"/>
  <c r="J994" i="50"/>
  <c r="A994" i="50" s="1"/>
  <c r="J995" i="50"/>
  <c r="A995" i="50" s="1"/>
  <c r="J996" i="50"/>
  <c r="A996" i="50" s="1"/>
  <c r="J997" i="50"/>
  <c r="A997" i="50" s="1"/>
  <c r="J998" i="50"/>
  <c r="A998" i="50" s="1"/>
  <c r="J999" i="50"/>
  <c r="A999" i="50" s="1"/>
  <c r="J1000" i="50"/>
  <c r="A1000" i="50" s="1"/>
  <c r="J1001" i="50"/>
  <c r="A1001" i="50" s="1"/>
  <c r="J1002" i="50"/>
  <c r="A1002" i="50" s="1"/>
  <c r="J1003" i="50"/>
  <c r="A1003" i="50" s="1"/>
  <c r="J1004" i="50"/>
  <c r="A1004" i="50" s="1"/>
  <c r="J1005" i="50"/>
  <c r="A1005" i="50" s="1"/>
  <c r="J1006" i="50"/>
  <c r="A1006" i="50" s="1"/>
  <c r="J1007" i="50"/>
  <c r="A1007" i="50" s="1"/>
  <c r="J1008" i="50"/>
  <c r="A1008" i="50" s="1"/>
  <c r="J1009" i="50"/>
  <c r="A1009" i="50" s="1"/>
  <c r="J1010" i="50"/>
  <c r="A1010" i="50" s="1"/>
  <c r="J1011" i="50"/>
  <c r="A1011" i="50" s="1"/>
  <c r="J1012" i="50"/>
  <c r="A1012" i="50" s="1"/>
  <c r="J1013" i="50"/>
  <c r="A1013" i="50" s="1"/>
  <c r="J1014" i="50"/>
  <c r="A1014" i="50" s="1"/>
  <c r="J1015" i="50"/>
  <c r="A1015" i="50" s="1"/>
  <c r="J1016" i="50"/>
  <c r="A1016" i="50" s="1"/>
  <c r="J1017" i="50"/>
  <c r="A1017" i="50" s="1"/>
  <c r="J1018" i="50"/>
  <c r="A1018" i="50" s="1"/>
  <c r="J1019" i="50"/>
  <c r="A1019" i="50" s="1"/>
  <c r="J1020" i="50"/>
  <c r="A1020" i="50" s="1"/>
  <c r="J1021" i="50"/>
  <c r="A1021" i="50" s="1"/>
  <c r="J1022" i="50"/>
  <c r="A1022" i="50" s="1"/>
  <c r="J1023" i="50"/>
  <c r="A1023" i="50" s="1"/>
  <c r="J1024" i="50"/>
  <c r="A1024" i="50" s="1"/>
  <c r="J1025" i="50"/>
  <c r="A1025" i="50" s="1"/>
  <c r="J1026" i="50"/>
  <c r="A1026" i="50" s="1"/>
  <c r="J1027" i="50"/>
  <c r="A1027" i="50" s="1"/>
  <c r="J1028" i="50"/>
  <c r="A1028" i="50" s="1"/>
  <c r="J1029" i="50"/>
  <c r="A1029" i="50" s="1"/>
  <c r="J1030" i="50"/>
  <c r="A1030" i="50" s="1"/>
  <c r="J1031" i="50"/>
  <c r="A1031" i="50" s="1"/>
  <c r="J1032" i="50"/>
  <c r="A1032" i="50" s="1"/>
  <c r="J1033" i="50"/>
  <c r="A1033" i="50" s="1"/>
  <c r="J1034" i="50"/>
  <c r="A1034" i="50" s="1"/>
  <c r="J1035" i="50"/>
  <c r="A1035" i="50" s="1"/>
  <c r="J1036" i="50"/>
  <c r="A1036" i="50" s="1"/>
  <c r="J1037" i="50"/>
  <c r="A1037" i="50" s="1"/>
  <c r="J1038" i="50"/>
  <c r="A1038" i="50" s="1"/>
  <c r="J1039" i="50"/>
  <c r="A1039" i="50" s="1"/>
  <c r="J1040" i="50"/>
  <c r="A1040" i="50" s="1"/>
  <c r="J1041" i="50"/>
  <c r="A1041" i="50" s="1"/>
  <c r="J1042" i="50"/>
  <c r="A1042" i="50" s="1"/>
  <c r="J1043" i="50"/>
  <c r="A1043" i="50" s="1"/>
  <c r="J1044" i="50"/>
  <c r="A1044" i="50" s="1"/>
  <c r="J1045" i="50"/>
  <c r="A1045" i="50" s="1"/>
  <c r="J1046" i="50"/>
  <c r="A1046" i="50" s="1"/>
  <c r="J1047" i="50"/>
  <c r="A1047" i="50" s="1"/>
  <c r="J1048" i="50"/>
  <c r="A1048" i="50" s="1"/>
  <c r="J1049" i="50"/>
  <c r="A1049" i="50" s="1"/>
  <c r="J1050" i="50"/>
  <c r="A1050" i="50" s="1"/>
  <c r="J1051" i="50"/>
  <c r="A1051" i="50" s="1"/>
  <c r="J1052" i="50"/>
  <c r="A1052" i="50" s="1"/>
  <c r="J1053" i="50"/>
  <c r="A1053" i="50" s="1"/>
  <c r="J1054" i="50"/>
  <c r="A1054" i="50" s="1"/>
  <c r="J1055" i="50"/>
  <c r="A1055" i="50" s="1"/>
  <c r="J1056" i="50"/>
  <c r="A1056" i="50" s="1"/>
  <c r="J1057" i="50"/>
  <c r="A1057" i="50" s="1"/>
  <c r="J1058" i="50"/>
  <c r="A1058" i="50" s="1"/>
  <c r="J1059" i="50"/>
  <c r="A1059" i="50" s="1"/>
  <c r="J1060" i="50"/>
  <c r="A1060" i="50" s="1"/>
  <c r="J1061" i="50"/>
  <c r="A1061" i="50" s="1"/>
  <c r="J1062" i="50"/>
  <c r="A1062" i="50" s="1"/>
  <c r="J1063" i="50"/>
  <c r="A1063" i="50" s="1"/>
  <c r="J1064" i="50"/>
  <c r="A1064" i="50" s="1"/>
  <c r="J1065" i="50"/>
  <c r="A1065" i="50" s="1"/>
  <c r="J1066" i="50"/>
  <c r="A1066" i="50" s="1"/>
  <c r="J1067" i="50"/>
  <c r="A1067" i="50" s="1"/>
  <c r="J1068" i="50"/>
  <c r="A1068" i="50" s="1"/>
  <c r="J1069" i="50"/>
  <c r="A1069" i="50" s="1"/>
  <c r="J1070" i="50"/>
  <c r="A1070" i="50" s="1"/>
  <c r="J1071" i="50"/>
  <c r="A1071" i="50" s="1"/>
  <c r="J1072" i="50"/>
  <c r="A1072" i="50" s="1"/>
  <c r="J1073" i="50"/>
  <c r="A1073" i="50" s="1"/>
  <c r="J1074" i="50"/>
  <c r="A1074" i="50" s="1"/>
  <c r="J1075" i="50"/>
  <c r="A1075" i="50" s="1"/>
  <c r="J1076" i="50"/>
  <c r="A1076" i="50" s="1"/>
  <c r="J1077" i="50"/>
  <c r="A1077" i="50" s="1"/>
  <c r="J1078" i="50"/>
  <c r="A1078" i="50" s="1"/>
  <c r="J1079" i="50"/>
  <c r="A1079" i="50" s="1"/>
  <c r="J1080" i="50"/>
  <c r="A1080" i="50" s="1"/>
  <c r="J1081" i="50"/>
  <c r="A1081" i="50" s="1"/>
  <c r="J1082" i="50"/>
  <c r="A1082" i="50" s="1"/>
  <c r="J1083" i="50"/>
  <c r="A1083" i="50" s="1"/>
  <c r="J1084" i="50"/>
  <c r="A1084" i="50" s="1"/>
  <c r="J1085" i="50"/>
  <c r="A1085" i="50" s="1"/>
  <c r="J1086" i="50"/>
  <c r="A1086" i="50" s="1"/>
  <c r="J1087" i="50"/>
  <c r="A1087" i="50" s="1"/>
  <c r="J1088" i="50"/>
  <c r="A1088" i="50" s="1"/>
  <c r="J1089" i="50"/>
  <c r="A1089" i="50" s="1"/>
  <c r="J1090" i="50"/>
  <c r="A1090" i="50" s="1"/>
  <c r="J1091" i="50"/>
  <c r="A1091" i="50" s="1"/>
  <c r="J1092" i="50"/>
  <c r="A1092" i="50" s="1"/>
  <c r="J1093" i="50"/>
  <c r="A1093" i="50" s="1"/>
  <c r="J1094" i="50"/>
  <c r="A1094" i="50" s="1"/>
  <c r="J1095" i="50"/>
  <c r="A1095" i="50" s="1"/>
  <c r="J1096" i="50"/>
  <c r="A1096" i="50" s="1"/>
  <c r="J1097" i="50"/>
  <c r="A1097" i="50" s="1"/>
  <c r="J1098" i="50"/>
  <c r="A1098" i="50" s="1"/>
  <c r="J1099" i="50"/>
  <c r="A1099" i="50" s="1"/>
  <c r="J1100" i="50"/>
  <c r="A1100" i="50" s="1"/>
  <c r="J1101" i="50"/>
  <c r="A1101" i="50" s="1"/>
  <c r="J1102" i="50"/>
  <c r="A1102" i="50" s="1"/>
  <c r="J1103" i="50"/>
  <c r="A1103" i="50" s="1"/>
  <c r="J1104" i="50"/>
  <c r="A1104" i="50" s="1"/>
  <c r="J1105" i="50"/>
  <c r="A1105" i="50" s="1"/>
  <c r="J1106" i="50"/>
  <c r="A1106" i="50" s="1"/>
  <c r="J1107" i="50"/>
  <c r="A1107" i="50" s="1"/>
  <c r="J1108" i="50"/>
  <c r="A1108" i="50" s="1"/>
  <c r="J1109" i="50"/>
  <c r="A1109" i="50" s="1"/>
  <c r="J1110" i="50"/>
  <c r="A1110" i="50" s="1"/>
  <c r="J1111" i="50"/>
  <c r="A1111" i="50" s="1"/>
  <c r="J1112" i="50"/>
  <c r="A1112" i="50" s="1"/>
  <c r="J1113" i="50"/>
  <c r="A1113" i="50" s="1"/>
  <c r="J1114" i="50"/>
  <c r="A1114" i="50" s="1"/>
  <c r="J1115" i="50"/>
  <c r="A1115" i="50" s="1"/>
  <c r="J1116" i="50"/>
  <c r="A1116" i="50" s="1"/>
  <c r="J1117" i="50"/>
  <c r="A1117" i="50" s="1"/>
  <c r="J1118" i="50"/>
  <c r="A1118" i="50" s="1"/>
  <c r="J1119" i="50"/>
  <c r="A1119" i="50" s="1"/>
  <c r="J1120" i="50"/>
  <c r="A1120" i="50" s="1"/>
  <c r="J1121" i="50"/>
  <c r="A1121" i="50" s="1"/>
  <c r="J1122" i="50"/>
  <c r="A1122" i="50" s="1"/>
  <c r="J1123" i="50"/>
  <c r="A1123" i="50" s="1"/>
  <c r="J1124" i="50"/>
  <c r="A1124" i="50" s="1"/>
  <c r="J1125" i="50"/>
  <c r="A1125" i="50" s="1"/>
  <c r="J1126" i="50"/>
  <c r="A1126" i="50" s="1"/>
  <c r="J1127" i="50"/>
  <c r="A1127" i="50" s="1"/>
  <c r="J1128" i="50"/>
  <c r="A1128" i="50" s="1"/>
  <c r="J1129" i="50"/>
  <c r="A1129" i="50" s="1"/>
  <c r="J1130" i="50"/>
  <c r="A1130" i="50" s="1"/>
  <c r="J1131" i="50"/>
  <c r="A1131" i="50" s="1"/>
  <c r="J1132" i="50"/>
  <c r="A1132" i="50" s="1"/>
  <c r="J1133" i="50"/>
  <c r="A1133" i="50" s="1"/>
  <c r="J1134" i="50"/>
  <c r="A1134" i="50" s="1"/>
  <c r="J1135" i="50"/>
  <c r="A1135" i="50" s="1"/>
  <c r="J1136" i="50"/>
  <c r="A1136" i="50" s="1"/>
  <c r="J1137" i="50"/>
  <c r="A1137" i="50" s="1"/>
  <c r="J1138" i="50"/>
  <c r="A1138" i="50" s="1"/>
  <c r="J1139" i="50"/>
  <c r="A1139" i="50" s="1"/>
  <c r="J1140" i="50"/>
  <c r="A1140" i="50" s="1"/>
  <c r="J1141" i="50"/>
  <c r="A1141" i="50" s="1"/>
  <c r="J1142" i="50"/>
  <c r="A1142" i="50" s="1"/>
  <c r="J1143" i="50"/>
  <c r="A1143" i="50" s="1"/>
  <c r="J1144" i="50"/>
  <c r="A1144" i="50" s="1"/>
  <c r="J1145" i="50"/>
  <c r="A1145" i="50" s="1"/>
  <c r="J1146" i="50"/>
  <c r="A1146" i="50" s="1"/>
  <c r="J1147" i="50"/>
  <c r="A1147" i="50" s="1"/>
  <c r="J1148" i="50"/>
  <c r="A1148" i="50" s="1"/>
  <c r="J1149" i="50"/>
  <c r="A1149" i="50" s="1"/>
  <c r="J1150" i="50"/>
  <c r="A1150" i="50" s="1"/>
  <c r="J1151" i="50"/>
  <c r="A1151" i="50" s="1"/>
  <c r="J1152" i="50"/>
  <c r="A1152" i="50" s="1"/>
  <c r="J1153" i="50"/>
  <c r="A1153" i="50" s="1"/>
  <c r="J1154" i="50"/>
  <c r="A1154" i="50" s="1"/>
  <c r="J1155" i="50"/>
  <c r="A1155" i="50" s="1"/>
  <c r="J1156" i="50"/>
  <c r="A1156" i="50" s="1"/>
  <c r="J1157" i="50"/>
  <c r="A1157" i="50" s="1"/>
  <c r="J1158" i="50"/>
  <c r="A1158" i="50" s="1"/>
  <c r="J1159" i="50"/>
  <c r="A1159" i="50" s="1"/>
  <c r="J1160" i="50"/>
  <c r="A1160" i="50" s="1"/>
  <c r="J1161" i="50"/>
  <c r="A1161" i="50" s="1"/>
  <c r="J1162" i="50"/>
  <c r="A1162" i="50" s="1"/>
  <c r="J1163" i="50"/>
  <c r="A1163" i="50" s="1"/>
  <c r="J1164" i="50"/>
  <c r="A1164" i="50" s="1"/>
  <c r="J1165" i="50"/>
  <c r="A1165" i="50" s="1"/>
  <c r="J1166" i="50"/>
  <c r="A1166" i="50" s="1"/>
  <c r="J1167" i="50"/>
  <c r="A1167" i="50" s="1"/>
  <c r="J1168" i="50"/>
  <c r="A1168" i="50" s="1"/>
  <c r="J1169" i="50"/>
  <c r="A1169" i="50" s="1"/>
  <c r="J1170" i="50"/>
  <c r="A1170" i="50" s="1"/>
  <c r="J1171" i="50"/>
  <c r="A1171" i="50" s="1"/>
  <c r="J1172" i="50"/>
  <c r="A1172" i="50" s="1"/>
  <c r="J1173" i="50"/>
  <c r="A1173" i="50" s="1"/>
  <c r="J1174" i="50"/>
  <c r="A1174" i="50" s="1"/>
  <c r="J1175" i="50"/>
  <c r="A1175" i="50" s="1"/>
  <c r="J1176" i="50"/>
  <c r="A1176" i="50" s="1"/>
  <c r="J1177" i="50"/>
  <c r="A1177" i="50" s="1"/>
  <c r="J1178" i="50"/>
  <c r="A1178" i="50" s="1"/>
  <c r="J1179" i="50"/>
  <c r="A1179" i="50" s="1"/>
  <c r="J1180" i="50"/>
  <c r="A1180" i="50" s="1"/>
  <c r="J1181" i="50"/>
  <c r="A1181" i="50" s="1"/>
  <c r="J1182" i="50"/>
  <c r="A1182" i="50" s="1"/>
  <c r="J1183" i="50"/>
  <c r="A1183" i="50" s="1"/>
  <c r="J1184" i="50"/>
  <c r="A1184" i="50" s="1"/>
  <c r="J1185" i="50"/>
  <c r="A1185" i="50" s="1"/>
  <c r="J1186" i="50"/>
  <c r="A1186" i="50" s="1"/>
  <c r="J1187" i="50"/>
  <c r="A1187" i="50" s="1"/>
  <c r="J1188" i="50"/>
  <c r="A1188" i="50" s="1"/>
  <c r="J1189" i="50"/>
  <c r="A1189" i="50" s="1"/>
  <c r="J1190" i="50"/>
  <c r="A1190" i="50" s="1"/>
  <c r="J1191" i="50"/>
  <c r="A1191" i="50" s="1"/>
  <c r="J1192" i="50"/>
  <c r="A1192" i="50" s="1"/>
  <c r="J1193" i="50"/>
  <c r="A1193" i="50" s="1"/>
  <c r="J1194" i="50"/>
  <c r="A1194" i="50" s="1"/>
  <c r="J1195" i="50"/>
  <c r="A1195" i="50" s="1"/>
  <c r="J1196" i="50"/>
  <c r="A1196" i="50" s="1"/>
  <c r="J1197" i="50"/>
  <c r="A1197" i="50" s="1"/>
  <c r="J1198" i="50"/>
  <c r="A1198" i="50" s="1"/>
  <c r="J1199" i="50"/>
  <c r="A1199" i="50" s="1"/>
  <c r="J1200" i="50"/>
  <c r="A1200" i="50" s="1"/>
  <c r="J1201" i="50"/>
  <c r="A1201" i="50" s="1"/>
  <c r="J1202" i="50"/>
  <c r="A1202" i="50" s="1"/>
  <c r="J1203" i="50"/>
  <c r="A1203" i="50" s="1"/>
  <c r="J1204" i="50"/>
  <c r="A1204" i="50" s="1"/>
  <c r="J1205" i="50"/>
  <c r="A1205" i="50" s="1"/>
  <c r="J1206" i="50"/>
  <c r="A1206" i="50" s="1"/>
  <c r="J1207" i="50"/>
  <c r="A1207" i="50" s="1"/>
  <c r="J1208" i="50"/>
  <c r="A1208" i="50" s="1"/>
  <c r="J1209" i="50"/>
  <c r="A1209" i="50" s="1"/>
  <c r="J1210" i="50"/>
  <c r="A1210" i="50" s="1"/>
  <c r="J1211" i="50"/>
  <c r="A1211" i="50" s="1"/>
  <c r="J1212" i="50"/>
  <c r="A1212" i="50" s="1"/>
  <c r="J1213" i="50"/>
  <c r="A1213" i="50" s="1"/>
  <c r="J1214" i="50"/>
  <c r="A1214" i="50" s="1"/>
  <c r="J1215" i="50"/>
  <c r="A1215" i="50" s="1"/>
  <c r="J1216" i="50"/>
  <c r="A1216" i="50" s="1"/>
  <c r="J1217" i="50"/>
  <c r="A1217" i="50" s="1"/>
  <c r="J1218" i="50"/>
  <c r="A1218" i="50" s="1"/>
  <c r="J1219" i="50"/>
  <c r="A1219" i="50" s="1"/>
  <c r="J1220" i="50"/>
  <c r="A1220" i="50" s="1"/>
  <c r="J1221" i="50"/>
  <c r="A1221" i="50" s="1"/>
  <c r="J1222" i="50"/>
  <c r="A1222" i="50" s="1"/>
  <c r="J1223" i="50"/>
  <c r="A1223" i="50" s="1"/>
  <c r="J1224" i="50"/>
  <c r="A1224" i="50" s="1"/>
  <c r="J1225" i="50"/>
  <c r="A1225" i="50" s="1"/>
  <c r="J1226" i="50"/>
  <c r="A1226" i="50" s="1"/>
  <c r="J1227" i="50"/>
  <c r="A1227" i="50" s="1"/>
  <c r="J1228" i="50"/>
  <c r="A1228" i="50" s="1"/>
  <c r="J1229" i="50"/>
  <c r="A1229" i="50" s="1"/>
  <c r="J1230" i="50"/>
  <c r="A1230" i="50" s="1"/>
  <c r="J1231" i="50"/>
  <c r="A1231" i="50" s="1"/>
  <c r="J1232" i="50"/>
  <c r="A1232" i="50" s="1"/>
  <c r="J1233" i="50"/>
  <c r="A1233" i="50" s="1"/>
  <c r="J1234" i="50"/>
  <c r="A1234" i="50" s="1"/>
  <c r="J1235" i="50"/>
  <c r="A1235" i="50" s="1"/>
  <c r="J1236" i="50"/>
  <c r="A1236" i="50" s="1"/>
  <c r="J1237" i="50"/>
  <c r="A1237" i="50" s="1"/>
  <c r="J1238" i="50"/>
  <c r="A1238" i="50" s="1"/>
  <c r="J1239" i="50"/>
  <c r="A1239" i="50" s="1"/>
  <c r="J1240" i="50"/>
  <c r="A1240" i="50" s="1"/>
  <c r="J1241" i="50"/>
  <c r="A1241" i="50" s="1"/>
  <c r="J1242" i="50"/>
  <c r="A1242" i="50" s="1"/>
  <c r="J1243" i="50"/>
  <c r="A1243" i="50" s="1"/>
  <c r="J1244" i="50"/>
  <c r="A1244" i="50" s="1"/>
  <c r="J1245" i="50"/>
  <c r="A1245" i="50" s="1"/>
  <c r="J1246" i="50"/>
  <c r="A1246" i="50" s="1"/>
  <c r="J1247" i="50"/>
  <c r="A1247" i="50" s="1"/>
  <c r="J1248" i="50"/>
  <c r="A1248" i="50" s="1"/>
  <c r="J1249" i="50"/>
  <c r="A1249" i="50" s="1"/>
  <c r="J1250" i="50"/>
  <c r="A1250" i="50" s="1"/>
  <c r="J1251" i="50"/>
  <c r="A1251" i="50" s="1"/>
  <c r="J1252" i="50"/>
  <c r="A1252" i="50" s="1"/>
  <c r="J1253" i="50"/>
  <c r="A1253" i="50" s="1"/>
  <c r="J1254" i="50"/>
  <c r="A1254" i="50" s="1"/>
  <c r="J1255" i="50"/>
  <c r="A1255" i="50" s="1"/>
  <c r="J1256" i="50"/>
  <c r="A1256" i="50" s="1"/>
  <c r="J1257" i="50"/>
  <c r="A1257" i="50" s="1"/>
  <c r="J1258" i="50"/>
  <c r="A1258" i="50" s="1"/>
  <c r="J1259" i="50"/>
  <c r="A1259" i="50" s="1"/>
  <c r="J1260" i="50"/>
  <c r="A1260" i="50" s="1"/>
  <c r="J1261" i="50"/>
  <c r="A1261" i="50" s="1"/>
  <c r="J1262" i="50"/>
  <c r="A1262" i="50" s="1"/>
  <c r="J1263" i="50"/>
  <c r="A1263" i="50" s="1"/>
  <c r="J1264" i="50"/>
  <c r="A1264" i="50" s="1"/>
  <c r="J1265" i="50"/>
  <c r="A1265" i="50" s="1"/>
  <c r="J1266" i="50"/>
  <c r="A1266" i="50" s="1"/>
  <c r="J1267" i="50"/>
  <c r="A1267" i="50" s="1"/>
  <c r="J1268" i="50"/>
  <c r="A1268" i="50" s="1"/>
  <c r="J1269" i="50"/>
  <c r="A1269" i="50" s="1"/>
  <c r="J1270" i="50"/>
  <c r="A1270" i="50" s="1"/>
  <c r="J1271" i="50"/>
  <c r="A1271" i="50" s="1"/>
  <c r="J1272" i="50"/>
  <c r="A1272" i="50" s="1"/>
  <c r="J1273" i="50"/>
  <c r="A1273" i="50" s="1"/>
  <c r="J1274" i="50"/>
  <c r="A1274" i="50" s="1"/>
  <c r="J1275" i="50"/>
  <c r="A1275" i="50" s="1"/>
  <c r="J1276" i="50"/>
  <c r="A1276" i="50" s="1"/>
  <c r="J1277" i="50"/>
  <c r="A1277" i="50" s="1"/>
  <c r="J1278" i="50"/>
  <c r="A1278" i="50" s="1"/>
  <c r="J1279" i="50"/>
  <c r="A1279" i="50" s="1"/>
  <c r="N3" i="10"/>
  <c r="P3" i="10" s="1"/>
  <c r="O3" i="10"/>
  <c r="R3" i="10"/>
  <c r="N4" i="10"/>
  <c r="P4" i="10" s="1"/>
  <c r="O4" i="10"/>
  <c r="R4" i="10"/>
  <c r="N5" i="10"/>
  <c r="P5" i="10" s="1"/>
  <c r="O5" i="10"/>
  <c r="R5" i="10"/>
  <c r="N6" i="10"/>
  <c r="P6" i="10" s="1"/>
  <c r="O6" i="10"/>
  <c r="R6" i="10"/>
  <c r="N7" i="10"/>
  <c r="P7" i="10" s="1"/>
  <c r="O7" i="10"/>
  <c r="R7" i="10"/>
  <c r="N8" i="10"/>
  <c r="P8" i="10" s="1"/>
  <c r="O8" i="10"/>
  <c r="R8" i="10"/>
  <c r="N9" i="10"/>
  <c r="P9" i="10" s="1"/>
  <c r="O9" i="10"/>
  <c r="R9" i="10"/>
  <c r="N10" i="10"/>
  <c r="P10" i="10" s="1"/>
  <c r="O10" i="10"/>
  <c r="R10" i="10"/>
  <c r="N11" i="10"/>
  <c r="P11" i="10" s="1"/>
  <c r="O11" i="10"/>
  <c r="R11" i="10"/>
  <c r="N12" i="10"/>
  <c r="P12" i="10" s="1"/>
  <c r="O12" i="10"/>
  <c r="R12" i="10"/>
  <c r="N13" i="10"/>
  <c r="P13" i="10" s="1"/>
  <c r="O13" i="10"/>
  <c r="R13" i="10"/>
  <c r="N14" i="10"/>
  <c r="P14" i="10" s="1"/>
  <c r="O14" i="10"/>
  <c r="R14" i="10"/>
  <c r="N15" i="10"/>
  <c r="P15" i="10" s="1"/>
  <c r="O15" i="10"/>
  <c r="R15" i="10"/>
  <c r="N16" i="10"/>
  <c r="P16" i="10" s="1"/>
  <c r="O16" i="10"/>
  <c r="R16" i="10"/>
  <c r="N17" i="10"/>
  <c r="P17" i="10" s="1"/>
  <c r="O17" i="10"/>
  <c r="R17" i="10"/>
  <c r="N18" i="10"/>
  <c r="P18" i="10" s="1"/>
  <c r="O18" i="10"/>
  <c r="R18" i="10"/>
  <c r="N19" i="10"/>
  <c r="P19" i="10" s="1"/>
  <c r="O19" i="10"/>
  <c r="R19" i="10"/>
  <c r="N20" i="10"/>
  <c r="P20" i="10" s="1"/>
  <c r="O20" i="10"/>
  <c r="R20" i="10"/>
  <c r="N21" i="10"/>
  <c r="P21" i="10" s="1"/>
  <c r="O21" i="10"/>
  <c r="R21" i="10"/>
  <c r="N22" i="10"/>
  <c r="P22" i="10" s="1"/>
  <c r="O22" i="10"/>
  <c r="R22" i="10"/>
  <c r="N23" i="10"/>
  <c r="P23" i="10" s="1"/>
  <c r="O23" i="10"/>
  <c r="R23" i="10"/>
  <c r="N24" i="10"/>
  <c r="P24" i="10" s="1"/>
  <c r="O24" i="10"/>
  <c r="R24" i="10"/>
  <c r="N25" i="10"/>
  <c r="P25" i="10" s="1"/>
  <c r="O25" i="10"/>
  <c r="R25" i="10"/>
  <c r="N26" i="10"/>
  <c r="P26" i="10" s="1"/>
  <c r="O26" i="10"/>
  <c r="R26" i="10"/>
  <c r="N27" i="10"/>
  <c r="P27" i="10" s="1"/>
  <c r="O27" i="10"/>
  <c r="R27" i="10"/>
  <c r="N28" i="10"/>
  <c r="P28" i="10" s="1"/>
  <c r="O28" i="10"/>
  <c r="R28" i="10"/>
  <c r="N29" i="10"/>
  <c r="P29" i="10" s="1"/>
  <c r="O29" i="10"/>
  <c r="R29" i="10"/>
  <c r="N30" i="10"/>
  <c r="P30" i="10" s="1"/>
  <c r="O30" i="10"/>
  <c r="R30" i="10"/>
  <c r="N31" i="10"/>
  <c r="P31" i="10" s="1"/>
  <c r="O31" i="10"/>
  <c r="R31" i="10"/>
  <c r="N32" i="10"/>
  <c r="P32" i="10" s="1"/>
  <c r="O32" i="10"/>
  <c r="R32" i="10"/>
  <c r="N33" i="10"/>
  <c r="P33" i="10" s="1"/>
  <c r="O33" i="10"/>
  <c r="R33" i="10"/>
  <c r="N34" i="10"/>
  <c r="P34" i="10" s="1"/>
  <c r="O34" i="10"/>
  <c r="R34" i="10"/>
  <c r="N35" i="10"/>
  <c r="P35" i="10" s="1"/>
  <c r="O35" i="10"/>
  <c r="R35" i="10"/>
  <c r="N36" i="10"/>
  <c r="P36" i="10" s="1"/>
  <c r="O36" i="10"/>
  <c r="R36" i="10"/>
  <c r="N37" i="10"/>
  <c r="P37" i="10" s="1"/>
  <c r="O37" i="10"/>
  <c r="R37" i="10"/>
  <c r="N38" i="10"/>
  <c r="P38" i="10" s="1"/>
  <c r="O38" i="10"/>
  <c r="R38" i="10"/>
  <c r="N39" i="10"/>
  <c r="P39" i="10" s="1"/>
  <c r="O39" i="10"/>
  <c r="R39" i="10"/>
  <c r="N40" i="10"/>
  <c r="P40" i="10" s="1"/>
  <c r="O40" i="10"/>
  <c r="R40" i="10"/>
  <c r="N41" i="10"/>
  <c r="P41" i="10" s="1"/>
  <c r="O41" i="10"/>
  <c r="R41" i="10"/>
  <c r="N42" i="10"/>
  <c r="P42" i="10" s="1"/>
  <c r="O42" i="10"/>
  <c r="R42" i="10"/>
  <c r="N43" i="10"/>
  <c r="P43" i="10" s="1"/>
  <c r="O43" i="10"/>
  <c r="R43" i="10"/>
  <c r="N44" i="10"/>
  <c r="P44" i="10" s="1"/>
  <c r="O44" i="10"/>
  <c r="R44" i="10"/>
  <c r="N45" i="10"/>
  <c r="P45" i="10" s="1"/>
  <c r="O45" i="10"/>
  <c r="R45" i="10"/>
  <c r="N46" i="10"/>
  <c r="P46" i="10" s="1"/>
  <c r="O46" i="10"/>
  <c r="R46" i="10"/>
  <c r="N47" i="10"/>
  <c r="P47" i="10" s="1"/>
  <c r="O47" i="10"/>
  <c r="R47" i="10"/>
  <c r="N48" i="10"/>
  <c r="P48" i="10" s="1"/>
  <c r="O48" i="10"/>
  <c r="R48" i="10"/>
  <c r="N49" i="10"/>
  <c r="P49" i="10" s="1"/>
  <c r="O49" i="10"/>
  <c r="R49" i="10"/>
  <c r="N50" i="10"/>
  <c r="P50" i="10" s="1"/>
  <c r="O50" i="10"/>
  <c r="R50" i="10"/>
  <c r="N51" i="10"/>
  <c r="P51" i="10" s="1"/>
  <c r="O51" i="10"/>
  <c r="R51" i="10"/>
  <c r="N52" i="10"/>
  <c r="P52" i="10" s="1"/>
  <c r="O52" i="10"/>
  <c r="R52" i="10"/>
  <c r="N53" i="10"/>
  <c r="P53" i="10" s="1"/>
  <c r="O53" i="10"/>
  <c r="R53" i="10"/>
  <c r="N54" i="10"/>
  <c r="P54" i="10" s="1"/>
  <c r="O54" i="10"/>
  <c r="R54" i="10"/>
  <c r="N55" i="10"/>
  <c r="P55" i="10" s="1"/>
  <c r="O55" i="10"/>
  <c r="R55" i="10"/>
  <c r="N56" i="10"/>
  <c r="P56" i="10" s="1"/>
  <c r="O56" i="10"/>
  <c r="R56" i="10"/>
  <c r="N57" i="10"/>
  <c r="P57" i="10" s="1"/>
  <c r="O57" i="10"/>
  <c r="R57" i="10"/>
  <c r="N58" i="10"/>
  <c r="P58" i="10" s="1"/>
  <c r="O58" i="10"/>
  <c r="R58" i="10"/>
  <c r="N59" i="10"/>
  <c r="P59" i="10" s="1"/>
  <c r="O59" i="10"/>
  <c r="R59" i="10"/>
  <c r="N60" i="10"/>
  <c r="P60" i="10" s="1"/>
  <c r="O60" i="10"/>
  <c r="R60" i="10"/>
  <c r="N61" i="10"/>
  <c r="P61" i="10" s="1"/>
  <c r="O61" i="10"/>
  <c r="R61" i="10"/>
  <c r="N62" i="10"/>
  <c r="P62" i="10" s="1"/>
  <c r="O62" i="10"/>
  <c r="R62" i="10"/>
  <c r="N63" i="10"/>
  <c r="P63" i="10" s="1"/>
  <c r="O63" i="10"/>
  <c r="R63" i="10"/>
  <c r="N64" i="10"/>
  <c r="P64" i="10" s="1"/>
  <c r="O64" i="10"/>
  <c r="R64" i="10"/>
  <c r="N65" i="10"/>
  <c r="P65" i="10" s="1"/>
  <c r="O65" i="10"/>
  <c r="R65" i="10"/>
  <c r="N66" i="10"/>
  <c r="P66" i="10" s="1"/>
  <c r="O66" i="10"/>
  <c r="R66" i="10"/>
  <c r="N67" i="10"/>
  <c r="P67" i="10" s="1"/>
  <c r="O67" i="10"/>
  <c r="R67" i="10"/>
  <c r="N68" i="10"/>
  <c r="P68" i="10" s="1"/>
  <c r="O68" i="10"/>
  <c r="R68" i="10"/>
  <c r="N69" i="10"/>
  <c r="P69" i="10" s="1"/>
  <c r="O69" i="10"/>
  <c r="R69" i="10"/>
  <c r="N70" i="10"/>
  <c r="P70" i="10" s="1"/>
  <c r="O70" i="10"/>
  <c r="R70" i="10"/>
  <c r="N71" i="10"/>
  <c r="P71" i="10" s="1"/>
  <c r="O71" i="10"/>
  <c r="R71" i="10"/>
  <c r="N72" i="10"/>
  <c r="P72" i="10" s="1"/>
  <c r="O72" i="10"/>
  <c r="R72" i="10"/>
  <c r="N73" i="10"/>
  <c r="P73" i="10" s="1"/>
  <c r="O73" i="10"/>
  <c r="R73" i="10"/>
  <c r="N74" i="10"/>
  <c r="P74" i="10" s="1"/>
  <c r="O74" i="10"/>
  <c r="R74" i="10"/>
  <c r="N75" i="10"/>
  <c r="P75" i="10" s="1"/>
  <c r="O75" i="10"/>
  <c r="R75" i="10"/>
  <c r="N76" i="10"/>
  <c r="P76" i="10" s="1"/>
  <c r="O76" i="10"/>
  <c r="R76" i="10"/>
  <c r="N77" i="10"/>
  <c r="P77" i="10" s="1"/>
  <c r="O77" i="10"/>
  <c r="R77" i="10"/>
  <c r="N78" i="10"/>
  <c r="P78" i="10" s="1"/>
  <c r="O78" i="10"/>
  <c r="R78" i="10"/>
  <c r="N79" i="10"/>
  <c r="P79" i="10" s="1"/>
  <c r="O79" i="10"/>
  <c r="R79" i="10"/>
  <c r="N80" i="10"/>
  <c r="P80" i="10" s="1"/>
  <c r="O80" i="10"/>
  <c r="R80" i="10"/>
  <c r="N81" i="10"/>
  <c r="P81" i="10" s="1"/>
  <c r="O81" i="10"/>
  <c r="R81" i="10"/>
  <c r="N82" i="10"/>
  <c r="P82" i="10" s="1"/>
  <c r="O82" i="10"/>
  <c r="R82" i="10"/>
  <c r="N83" i="10"/>
  <c r="P83" i="10" s="1"/>
  <c r="O83" i="10"/>
  <c r="R83" i="10"/>
  <c r="N84" i="10"/>
  <c r="P84" i="10" s="1"/>
  <c r="O84" i="10"/>
  <c r="R84" i="10"/>
  <c r="N85" i="10"/>
  <c r="P85" i="10" s="1"/>
  <c r="O85" i="10"/>
  <c r="R85" i="10"/>
  <c r="N86" i="10"/>
  <c r="P86" i="10" s="1"/>
  <c r="O86" i="10"/>
  <c r="R86" i="10"/>
  <c r="N87" i="10"/>
  <c r="P87" i="10" s="1"/>
  <c r="O87" i="10"/>
  <c r="R87" i="10"/>
  <c r="N88" i="10"/>
  <c r="P88" i="10" s="1"/>
  <c r="O88" i="10"/>
  <c r="R88" i="10"/>
  <c r="N89" i="10"/>
  <c r="P89" i="10" s="1"/>
  <c r="O89" i="10"/>
  <c r="R89" i="10"/>
  <c r="N90" i="10"/>
  <c r="P90" i="10" s="1"/>
  <c r="O90" i="10"/>
  <c r="R90" i="10"/>
  <c r="N91" i="10"/>
  <c r="P91" i="10" s="1"/>
  <c r="O91" i="10"/>
  <c r="R91" i="10"/>
  <c r="N92" i="10"/>
  <c r="P92" i="10" s="1"/>
  <c r="O92" i="10"/>
  <c r="R92" i="10"/>
  <c r="N93" i="10"/>
  <c r="P93" i="10" s="1"/>
  <c r="O93" i="10"/>
  <c r="R93" i="10"/>
  <c r="N94" i="10"/>
  <c r="P94" i="10" s="1"/>
  <c r="O94" i="10"/>
  <c r="R94" i="10"/>
  <c r="N95" i="10"/>
  <c r="P95" i="10" s="1"/>
  <c r="O95" i="10"/>
  <c r="R95" i="10"/>
  <c r="N96" i="10"/>
  <c r="P96" i="10" s="1"/>
  <c r="O96" i="10"/>
  <c r="R96" i="10"/>
  <c r="N97" i="10"/>
  <c r="P97" i="10" s="1"/>
  <c r="O97" i="10"/>
  <c r="R97" i="10"/>
  <c r="N98" i="10"/>
  <c r="P98" i="10" s="1"/>
  <c r="O98" i="10"/>
  <c r="R98" i="10"/>
  <c r="N99" i="10"/>
  <c r="P99" i="10" s="1"/>
  <c r="O99" i="10"/>
  <c r="R99" i="10"/>
  <c r="N100" i="10"/>
  <c r="P100" i="10" s="1"/>
  <c r="O100" i="10"/>
  <c r="R100" i="10"/>
  <c r="N101" i="10"/>
  <c r="P101" i="10" s="1"/>
  <c r="O101" i="10"/>
  <c r="R101" i="10"/>
  <c r="N102" i="10"/>
  <c r="P102" i="10" s="1"/>
  <c r="O102" i="10"/>
  <c r="R102" i="10"/>
  <c r="N103" i="10"/>
  <c r="P103" i="10" s="1"/>
  <c r="O103" i="10"/>
  <c r="R103" i="10"/>
  <c r="N104" i="10"/>
  <c r="P104" i="10" s="1"/>
  <c r="O104" i="10"/>
  <c r="R104" i="10"/>
  <c r="N105" i="10"/>
  <c r="P105" i="10" s="1"/>
  <c r="O105" i="10"/>
  <c r="R105" i="10"/>
  <c r="N106" i="10"/>
  <c r="P106" i="10" s="1"/>
  <c r="O106" i="10"/>
  <c r="R106" i="10"/>
  <c r="N107" i="10"/>
  <c r="P107" i="10" s="1"/>
  <c r="O107" i="10"/>
  <c r="R107" i="10"/>
  <c r="N108" i="10"/>
  <c r="P108" i="10" s="1"/>
  <c r="O108" i="10"/>
  <c r="R108" i="10"/>
  <c r="N109" i="10"/>
  <c r="P109" i="10" s="1"/>
  <c r="O109" i="10"/>
  <c r="R109" i="10"/>
  <c r="N110" i="10"/>
  <c r="P110" i="10" s="1"/>
  <c r="O110" i="10"/>
  <c r="R110" i="10"/>
  <c r="N111" i="10"/>
  <c r="P111" i="10" s="1"/>
  <c r="O111" i="10"/>
  <c r="R111" i="10"/>
  <c r="N112" i="10"/>
  <c r="P112" i="10" s="1"/>
  <c r="O112" i="10"/>
  <c r="R112" i="10"/>
  <c r="N113" i="10"/>
  <c r="P113" i="10" s="1"/>
  <c r="O113" i="10"/>
  <c r="R113" i="10"/>
  <c r="N114" i="10"/>
  <c r="P114" i="10" s="1"/>
  <c r="O114" i="10"/>
  <c r="R114" i="10"/>
  <c r="N115" i="10"/>
  <c r="P115" i="10" s="1"/>
  <c r="O115" i="10"/>
  <c r="R115" i="10"/>
  <c r="N116" i="10"/>
  <c r="P116" i="10" s="1"/>
  <c r="O116" i="10"/>
  <c r="R116" i="10"/>
  <c r="N117" i="10"/>
  <c r="P117" i="10" s="1"/>
  <c r="O117" i="10"/>
  <c r="R117" i="10"/>
  <c r="N118" i="10"/>
  <c r="P118" i="10" s="1"/>
  <c r="O118" i="10"/>
  <c r="R118" i="10"/>
  <c r="N119" i="10"/>
  <c r="P119" i="10" s="1"/>
  <c r="O119" i="10"/>
  <c r="R119" i="10"/>
  <c r="N120" i="10"/>
  <c r="P120" i="10" s="1"/>
  <c r="O120" i="10"/>
  <c r="R120" i="10"/>
  <c r="N121" i="10"/>
  <c r="P121" i="10" s="1"/>
  <c r="O121" i="10"/>
  <c r="R121" i="10"/>
  <c r="N122" i="10"/>
  <c r="P122" i="10" s="1"/>
  <c r="O122" i="10"/>
  <c r="R122" i="10"/>
  <c r="N124" i="10"/>
  <c r="P124" i="10" s="1"/>
  <c r="O124" i="10"/>
  <c r="R124" i="10"/>
  <c r="N125" i="10"/>
  <c r="P125" i="10" s="1"/>
  <c r="O125" i="10"/>
  <c r="R125" i="10"/>
  <c r="N126" i="10"/>
  <c r="P126" i="10" s="1"/>
  <c r="O126" i="10"/>
  <c r="R126" i="10"/>
  <c r="N127" i="10"/>
  <c r="P127" i="10" s="1"/>
  <c r="O127" i="10"/>
  <c r="R127" i="10"/>
  <c r="N128" i="10"/>
  <c r="P128" i="10" s="1"/>
  <c r="O128" i="10"/>
  <c r="R128" i="10"/>
  <c r="N129" i="10"/>
  <c r="P129" i="10" s="1"/>
  <c r="O129" i="10"/>
  <c r="R129" i="10"/>
  <c r="N130" i="10"/>
  <c r="P130" i="10" s="1"/>
  <c r="O130" i="10"/>
  <c r="R130" i="10"/>
  <c r="N131" i="10"/>
  <c r="P131" i="10" s="1"/>
  <c r="O131" i="10"/>
  <c r="R131" i="10"/>
  <c r="N132" i="10"/>
  <c r="P132" i="10" s="1"/>
  <c r="O132" i="10"/>
  <c r="R132" i="10"/>
  <c r="N133" i="10"/>
  <c r="P133" i="10" s="1"/>
  <c r="O133" i="10"/>
  <c r="R133" i="10"/>
  <c r="N134" i="10"/>
  <c r="P134" i="10" s="1"/>
  <c r="O134" i="10"/>
  <c r="R134" i="10"/>
  <c r="N135" i="10"/>
  <c r="P135" i="10" s="1"/>
  <c r="O135" i="10"/>
  <c r="R135" i="10"/>
  <c r="N141" i="10"/>
  <c r="P141" i="10" s="1"/>
  <c r="O141" i="10"/>
  <c r="R141" i="10"/>
  <c r="N156" i="10"/>
  <c r="P156" i="10" s="1"/>
  <c r="O156" i="10"/>
  <c r="R156" i="10"/>
  <c r="N163" i="10"/>
  <c r="P163" i="10" s="1"/>
  <c r="O163" i="10"/>
  <c r="R163" i="10"/>
  <c r="N123" i="10"/>
  <c r="P123" i="10" s="1"/>
  <c r="O123" i="10"/>
  <c r="R123" i="10"/>
  <c r="N171" i="10"/>
  <c r="P171" i="10" s="1"/>
  <c r="O171" i="10"/>
  <c r="R171" i="10"/>
  <c r="N176" i="10"/>
  <c r="P176" i="10" s="1"/>
  <c r="O176" i="10"/>
  <c r="R176" i="10"/>
  <c r="N179" i="10"/>
  <c r="P179" i="10" s="1"/>
  <c r="O179" i="10"/>
  <c r="R179" i="10"/>
  <c r="N155" i="10"/>
  <c r="P155" i="10" s="1"/>
  <c r="O155" i="10"/>
  <c r="R155" i="10"/>
  <c r="O172" i="10"/>
  <c r="N174" i="10"/>
  <c r="P174" i="10" s="1"/>
  <c r="O174" i="10"/>
  <c r="R174" i="10"/>
  <c r="N181" i="10"/>
  <c r="P181" i="10" s="1"/>
  <c r="O181" i="10"/>
  <c r="O136" i="10"/>
  <c r="N152" i="10"/>
  <c r="P152" i="10" s="1"/>
  <c r="O152" i="10"/>
  <c r="R152" i="10"/>
  <c r="N170" i="10"/>
  <c r="P170" i="10" s="1"/>
  <c r="O170" i="10"/>
  <c r="R170" i="10"/>
  <c r="N178" i="10"/>
  <c r="P178" i="10" s="1"/>
  <c r="O178" i="10"/>
  <c r="R178" i="10"/>
  <c r="N182" i="10"/>
  <c r="P182" i="10" s="1"/>
  <c r="O182" i="10"/>
  <c r="R182" i="10"/>
  <c r="N142" i="10"/>
  <c r="P142" i="10" s="1"/>
  <c r="O142" i="10"/>
  <c r="R142" i="10"/>
  <c r="N177" i="10"/>
  <c r="P177" i="10" s="1"/>
  <c r="O177" i="10"/>
  <c r="R177" i="10"/>
  <c r="N143" i="10"/>
  <c r="P143" i="10" s="1"/>
  <c r="O143" i="10"/>
  <c r="R143" i="10"/>
  <c r="N151" i="10"/>
  <c r="P151" i="10" s="1"/>
  <c r="O151" i="10"/>
  <c r="R151" i="10"/>
  <c r="N164" i="10"/>
  <c r="P164" i="10" s="1"/>
  <c r="O164" i="10"/>
  <c r="R164" i="10"/>
  <c r="O169" i="10"/>
  <c r="R169" i="10"/>
  <c r="O147" i="10"/>
  <c r="R147" i="10"/>
  <c r="N175" i="10"/>
  <c r="P175" i="10" s="1"/>
  <c r="O175" i="10"/>
  <c r="R175" i="10"/>
  <c r="N137" i="10"/>
  <c r="P137" i="10" s="1"/>
  <c r="O137" i="10"/>
  <c r="R137" i="10"/>
  <c r="N150" i="10"/>
  <c r="P150" i="10" s="1"/>
  <c r="O150" i="10"/>
  <c r="R150" i="10"/>
  <c r="N165" i="10"/>
  <c r="P165" i="10" s="1"/>
  <c r="O165" i="10"/>
  <c r="R165" i="10"/>
  <c r="N187" i="10"/>
  <c r="P187" i="10" s="1"/>
  <c r="O187" i="10"/>
  <c r="R187" i="10"/>
  <c r="Q578" i="10" l="1"/>
  <c r="Q568" i="10"/>
  <c r="Q574" i="10"/>
  <c r="Q565" i="10"/>
  <c r="Q564" i="10"/>
  <c r="Q573" i="10"/>
  <c r="Q576" i="10"/>
  <c r="Q567" i="10"/>
  <c r="Q575" i="10"/>
  <c r="Q570" i="10"/>
  <c r="Q581" i="10"/>
  <c r="Q579" i="10"/>
  <c r="Q563" i="10"/>
  <c r="Q577" i="10"/>
  <c r="Q558" i="10"/>
  <c r="Q566" i="10"/>
  <c r="Q562" i="10"/>
  <c r="Q559" i="10"/>
  <c r="Q561" i="10"/>
  <c r="Q560" i="10"/>
  <c r="Q535" i="10"/>
  <c r="Q557" i="10"/>
  <c r="Q556" i="10"/>
  <c r="Q531" i="10"/>
  <c r="Q554" i="10"/>
  <c r="Q536" i="10"/>
  <c r="Q555" i="10"/>
  <c r="Q551" i="10"/>
  <c r="Q550" i="10"/>
  <c r="Q549" i="10"/>
  <c r="Q552" i="10"/>
  <c r="Q553" i="10"/>
  <c r="Q526" i="10"/>
  <c r="Q541" i="10"/>
  <c r="Q545" i="10"/>
  <c r="Q542" i="10"/>
  <c r="Q547" i="10"/>
  <c r="Q540" i="10"/>
  <c r="Q539" i="10"/>
  <c r="Q543" i="10"/>
  <c r="Q525" i="10"/>
  <c r="Q544" i="10"/>
  <c r="P360" i="10"/>
  <c r="Q548" i="10"/>
  <c r="Q546" i="10"/>
  <c r="Q534" i="10"/>
  <c r="Q537" i="10"/>
  <c r="Q538" i="10"/>
  <c r="P354" i="10"/>
  <c r="Q533" i="10"/>
  <c r="Q532" i="10"/>
  <c r="Q529" i="10"/>
  <c r="Q530" i="10"/>
  <c r="Q528" i="10"/>
  <c r="Q527" i="10"/>
  <c r="Q524" i="10"/>
  <c r="Q517" i="10"/>
  <c r="Q520" i="10"/>
  <c r="Q519" i="10"/>
  <c r="Q523" i="10"/>
  <c r="Q516" i="10"/>
  <c r="Q521" i="10"/>
  <c r="Q522" i="10"/>
  <c r="P357" i="10"/>
  <c r="Q515" i="10"/>
  <c r="P387" i="10"/>
  <c r="Q514" i="10"/>
  <c r="P512" i="10"/>
  <c r="Q512" i="10"/>
  <c r="P228" i="10"/>
  <c r="P374" i="10"/>
  <c r="Q506" i="10"/>
  <c r="P359" i="10"/>
  <c r="Q501" i="10"/>
  <c r="P356" i="10"/>
  <c r="Q503" i="10"/>
  <c r="P365" i="10"/>
  <c r="Q502" i="10"/>
  <c r="P442" i="10"/>
  <c r="Q511" i="10"/>
  <c r="P362" i="10"/>
  <c r="Q505" i="10"/>
  <c r="P353" i="10"/>
  <c r="Q509" i="10"/>
  <c r="P371" i="10"/>
  <c r="Q510" i="10"/>
  <c r="Q504" i="10"/>
  <c r="P355" i="10"/>
  <c r="Q507" i="10"/>
  <c r="P431" i="10"/>
  <c r="Q508" i="10"/>
  <c r="P500" i="10"/>
  <c r="Q500" i="10"/>
  <c r="P499" i="10"/>
  <c r="Q499" i="10"/>
  <c r="P390" i="10"/>
  <c r="Q390" i="10"/>
  <c r="Q440" i="10"/>
  <c r="Q455" i="10"/>
  <c r="Q474" i="10"/>
  <c r="Q489" i="10"/>
  <c r="P497" i="10"/>
  <c r="P376" i="10"/>
  <c r="Q491" i="10"/>
  <c r="P361" i="10"/>
  <c r="Q497" i="10"/>
  <c r="P498" i="10"/>
  <c r="Q498" i="10"/>
  <c r="P496" i="10"/>
  <c r="Q496" i="10"/>
  <c r="P495" i="10"/>
  <c r="Q495" i="10"/>
  <c r="P493" i="10"/>
  <c r="Q493" i="10"/>
  <c r="P492" i="10"/>
  <c r="Q492" i="10"/>
  <c r="Q490" i="10"/>
  <c r="P490" i="10"/>
  <c r="P488" i="10"/>
  <c r="Q487" i="10"/>
  <c r="Q488" i="10"/>
  <c r="Q477" i="10"/>
  <c r="Q481" i="10"/>
  <c r="Q483" i="10"/>
  <c r="Q482" i="10"/>
  <c r="Q473" i="10"/>
  <c r="Q472" i="10"/>
  <c r="Q484" i="10"/>
  <c r="Q479" i="10"/>
  <c r="Q476" i="10"/>
  <c r="Q478" i="10"/>
  <c r="Q485" i="10"/>
  <c r="Q480" i="10"/>
  <c r="Q475" i="10"/>
  <c r="Q486" i="10"/>
  <c r="Q470" i="10"/>
  <c r="Q460" i="10"/>
  <c r="Q471" i="10"/>
  <c r="Q446" i="10"/>
  <c r="Q469" i="10"/>
  <c r="Q468" i="10"/>
  <c r="Q467" i="10"/>
  <c r="Q466" i="10"/>
  <c r="Q465" i="10"/>
  <c r="Q464" i="10"/>
  <c r="Q463" i="10"/>
  <c r="Q461" i="10"/>
  <c r="Q462" i="10"/>
  <c r="Q459" i="10"/>
  <c r="Q458" i="10"/>
  <c r="Q456" i="10"/>
  <c r="Q457" i="10"/>
  <c r="Q435" i="10"/>
  <c r="Q451" i="10"/>
  <c r="Q436" i="10"/>
  <c r="Q454" i="10"/>
  <c r="Q450" i="10"/>
  <c r="Q453" i="10"/>
  <c r="Q452" i="10"/>
  <c r="Q449" i="10"/>
  <c r="Q448" i="10"/>
  <c r="Q447" i="10"/>
  <c r="Q444" i="10"/>
  <c r="Q445" i="10"/>
  <c r="Q443" i="10"/>
  <c r="Q26" i="10"/>
  <c r="Q62" i="10"/>
  <c r="Q93" i="10"/>
  <c r="Q129" i="10"/>
  <c r="Q177" i="10"/>
  <c r="Q142" i="10"/>
  <c r="Q132" i="10"/>
  <c r="Q43" i="10"/>
  <c r="Q79" i="10"/>
  <c r="Q109" i="10"/>
  <c r="Q205" i="10"/>
  <c r="Q254" i="10"/>
  <c r="Q266" i="10"/>
  <c r="Q339" i="10"/>
  <c r="Q238" i="10"/>
  <c r="Q233" i="10"/>
  <c r="Q288" i="10"/>
  <c r="Q234" i="10"/>
  <c r="Q281" i="10"/>
  <c r="Q273" i="10"/>
  <c r="Q244" i="10"/>
  <c r="Q227" i="10"/>
  <c r="Q294" i="10"/>
  <c r="Q262" i="10"/>
  <c r="Q310" i="10"/>
  <c r="Q347" i="10"/>
  <c r="Q328" i="10"/>
  <c r="Q326" i="10"/>
  <c r="Q364" i="10"/>
  <c r="Q279" i="10"/>
  <c r="Q267" i="10"/>
  <c r="Q285" i="10"/>
  <c r="Q349" i="10"/>
  <c r="Q229" i="10"/>
  <c r="Q253" i="10"/>
  <c r="Q301" i="10"/>
  <c r="Q317" i="10"/>
  <c r="Q319" i="10"/>
  <c r="Q332" i="10"/>
  <c r="Q291" i="10"/>
  <c r="Q252" i="10"/>
  <c r="Q270" i="10"/>
  <c r="Q306" i="10"/>
  <c r="Q343" i="10"/>
  <c r="Q217" i="10"/>
  <c r="Q321" i="10"/>
  <c r="Q206" i="10"/>
  <c r="Q152" i="10"/>
  <c r="Q170" i="10"/>
  <c r="Q182" i="10"/>
  <c r="Q51" i="10"/>
  <c r="Q105" i="10"/>
  <c r="Q123" i="10"/>
  <c r="Q124" i="10"/>
  <c r="Q136" i="10"/>
  <c r="Q178" i="10"/>
  <c r="Q47" i="10"/>
  <c r="Q59" i="10"/>
  <c r="Q77" i="10"/>
  <c r="Q96" i="10"/>
  <c r="Q176" i="10"/>
  <c r="Q141" i="10"/>
  <c r="Q171" i="10"/>
  <c r="Q202" i="10"/>
  <c r="Q23" i="10"/>
  <c r="Q71" i="10"/>
  <c r="Q107" i="10"/>
  <c r="Q179" i="10"/>
  <c r="Q156" i="10"/>
  <c r="Q36" i="10"/>
  <c r="Q55" i="10"/>
  <c r="Q73" i="10"/>
  <c r="Q163" i="10"/>
  <c r="Q212" i="10"/>
  <c r="Q147" i="10"/>
  <c r="Q201" i="10"/>
  <c r="Q28" i="10"/>
  <c r="Q83" i="10"/>
  <c r="Q42" i="10"/>
  <c r="Q66" i="10"/>
  <c r="Q114" i="10"/>
  <c r="Q97" i="10"/>
  <c r="Q175" i="10"/>
  <c r="Q399" i="10"/>
  <c r="Q407" i="10"/>
  <c r="Q387" i="10"/>
  <c r="Q418" i="10"/>
  <c r="Q230" i="10"/>
  <c r="Q313" i="10"/>
  <c r="Q342" i="10"/>
  <c r="Q303" i="10"/>
  <c r="Q231" i="10"/>
  <c r="Q352" i="10"/>
  <c r="Q251" i="10"/>
  <c r="Q222" i="10"/>
  <c r="Q268" i="10"/>
  <c r="Q274" i="10"/>
  <c r="Q337" i="10"/>
  <c r="Q293" i="10"/>
  <c r="Q308" i="10"/>
  <c r="Q218" i="10"/>
  <c r="Q236" i="10"/>
  <c r="Q314" i="10"/>
  <c r="Q338" i="10"/>
  <c r="Q351" i="10"/>
  <c r="Q346" i="10"/>
  <c r="Q256" i="10"/>
  <c r="Q239" i="10"/>
  <c r="Q235" i="10"/>
  <c r="Q307" i="10"/>
  <c r="Q331" i="10"/>
  <c r="Q322" i="10"/>
  <c r="Q290" i="10"/>
  <c r="Q320" i="10"/>
  <c r="Q248" i="10"/>
  <c r="Q284" i="10"/>
  <c r="Q315" i="10"/>
  <c r="Q221" i="10"/>
  <c r="Q324" i="10"/>
  <c r="Q259" i="10"/>
  <c r="Q277" i="10"/>
  <c r="Q299" i="10"/>
  <c r="Q296" i="10"/>
  <c r="Q309" i="10"/>
  <c r="Q257" i="10"/>
  <c r="Q417" i="10"/>
  <c r="Q223" i="10"/>
  <c r="Q271" i="10"/>
  <c r="Q241" i="10"/>
  <c r="Q334" i="10"/>
  <c r="Q224" i="10"/>
  <c r="Q237" i="10"/>
  <c r="Q264" i="10"/>
  <c r="Q336" i="10"/>
  <c r="Q323" i="10"/>
  <c r="Q350" i="10"/>
  <c r="Q405" i="10"/>
  <c r="Q385" i="10"/>
  <c r="Q424" i="10"/>
  <c r="Q397" i="10"/>
  <c r="Q373" i="10"/>
  <c r="Q359" i="10"/>
  <c r="Q44" i="10"/>
  <c r="Q104" i="10"/>
  <c r="Q122" i="10"/>
  <c r="Q21" i="10"/>
  <c r="Q69" i="10"/>
  <c r="Q37" i="10"/>
  <c r="Q91" i="10"/>
  <c r="Q406" i="10"/>
  <c r="Q368" i="10"/>
  <c r="Q425" i="10"/>
  <c r="Q356" i="10"/>
  <c r="Q382" i="10"/>
  <c r="Q394" i="10"/>
  <c r="Q302" i="10"/>
  <c r="Q422" i="10"/>
  <c r="Q384" i="10"/>
  <c r="Q398" i="10"/>
  <c r="Q430" i="10"/>
  <c r="Q372" i="10"/>
  <c r="Q358" i="10"/>
  <c r="Q353" i="10"/>
  <c r="Q56" i="10"/>
  <c r="Q68" i="10"/>
  <c r="Q88" i="10"/>
  <c r="Q106" i="10"/>
  <c r="Q54" i="10"/>
  <c r="Q90" i="10"/>
  <c r="Q50" i="10"/>
  <c r="Q74" i="10"/>
  <c r="Q165" i="10"/>
  <c r="Q63" i="10"/>
  <c r="Q34" i="10"/>
  <c r="Q137" i="10"/>
  <c r="Q197" i="10"/>
  <c r="Q215" i="10"/>
  <c r="Q150" i="10"/>
  <c r="Q187" i="10"/>
  <c r="Q131" i="10"/>
  <c r="Q363" i="10"/>
  <c r="Q420" i="10"/>
  <c r="Q434" i="10"/>
  <c r="Q408" i="10"/>
  <c r="Q367" i="10"/>
  <c r="Q396" i="10"/>
  <c r="Q355" i="10"/>
  <c r="Q380" i="10"/>
  <c r="Q378" i="10"/>
  <c r="Q413" i="10"/>
  <c r="Q376" i="10"/>
  <c r="Q404" i="10"/>
  <c r="Q429" i="10"/>
  <c r="Q391" i="10"/>
  <c r="Q243" i="10"/>
  <c r="Q255" i="10"/>
  <c r="Q295" i="10"/>
  <c r="Q289" i="10"/>
  <c r="Q329" i="10"/>
  <c r="Q304" i="10"/>
  <c r="Q269" i="10"/>
  <c r="Q348" i="10"/>
  <c r="Q280" i="10"/>
  <c r="Q272" i="10"/>
  <c r="Q333" i="10"/>
  <c r="Q225" i="10"/>
  <c r="Q245" i="10"/>
  <c r="Q258" i="10"/>
  <c r="Q305" i="10"/>
  <c r="Q340" i="10"/>
  <c r="Q298" i="10"/>
  <c r="Q242" i="10"/>
  <c r="Q249" i="10"/>
  <c r="Q261" i="10"/>
  <c r="Q228" i="10"/>
  <c r="Q276" i="10"/>
  <c r="Q300" i="10"/>
  <c r="Q318" i="10"/>
  <c r="Q316" i="10"/>
  <c r="Q325" i="10"/>
  <c r="Q286" i="10"/>
  <c r="Q219" i="10"/>
  <c r="Q297" i="10"/>
  <c r="Q232" i="10"/>
  <c r="Q240" i="10"/>
  <c r="Q282" i="10"/>
  <c r="Q330" i="10"/>
  <c r="Q311" i="10"/>
  <c r="Q344" i="10"/>
  <c r="Q226" i="10"/>
  <c r="Q250" i="10"/>
  <c r="Q263" i="10"/>
  <c r="Q283" i="10"/>
  <c r="Q345" i="10"/>
  <c r="Q220" i="10"/>
  <c r="Q312" i="10"/>
  <c r="Q246" i="10"/>
  <c r="Q265" i="10"/>
  <c r="Q335" i="10"/>
  <c r="Q292" i="10"/>
  <c r="Q135" i="10"/>
  <c r="Q125" i="10"/>
  <c r="Q126" i="10"/>
  <c r="Q20" i="10"/>
  <c r="Q98" i="10"/>
  <c r="Q164" i="10"/>
  <c r="Q70" i="10"/>
  <c r="Q41" i="10"/>
  <c r="Q113" i="10"/>
  <c r="Q143" i="10"/>
  <c r="Q30" i="10"/>
  <c r="Q84" i="10"/>
  <c r="Q198" i="10"/>
  <c r="Q151" i="10"/>
  <c r="Q169" i="10"/>
  <c r="Q278" i="10"/>
  <c r="Q260" i="10"/>
  <c r="Q327" i="10"/>
  <c r="Q216" i="10"/>
  <c r="Q247" i="10"/>
  <c r="Q275" i="10"/>
  <c r="Q287" i="10"/>
  <c r="Q95" i="10"/>
  <c r="Q49" i="10"/>
  <c r="Q377" i="10"/>
  <c r="Q365" i="10"/>
  <c r="Q411" i="10"/>
  <c r="Q393" i="10"/>
  <c r="Q412" i="10"/>
  <c r="Q370" i="10"/>
  <c r="Q386" i="10"/>
  <c r="Q401" i="10"/>
  <c r="Q362" i="10"/>
  <c r="Q428" i="10"/>
  <c r="Q369" i="10"/>
  <c r="Q419" i="10"/>
  <c r="Q357" i="10"/>
  <c r="Q432" i="10"/>
  <c r="Q381" i="10"/>
  <c r="Q433" i="10"/>
  <c r="Q400" i="10"/>
  <c r="Q414" i="10"/>
  <c r="Q366" i="10"/>
  <c r="Q354" i="10"/>
  <c r="Q426" i="10"/>
  <c r="Q361" i="10"/>
  <c r="Q389" i="10"/>
  <c r="Q392" i="10"/>
  <c r="Q383" i="10"/>
  <c r="Q371" i="10"/>
  <c r="Q421" i="10"/>
  <c r="Q441" i="10"/>
  <c r="Q403" i="10"/>
  <c r="Q409" i="10"/>
  <c r="Q416" i="10"/>
  <c r="Q439" i="10"/>
  <c r="Q379" i="10"/>
  <c r="Q360" i="10"/>
  <c r="Q395" i="10"/>
  <c r="Q427" i="10"/>
  <c r="Q438" i="10"/>
  <c r="Q431" i="10"/>
  <c r="Q388" i="10"/>
  <c r="Q402" i="10"/>
  <c r="Q415" i="10"/>
  <c r="Q410" i="10"/>
  <c r="Q423" i="10"/>
  <c r="Q437" i="10"/>
  <c r="Q374" i="10"/>
  <c r="Q12" i="10"/>
  <c r="Q8" i="10"/>
  <c r="Q3" i="10"/>
  <c r="Q18" i="10"/>
  <c r="Q15" i="10"/>
  <c r="Q442" i="10"/>
  <c r="Q14" i="10"/>
  <c r="Q5" i="10"/>
  <c r="AL206" i="10"/>
  <c r="AL207" i="10"/>
  <c r="R206" i="10"/>
  <c r="R207" i="10"/>
  <c r="AL208" i="10"/>
  <c r="R208" i="10"/>
  <c r="AL209" i="10"/>
  <c r="R209" i="10"/>
  <c r="AL200" i="10"/>
  <c r="R200" i="10"/>
  <c r="N172" i="10"/>
  <c r="P172" i="10" s="1"/>
  <c r="R136" i="10"/>
  <c r="Q181" i="10" l="1"/>
  <c r="Q127" i="10"/>
  <c r="Q174" i="10"/>
  <c r="Q78" i="10"/>
  <c r="Q60" i="10"/>
  <c r="Q24" i="10"/>
  <c r="Q155" i="10"/>
  <c r="Q89" i="10"/>
  <c r="Q172" i="10"/>
  <c r="Q39" i="10"/>
  <c r="Q200" i="10"/>
  <c r="Q9" i="10"/>
  <c r="A614" i="31"/>
  <c r="D614" i="31"/>
  <c r="C614" i="31"/>
  <c r="D635" i="31"/>
  <c r="C635" i="31"/>
  <c r="D656" i="31"/>
  <c r="C656" i="31"/>
  <c r="A632" i="31"/>
  <c r="A631" i="31"/>
  <c r="A630" i="31"/>
  <c r="A629" i="31"/>
  <c r="A628" i="31"/>
  <c r="A627" i="31"/>
  <c r="A626" i="31"/>
  <c r="A625" i="31"/>
  <c r="A624" i="31"/>
  <c r="A623" i="31"/>
  <c r="A622" i="31"/>
  <c r="A621" i="31"/>
  <c r="A620" i="31"/>
  <c r="A619" i="31"/>
  <c r="A618" i="31"/>
  <c r="A617" i="31"/>
  <c r="A616" i="31"/>
  <c r="A615" i="31"/>
  <c r="A613" i="31"/>
  <c r="A611" i="31"/>
  <c r="A610" i="31"/>
  <c r="A609" i="31"/>
  <c r="A608" i="31"/>
  <c r="A607" i="31"/>
  <c r="A606" i="31"/>
  <c r="A605" i="31"/>
  <c r="A604" i="31"/>
  <c r="A603" i="31"/>
  <c r="A602" i="31"/>
  <c r="A601" i="31"/>
  <c r="A600" i="31"/>
  <c r="A599" i="31"/>
  <c r="A598" i="31"/>
  <c r="A597" i="31"/>
  <c r="A596" i="31"/>
  <c r="A595" i="31"/>
  <c r="A594" i="31"/>
  <c r="A593" i="31"/>
  <c r="A591" i="31"/>
  <c r="A590" i="31"/>
  <c r="A589" i="31"/>
  <c r="A588" i="31"/>
  <c r="A587" i="31"/>
  <c r="A586" i="31"/>
  <c r="A585" i="31"/>
  <c r="A584" i="31"/>
  <c r="A583" i="31"/>
  <c r="A582" i="31"/>
  <c r="A581" i="31"/>
  <c r="A580" i="31"/>
  <c r="A579" i="31"/>
  <c r="A578" i="31"/>
  <c r="A577" i="31"/>
  <c r="A576" i="31"/>
  <c r="A575" i="31"/>
  <c r="A574" i="31"/>
  <c r="A573" i="31"/>
  <c r="A571" i="31"/>
  <c r="A570" i="31"/>
  <c r="A569" i="31"/>
  <c r="A568" i="31"/>
  <c r="A567" i="31"/>
  <c r="A566" i="31"/>
  <c r="A565" i="31"/>
  <c r="A564" i="31"/>
  <c r="A563" i="31"/>
  <c r="A562" i="31"/>
  <c r="A561" i="31"/>
  <c r="A560" i="31"/>
  <c r="A559" i="31"/>
  <c r="A558" i="31"/>
  <c r="A557" i="31"/>
  <c r="A556" i="31"/>
  <c r="A555" i="31"/>
  <c r="A554" i="31"/>
  <c r="A553" i="31"/>
  <c r="A551" i="31"/>
  <c r="A550" i="31"/>
  <c r="A549" i="31"/>
  <c r="A548" i="31"/>
  <c r="A547" i="31"/>
  <c r="A546" i="31"/>
  <c r="A545" i="31"/>
  <c r="A544" i="31"/>
  <c r="A543" i="31"/>
  <c r="A542" i="31"/>
  <c r="A541" i="31"/>
  <c r="A540" i="31"/>
  <c r="A539" i="31"/>
  <c r="A538" i="31"/>
  <c r="A537" i="31"/>
  <c r="A536" i="31"/>
  <c r="A535" i="31"/>
  <c r="A534" i="31"/>
  <c r="A533" i="31"/>
  <c r="A531" i="31"/>
  <c r="A530" i="31"/>
  <c r="A529" i="31"/>
  <c r="A528" i="31"/>
  <c r="A527" i="31"/>
  <c r="A526" i="31"/>
  <c r="A525" i="31"/>
  <c r="A524" i="31"/>
  <c r="A523" i="31"/>
  <c r="A522" i="31"/>
  <c r="A521" i="31"/>
  <c r="A520" i="31"/>
  <c r="A519" i="31"/>
  <c r="A518" i="31"/>
  <c r="A517" i="31"/>
  <c r="A516" i="31"/>
  <c r="A515" i="31"/>
  <c r="A514" i="31"/>
  <c r="A513" i="31"/>
  <c r="A511" i="31"/>
  <c r="A510" i="31"/>
  <c r="A509" i="31"/>
  <c r="A508" i="31"/>
  <c r="A507" i="31"/>
  <c r="A506" i="31"/>
  <c r="A505" i="31"/>
  <c r="A504" i="31"/>
  <c r="A503" i="31"/>
  <c r="A502" i="31"/>
  <c r="A501" i="31"/>
  <c r="A500" i="31"/>
  <c r="A499" i="31"/>
  <c r="A498" i="31"/>
  <c r="A497" i="31"/>
  <c r="A496" i="31"/>
  <c r="A495" i="31"/>
  <c r="A494" i="31"/>
  <c r="A492" i="31"/>
  <c r="A491" i="31"/>
  <c r="A490" i="31"/>
  <c r="A489" i="31"/>
  <c r="A488" i="31"/>
  <c r="A487" i="31"/>
  <c r="A486" i="31"/>
  <c r="A485" i="31"/>
  <c r="A484" i="31"/>
  <c r="A483" i="31"/>
  <c r="A482" i="31"/>
  <c r="A481" i="31"/>
  <c r="A480" i="31"/>
  <c r="A479" i="31"/>
  <c r="A478" i="31"/>
  <c r="A477" i="31"/>
  <c r="A476" i="31"/>
  <c r="A475" i="31"/>
  <c r="A473" i="31"/>
  <c r="A472" i="31"/>
  <c r="A471" i="31"/>
  <c r="A470" i="31"/>
  <c r="A469" i="31"/>
  <c r="A468" i="31"/>
  <c r="A467" i="31"/>
  <c r="A466" i="31"/>
  <c r="A465" i="31"/>
  <c r="A464" i="31"/>
  <c r="A463" i="31"/>
  <c r="A462" i="31"/>
  <c r="A461" i="31"/>
  <c r="A460" i="31"/>
  <c r="A459" i="31"/>
  <c r="A458" i="31"/>
  <c r="A457" i="31"/>
  <c r="A455" i="31"/>
  <c r="A454" i="31"/>
  <c r="A453" i="31"/>
  <c r="A452" i="31"/>
  <c r="A451" i="31"/>
  <c r="A450" i="31"/>
  <c r="A449" i="31"/>
  <c r="A448" i="31"/>
  <c r="A447" i="31"/>
  <c r="A446" i="31"/>
  <c r="A445" i="31"/>
  <c r="A444" i="31"/>
  <c r="A443" i="31"/>
  <c r="A442" i="31"/>
  <c r="A441" i="31"/>
  <c r="A440" i="31"/>
  <c r="A439" i="31"/>
  <c r="A437" i="31"/>
  <c r="A436" i="31"/>
  <c r="A435" i="31"/>
  <c r="A434" i="31"/>
  <c r="A433" i="31"/>
  <c r="A432" i="31"/>
  <c r="A431" i="31"/>
  <c r="A430" i="31"/>
  <c r="A429" i="31"/>
  <c r="A428" i="31"/>
  <c r="A427" i="31"/>
  <c r="A426" i="31"/>
  <c r="A425" i="31"/>
  <c r="A424" i="31"/>
  <c r="A423" i="31"/>
  <c r="A422" i="31"/>
  <c r="A421" i="31"/>
  <c r="A420" i="31"/>
  <c r="A418" i="31"/>
  <c r="A417" i="31"/>
  <c r="A416" i="31"/>
  <c r="A415" i="31"/>
  <c r="A414" i="31"/>
  <c r="A413" i="31"/>
  <c r="A412" i="31"/>
  <c r="A411" i="31"/>
  <c r="A410" i="31"/>
  <c r="A409" i="31"/>
  <c r="A408" i="31"/>
  <c r="A407" i="31"/>
  <c r="A406" i="31"/>
  <c r="A405" i="31"/>
  <c r="A404" i="31"/>
  <c r="A403" i="31"/>
  <c r="A402" i="31"/>
  <c r="A401" i="31"/>
  <c r="A399" i="31"/>
  <c r="A398" i="31"/>
  <c r="A397" i="31"/>
  <c r="A396" i="31"/>
  <c r="A395" i="31"/>
  <c r="A394" i="31"/>
  <c r="A393" i="31"/>
  <c r="A392" i="31"/>
  <c r="A391" i="31"/>
  <c r="A390" i="31"/>
  <c r="A389" i="31"/>
  <c r="A388" i="31"/>
  <c r="A387" i="31"/>
  <c r="A386" i="31"/>
  <c r="A385" i="31"/>
  <c r="A384" i="31"/>
  <c r="A383" i="31"/>
  <c r="A382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6" i="31"/>
  <c r="A145" i="31"/>
  <c r="A144" i="31"/>
  <c r="A143" i="31"/>
  <c r="A142" i="31"/>
  <c r="A141" i="31"/>
  <c r="A140" i="31"/>
  <c r="A139" i="31"/>
  <c r="A138" i="31"/>
  <c r="A137" i="31"/>
  <c r="A136" i="31"/>
  <c r="A135" i="31"/>
  <c r="A134" i="31"/>
  <c r="A133" i="31"/>
  <c r="A132" i="31"/>
  <c r="A131" i="31"/>
  <c r="A129" i="31"/>
  <c r="A128" i="31"/>
  <c r="A127" i="31"/>
  <c r="A126" i="31"/>
  <c r="A125" i="31"/>
  <c r="A124" i="31"/>
  <c r="A123" i="31"/>
  <c r="A122" i="31"/>
  <c r="A121" i="31"/>
  <c r="A120" i="31"/>
  <c r="A119" i="31"/>
  <c r="A118" i="31"/>
  <c r="A117" i="31"/>
  <c r="A116" i="31"/>
  <c r="A115" i="31"/>
  <c r="A114" i="31"/>
  <c r="A112" i="31"/>
  <c r="A111" i="31"/>
  <c r="A110" i="31"/>
  <c r="A109" i="31"/>
  <c r="A108" i="31"/>
  <c r="A107" i="31"/>
  <c r="A106" i="31"/>
  <c r="A105" i="31"/>
  <c r="A104" i="31"/>
  <c r="A103" i="31"/>
  <c r="A102" i="31"/>
  <c r="A101" i="31"/>
  <c r="A100" i="31"/>
  <c r="A99" i="31"/>
  <c r="A98" i="31"/>
  <c r="A96" i="31"/>
  <c r="A95" i="31"/>
  <c r="A94" i="31"/>
  <c r="A93" i="31"/>
  <c r="A92" i="31"/>
  <c r="A91" i="31"/>
  <c r="A90" i="31"/>
  <c r="A89" i="31"/>
  <c r="A88" i="31"/>
  <c r="A87" i="31"/>
  <c r="A86" i="31"/>
  <c r="A85" i="31"/>
  <c r="A84" i="31"/>
  <c r="A83" i="31"/>
  <c r="A82" i="31"/>
  <c r="A80" i="31"/>
  <c r="A79" i="31"/>
  <c r="A78" i="31"/>
  <c r="A77" i="31"/>
  <c r="A76" i="31"/>
  <c r="A75" i="31"/>
  <c r="A74" i="31"/>
  <c r="A73" i="31"/>
  <c r="A72" i="31"/>
  <c r="A71" i="31"/>
  <c r="A70" i="31"/>
  <c r="A69" i="31"/>
  <c r="A68" i="31"/>
  <c r="A67" i="31"/>
  <c r="A66" i="31"/>
  <c r="A64" i="31"/>
  <c r="A63" i="31"/>
  <c r="A62" i="31"/>
  <c r="A61" i="31"/>
  <c r="A60" i="31"/>
  <c r="A59" i="31"/>
  <c r="A58" i="31"/>
  <c r="A57" i="31"/>
  <c r="A56" i="31"/>
  <c r="A55" i="31"/>
  <c r="A54" i="31"/>
  <c r="A53" i="31"/>
  <c r="A52" i="31"/>
  <c r="A51" i="31"/>
  <c r="A50" i="31"/>
  <c r="A48" i="31"/>
  <c r="A47" i="31"/>
  <c r="A46" i="31"/>
  <c r="A45" i="31"/>
  <c r="A44" i="31"/>
  <c r="A43" i="31"/>
  <c r="A42" i="31"/>
  <c r="A41" i="31"/>
  <c r="A40" i="31"/>
  <c r="A39" i="31"/>
  <c r="A38" i="31"/>
  <c r="A37" i="31"/>
  <c r="A36" i="31"/>
  <c r="A35" i="31"/>
  <c r="A34" i="31"/>
  <c r="A32" i="31"/>
  <c r="A31" i="31"/>
  <c r="A30" i="31"/>
  <c r="A29" i="31"/>
  <c r="A28" i="31"/>
  <c r="A27" i="31"/>
  <c r="A26" i="31"/>
  <c r="A25" i="31"/>
  <c r="A24" i="31"/>
  <c r="A23" i="31"/>
  <c r="A22" i="31"/>
  <c r="A21" i="31"/>
  <c r="A20" i="31"/>
  <c r="A19" i="31"/>
  <c r="A18" i="31"/>
  <c r="A16" i="31"/>
  <c r="A15" i="31"/>
  <c r="A14" i="31"/>
  <c r="A13" i="31"/>
  <c r="A12" i="31"/>
  <c r="A11" i="31"/>
  <c r="A10" i="31"/>
  <c r="A9" i="31"/>
  <c r="A8" i="31"/>
  <c r="A7" i="31"/>
  <c r="A6" i="31"/>
  <c r="A5" i="31"/>
  <c r="A4" i="31"/>
  <c r="A3" i="31"/>
  <c r="A2" i="31"/>
  <c r="N158" i="10"/>
  <c r="P158" i="10" s="1"/>
  <c r="N157" i="10"/>
  <c r="P157" i="10" s="1"/>
  <c r="R173" i="10"/>
  <c r="N192" i="10"/>
  <c r="P192" i="10" s="1"/>
  <c r="N146" i="10"/>
  <c r="P146" i="10" s="1"/>
  <c r="N183" i="10"/>
  <c r="P183" i="10" s="1"/>
  <c r="N139" i="10"/>
  <c r="P139" i="10" s="1"/>
  <c r="N166" i="10"/>
  <c r="P166" i="10" s="1"/>
  <c r="N191" i="10"/>
  <c r="P191" i="10" s="1"/>
  <c r="AL14" i="10"/>
  <c r="AL131" i="10"/>
  <c r="AL123" i="10"/>
  <c r="AL171" i="10"/>
  <c r="AL176" i="10"/>
  <c r="AL179" i="10"/>
  <c r="AL155" i="10"/>
  <c r="AL172" i="10"/>
  <c r="AL174" i="10"/>
  <c r="AL181" i="10"/>
  <c r="AL136" i="10"/>
  <c r="AL152" i="10"/>
  <c r="AL170" i="10"/>
  <c r="AL178" i="10"/>
  <c r="AL182" i="10"/>
  <c r="AL142" i="10"/>
  <c r="AL177" i="10"/>
  <c r="AL143" i="10"/>
  <c r="AL151" i="10"/>
  <c r="AL164" i="10"/>
  <c r="AL169" i="10"/>
  <c r="AL147" i="10"/>
  <c r="AL175" i="10"/>
  <c r="AL137" i="10"/>
  <c r="AL150" i="10"/>
  <c r="AL165" i="10"/>
  <c r="AL187" i="10"/>
  <c r="N144" i="10"/>
  <c r="P144" i="10" s="1"/>
  <c r="O144" i="10"/>
  <c r="R144" i="10"/>
  <c r="AL144" i="10"/>
  <c r="N162" i="10"/>
  <c r="P162" i="10" s="1"/>
  <c r="O162" i="10"/>
  <c r="R162" i="10"/>
  <c r="AL162" i="10"/>
  <c r="N186" i="10"/>
  <c r="P186" i="10" s="1"/>
  <c r="O186" i="10"/>
  <c r="R186" i="10"/>
  <c r="AL186" i="10"/>
  <c r="N159" i="10"/>
  <c r="P159" i="10" s="1"/>
  <c r="O159" i="10"/>
  <c r="R159" i="10"/>
  <c r="AL159" i="10"/>
  <c r="N168" i="10"/>
  <c r="P168" i="10" s="1"/>
  <c r="O168" i="10"/>
  <c r="R168" i="10"/>
  <c r="AL168" i="10"/>
  <c r="N190" i="10"/>
  <c r="P190" i="10" s="1"/>
  <c r="O190" i="10"/>
  <c r="R190" i="10"/>
  <c r="AL190" i="10"/>
  <c r="N149" i="10"/>
  <c r="P149" i="10" s="1"/>
  <c r="O149" i="10"/>
  <c r="R149" i="10"/>
  <c r="AL149" i="10"/>
  <c r="N160" i="10"/>
  <c r="P160" i="10" s="1"/>
  <c r="O160" i="10"/>
  <c r="R160" i="10"/>
  <c r="AL160" i="10"/>
  <c r="N193" i="10"/>
  <c r="P193" i="10" s="1"/>
  <c r="O193" i="10"/>
  <c r="R193" i="10"/>
  <c r="AL193" i="10"/>
  <c r="N145" i="10"/>
  <c r="P145" i="10" s="1"/>
  <c r="O145" i="10"/>
  <c r="R145" i="10"/>
  <c r="AL145" i="10"/>
  <c r="N161" i="10"/>
  <c r="P161" i="10" s="1"/>
  <c r="O161" i="10"/>
  <c r="R161" i="10"/>
  <c r="AL161" i="10"/>
  <c r="N184" i="10"/>
  <c r="P184" i="10" s="1"/>
  <c r="O184" i="10"/>
  <c r="R184" i="10"/>
  <c r="AL184" i="10"/>
  <c r="O158" i="10"/>
  <c r="AL158" i="10"/>
  <c r="N167" i="10"/>
  <c r="P167" i="10" s="1"/>
  <c r="O167" i="10"/>
  <c r="R167" i="10"/>
  <c r="AL167" i="10"/>
  <c r="N189" i="10"/>
  <c r="P189" i="10" s="1"/>
  <c r="O189" i="10"/>
  <c r="R189" i="10"/>
  <c r="AL189" i="10"/>
  <c r="N140" i="10"/>
  <c r="P140" i="10" s="1"/>
  <c r="O140" i="10"/>
  <c r="R140" i="10"/>
  <c r="AL140" i="10"/>
  <c r="N148" i="10"/>
  <c r="P148" i="10" s="1"/>
  <c r="O148" i="10"/>
  <c r="R148" i="10"/>
  <c r="AL148" i="10"/>
  <c r="N154" i="10"/>
  <c r="P154" i="10" s="1"/>
  <c r="O154" i="10"/>
  <c r="R154" i="10"/>
  <c r="AL154" i="10"/>
  <c r="N180" i="10"/>
  <c r="P180" i="10" s="1"/>
  <c r="O180" i="10"/>
  <c r="R180" i="10"/>
  <c r="AL180" i="10"/>
  <c r="N185" i="10"/>
  <c r="P185" i="10" s="1"/>
  <c r="O185" i="10"/>
  <c r="R185" i="10"/>
  <c r="AL185" i="10"/>
  <c r="N138" i="10"/>
  <c r="P138" i="10" s="1"/>
  <c r="O138" i="10"/>
  <c r="R138" i="10"/>
  <c r="AL138" i="10"/>
  <c r="O157" i="10"/>
  <c r="AL157" i="10"/>
  <c r="N173" i="10"/>
  <c r="P173" i="10" s="1"/>
  <c r="O173" i="10"/>
  <c r="AL173" i="10"/>
  <c r="O192" i="10"/>
  <c r="AL192" i="10"/>
  <c r="N153" i="10"/>
  <c r="P153" i="10" s="1"/>
  <c r="O153" i="10"/>
  <c r="R153" i="10"/>
  <c r="AL153" i="10"/>
  <c r="O146" i="10"/>
  <c r="R146" i="10"/>
  <c r="AL146" i="10"/>
  <c r="O183" i="10"/>
  <c r="R183" i="10"/>
  <c r="AL183" i="10"/>
  <c r="N188" i="10"/>
  <c r="P188" i="10" s="1"/>
  <c r="O188" i="10"/>
  <c r="R188" i="10"/>
  <c r="AL188" i="10"/>
  <c r="O139" i="10"/>
  <c r="R139" i="10"/>
  <c r="AL139" i="10"/>
  <c r="O166" i="10"/>
  <c r="AL166" i="10"/>
  <c r="O191" i="10"/>
  <c r="R191" i="10"/>
  <c r="AL191" i="10"/>
  <c r="D672" i="31"/>
  <c r="C672" i="31"/>
  <c r="D671" i="31"/>
  <c r="C671" i="31"/>
  <c r="D670" i="31"/>
  <c r="C670" i="31"/>
  <c r="D669" i="31"/>
  <c r="C669" i="31"/>
  <c r="D668" i="31"/>
  <c r="C668" i="31"/>
  <c r="D667" i="31"/>
  <c r="C667" i="31"/>
  <c r="D666" i="31"/>
  <c r="C666" i="31"/>
  <c r="D665" i="31"/>
  <c r="C665" i="31"/>
  <c r="D664" i="31"/>
  <c r="C664" i="31"/>
  <c r="D663" i="31"/>
  <c r="C663" i="31"/>
  <c r="D662" i="31"/>
  <c r="C662" i="31"/>
  <c r="D661" i="31"/>
  <c r="C661" i="31"/>
  <c r="D660" i="31"/>
  <c r="C660" i="31"/>
  <c r="D659" i="31"/>
  <c r="C659" i="31"/>
  <c r="D658" i="31"/>
  <c r="C658" i="31"/>
  <c r="D657" i="31"/>
  <c r="C657" i="31"/>
  <c r="D655" i="31"/>
  <c r="C655" i="31"/>
  <c r="D653" i="31"/>
  <c r="C653" i="31"/>
  <c r="D652" i="31"/>
  <c r="C652" i="31"/>
  <c r="D651" i="31"/>
  <c r="C651" i="31"/>
  <c r="D650" i="31"/>
  <c r="C650" i="31"/>
  <c r="D649" i="31"/>
  <c r="C649" i="31"/>
  <c r="D648" i="31"/>
  <c r="C648" i="31"/>
  <c r="D647" i="31"/>
  <c r="C647" i="31"/>
  <c r="D646" i="31"/>
  <c r="C646" i="31"/>
  <c r="D645" i="31"/>
  <c r="C645" i="31"/>
  <c r="D644" i="31"/>
  <c r="C644" i="31"/>
  <c r="D643" i="31"/>
  <c r="C643" i="31"/>
  <c r="D642" i="31"/>
  <c r="C642" i="31"/>
  <c r="D641" i="31"/>
  <c r="C641" i="31"/>
  <c r="D640" i="31"/>
  <c r="C640" i="31"/>
  <c r="D639" i="31"/>
  <c r="C639" i="31"/>
  <c r="D638" i="31"/>
  <c r="C638" i="31"/>
  <c r="D637" i="31"/>
  <c r="C637" i="31"/>
  <c r="D636" i="31"/>
  <c r="C636" i="31"/>
  <c r="D634" i="31"/>
  <c r="C634" i="31"/>
  <c r="D632" i="31"/>
  <c r="C632" i="31"/>
  <c r="D631" i="31"/>
  <c r="C631" i="31"/>
  <c r="D630" i="31"/>
  <c r="C630" i="31"/>
  <c r="D629" i="31"/>
  <c r="C629" i="31"/>
  <c r="D628" i="31"/>
  <c r="C628" i="31"/>
  <c r="D627" i="31"/>
  <c r="C627" i="31"/>
  <c r="D626" i="31"/>
  <c r="C626" i="31"/>
  <c r="D625" i="31"/>
  <c r="C625" i="31"/>
  <c r="D624" i="31"/>
  <c r="C624" i="31"/>
  <c r="D623" i="31"/>
  <c r="C623" i="31"/>
  <c r="D622" i="31"/>
  <c r="C622" i="31"/>
  <c r="D621" i="31"/>
  <c r="C621" i="31"/>
  <c r="D620" i="31"/>
  <c r="C620" i="31"/>
  <c r="D619" i="31"/>
  <c r="C619" i="31"/>
  <c r="D618" i="31"/>
  <c r="C618" i="31"/>
  <c r="D617" i="31"/>
  <c r="C617" i="31"/>
  <c r="D616" i="31"/>
  <c r="C616" i="31"/>
  <c r="D615" i="31"/>
  <c r="C615" i="31"/>
  <c r="D613" i="31"/>
  <c r="C613" i="31"/>
  <c r="D611" i="31"/>
  <c r="C611" i="31"/>
  <c r="D610" i="31"/>
  <c r="C610" i="31"/>
  <c r="D609" i="31"/>
  <c r="C609" i="31"/>
  <c r="D608" i="31"/>
  <c r="C608" i="31"/>
  <c r="D607" i="31"/>
  <c r="C607" i="31"/>
  <c r="D606" i="31"/>
  <c r="C606" i="31"/>
  <c r="D605" i="31"/>
  <c r="C605" i="31"/>
  <c r="D604" i="31"/>
  <c r="C604" i="31"/>
  <c r="D603" i="31"/>
  <c r="C603" i="31"/>
  <c r="D602" i="31"/>
  <c r="C602" i="31"/>
  <c r="D601" i="31"/>
  <c r="C601" i="31"/>
  <c r="D600" i="31"/>
  <c r="C600" i="31"/>
  <c r="D599" i="31"/>
  <c r="C599" i="31"/>
  <c r="D598" i="31"/>
  <c r="C598" i="31"/>
  <c r="D597" i="31"/>
  <c r="C597" i="31"/>
  <c r="D596" i="31"/>
  <c r="C596" i="31"/>
  <c r="D595" i="31"/>
  <c r="C595" i="31"/>
  <c r="D594" i="31"/>
  <c r="C594" i="31"/>
  <c r="D593" i="31"/>
  <c r="C593" i="31"/>
  <c r="D591" i="31"/>
  <c r="C591" i="31"/>
  <c r="D590" i="31"/>
  <c r="C590" i="31"/>
  <c r="D589" i="31"/>
  <c r="C589" i="31"/>
  <c r="D588" i="31"/>
  <c r="C588" i="31"/>
  <c r="D587" i="31"/>
  <c r="C587" i="31"/>
  <c r="D586" i="31"/>
  <c r="C586" i="31"/>
  <c r="D585" i="31"/>
  <c r="C585" i="31"/>
  <c r="D584" i="31"/>
  <c r="C584" i="31"/>
  <c r="D583" i="31"/>
  <c r="C583" i="31"/>
  <c r="D582" i="31"/>
  <c r="C582" i="31"/>
  <c r="D581" i="31"/>
  <c r="C581" i="31"/>
  <c r="D580" i="31"/>
  <c r="C580" i="31"/>
  <c r="D579" i="31"/>
  <c r="C579" i="31"/>
  <c r="D578" i="31"/>
  <c r="C578" i="31"/>
  <c r="D577" i="31"/>
  <c r="C577" i="31"/>
  <c r="D576" i="31"/>
  <c r="C576" i="31"/>
  <c r="D575" i="31"/>
  <c r="C575" i="31"/>
  <c r="D574" i="31"/>
  <c r="C574" i="31"/>
  <c r="D573" i="31"/>
  <c r="C573" i="31"/>
  <c r="D571" i="31"/>
  <c r="C571" i="31"/>
  <c r="D570" i="31"/>
  <c r="C570" i="31"/>
  <c r="D569" i="31"/>
  <c r="C569" i="31"/>
  <c r="D568" i="31"/>
  <c r="C568" i="31"/>
  <c r="D567" i="31"/>
  <c r="C567" i="31"/>
  <c r="D566" i="31"/>
  <c r="C566" i="31"/>
  <c r="D565" i="31"/>
  <c r="C565" i="31"/>
  <c r="D564" i="31"/>
  <c r="C564" i="31"/>
  <c r="D563" i="31"/>
  <c r="C563" i="31"/>
  <c r="D562" i="31"/>
  <c r="C562" i="31"/>
  <c r="D561" i="31"/>
  <c r="C561" i="31"/>
  <c r="D560" i="31"/>
  <c r="C560" i="31"/>
  <c r="D559" i="31"/>
  <c r="C559" i="31"/>
  <c r="D558" i="31"/>
  <c r="C558" i="31"/>
  <c r="D557" i="31"/>
  <c r="C557" i="31"/>
  <c r="D556" i="31"/>
  <c r="C556" i="31"/>
  <c r="D555" i="31"/>
  <c r="C555" i="31"/>
  <c r="D554" i="31"/>
  <c r="C554" i="31"/>
  <c r="D553" i="31"/>
  <c r="C553" i="31"/>
  <c r="AL71" i="10"/>
  <c r="AL124" i="10"/>
  <c r="AL93" i="10"/>
  <c r="AL18" i="10"/>
  <c r="AL51" i="10"/>
  <c r="AL73" i="10"/>
  <c r="AL30" i="10"/>
  <c r="AL6" i="10"/>
  <c r="AL55" i="10"/>
  <c r="AL20" i="10"/>
  <c r="AL105" i="10"/>
  <c r="AL109" i="10"/>
  <c r="AL62" i="10"/>
  <c r="AL84" i="10"/>
  <c r="AL15" i="10"/>
  <c r="AL39" i="10"/>
  <c r="AL132" i="10"/>
  <c r="AL53" i="10"/>
  <c r="AL92" i="10"/>
  <c r="AL5" i="10"/>
  <c r="AL114" i="10"/>
  <c r="AL74" i="10"/>
  <c r="AL32" i="10"/>
  <c r="AL120" i="10"/>
  <c r="AL22" i="10"/>
  <c r="AL130" i="10"/>
  <c r="AL23" i="10"/>
  <c r="AL24" i="10"/>
  <c r="AL98" i="10"/>
  <c r="AL66" i="10"/>
  <c r="AL156" i="10"/>
  <c r="AL10" i="10"/>
  <c r="AL16" i="10"/>
  <c r="AL35" i="10"/>
  <c r="AL12" i="10"/>
  <c r="AL19" i="10"/>
  <c r="AL126" i="10"/>
  <c r="AL108" i="10"/>
  <c r="AL26" i="10"/>
  <c r="AL48" i="10"/>
  <c r="AL128" i="10"/>
  <c r="AL17" i="10"/>
  <c r="AL107" i="10"/>
  <c r="AL127" i="10"/>
  <c r="AL38" i="10"/>
  <c r="AL37" i="10"/>
  <c r="AL72" i="10"/>
  <c r="AL9" i="10"/>
  <c r="AL42" i="10"/>
  <c r="AL121" i="10"/>
  <c r="AL11" i="10"/>
  <c r="AL3" i="10"/>
  <c r="AL25" i="10"/>
  <c r="AL82" i="10"/>
  <c r="AL103" i="10"/>
  <c r="AL122" i="10"/>
  <c r="AL78" i="10"/>
  <c r="AL89" i="10"/>
  <c r="AL79" i="10"/>
  <c r="AL28" i="10"/>
  <c r="AL99" i="10"/>
  <c r="AL133" i="10"/>
  <c r="AL102" i="10"/>
  <c r="AL40" i="10"/>
  <c r="AL125" i="10"/>
  <c r="AL52" i="10"/>
  <c r="AL77" i="10"/>
  <c r="AL97" i="10"/>
  <c r="AL80" i="10"/>
  <c r="AL75" i="10"/>
  <c r="AL69" i="10"/>
  <c r="AL94" i="10"/>
  <c r="AL118" i="10"/>
  <c r="AL50" i="10"/>
  <c r="AL64" i="10"/>
  <c r="AL110" i="10"/>
  <c r="AL45" i="10"/>
  <c r="AL116" i="10"/>
  <c r="AL106" i="10"/>
  <c r="AL36" i="10"/>
  <c r="AL59" i="10"/>
  <c r="AL8" i="10"/>
  <c r="AL113" i="10"/>
  <c r="AL63" i="10"/>
  <c r="AL85" i="10"/>
  <c r="AL60" i="10"/>
  <c r="AL47" i="10"/>
  <c r="AL43" i="10"/>
  <c r="AL83" i="10"/>
  <c r="AL104" i="10"/>
  <c r="AL33" i="10"/>
  <c r="AL34" i="10"/>
  <c r="AL7" i="10"/>
  <c r="AL86" i="10"/>
  <c r="AL44" i="10"/>
  <c r="AL95" i="10"/>
  <c r="AL67" i="10"/>
  <c r="B16" i="50"/>
  <c r="E16" i="50"/>
  <c r="F16" i="50"/>
  <c r="G16" i="50"/>
  <c r="B38" i="50"/>
  <c r="E38" i="50"/>
  <c r="F38" i="50"/>
  <c r="G38" i="50"/>
  <c r="B41" i="50"/>
  <c r="E41" i="50"/>
  <c r="F41" i="50"/>
  <c r="G41" i="50"/>
  <c r="B20" i="50"/>
  <c r="E20" i="50"/>
  <c r="F20" i="50"/>
  <c r="G20" i="50"/>
  <c r="B24" i="50"/>
  <c r="E24" i="50"/>
  <c r="F24" i="50"/>
  <c r="G24" i="50"/>
  <c r="B26" i="50"/>
  <c r="E26" i="50"/>
  <c r="F26" i="50"/>
  <c r="G26" i="50"/>
  <c r="B28" i="50"/>
  <c r="E28" i="50"/>
  <c r="F28" i="50"/>
  <c r="G28" i="50"/>
  <c r="B34" i="50"/>
  <c r="E34" i="50"/>
  <c r="F34" i="50"/>
  <c r="G34" i="50"/>
  <c r="B3" i="50"/>
  <c r="E3" i="50"/>
  <c r="F3" i="50"/>
  <c r="G3" i="50"/>
  <c r="B22" i="50"/>
  <c r="E22" i="50"/>
  <c r="F22" i="50"/>
  <c r="G22" i="50"/>
  <c r="B31" i="50"/>
  <c r="E31" i="50"/>
  <c r="F31" i="50"/>
  <c r="G31" i="50"/>
  <c r="B15" i="50"/>
  <c r="E15" i="50"/>
  <c r="F15" i="50"/>
  <c r="G15" i="50"/>
  <c r="B18" i="50"/>
  <c r="E18" i="50"/>
  <c r="F18" i="50"/>
  <c r="G18" i="50"/>
  <c r="B19" i="50"/>
  <c r="E19" i="50"/>
  <c r="F19" i="50"/>
  <c r="G19" i="50"/>
  <c r="B21" i="50"/>
  <c r="E21" i="50"/>
  <c r="F21" i="50"/>
  <c r="G21" i="50"/>
  <c r="B30" i="50"/>
  <c r="E30" i="50"/>
  <c r="F30" i="50"/>
  <c r="G30" i="50"/>
  <c r="B11" i="50"/>
  <c r="E11" i="50"/>
  <c r="F11" i="50"/>
  <c r="G11" i="50"/>
  <c r="B10" i="50"/>
  <c r="E10" i="50"/>
  <c r="F10" i="50"/>
  <c r="G10" i="50"/>
  <c r="B40" i="50"/>
  <c r="E40" i="50"/>
  <c r="F40" i="50"/>
  <c r="G40" i="50"/>
  <c r="B5" i="50"/>
  <c r="E5" i="50"/>
  <c r="F5" i="50"/>
  <c r="G5" i="50"/>
  <c r="B8" i="50"/>
  <c r="E8" i="50"/>
  <c r="F8" i="50"/>
  <c r="G8" i="50"/>
  <c r="B36" i="50"/>
  <c r="E36" i="50"/>
  <c r="F36" i="50"/>
  <c r="G36" i="50"/>
  <c r="B2" i="50"/>
  <c r="E2" i="50"/>
  <c r="F2" i="50"/>
  <c r="G2" i="50"/>
  <c r="B13" i="50"/>
  <c r="E13" i="50"/>
  <c r="F13" i="50"/>
  <c r="G13" i="50"/>
  <c r="B6" i="50"/>
  <c r="E6" i="50"/>
  <c r="F6" i="50"/>
  <c r="G6" i="50"/>
  <c r="B33" i="50"/>
  <c r="E33" i="50"/>
  <c r="F33" i="50"/>
  <c r="G33" i="50"/>
  <c r="B17" i="50"/>
  <c r="E17" i="50"/>
  <c r="F17" i="50"/>
  <c r="G17" i="50"/>
  <c r="B23" i="50"/>
  <c r="E23" i="50"/>
  <c r="F23" i="50"/>
  <c r="G23" i="50"/>
  <c r="B14" i="50"/>
  <c r="E14" i="50"/>
  <c r="F14" i="50"/>
  <c r="G14" i="50"/>
  <c r="B39" i="50"/>
  <c r="E39" i="50"/>
  <c r="F39" i="50"/>
  <c r="G39" i="50"/>
  <c r="B25" i="50"/>
  <c r="E25" i="50"/>
  <c r="F25" i="50"/>
  <c r="G25" i="50"/>
  <c r="B27" i="50"/>
  <c r="E27" i="50"/>
  <c r="F27" i="50"/>
  <c r="G27" i="50"/>
  <c r="B4" i="50"/>
  <c r="E4" i="50"/>
  <c r="F4" i="50"/>
  <c r="G4" i="50"/>
  <c r="B12" i="50"/>
  <c r="E12" i="50"/>
  <c r="F12" i="50"/>
  <c r="G12" i="50"/>
  <c r="B9" i="50"/>
  <c r="E9" i="50"/>
  <c r="F9" i="50"/>
  <c r="G9" i="50"/>
  <c r="B37" i="50"/>
  <c r="E37" i="50"/>
  <c r="F37" i="50"/>
  <c r="G37" i="50"/>
  <c r="B7" i="50"/>
  <c r="E7" i="50"/>
  <c r="F7" i="50"/>
  <c r="G7" i="50"/>
  <c r="B32" i="50"/>
  <c r="E32" i="50"/>
  <c r="F32" i="50"/>
  <c r="G32" i="50"/>
  <c r="B35" i="50"/>
  <c r="E35" i="50"/>
  <c r="F35" i="50"/>
  <c r="G35" i="50"/>
  <c r="B44" i="50"/>
  <c r="E44" i="50"/>
  <c r="F44" i="50"/>
  <c r="G44" i="50"/>
  <c r="B45" i="50"/>
  <c r="E45" i="50"/>
  <c r="F45" i="50"/>
  <c r="G45" i="50"/>
  <c r="B46" i="50"/>
  <c r="E46" i="50"/>
  <c r="F46" i="50"/>
  <c r="G46" i="50"/>
  <c r="B47" i="50"/>
  <c r="E47" i="50"/>
  <c r="F47" i="50"/>
  <c r="G47" i="50"/>
  <c r="B48" i="50"/>
  <c r="E48" i="50"/>
  <c r="F48" i="50"/>
  <c r="G48" i="50"/>
  <c r="B49" i="50"/>
  <c r="E49" i="50"/>
  <c r="F49" i="50"/>
  <c r="G49" i="50"/>
  <c r="B50" i="50"/>
  <c r="E50" i="50"/>
  <c r="F50" i="50"/>
  <c r="G50" i="50"/>
  <c r="B42" i="50"/>
  <c r="E42" i="50"/>
  <c r="F42" i="50"/>
  <c r="G42" i="50"/>
  <c r="B51" i="50"/>
  <c r="E51" i="50"/>
  <c r="F51" i="50"/>
  <c r="G51" i="50"/>
  <c r="B43" i="50"/>
  <c r="E43" i="50"/>
  <c r="F43" i="50"/>
  <c r="G43" i="50"/>
  <c r="B52" i="50"/>
  <c r="E52" i="50"/>
  <c r="F52" i="50"/>
  <c r="G52" i="50"/>
  <c r="B53" i="50"/>
  <c r="E53" i="50"/>
  <c r="F53" i="50"/>
  <c r="G53" i="50"/>
  <c r="B54" i="50"/>
  <c r="E54" i="50"/>
  <c r="F54" i="50"/>
  <c r="G54" i="50"/>
  <c r="B55" i="50"/>
  <c r="E55" i="50"/>
  <c r="F55" i="50"/>
  <c r="G55" i="50"/>
  <c r="B56" i="50"/>
  <c r="E56" i="50"/>
  <c r="F56" i="50"/>
  <c r="G56" i="50"/>
  <c r="B57" i="50"/>
  <c r="E57" i="50"/>
  <c r="F57" i="50"/>
  <c r="G57" i="50"/>
  <c r="B58" i="50"/>
  <c r="E58" i="50"/>
  <c r="F58" i="50"/>
  <c r="G58" i="50"/>
  <c r="B59" i="50"/>
  <c r="E59" i="50"/>
  <c r="F59" i="50"/>
  <c r="G59" i="50"/>
  <c r="B60" i="50"/>
  <c r="E60" i="50"/>
  <c r="F60" i="50"/>
  <c r="G60" i="50"/>
  <c r="B61" i="50"/>
  <c r="E61" i="50"/>
  <c r="F61" i="50"/>
  <c r="G61" i="50"/>
  <c r="B62" i="50"/>
  <c r="E62" i="50"/>
  <c r="F62" i="50"/>
  <c r="G62" i="50"/>
  <c r="B63" i="50"/>
  <c r="E63" i="50"/>
  <c r="F63" i="50"/>
  <c r="G63" i="50"/>
  <c r="B64" i="50"/>
  <c r="E64" i="50"/>
  <c r="F64" i="50"/>
  <c r="G64" i="50"/>
  <c r="B65" i="50"/>
  <c r="E65" i="50"/>
  <c r="F65" i="50"/>
  <c r="G65" i="50"/>
  <c r="B66" i="50"/>
  <c r="E66" i="50"/>
  <c r="F66" i="50"/>
  <c r="G66" i="50"/>
  <c r="B67" i="50"/>
  <c r="E67" i="50"/>
  <c r="F67" i="50"/>
  <c r="G67" i="50"/>
  <c r="B68" i="50"/>
  <c r="E68" i="50"/>
  <c r="F68" i="50"/>
  <c r="G68" i="50"/>
  <c r="B69" i="50"/>
  <c r="E69" i="50"/>
  <c r="F69" i="50"/>
  <c r="G69" i="50"/>
  <c r="B70" i="50"/>
  <c r="E70" i="50"/>
  <c r="F70" i="50"/>
  <c r="G70" i="50"/>
  <c r="B71" i="50"/>
  <c r="E71" i="50"/>
  <c r="F71" i="50"/>
  <c r="G71" i="50"/>
  <c r="B72" i="50"/>
  <c r="E72" i="50"/>
  <c r="F72" i="50"/>
  <c r="G72" i="50"/>
  <c r="B73" i="50"/>
  <c r="E73" i="50"/>
  <c r="F73" i="50"/>
  <c r="G73" i="50"/>
  <c r="B74" i="50"/>
  <c r="E74" i="50"/>
  <c r="F74" i="50"/>
  <c r="G74" i="50"/>
  <c r="B75" i="50"/>
  <c r="E75" i="50"/>
  <c r="F75" i="50"/>
  <c r="G75" i="50"/>
  <c r="B76" i="50"/>
  <c r="E76" i="50"/>
  <c r="F76" i="50"/>
  <c r="G76" i="50"/>
  <c r="B77" i="50"/>
  <c r="E77" i="50"/>
  <c r="F77" i="50"/>
  <c r="G77" i="50"/>
  <c r="B78" i="50"/>
  <c r="E78" i="50"/>
  <c r="F78" i="50"/>
  <c r="G78" i="50"/>
  <c r="B79" i="50"/>
  <c r="E79" i="50"/>
  <c r="F79" i="50"/>
  <c r="G79" i="50"/>
  <c r="B80" i="50"/>
  <c r="E80" i="50"/>
  <c r="F80" i="50"/>
  <c r="G80" i="50"/>
  <c r="B81" i="50"/>
  <c r="E81" i="50"/>
  <c r="F81" i="50"/>
  <c r="G81" i="50"/>
  <c r="B82" i="50"/>
  <c r="E82" i="50"/>
  <c r="F82" i="50"/>
  <c r="G82" i="50"/>
  <c r="B83" i="50"/>
  <c r="E83" i="50"/>
  <c r="F83" i="50"/>
  <c r="G83" i="50"/>
  <c r="B84" i="50"/>
  <c r="E84" i="50"/>
  <c r="F84" i="50"/>
  <c r="G84" i="50"/>
  <c r="B85" i="50"/>
  <c r="E85" i="50"/>
  <c r="F85" i="50"/>
  <c r="G85" i="50"/>
  <c r="B86" i="50"/>
  <c r="E86" i="50"/>
  <c r="F86" i="50"/>
  <c r="G86" i="50"/>
  <c r="B87" i="50"/>
  <c r="E87" i="50"/>
  <c r="F87" i="50"/>
  <c r="G87" i="50"/>
  <c r="B88" i="50"/>
  <c r="E88" i="50"/>
  <c r="F88" i="50"/>
  <c r="G88" i="50"/>
  <c r="B89" i="50"/>
  <c r="E89" i="50"/>
  <c r="F89" i="50"/>
  <c r="G89" i="50"/>
  <c r="B90" i="50"/>
  <c r="E90" i="50"/>
  <c r="F90" i="50"/>
  <c r="G90" i="50"/>
  <c r="B91" i="50"/>
  <c r="E91" i="50"/>
  <c r="F91" i="50"/>
  <c r="G91" i="50"/>
  <c r="B92" i="50"/>
  <c r="E92" i="50"/>
  <c r="F92" i="50"/>
  <c r="G92" i="50"/>
  <c r="B93" i="50"/>
  <c r="E93" i="50"/>
  <c r="F93" i="50"/>
  <c r="G93" i="50"/>
  <c r="B94" i="50"/>
  <c r="E94" i="50"/>
  <c r="F94" i="50"/>
  <c r="G94" i="50"/>
  <c r="B95" i="50"/>
  <c r="E95" i="50"/>
  <c r="F95" i="50"/>
  <c r="G95" i="50"/>
  <c r="B96" i="50"/>
  <c r="E96" i="50"/>
  <c r="F96" i="50"/>
  <c r="G96" i="50"/>
  <c r="B97" i="50"/>
  <c r="E97" i="50"/>
  <c r="F97" i="50"/>
  <c r="G97" i="50"/>
  <c r="B98" i="50"/>
  <c r="E98" i="50"/>
  <c r="F98" i="50"/>
  <c r="G98" i="50"/>
  <c r="B99" i="50"/>
  <c r="E99" i="50"/>
  <c r="F99" i="50"/>
  <c r="G99" i="50"/>
  <c r="B100" i="50"/>
  <c r="E100" i="50"/>
  <c r="F100" i="50"/>
  <c r="G100" i="50"/>
  <c r="B101" i="50"/>
  <c r="E101" i="50"/>
  <c r="F101" i="50"/>
  <c r="G101" i="50"/>
  <c r="B102" i="50"/>
  <c r="E102" i="50"/>
  <c r="F102" i="50"/>
  <c r="G102" i="50"/>
  <c r="B103" i="50"/>
  <c r="E103" i="50"/>
  <c r="F103" i="50"/>
  <c r="G103" i="50"/>
  <c r="B104" i="50"/>
  <c r="E104" i="50"/>
  <c r="F104" i="50"/>
  <c r="G104" i="50"/>
  <c r="B105" i="50"/>
  <c r="E105" i="50"/>
  <c r="F105" i="50"/>
  <c r="G105" i="50"/>
  <c r="B106" i="50"/>
  <c r="E106" i="50"/>
  <c r="F106" i="50"/>
  <c r="G106" i="50"/>
  <c r="B107" i="50"/>
  <c r="E107" i="50"/>
  <c r="F107" i="50"/>
  <c r="G107" i="50"/>
  <c r="B108" i="50"/>
  <c r="E108" i="50"/>
  <c r="F108" i="50"/>
  <c r="G108" i="50"/>
  <c r="B109" i="50"/>
  <c r="E109" i="50"/>
  <c r="F109" i="50"/>
  <c r="G109" i="50"/>
  <c r="B110" i="50"/>
  <c r="E110" i="50"/>
  <c r="F110" i="50"/>
  <c r="G110" i="50"/>
  <c r="B111" i="50"/>
  <c r="E111" i="50"/>
  <c r="F111" i="50"/>
  <c r="G111" i="50"/>
  <c r="B112" i="50"/>
  <c r="E112" i="50"/>
  <c r="F112" i="50"/>
  <c r="G112" i="50"/>
  <c r="B113" i="50"/>
  <c r="E113" i="50"/>
  <c r="F113" i="50"/>
  <c r="G113" i="50"/>
  <c r="B114" i="50"/>
  <c r="E114" i="50"/>
  <c r="F114" i="50"/>
  <c r="G114" i="50"/>
  <c r="B115" i="50"/>
  <c r="E115" i="50"/>
  <c r="F115" i="50"/>
  <c r="G115" i="50"/>
  <c r="B116" i="50"/>
  <c r="E116" i="50"/>
  <c r="F116" i="50"/>
  <c r="G116" i="50"/>
  <c r="B117" i="50"/>
  <c r="E117" i="50"/>
  <c r="F117" i="50"/>
  <c r="G117" i="50"/>
  <c r="B118" i="50"/>
  <c r="E118" i="50"/>
  <c r="F118" i="50"/>
  <c r="G118" i="50"/>
  <c r="B119" i="50"/>
  <c r="E119" i="50"/>
  <c r="F119" i="50"/>
  <c r="G119" i="50"/>
  <c r="B120" i="50"/>
  <c r="E120" i="50"/>
  <c r="F120" i="50"/>
  <c r="G120" i="50"/>
  <c r="B121" i="50"/>
  <c r="E121" i="50"/>
  <c r="F121" i="50"/>
  <c r="G121" i="50"/>
  <c r="B122" i="50"/>
  <c r="E122" i="50"/>
  <c r="F122" i="50"/>
  <c r="G122" i="50"/>
  <c r="B123" i="50"/>
  <c r="E123" i="50"/>
  <c r="F123" i="50"/>
  <c r="G123" i="50"/>
  <c r="B124" i="50"/>
  <c r="E124" i="50"/>
  <c r="F124" i="50"/>
  <c r="G124" i="50"/>
  <c r="B125" i="50"/>
  <c r="E125" i="50"/>
  <c r="F125" i="50"/>
  <c r="G125" i="50"/>
  <c r="B126" i="50"/>
  <c r="E126" i="50"/>
  <c r="F126" i="50"/>
  <c r="G126" i="50"/>
  <c r="B127" i="50"/>
  <c r="E127" i="50"/>
  <c r="F127" i="50"/>
  <c r="G127" i="50"/>
  <c r="B128" i="50"/>
  <c r="E128" i="50"/>
  <c r="F128" i="50"/>
  <c r="G128" i="50"/>
  <c r="B129" i="50"/>
  <c r="E129" i="50"/>
  <c r="F129" i="50"/>
  <c r="G129" i="50"/>
  <c r="B130" i="50"/>
  <c r="E130" i="50"/>
  <c r="F130" i="50"/>
  <c r="G130" i="50"/>
  <c r="B131" i="50"/>
  <c r="E131" i="50"/>
  <c r="F131" i="50"/>
  <c r="G131" i="50"/>
  <c r="B132" i="50"/>
  <c r="E132" i="50"/>
  <c r="F132" i="50"/>
  <c r="G132" i="50"/>
  <c r="B133" i="50"/>
  <c r="E133" i="50"/>
  <c r="F133" i="50"/>
  <c r="G133" i="50"/>
  <c r="B134" i="50"/>
  <c r="E134" i="50"/>
  <c r="F134" i="50"/>
  <c r="G134" i="50"/>
  <c r="B135" i="50"/>
  <c r="E135" i="50"/>
  <c r="F135" i="50"/>
  <c r="G135" i="50"/>
  <c r="B136" i="50"/>
  <c r="E136" i="50"/>
  <c r="F136" i="50"/>
  <c r="G136" i="50"/>
  <c r="B137" i="50"/>
  <c r="E137" i="50"/>
  <c r="F137" i="50"/>
  <c r="G137" i="50"/>
  <c r="B138" i="50"/>
  <c r="E138" i="50"/>
  <c r="F138" i="50"/>
  <c r="G138" i="50"/>
  <c r="B139" i="50"/>
  <c r="E139" i="50"/>
  <c r="F139" i="50"/>
  <c r="G139" i="50"/>
  <c r="B140" i="50"/>
  <c r="E140" i="50"/>
  <c r="F140" i="50"/>
  <c r="G140" i="50"/>
  <c r="B141" i="50"/>
  <c r="E141" i="50"/>
  <c r="F141" i="50"/>
  <c r="G141" i="50"/>
  <c r="B142" i="50"/>
  <c r="E142" i="50"/>
  <c r="F142" i="50"/>
  <c r="G142" i="50"/>
  <c r="B143" i="50"/>
  <c r="E143" i="50"/>
  <c r="F143" i="50"/>
  <c r="G143" i="50"/>
  <c r="B144" i="50"/>
  <c r="E144" i="50"/>
  <c r="F144" i="50"/>
  <c r="G144" i="50"/>
  <c r="B145" i="50"/>
  <c r="E145" i="50"/>
  <c r="F145" i="50"/>
  <c r="G145" i="50"/>
  <c r="B146" i="50"/>
  <c r="E146" i="50"/>
  <c r="F146" i="50"/>
  <c r="G146" i="50"/>
  <c r="B147" i="50"/>
  <c r="E147" i="50"/>
  <c r="F147" i="50"/>
  <c r="G147" i="50"/>
  <c r="B148" i="50"/>
  <c r="E148" i="50"/>
  <c r="F148" i="50"/>
  <c r="G148" i="50"/>
  <c r="B149" i="50"/>
  <c r="E149" i="50"/>
  <c r="F149" i="50"/>
  <c r="G149" i="50"/>
  <c r="B150" i="50"/>
  <c r="E150" i="50"/>
  <c r="F150" i="50"/>
  <c r="G150" i="50"/>
  <c r="B151" i="50"/>
  <c r="E151" i="50"/>
  <c r="F151" i="50"/>
  <c r="G151" i="50"/>
  <c r="B152" i="50"/>
  <c r="E152" i="50"/>
  <c r="F152" i="50"/>
  <c r="G152" i="50"/>
  <c r="B153" i="50"/>
  <c r="E153" i="50"/>
  <c r="F153" i="50"/>
  <c r="G153" i="50"/>
  <c r="B154" i="50"/>
  <c r="E154" i="50"/>
  <c r="F154" i="50"/>
  <c r="G154" i="50"/>
  <c r="B155" i="50"/>
  <c r="E155" i="50"/>
  <c r="F155" i="50"/>
  <c r="G155" i="50"/>
  <c r="B156" i="50"/>
  <c r="E156" i="50"/>
  <c r="F156" i="50"/>
  <c r="G156" i="50"/>
  <c r="B157" i="50"/>
  <c r="E157" i="50"/>
  <c r="F157" i="50"/>
  <c r="G157" i="50"/>
  <c r="B158" i="50"/>
  <c r="E158" i="50"/>
  <c r="F158" i="50"/>
  <c r="G158" i="50"/>
  <c r="B159" i="50"/>
  <c r="E159" i="50"/>
  <c r="F159" i="50"/>
  <c r="G159" i="50"/>
  <c r="B160" i="50"/>
  <c r="E160" i="50"/>
  <c r="F160" i="50"/>
  <c r="G160" i="50"/>
  <c r="B161" i="50"/>
  <c r="E161" i="50"/>
  <c r="F161" i="50"/>
  <c r="G161" i="50"/>
  <c r="B162" i="50"/>
  <c r="E162" i="50"/>
  <c r="F162" i="50"/>
  <c r="G162" i="50"/>
  <c r="B163" i="50"/>
  <c r="E163" i="50"/>
  <c r="F163" i="50"/>
  <c r="G163" i="50"/>
  <c r="B164" i="50"/>
  <c r="E164" i="50"/>
  <c r="F164" i="50"/>
  <c r="G164" i="50"/>
  <c r="B165" i="50"/>
  <c r="E165" i="50"/>
  <c r="F165" i="50"/>
  <c r="G165" i="50"/>
  <c r="B166" i="50"/>
  <c r="E166" i="50"/>
  <c r="F166" i="50"/>
  <c r="G166" i="50"/>
  <c r="B167" i="50"/>
  <c r="E167" i="50"/>
  <c r="F167" i="50"/>
  <c r="G167" i="50"/>
  <c r="B168" i="50"/>
  <c r="E168" i="50"/>
  <c r="F168" i="50"/>
  <c r="G168" i="50"/>
  <c r="B169" i="50"/>
  <c r="E169" i="50"/>
  <c r="F169" i="50"/>
  <c r="G169" i="50"/>
  <c r="B170" i="50"/>
  <c r="E170" i="50"/>
  <c r="F170" i="50"/>
  <c r="G170" i="50"/>
  <c r="B171" i="50"/>
  <c r="E171" i="50"/>
  <c r="F171" i="50"/>
  <c r="G171" i="50"/>
  <c r="B172" i="50"/>
  <c r="E172" i="50"/>
  <c r="F172" i="50"/>
  <c r="G172" i="50"/>
  <c r="B173" i="50"/>
  <c r="E173" i="50"/>
  <c r="F173" i="50"/>
  <c r="G173" i="50"/>
  <c r="B174" i="50"/>
  <c r="E174" i="50"/>
  <c r="F174" i="50"/>
  <c r="G174" i="50"/>
  <c r="B175" i="50"/>
  <c r="E175" i="50"/>
  <c r="F175" i="50"/>
  <c r="G175" i="50"/>
  <c r="B176" i="50"/>
  <c r="E176" i="50"/>
  <c r="F176" i="50"/>
  <c r="G176" i="50"/>
  <c r="B177" i="50"/>
  <c r="E177" i="50"/>
  <c r="F177" i="50"/>
  <c r="G177" i="50"/>
  <c r="B178" i="50"/>
  <c r="E178" i="50"/>
  <c r="F178" i="50"/>
  <c r="G178" i="50"/>
  <c r="B179" i="50"/>
  <c r="E179" i="50"/>
  <c r="F179" i="50"/>
  <c r="G179" i="50"/>
  <c r="B180" i="50"/>
  <c r="E180" i="50"/>
  <c r="F180" i="50"/>
  <c r="G180" i="50"/>
  <c r="B181" i="50"/>
  <c r="E181" i="50"/>
  <c r="F181" i="50"/>
  <c r="G181" i="50"/>
  <c r="B182" i="50"/>
  <c r="E182" i="50"/>
  <c r="F182" i="50"/>
  <c r="G182" i="50"/>
  <c r="B183" i="50"/>
  <c r="E183" i="50"/>
  <c r="F183" i="50"/>
  <c r="G183" i="50"/>
  <c r="B184" i="50"/>
  <c r="E184" i="50"/>
  <c r="F184" i="50"/>
  <c r="G184" i="50"/>
  <c r="B185" i="50"/>
  <c r="E185" i="50"/>
  <c r="F185" i="50"/>
  <c r="G185" i="50"/>
  <c r="B186" i="50"/>
  <c r="E186" i="50"/>
  <c r="F186" i="50"/>
  <c r="G186" i="50"/>
  <c r="B187" i="50"/>
  <c r="E187" i="50"/>
  <c r="F187" i="50"/>
  <c r="G187" i="50"/>
  <c r="B188" i="50"/>
  <c r="E188" i="50"/>
  <c r="F188" i="50"/>
  <c r="G188" i="50"/>
  <c r="B189" i="50"/>
  <c r="E189" i="50"/>
  <c r="F189" i="50"/>
  <c r="G189" i="50"/>
  <c r="B190" i="50"/>
  <c r="E190" i="50"/>
  <c r="F190" i="50"/>
  <c r="G190" i="50"/>
  <c r="B191" i="50"/>
  <c r="E191" i="50"/>
  <c r="F191" i="50"/>
  <c r="G191" i="50"/>
  <c r="B192" i="50"/>
  <c r="E192" i="50"/>
  <c r="F192" i="50"/>
  <c r="G192" i="50"/>
  <c r="B193" i="50"/>
  <c r="E193" i="50"/>
  <c r="F193" i="50"/>
  <c r="G193" i="50"/>
  <c r="B194" i="50"/>
  <c r="E194" i="50"/>
  <c r="F194" i="50"/>
  <c r="G194" i="50"/>
  <c r="B195" i="50"/>
  <c r="E195" i="50"/>
  <c r="F195" i="50"/>
  <c r="G195" i="50"/>
  <c r="B196" i="50"/>
  <c r="E196" i="50"/>
  <c r="F196" i="50"/>
  <c r="G196" i="50"/>
  <c r="B197" i="50"/>
  <c r="E197" i="50"/>
  <c r="F197" i="50"/>
  <c r="G197" i="50"/>
  <c r="B198" i="50"/>
  <c r="E198" i="50"/>
  <c r="F198" i="50"/>
  <c r="G198" i="50"/>
  <c r="B199" i="50"/>
  <c r="E199" i="50"/>
  <c r="F199" i="50"/>
  <c r="G199" i="50"/>
  <c r="B200" i="50"/>
  <c r="E200" i="50"/>
  <c r="F200" i="50"/>
  <c r="G200" i="50"/>
  <c r="B201" i="50"/>
  <c r="E201" i="50"/>
  <c r="F201" i="50"/>
  <c r="G201" i="50"/>
  <c r="B202" i="50"/>
  <c r="E202" i="50"/>
  <c r="F202" i="50"/>
  <c r="G202" i="50"/>
  <c r="B203" i="50"/>
  <c r="E203" i="50"/>
  <c r="F203" i="50"/>
  <c r="G203" i="50"/>
  <c r="B204" i="50"/>
  <c r="E204" i="50"/>
  <c r="F204" i="50"/>
  <c r="G204" i="50"/>
  <c r="B205" i="50"/>
  <c r="E205" i="50"/>
  <c r="F205" i="50"/>
  <c r="G205" i="50"/>
  <c r="B206" i="50"/>
  <c r="E206" i="50"/>
  <c r="F206" i="50"/>
  <c r="G206" i="50"/>
  <c r="B207" i="50"/>
  <c r="E207" i="50"/>
  <c r="F207" i="50"/>
  <c r="G207" i="50"/>
  <c r="B208" i="50"/>
  <c r="E208" i="50"/>
  <c r="F208" i="50"/>
  <c r="G208" i="50"/>
  <c r="B209" i="50"/>
  <c r="E209" i="50"/>
  <c r="F209" i="50"/>
  <c r="G209" i="50"/>
  <c r="B210" i="50"/>
  <c r="E210" i="50"/>
  <c r="F210" i="50"/>
  <c r="G210" i="50"/>
  <c r="B211" i="50"/>
  <c r="E211" i="50"/>
  <c r="F211" i="50"/>
  <c r="G211" i="50"/>
  <c r="B212" i="50"/>
  <c r="E212" i="50"/>
  <c r="F212" i="50"/>
  <c r="G212" i="50"/>
  <c r="B213" i="50"/>
  <c r="E213" i="50"/>
  <c r="F213" i="50"/>
  <c r="G213" i="50"/>
  <c r="B214" i="50"/>
  <c r="E214" i="50"/>
  <c r="F214" i="50"/>
  <c r="G214" i="50"/>
  <c r="B215" i="50"/>
  <c r="E215" i="50"/>
  <c r="F215" i="50"/>
  <c r="G215" i="50"/>
  <c r="B216" i="50"/>
  <c r="E216" i="50"/>
  <c r="F216" i="50"/>
  <c r="G216" i="50"/>
  <c r="B217" i="50"/>
  <c r="E217" i="50"/>
  <c r="F217" i="50"/>
  <c r="G217" i="50"/>
  <c r="B218" i="50"/>
  <c r="E218" i="50"/>
  <c r="F218" i="50"/>
  <c r="G218" i="50"/>
  <c r="B219" i="50"/>
  <c r="E219" i="50"/>
  <c r="F219" i="50"/>
  <c r="G219" i="50"/>
  <c r="B220" i="50"/>
  <c r="E220" i="50"/>
  <c r="F220" i="50"/>
  <c r="G220" i="50"/>
  <c r="B221" i="50"/>
  <c r="E221" i="50"/>
  <c r="F221" i="50"/>
  <c r="G221" i="50"/>
  <c r="B222" i="50"/>
  <c r="E222" i="50"/>
  <c r="F222" i="50"/>
  <c r="G222" i="50"/>
  <c r="B223" i="50"/>
  <c r="E223" i="50"/>
  <c r="F223" i="50"/>
  <c r="G223" i="50"/>
  <c r="B224" i="50"/>
  <c r="E224" i="50"/>
  <c r="F224" i="50"/>
  <c r="G224" i="50"/>
  <c r="B225" i="50"/>
  <c r="E225" i="50"/>
  <c r="F225" i="50"/>
  <c r="G225" i="50"/>
  <c r="B226" i="50"/>
  <c r="E226" i="50"/>
  <c r="F226" i="50"/>
  <c r="G226" i="50"/>
  <c r="B227" i="50"/>
  <c r="E227" i="50"/>
  <c r="F227" i="50"/>
  <c r="G227" i="50"/>
  <c r="B228" i="50"/>
  <c r="E228" i="50"/>
  <c r="F228" i="50"/>
  <c r="G228" i="50"/>
  <c r="B229" i="50"/>
  <c r="E229" i="50"/>
  <c r="F229" i="50"/>
  <c r="G229" i="50"/>
  <c r="B230" i="50"/>
  <c r="E230" i="50"/>
  <c r="F230" i="50"/>
  <c r="G230" i="50"/>
  <c r="B231" i="50"/>
  <c r="E231" i="50"/>
  <c r="F231" i="50"/>
  <c r="G231" i="50"/>
  <c r="B232" i="50"/>
  <c r="E232" i="50"/>
  <c r="F232" i="50"/>
  <c r="G232" i="50"/>
  <c r="B233" i="50"/>
  <c r="E233" i="50"/>
  <c r="F233" i="50"/>
  <c r="G233" i="50"/>
  <c r="B234" i="50"/>
  <c r="E234" i="50"/>
  <c r="F234" i="50"/>
  <c r="G234" i="50"/>
  <c r="B235" i="50"/>
  <c r="E235" i="50"/>
  <c r="F235" i="50"/>
  <c r="G235" i="50"/>
  <c r="B236" i="50"/>
  <c r="E236" i="50"/>
  <c r="F236" i="50"/>
  <c r="G236" i="50"/>
  <c r="B237" i="50"/>
  <c r="E237" i="50"/>
  <c r="F237" i="50"/>
  <c r="G237" i="50"/>
  <c r="B238" i="50"/>
  <c r="E238" i="50"/>
  <c r="F238" i="50"/>
  <c r="G238" i="50"/>
  <c r="B239" i="50"/>
  <c r="E239" i="50"/>
  <c r="F239" i="50"/>
  <c r="G239" i="50"/>
  <c r="B240" i="50"/>
  <c r="E240" i="50"/>
  <c r="F240" i="50"/>
  <c r="G240" i="50"/>
  <c r="B241" i="50"/>
  <c r="E241" i="50"/>
  <c r="F241" i="50"/>
  <c r="G241" i="50"/>
  <c r="B242" i="50"/>
  <c r="E242" i="50"/>
  <c r="F242" i="50"/>
  <c r="G242" i="50"/>
  <c r="B243" i="50"/>
  <c r="E243" i="50"/>
  <c r="F243" i="50"/>
  <c r="G243" i="50"/>
  <c r="B244" i="50"/>
  <c r="E244" i="50"/>
  <c r="F244" i="50"/>
  <c r="G244" i="50"/>
  <c r="B245" i="50"/>
  <c r="E245" i="50"/>
  <c r="F245" i="50"/>
  <c r="G245" i="50"/>
  <c r="B246" i="50"/>
  <c r="E246" i="50"/>
  <c r="F246" i="50"/>
  <c r="G246" i="50"/>
  <c r="B247" i="50"/>
  <c r="E247" i="50"/>
  <c r="F247" i="50"/>
  <c r="G247" i="50"/>
  <c r="B248" i="50"/>
  <c r="E248" i="50"/>
  <c r="F248" i="50"/>
  <c r="G248" i="50"/>
  <c r="B249" i="50"/>
  <c r="E249" i="50"/>
  <c r="F249" i="50"/>
  <c r="G249" i="50"/>
  <c r="B250" i="50"/>
  <c r="E250" i="50"/>
  <c r="F250" i="50"/>
  <c r="G250" i="50"/>
  <c r="B251" i="50"/>
  <c r="E251" i="50"/>
  <c r="F251" i="50"/>
  <c r="G251" i="50"/>
  <c r="B252" i="50"/>
  <c r="E252" i="50"/>
  <c r="F252" i="50"/>
  <c r="G252" i="50"/>
  <c r="B253" i="50"/>
  <c r="E253" i="50"/>
  <c r="F253" i="50"/>
  <c r="G253" i="50"/>
  <c r="B254" i="50"/>
  <c r="E254" i="50"/>
  <c r="F254" i="50"/>
  <c r="G254" i="50"/>
  <c r="B255" i="50"/>
  <c r="E255" i="50"/>
  <c r="F255" i="50"/>
  <c r="G255" i="50"/>
  <c r="B256" i="50"/>
  <c r="E256" i="50"/>
  <c r="F256" i="50"/>
  <c r="G256" i="50"/>
  <c r="B257" i="50"/>
  <c r="E257" i="50"/>
  <c r="F257" i="50"/>
  <c r="G257" i="50"/>
  <c r="B258" i="50"/>
  <c r="E258" i="50"/>
  <c r="F258" i="50"/>
  <c r="G258" i="50"/>
  <c r="B259" i="50"/>
  <c r="E259" i="50"/>
  <c r="F259" i="50"/>
  <c r="G259" i="50"/>
  <c r="B260" i="50"/>
  <c r="E260" i="50"/>
  <c r="F260" i="50"/>
  <c r="G260" i="50"/>
  <c r="B261" i="50"/>
  <c r="E261" i="50"/>
  <c r="F261" i="50"/>
  <c r="G261" i="50"/>
  <c r="B262" i="50"/>
  <c r="E262" i="50"/>
  <c r="F262" i="50"/>
  <c r="G262" i="50"/>
  <c r="B263" i="50"/>
  <c r="E263" i="50"/>
  <c r="F263" i="50"/>
  <c r="G263" i="50"/>
  <c r="B264" i="50"/>
  <c r="E264" i="50"/>
  <c r="F264" i="50"/>
  <c r="G264" i="50"/>
  <c r="B265" i="50"/>
  <c r="E265" i="50"/>
  <c r="F265" i="50"/>
  <c r="G265" i="50"/>
  <c r="B266" i="50"/>
  <c r="E266" i="50"/>
  <c r="F266" i="50"/>
  <c r="G266" i="50"/>
  <c r="B267" i="50"/>
  <c r="E267" i="50"/>
  <c r="F267" i="50"/>
  <c r="G267" i="50"/>
  <c r="B268" i="50"/>
  <c r="E268" i="50"/>
  <c r="F268" i="50"/>
  <c r="G268" i="50"/>
  <c r="B269" i="50"/>
  <c r="E269" i="50"/>
  <c r="F269" i="50"/>
  <c r="G269" i="50"/>
  <c r="B270" i="50"/>
  <c r="E270" i="50"/>
  <c r="F270" i="50"/>
  <c r="G270" i="50"/>
  <c r="B271" i="50"/>
  <c r="E271" i="50"/>
  <c r="F271" i="50"/>
  <c r="G271" i="50"/>
  <c r="B272" i="50"/>
  <c r="E272" i="50"/>
  <c r="F272" i="50"/>
  <c r="G272" i="50"/>
  <c r="B273" i="50"/>
  <c r="E273" i="50"/>
  <c r="F273" i="50"/>
  <c r="G273" i="50"/>
  <c r="B274" i="50"/>
  <c r="E274" i="50"/>
  <c r="F274" i="50"/>
  <c r="G274" i="50"/>
  <c r="B275" i="50"/>
  <c r="E275" i="50"/>
  <c r="F275" i="50"/>
  <c r="G275" i="50"/>
  <c r="B276" i="50"/>
  <c r="E276" i="50"/>
  <c r="F276" i="50"/>
  <c r="G276" i="50"/>
  <c r="B277" i="50"/>
  <c r="E277" i="50"/>
  <c r="F277" i="50"/>
  <c r="G277" i="50"/>
  <c r="B278" i="50"/>
  <c r="E278" i="50"/>
  <c r="F278" i="50"/>
  <c r="G278" i="50"/>
  <c r="B279" i="50"/>
  <c r="E279" i="50"/>
  <c r="F279" i="50"/>
  <c r="G279" i="50"/>
  <c r="B280" i="50"/>
  <c r="E280" i="50"/>
  <c r="F280" i="50"/>
  <c r="G280" i="50"/>
  <c r="B281" i="50"/>
  <c r="E281" i="50"/>
  <c r="F281" i="50"/>
  <c r="G281" i="50"/>
  <c r="B282" i="50"/>
  <c r="E282" i="50"/>
  <c r="F282" i="50"/>
  <c r="G282" i="50"/>
  <c r="B283" i="50"/>
  <c r="E283" i="50"/>
  <c r="F283" i="50"/>
  <c r="G283" i="50"/>
  <c r="B284" i="50"/>
  <c r="E284" i="50"/>
  <c r="F284" i="50"/>
  <c r="G284" i="50"/>
  <c r="B285" i="50"/>
  <c r="E285" i="50"/>
  <c r="F285" i="50"/>
  <c r="G285" i="50"/>
  <c r="B286" i="50"/>
  <c r="E286" i="50"/>
  <c r="F286" i="50"/>
  <c r="G286" i="50"/>
  <c r="B287" i="50"/>
  <c r="E287" i="50"/>
  <c r="F287" i="50"/>
  <c r="G287" i="50"/>
  <c r="B288" i="50"/>
  <c r="E288" i="50"/>
  <c r="F288" i="50"/>
  <c r="G288" i="50"/>
  <c r="B289" i="50"/>
  <c r="E289" i="50"/>
  <c r="F289" i="50"/>
  <c r="G289" i="50"/>
  <c r="B290" i="50"/>
  <c r="E290" i="50"/>
  <c r="F290" i="50"/>
  <c r="G290" i="50"/>
  <c r="B291" i="50"/>
  <c r="E291" i="50"/>
  <c r="F291" i="50"/>
  <c r="G291" i="50"/>
  <c r="B292" i="50"/>
  <c r="E292" i="50"/>
  <c r="F292" i="50"/>
  <c r="G292" i="50"/>
  <c r="B293" i="50"/>
  <c r="E293" i="50"/>
  <c r="F293" i="50"/>
  <c r="G293" i="50"/>
  <c r="B294" i="50"/>
  <c r="E294" i="50"/>
  <c r="F294" i="50"/>
  <c r="G294" i="50"/>
  <c r="B295" i="50"/>
  <c r="E295" i="50"/>
  <c r="F295" i="50"/>
  <c r="G295" i="50"/>
  <c r="B296" i="50"/>
  <c r="E296" i="50"/>
  <c r="F296" i="50"/>
  <c r="G296" i="50"/>
  <c r="B297" i="50"/>
  <c r="E297" i="50"/>
  <c r="F297" i="50"/>
  <c r="G297" i="50"/>
  <c r="B298" i="50"/>
  <c r="E298" i="50"/>
  <c r="F298" i="50"/>
  <c r="G298" i="50"/>
  <c r="B299" i="50"/>
  <c r="E299" i="50"/>
  <c r="F299" i="50"/>
  <c r="G299" i="50"/>
  <c r="B300" i="50"/>
  <c r="E300" i="50"/>
  <c r="F300" i="50"/>
  <c r="G300" i="50"/>
  <c r="B301" i="50"/>
  <c r="E301" i="50"/>
  <c r="F301" i="50"/>
  <c r="G301" i="50"/>
  <c r="B302" i="50"/>
  <c r="E302" i="50"/>
  <c r="F302" i="50"/>
  <c r="G302" i="50"/>
  <c r="B303" i="50"/>
  <c r="E303" i="50"/>
  <c r="F303" i="50"/>
  <c r="G303" i="50"/>
  <c r="B304" i="50"/>
  <c r="E304" i="50"/>
  <c r="F304" i="50"/>
  <c r="G304" i="50"/>
  <c r="B305" i="50"/>
  <c r="E305" i="50"/>
  <c r="F305" i="50"/>
  <c r="G305" i="50"/>
  <c r="B306" i="50"/>
  <c r="E306" i="50"/>
  <c r="F306" i="50"/>
  <c r="G306" i="50"/>
  <c r="B307" i="50"/>
  <c r="E307" i="50"/>
  <c r="F307" i="50"/>
  <c r="G307" i="50"/>
  <c r="B308" i="50"/>
  <c r="E308" i="50"/>
  <c r="F308" i="50"/>
  <c r="G308" i="50"/>
  <c r="B309" i="50"/>
  <c r="E309" i="50"/>
  <c r="F309" i="50"/>
  <c r="G309" i="50"/>
  <c r="B310" i="50"/>
  <c r="E310" i="50"/>
  <c r="F310" i="50"/>
  <c r="G310" i="50"/>
  <c r="B311" i="50"/>
  <c r="E311" i="50"/>
  <c r="F311" i="50"/>
  <c r="G311" i="50"/>
  <c r="B312" i="50"/>
  <c r="E312" i="50"/>
  <c r="F312" i="50"/>
  <c r="G312" i="50"/>
  <c r="B313" i="50"/>
  <c r="E313" i="50"/>
  <c r="F313" i="50"/>
  <c r="G313" i="50"/>
  <c r="B314" i="50"/>
  <c r="E314" i="50"/>
  <c r="F314" i="50"/>
  <c r="G314" i="50"/>
  <c r="B315" i="50"/>
  <c r="E315" i="50"/>
  <c r="F315" i="50"/>
  <c r="G315" i="50"/>
  <c r="B316" i="50"/>
  <c r="E316" i="50"/>
  <c r="F316" i="50"/>
  <c r="G316" i="50"/>
  <c r="B317" i="50"/>
  <c r="E317" i="50"/>
  <c r="F317" i="50"/>
  <c r="G317" i="50"/>
  <c r="B318" i="50"/>
  <c r="E318" i="50"/>
  <c r="F318" i="50"/>
  <c r="G318" i="50"/>
  <c r="B319" i="50"/>
  <c r="E319" i="50"/>
  <c r="F319" i="50"/>
  <c r="G319" i="50"/>
  <c r="B320" i="50"/>
  <c r="E320" i="50"/>
  <c r="F320" i="50"/>
  <c r="G320" i="50"/>
  <c r="B321" i="50"/>
  <c r="E321" i="50"/>
  <c r="F321" i="50"/>
  <c r="G321" i="50"/>
  <c r="B322" i="50"/>
  <c r="E322" i="50"/>
  <c r="F322" i="50"/>
  <c r="G322" i="50"/>
  <c r="B323" i="50"/>
  <c r="E323" i="50"/>
  <c r="F323" i="50"/>
  <c r="G323" i="50"/>
  <c r="B324" i="50"/>
  <c r="E324" i="50"/>
  <c r="F324" i="50"/>
  <c r="G324" i="50"/>
  <c r="B325" i="50"/>
  <c r="E325" i="50"/>
  <c r="F325" i="50"/>
  <c r="G325" i="50"/>
  <c r="B326" i="50"/>
  <c r="E326" i="50"/>
  <c r="F326" i="50"/>
  <c r="G326" i="50"/>
  <c r="B327" i="50"/>
  <c r="E327" i="50"/>
  <c r="F327" i="50"/>
  <c r="G327" i="50"/>
  <c r="B328" i="50"/>
  <c r="E328" i="50"/>
  <c r="F328" i="50"/>
  <c r="G328" i="50"/>
  <c r="B329" i="50"/>
  <c r="E329" i="50"/>
  <c r="F329" i="50"/>
  <c r="G329" i="50"/>
  <c r="B330" i="50"/>
  <c r="E330" i="50"/>
  <c r="F330" i="50"/>
  <c r="G330" i="50"/>
  <c r="B331" i="50"/>
  <c r="E331" i="50"/>
  <c r="F331" i="50"/>
  <c r="G331" i="50"/>
  <c r="B332" i="50"/>
  <c r="E332" i="50"/>
  <c r="F332" i="50"/>
  <c r="G332" i="50"/>
  <c r="B333" i="50"/>
  <c r="E333" i="50"/>
  <c r="F333" i="50"/>
  <c r="G333" i="50"/>
  <c r="B334" i="50"/>
  <c r="E334" i="50"/>
  <c r="F334" i="50"/>
  <c r="G334" i="50"/>
  <c r="B335" i="50"/>
  <c r="E335" i="50"/>
  <c r="F335" i="50"/>
  <c r="G335" i="50"/>
  <c r="B336" i="50"/>
  <c r="E336" i="50"/>
  <c r="F336" i="50"/>
  <c r="G336" i="50"/>
  <c r="B337" i="50"/>
  <c r="E337" i="50"/>
  <c r="F337" i="50"/>
  <c r="G337" i="50"/>
  <c r="B338" i="50"/>
  <c r="E338" i="50"/>
  <c r="F338" i="50"/>
  <c r="G338" i="50"/>
  <c r="B339" i="50"/>
  <c r="E339" i="50"/>
  <c r="F339" i="50"/>
  <c r="G339" i="50"/>
  <c r="B340" i="50"/>
  <c r="E340" i="50"/>
  <c r="F340" i="50"/>
  <c r="G340" i="50"/>
  <c r="B341" i="50"/>
  <c r="E341" i="50"/>
  <c r="F341" i="50"/>
  <c r="G341" i="50"/>
  <c r="B342" i="50"/>
  <c r="E342" i="50"/>
  <c r="F342" i="50"/>
  <c r="G342" i="50"/>
  <c r="B343" i="50"/>
  <c r="E343" i="50"/>
  <c r="F343" i="50"/>
  <c r="G343" i="50"/>
  <c r="B344" i="50"/>
  <c r="E344" i="50"/>
  <c r="F344" i="50"/>
  <c r="G344" i="50"/>
  <c r="B345" i="50"/>
  <c r="E345" i="50"/>
  <c r="F345" i="50"/>
  <c r="G345" i="50"/>
  <c r="B346" i="50"/>
  <c r="E346" i="50"/>
  <c r="F346" i="50"/>
  <c r="G346" i="50"/>
  <c r="B347" i="50"/>
  <c r="E347" i="50"/>
  <c r="F347" i="50"/>
  <c r="G347" i="50"/>
  <c r="B348" i="50"/>
  <c r="E348" i="50"/>
  <c r="F348" i="50"/>
  <c r="G348" i="50"/>
  <c r="B349" i="50"/>
  <c r="E349" i="50"/>
  <c r="F349" i="50"/>
  <c r="G349" i="50"/>
  <c r="B350" i="50"/>
  <c r="E350" i="50"/>
  <c r="F350" i="50"/>
  <c r="G350" i="50"/>
  <c r="B351" i="50"/>
  <c r="E351" i="50"/>
  <c r="F351" i="50"/>
  <c r="G351" i="50"/>
  <c r="B352" i="50"/>
  <c r="E352" i="50"/>
  <c r="F352" i="50"/>
  <c r="G352" i="50"/>
  <c r="B353" i="50"/>
  <c r="E353" i="50"/>
  <c r="F353" i="50"/>
  <c r="G353" i="50"/>
  <c r="B354" i="50"/>
  <c r="E354" i="50"/>
  <c r="F354" i="50"/>
  <c r="G354" i="50"/>
  <c r="B355" i="50"/>
  <c r="E355" i="50"/>
  <c r="F355" i="50"/>
  <c r="G355" i="50"/>
  <c r="B356" i="50"/>
  <c r="E356" i="50"/>
  <c r="F356" i="50"/>
  <c r="G356" i="50"/>
  <c r="B357" i="50"/>
  <c r="E357" i="50"/>
  <c r="F357" i="50"/>
  <c r="G357" i="50"/>
  <c r="B358" i="50"/>
  <c r="E358" i="50"/>
  <c r="F358" i="50"/>
  <c r="G358" i="50"/>
  <c r="B359" i="50"/>
  <c r="E359" i="50"/>
  <c r="F359" i="50"/>
  <c r="G359" i="50"/>
  <c r="B360" i="50"/>
  <c r="E360" i="50"/>
  <c r="F360" i="50"/>
  <c r="G360" i="50"/>
  <c r="B361" i="50"/>
  <c r="E361" i="50"/>
  <c r="F361" i="50"/>
  <c r="G361" i="50"/>
  <c r="B362" i="50"/>
  <c r="E362" i="50"/>
  <c r="F362" i="50"/>
  <c r="G362" i="50"/>
  <c r="B363" i="50"/>
  <c r="E363" i="50"/>
  <c r="F363" i="50"/>
  <c r="G363" i="50"/>
  <c r="B364" i="50"/>
  <c r="E364" i="50"/>
  <c r="F364" i="50"/>
  <c r="G364" i="50"/>
  <c r="B365" i="50"/>
  <c r="E365" i="50"/>
  <c r="F365" i="50"/>
  <c r="G365" i="50"/>
  <c r="B366" i="50"/>
  <c r="E366" i="50"/>
  <c r="F366" i="50"/>
  <c r="G366" i="50"/>
  <c r="B367" i="50"/>
  <c r="E367" i="50"/>
  <c r="F367" i="50"/>
  <c r="G367" i="50"/>
  <c r="B368" i="50"/>
  <c r="E368" i="50"/>
  <c r="F368" i="50"/>
  <c r="G368" i="50"/>
  <c r="B369" i="50"/>
  <c r="E369" i="50"/>
  <c r="F369" i="50"/>
  <c r="G369" i="50"/>
  <c r="B370" i="50"/>
  <c r="E370" i="50"/>
  <c r="F370" i="50"/>
  <c r="G370" i="50"/>
  <c r="B371" i="50"/>
  <c r="E371" i="50"/>
  <c r="F371" i="50"/>
  <c r="G371" i="50"/>
  <c r="B372" i="50"/>
  <c r="E372" i="50"/>
  <c r="F372" i="50"/>
  <c r="G372" i="50"/>
  <c r="B373" i="50"/>
  <c r="E373" i="50"/>
  <c r="F373" i="50"/>
  <c r="G373" i="50"/>
  <c r="B374" i="50"/>
  <c r="E374" i="50"/>
  <c r="F374" i="50"/>
  <c r="G374" i="50"/>
  <c r="B375" i="50"/>
  <c r="E375" i="50"/>
  <c r="F375" i="50"/>
  <c r="G375" i="50"/>
  <c r="B376" i="50"/>
  <c r="E376" i="50"/>
  <c r="F376" i="50"/>
  <c r="G376" i="50"/>
  <c r="B377" i="50"/>
  <c r="E377" i="50"/>
  <c r="F377" i="50"/>
  <c r="G377" i="50"/>
  <c r="B378" i="50"/>
  <c r="E378" i="50"/>
  <c r="F378" i="50"/>
  <c r="G378" i="50"/>
  <c r="B379" i="50"/>
  <c r="E379" i="50"/>
  <c r="F379" i="50"/>
  <c r="G379" i="50"/>
  <c r="B380" i="50"/>
  <c r="E380" i="50"/>
  <c r="F380" i="50"/>
  <c r="G380" i="50"/>
  <c r="B381" i="50"/>
  <c r="E381" i="50"/>
  <c r="F381" i="50"/>
  <c r="G381" i="50"/>
  <c r="B382" i="50"/>
  <c r="E382" i="50"/>
  <c r="F382" i="50"/>
  <c r="G382" i="50"/>
  <c r="B383" i="50"/>
  <c r="E383" i="50"/>
  <c r="F383" i="50"/>
  <c r="G383" i="50"/>
  <c r="B384" i="50"/>
  <c r="E384" i="50"/>
  <c r="F384" i="50"/>
  <c r="G384" i="50"/>
  <c r="B385" i="50"/>
  <c r="E385" i="50"/>
  <c r="F385" i="50"/>
  <c r="G385" i="50"/>
  <c r="B386" i="50"/>
  <c r="E386" i="50"/>
  <c r="F386" i="50"/>
  <c r="G386" i="50"/>
  <c r="B387" i="50"/>
  <c r="E387" i="50"/>
  <c r="F387" i="50"/>
  <c r="G387" i="50"/>
  <c r="B388" i="50"/>
  <c r="E388" i="50"/>
  <c r="F388" i="50"/>
  <c r="G388" i="50"/>
  <c r="B389" i="50"/>
  <c r="E389" i="50"/>
  <c r="F389" i="50"/>
  <c r="G389" i="50"/>
  <c r="B390" i="50"/>
  <c r="E390" i="50"/>
  <c r="F390" i="50"/>
  <c r="G390" i="50"/>
  <c r="B391" i="50"/>
  <c r="E391" i="50"/>
  <c r="F391" i="50"/>
  <c r="G391" i="50"/>
  <c r="B392" i="50"/>
  <c r="E392" i="50"/>
  <c r="F392" i="50"/>
  <c r="G392" i="50"/>
  <c r="B393" i="50"/>
  <c r="E393" i="50"/>
  <c r="F393" i="50"/>
  <c r="G393" i="50"/>
  <c r="B394" i="50"/>
  <c r="E394" i="50"/>
  <c r="F394" i="50"/>
  <c r="G394" i="50"/>
  <c r="B395" i="50"/>
  <c r="E395" i="50"/>
  <c r="F395" i="50"/>
  <c r="G395" i="50"/>
  <c r="B396" i="50"/>
  <c r="E396" i="50"/>
  <c r="F396" i="50"/>
  <c r="G396" i="50"/>
  <c r="B397" i="50"/>
  <c r="E397" i="50"/>
  <c r="F397" i="50"/>
  <c r="G397" i="50"/>
  <c r="B398" i="50"/>
  <c r="E398" i="50"/>
  <c r="F398" i="50"/>
  <c r="G398" i="50"/>
  <c r="B399" i="50"/>
  <c r="E399" i="50"/>
  <c r="F399" i="50"/>
  <c r="G399" i="50"/>
  <c r="B400" i="50"/>
  <c r="E400" i="50"/>
  <c r="F400" i="50"/>
  <c r="G400" i="50"/>
  <c r="B401" i="50"/>
  <c r="E401" i="50"/>
  <c r="F401" i="50"/>
  <c r="G401" i="50"/>
  <c r="B402" i="50"/>
  <c r="E402" i="50"/>
  <c r="F402" i="50"/>
  <c r="G402" i="50"/>
  <c r="B403" i="50"/>
  <c r="E403" i="50"/>
  <c r="F403" i="50"/>
  <c r="G403" i="50"/>
  <c r="B404" i="50"/>
  <c r="E404" i="50"/>
  <c r="F404" i="50"/>
  <c r="G404" i="50"/>
  <c r="B405" i="50"/>
  <c r="E405" i="50"/>
  <c r="F405" i="50"/>
  <c r="G405" i="50"/>
  <c r="B406" i="50"/>
  <c r="E406" i="50"/>
  <c r="F406" i="50"/>
  <c r="G406" i="50"/>
  <c r="B407" i="50"/>
  <c r="E407" i="50"/>
  <c r="F407" i="50"/>
  <c r="G407" i="50"/>
  <c r="B408" i="50"/>
  <c r="E408" i="50"/>
  <c r="F408" i="50"/>
  <c r="G408" i="50"/>
  <c r="B409" i="50"/>
  <c r="E409" i="50"/>
  <c r="F409" i="50"/>
  <c r="G409" i="50"/>
  <c r="B410" i="50"/>
  <c r="E410" i="50"/>
  <c r="F410" i="50"/>
  <c r="G410" i="50"/>
  <c r="B411" i="50"/>
  <c r="E411" i="50"/>
  <c r="F411" i="50"/>
  <c r="G411" i="50"/>
  <c r="B412" i="50"/>
  <c r="E412" i="50"/>
  <c r="F412" i="50"/>
  <c r="G412" i="50"/>
  <c r="B413" i="50"/>
  <c r="E413" i="50"/>
  <c r="F413" i="50"/>
  <c r="G413" i="50"/>
  <c r="B414" i="50"/>
  <c r="E414" i="50"/>
  <c r="F414" i="50"/>
  <c r="G414" i="50"/>
  <c r="B415" i="50"/>
  <c r="E415" i="50"/>
  <c r="F415" i="50"/>
  <c r="G415" i="50"/>
  <c r="B416" i="50"/>
  <c r="E416" i="50"/>
  <c r="F416" i="50"/>
  <c r="G416" i="50"/>
  <c r="B417" i="50"/>
  <c r="E417" i="50"/>
  <c r="F417" i="50"/>
  <c r="G417" i="50"/>
  <c r="B418" i="50"/>
  <c r="E418" i="50"/>
  <c r="F418" i="50"/>
  <c r="G418" i="50"/>
  <c r="B419" i="50"/>
  <c r="E419" i="50"/>
  <c r="F419" i="50"/>
  <c r="G419" i="50"/>
  <c r="B420" i="50"/>
  <c r="E420" i="50"/>
  <c r="F420" i="50"/>
  <c r="G420" i="50"/>
  <c r="B421" i="50"/>
  <c r="E421" i="50"/>
  <c r="F421" i="50"/>
  <c r="G421" i="50"/>
  <c r="B422" i="50"/>
  <c r="E422" i="50"/>
  <c r="F422" i="50"/>
  <c r="G422" i="50"/>
  <c r="B423" i="50"/>
  <c r="E423" i="50"/>
  <c r="F423" i="50"/>
  <c r="G423" i="50"/>
  <c r="B424" i="50"/>
  <c r="E424" i="50"/>
  <c r="F424" i="50"/>
  <c r="G424" i="50"/>
  <c r="B425" i="50"/>
  <c r="E425" i="50"/>
  <c r="F425" i="50"/>
  <c r="G425" i="50"/>
  <c r="B426" i="50"/>
  <c r="E426" i="50"/>
  <c r="F426" i="50"/>
  <c r="G426" i="50"/>
  <c r="B427" i="50"/>
  <c r="E427" i="50"/>
  <c r="F427" i="50"/>
  <c r="G427" i="50"/>
  <c r="B428" i="50"/>
  <c r="E428" i="50"/>
  <c r="F428" i="50"/>
  <c r="G428" i="50"/>
  <c r="B429" i="50"/>
  <c r="E429" i="50"/>
  <c r="F429" i="50"/>
  <c r="G429" i="50"/>
  <c r="B430" i="50"/>
  <c r="E430" i="50"/>
  <c r="F430" i="50"/>
  <c r="G430" i="50"/>
  <c r="B431" i="50"/>
  <c r="E431" i="50"/>
  <c r="F431" i="50"/>
  <c r="G431" i="50"/>
  <c r="B432" i="50"/>
  <c r="E432" i="50"/>
  <c r="F432" i="50"/>
  <c r="G432" i="50"/>
  <c r="B433" i="50"/>
  <c r="E433" i="50"/>
  <c r="F433" i="50"/>
  <c r="G433" i="50"/>
  <c r="B434" i="50"/>
  <c r="E434" i="50"/>
  <c r="F434" i="50"/>
  <c r="G434" i="50"/>
  <c r="B435" i="50"/>
  <c r="E435" i="50"/>
  <c r="F435" i="50"/>
  <c r="G435" i="50"/>
  <c r="B436" i="50"/>
  <c r="E436" i="50"/>
  <c r="F436" i="50"/>
  <c r="G436" i="50"/>
  <c r="B437" i="50"/>
  <c r="E437" i="50"/>
  <c r="F437" i="50"/>
  <c r="G437" i="50"/>
  <c r="B438" i="50"/>
  <c r="E438" i="50"/>
  <c r="F438" i="50"/>
  <c r="G438" i="50"/>
  <c r="B439" i="50"/>
  <c r="E439" i="50"/>
  <c r="F439" i="50"/>
  <c r="G439" i="50"/>
  <c r="B440" i="50"/>
  <c r="E440" i="50"/>
  <c r="F440" i="50"/>
  <c r="G440" i="50"/>
  <c r="B441" i="50"/>
  <c r="E441" i="50"/>
  <c r="F441" i="50"/>
  <c r="G441" i="50"/>
  <c r="B442" i="50"/>
  <c r="E442" i="50"/>
  <c r="F442" i="50"/>
  <c r="G442" i="50"/>
  <c r="B443" i="50"/>
  <c r="E443" i="50"/>
  <c r="F443" i="50"/>
  <c r="G443" i="50"/>
  <c r="B444" i="50"/>
  <c r="E444" i="50"/>
  <c r="F444" i="50"/>
  <c r="G444" i="50"/>
  <c r="B445" i="50"/>
  <c r="E445" i="50"/>
  <c r="F445" i="50"/>
  <c r="G445" i="50"/>
  <c r="B446" i="50"/>
  <c r="E446" i="50"/>
  <c r="F446" i="50"/>
  <c r="G446" i="50"/>
  <c r="B447" i="50"/>
  <c r="E447" i="50"/>
  <c r="F447" i="50"/>
  <c r="G447" i="50"/>
  <c r="B448" i="50"/>
  <c r="E448" i="50"/>
  <c r="F448" i="50"/>
  <c r="G448" i="50"/>
  <c r="B449" i="50"/>
  <c r="E449" i="50"/>
  <c r="F449" i="50"/>
  <c r="G449" i="50"/>
  <c r="B450" i="50"/>
  <c r="E450" i="50"/>
  <c r="F450" i="50"/>
  <c r="G450" i="50"/>
  <c r="B451" i="50"/>
  <c r="E451" i="50"/>
  <c r="F451" i="50"/>
  <c r="G451" i="50"/>
  <c r="B452" i="50"/>
  <c r="E452" i="50"/>
  <c r="F452" i="50"/>
  <c r="G452" i="50"/>
  <c r="B453" i="50"/>
  <c r="E453" i="50"/>
  <c r="F453" i="50"/>
  <c r="G453" i="50"/>
  <c r="B454" i="50"/>
  <c r="E454" i="50"/>
  <c r="F454" i="50"/>
  <c r="G454" i="50"/>
  <c r="B455" i="50"/>
  <c r="E455" i="50"/>
  <c r="F455" i="50"/>
  <c r="G455" i="50"/>
  <c r="B456" i="50"/>
  <c r="E456" i="50"/>
  <c r="F456" i="50"/>
  <c r="G456" i="50"/>
  <c r="B457" i="50"/>
  <c r="E457" i="50"/>
  <c r="F457" i="50"/>
  <c r="G457" i="50"/>
  <c r="B458" i="50"/>
  <c r="E458" i="50"/>
  <c r="F458" i="50"/>
  <c r="G458" i="50"/>
  <c r="B459" i="50"/>
  <c r="E459" i="50"/>
  <c r="F459" i="50"/>
  <c r="G459" i="50"/>
  <c r="B460" i="50"/>
  <c r="E460" i="50"/>
  <c r="F460" i="50"/>
  <c r="G460" i="50"/>
  <c r="B461" i="50"/>
  <c r="E461" i="50"/>
  <c r="F461" i="50"/>
  <c r="G461" i="50"/>
  <c r="B462" i="50"/>
  <c r="E462" i="50"/>
  <c r="F462" i="50"/>
  <c r="G462" i="50"/>
  <c r="B463" i="50"/>
  <c r="E463" i="50"/>
  <c r="F463" i="50"/>
  <c r="G463" i="50"/>
  <c r="B464" i="50"/>
  <c r="E464" i="50"/>
  <c r="F464" i="50"/>
  <c r="G464" i="50"/>
  <c r="B465" i="50"/>
  <c r="E465" i="50"/>
  <c r="F465" i="50"/>
  <c r="G465" i="50"/>
  <c r="B466" i="50"/>
  <c r="E466" i="50"/>
  <c r="F466" i="50"/>
  <c r="G466" i="50"/>
  <c r="B467" i="50"/>
  <c r="E467" i="50"/>
  <c r="F467" i="50"/>
  <c r="G467" i="50"/>
  <c r="B468" i="50"/>
  <c r="E468" i="50"/>
  <c r="F468" i="50"/>
  <c r="G468" i="50"/>
  <c r="B469" i="50"/>
  <c r="E469" i="50"/>
  <c r="F469" i="50"/>
  <c r="G469" i="50"/>
  <c r="B470" i="50"/>
  <c r="E470" i="50"/>
  <c r="F470" i="50"/>
  <c r="G470" i="50"/>
  <c r="B471" i="50"/>
  <c r="E471" i="50"/>
  <c r="F471" i="50"/>
  <c r="G471" i="50"/>
  <c r="B472" i="50"/>
  <c r="E472" i="50"/>
  <c r="F472" i="50"/>
  <c r="G472" i="50"/>
  <c r="B473" i="50"/>
  <c r="E473" i="50"/>
  <c r="F473" i="50"/>
  <c r="G473" i="50"/>
  <c r="B474" i="50"/>
  <c r="E474" i="50"/>
  <c r="F474" i="50"/>
  <c r="G474" i="50"/>
  <c r="B475" i="50"/>
  <c r="E475" i="50"/>
  <c r="F475" i="50"/>
  <c r="G475" i="50"/>
  <c r="B476" i="50"/>
  <c r="E476" i="50"/>
  <c r="F476" i="50"/>
  <c r="G476" i="50"/>
  <c r="B477" i="50"/>
  <c r="E477" i="50"/>
  <c r="F477" i="50"/>
  <c r="G477" i="50"/>
  <c r="B478" i="50"/>
  <c r="E478" i="50"/>
  <c r="F478" i="50"/>
  <c r="G478" i="50"/>
  <c r="B479" i="50"/>
  <c r="E479" i="50"/>
  <c r="F479" i="50"/>
  <c r="G479" i="50"/>
  <c r="B480" i="50"/>
  <c r="E480" i="50"/>
  <c r="F480" i="50"/>
  <c r="G480" i="50"/>
  <c r="B481" i="50"/>
  <c r="E481" i="50"/>
  <c r="F481" i="50"/>
  <c r="G481" i="50"/>
  <c r="B482" i="50"/>
  <c r="E482" i="50"/>
  <c r="F482" i="50"/>
  <c r="G482" i="50"/>
  <c r="B483" i="50"/>
  <c r="E483" i="50"/>
  <c r="F483" i="50"/>
  <c r="G483" i="50"/>
  <c r="B484" i="50"/>
  <c r="E484" i="50"/>
  <c r="F484" i="50"/>
  <c r="G484" i="50"/>
  <c r="B485" i="50"/>
  <c r="E485" i="50"/>
  <c r="F485" i="50"/>
  <c r="G485" i="50"/>
  <c r="B486" i="50"/>
  <c r="E486" i="50"/>
  <c r="F486" i="50"/>
  <c r="G486" i="50"/>
  <c r="B487" i="50"/>
  <c r="E487" i="50"/>
  <c r="F487" i="50"/>
  <c r="G487" i="50"/>
  <c r="B488" i="50"/>
  <c r="E488" i="50"/>
  <c r="F488" i="50"/>
  <c r="G488" i="50"/>
  <c r="B489" i="50"/>
  <c r="E489" i="50"/>
  <c r="F489" i="50"/>
  <c r="G489" i="50"/>
  <c r="B490" i="50"/>
  <c r="E490" i="50"/>
  <c r="F490" i="50"/>
  <c r="G490" i="50"/>
  <c r="B491" i="50"/>
  <c r="E491" i="50"/>
  <c r="F491" i="50"/>
  <c r="G491" i="50"/>
  <c r="B492" i="50"/>
  <c r="E492" i="50"/>
  <c r="F492" i="50"/>
  <c r="G492" i="50"/>
  <c r="B493" i="50"/>
  <c r="E493" i="50"/>
  <c r="F493" i="50"/>
  <c r="G493" i="50"/>
  <c r="B494" i="50"/>
  <c r="E494" i="50"/>
  <c r="F494" i="50"/>
  <c r="G494" i="50"/>
  <c r="B495" i="50"/>
  <c r="E495" i="50"/>
  <c r="F495" i="50"/>
  <c r="G495" i="50"/>
  <c r="B496" i="50"/>
  <c r="E496" i="50"/>
  <c r="F496" i="50"/>
  <c r="G496" i="50"/>
  <c r="B497" i="50"/>
  <c r="E497" i="50"/>
  <c r="F497" i="50"/>
  <c r="G497" i="50"/>
  <c r="B498" i="50"/>
  <c r="E498" i="50"/>
  <c r="F498" i="50"/>
  <c r="G498" i="50"/>
  <c r="B499" i="50"/>
  <c r="E499" i="50"/>
  <c r="F499" i="50"/>
  <c r="G499" i="50"/>
  <c r="B500" i="50"/>
  <c r="E500" i="50"/>
  <c r="F500" i="50"/>
  <c r="G500" i="50"/>
  <c r="B501" i="50"/>
  <c r="E501" i="50"/>
  <c r="F501" i="50"/>
  <c r="G501" i="50"/>
  <c r="B502" i="50"/>
  <c r="E502" i="50"/>
  <c r="F502" i="50"/>
  <c r="G502" i="50"/>
  <c r="B503" i="50"/>
  <c r="E503" i="50"/>
  <c r="F503" i="50"/>
  <c r="G503" i="50"/>
  <c r="B504" i="50"/>
  <c r="E504" i="50"/>
  <c r="F504" i="50"/>
  <c r="G504" i="50"/>
  <c r="B505" i="50"/>
  <c r="E505" i="50"/>
  <c r="F505" i="50"/>
  <c r="G505" i="50"/>
  <c r="B506" i="50"/>
  <c r="E506" i="50"/>
  <c r="F506" i="50"/>
  <c r="G506" i="50"/>
  <c r="B507" i="50"/>
  <c r="E507" i="50"/>
  <c r="F507" i="50"/>
  <c r="G507" i="50"/>
  <c r="B508" i="50"/>
  <c r="E508" i="50"/>
  <c r="F508" i="50"/>
  <c r="G508" i="50"/>
  <c r="B509" i="50"/>
  <c r="E509" i="50"/>
  <c r="F509" i="50"/>
  <c r="G509" i="50"/>
  <c r="B510" i="50"/>
  <c r="E510" i="50"/>
  <c r="F510" i="50"/>
  <c r="G510" i="50"/>
  <c r="B511" i="50"/>
  <c r="E511" i="50"/>
  <c r="F511" i="50"/>
  <c r="G511" i="50"/>
  <c r="B512" i="50"/>
  <c r="E512" i="50"/>
  <c r="F512" i="50"/>
  <c r="G512" i="50"/>
  <c r="B513" i="50"/>
  <c r="E513" i="50"/>
  <c r="F513" i="50"/>
  <c r="G513" i="50"/>
  <c r="B514" i="50"/>
  <c r="E514" i="50"/>
  <c r="F514" i="50"/>
  <c r="G514" i="50"/>
  <c r="B515" i="50"/>
  <c r="E515" i="50"/>
  <c r="F515" i="50"/>
  <c r="G515" i="50"/>
  <c r="B516" i="50"/>
  <c r="E516" i="50"/>
  <c r="F516" i="50"/>
  <c r="G516" i="50"/>
  <c r="B517" i="50"/>
  <c r="E517" i="50"/>
  <c r="F517" i="50"/>
  <c r="G517" i="50"/>
  <c r="B518" i="50"/>
  <c r="E518" i="50"/>
  <c r="F518" i="50"/>
  <c r="G518" i="50"/>
  <c r="B519" i="50"/>
  <c r="E519" i="50"/>
  <c r="F519" i="50"/>
  <c r="G519" i="50"/>
  <c r="B520" i="50"/>
  <c r="E520" i="50"/>
  <c r="F520" i="50"/>
  <c r="G520" i="50"/>
  <c r="B521" i="50"/>
  <c r="E521" i="50"/>
  <c r="F521" i="50"/>
  <c r="G521" i="50"/>
  <c r="B522" i="50"/>
  <c r="E522" i="50"/>
  <c r="F522" i="50"/>
  <c r="G522" i="50"/>
  <c r="B523" i="50"/>
  <c r="E523" i="50"/>
  <c r="F523" i="50"/>
  <c r="G523" i="50"/>
  <c r="B524" i="50"/>
  <c r="E524" i="50"/>
  <c r="F524" i="50"/>
  <c r="G524" i="50"/>
  <c r="B525" i="50"/>
  <c r="E525" i="50"/>
  <c r="F525" i="50"/>
  <c r="G525" i="50"/>
  <c r="B526" i="50"/>
  <c r="E526" i="50"/>
  <c r="F526" i="50"/>
  <c r="G526" i="50"/>
  <c r="B527" i="50"/>
  <c r="E527" i="50"/>
  <c r="F527" i="50"/>
  <c r="G527" i="50"/>
  <c r="B528" i="50"/>
  <c r="E528" i="50"/>
  <c r="F528" i="50"/>
  <c r="G528" i="50"/>
  <c r="B529" i="50"/>
  <c r="E529" i="50"/>
  <c r="F529" i="50"/>
  <c r="G529" i="50"/>
  <c r="B530" i="50"/>
  <c r="E530" i="50"/>
  <c r="F530" i="50"/>
  <c r="G530" i="50"/>
  <c r="B531" i="50"/>
  <c r="E531" i="50"/>
  <c r="F531" i="50"/>
  <c r="G531" i="50"/>
  <c r="B532" i="50"/>
  <c r="E532" i="50"/>
  <c r="F532" i="50"/>
  <c r="G532" i="50"/>
  <c r="B533" i="50"/>
  <c r="E533" i="50"/>
  <c r="F533" i="50"/>
  <c r="G533" i="50"/>
  <c r="B534" i="50"/>
  <c r="E534" i="50"/>
  <c r="F534" i="50"/>
  <c r="G534" i="50"/>
  <c r="B535" i="50"/>
  <c r="E535" i="50"/>
  <c r="F535" i="50"/>
  <c r="G535" i="50"/>
  <c r="B536" i="50"/>
  <c r="E536" i="50"/>
  <c r="F536" i="50"/>
  <c r="G536" i="50"/>
  <c r="B537" i="50"/>
  <c r="E537" i="50"/>
  <c r="F537" i="50"/>
  <c r="G537" i="50"/>
  <c r="B538" i="50"/>
  <c r="E538" i="50"/>
  <c r="F538" i="50"/>
  <c r="G538" i="50"/>
  <c r="B539" i="50"/>
  <c r="E539" i="50"/>
  <c r="F539" i="50"/>
  <c r="G539" i="50"/>
  <c r="B540" i="50"/>
  <c r="E540" i="50"/>
  <c r="F540" i="50"/>
  <c r="G540" i="50"/>
  <c r="B541" i="50"/>
  <c r="E541" i="50"/>
  <c r="F541" i="50"/>
  <c r="G541" i="50"/>
  <c r="B542" i="50"/>
  <c r="E542" i="50"/>
  <c r="F542" i="50"/>
  <c r="G542" i="50"/>
  <c r="B543" i="50"/>
  <c r="E543" i="50"/>
  <c r="F543" i="50"/>
  <c r="G543" i="50"/>
  <c r="B544" i="50"/>
  <c r="E544" i="50"/>
  <c r="F544" i="50"/>
  <c r="G544" i="50"/>
  <c r="B545" i="50"/>
  <c r="E545" i="50"/>
  <c r="F545" i="50"/>
  <c r="G545" i="50"/>
  <c r="B546" i="50"/>
  <c r="E546" i="50"/>
  <c r="F546" i="50"/>
  <c r="G546" i="50"/>
  <c r="B547" i="50"/>
  <c r="E547" i="50"/>
  <c r="F547" i="50"/>
  <c r="G547" i="50"/>
  <c r="B548" i="50"/>
  <c r="E548" i="50"/>
  <c r="F548" i="50"/>
  <c r="G548" i="50"/>
  <c r="B549" i="50"/>
  <c r="E549" i="50"/>
  <c r="F549" i="50"/>
  <c r="G549" i="50"/>
  <c r="B550" i="50"/>
  <c r="E550" i="50"/>
  <c r="F550" i="50"/>
  <c r="G550" i="50"/>
  <c r="B551" i="50"/>
  <c r="E551" i="50"/>
  <c r="F551" i="50"/>
  <c r="G551" i="50"/>
  <c r="B552" i="50"/>
  <c r="E552" i="50"/>
  <c r="F552" i="50"/>
  <c r="G552" i="50"/>
  <c r="B553" i="50"/>
  <c r="E553" i="50"/>
  <c r="F553" i="50"/>
  <c r="G553" i="50"/>
  <c r="B554" i="50"/>
  <c r="E554" i="50"/>
  <c r="F554" i="50"/>
  <c r="G554" i="50"/>
  <c r="B555" i="50"/>
  <c r="E555" i="50"/>
  <c r="F555" i="50"/>
  <c r="G555" i="50"/>
  <c r="B556" i="50"/>
  <c r="E556" i="50"/>
  <c r="F556" i="50"/>
  <c r="G556" i="50"/>
  <c r="B557" i="50"/>
  <c r="E557" i="50"/>
  <c r="F557" i="50"/>
  <c r="G557" i="50"/>
  <c r="B558" i="50"/>
  <c r="E558" i="50"/>
  <c r="F558" i="50"/>
  <c r="G558" i="50"/>
  <c r="B559" i="50"/>
  <c r="E559" i="50"/>
  <c r="F559" i="50"/>
  <c r="G559" i="50"/>
  <c r="B560" i="50"/>
  <c r="E560" i="50"/>
  <c r="F560" i="50"/>
  <c r="G560" i="50"/>
  <c r="B561" i="50"/>
  <c r="E561" i="50"/>
  <c r="F561" i="50"/>
  <c r="G561" i="50"/>
  <c r="B562" i="50"/>
  <c r="E562" i="50"/>
  <c r="F562" i="50"/>
  <c r="G562" i="50"/>
  <c r="B563" i="50"/>
  <c r="E563" i="50"/>
  <c r="F563" i="50"/>
  <c r="G563" i="50"/>
  <c r="B564" i="50"/>
  <c r="E564" i="50"/>
  <c r="F564" i="50"/>
  <c r="G564" i="50"/>
  <c r="B565" i="50"/>
  <c r="E565" i="50"/>
  <c r="F565" i="50"/>
  <c r="G565" i="50"/>
  <c r="B566" i="50"/>
  <c r="E566" i="50"/>
  <c r="F566" i="50"/>
  <c r="G566" i="50"/>
  <c r="B567" i="50"/>
  <c r="E567" i="50"/>
  <c r="F567" i="50"/>
  <c r="G567" i="50"/>
  <c r="B568" i="50"/>
  <c r="E568" i="50"/>
  <c r="F568" i="50"/>
  <c r="G568" i="50"/>
  <c r="B569" i="50"/>
  <c r="E569" i="50"/>
  <c r="F569" i="50"/>
  <c r="G569" i="50"/>
  <c r="B570" i="50"/>
  <c r="E570" i="50"/>
  <c r="F570" i="50"/>
  <c r="G570" i="50"/>
  <c r="B571" i="50"/>
  <c r="E571" i="50"/>
  <c r="F571" i="50"/>
  <c r="G571" i="50"/>
  <c r="B572" i="50"/>
  <c r="E572" i="50"/>
  <c r="F572" i="50"/>
  <c r="G572" i="50"/>
  <c r="B573" i="50"/>
  <c r="E573" i="50"/>
  <c r="F573" i="50"/>
  <c r="G573" i="50"/>
  <c r="B574" i="50"/>
  <c r="E574" i="50"/>
  <c r="F574" i="50"/>
  <c r="G574" i="50"/>
  <c r="B575" i="50"/>
  <c r="E575" i="50"/>
  <c r="F575" i="50"/>
  <c r="G575" i="50"/>
  <c r="B576" i="50"/>
  <c r="E576" i="50"/>
  <c r="F576" i="50"/>
  <c r="G576" i="50"/>
  <c r="B577" i="50"/>
  <c r="E577" i="50"/>
  <c r="F577" i="50"/>
  <c r="G577" i="50"/>
  <c r="B578" i="50"/>
  <c r="E578" i="50"/>
  <c r="F578" i="50"/>
  <c r="G578" i="50"/>
  <c r="B579" i="50"/>
  <c r="E579" i="50"/>
  <c r="F579" i="50"/>
  <c r="G579" i="50"/>
  <c r="B580" i="50"/>
  <c r="E580" i="50"/>
  <c r="F580" i="50"/>
  <c r="G580" i="50"/>
  <c r="B581" i="50"/>
  <c r="E581" i="50"/>
  <c r="F581" i="50"/>
  <c r="G581" i="50"/>
  <c r="B582" i="50"/>
  <c r="E582" i="50"/>
  <c r="F582" i="50"/>
  <c r="G582" i="50"/>
  <c r="B583" i="50"/>
  <c r="E583" i="50"/>
  <c r="F583" i="50"/>
  <c r="G583" i="50"/>
  <c r="B584" i="50"/>
  <c r="E584" i="50"/>
  <c r="F584" i="50"/>
  <c r="G584" i="50"/>
  <c r="B585" i="50"/>
  <c r="E585" i="50"/>
  <c r="F585" i="50"/>
  <c r="G585" i="50"/>
  <c r="B586" i="50"/>
  <c r="E586" i="50"/>
  <c r="F586" i="50"/>
  <c r="G586" i="50"/>
  <c r="B587" i="50"/>
  <c r="E587" i="50"/>
  <c r="F587" i="50"/>
  <c r="G587" i="50"/>
  <c r="B588" i="50"/>
  <c r="E588" i="50"/>
  <c r="F588" i="50"/>
  <c r="G588" i="50"/>
  <c r="B589" i="50"/>
  <c r="E589" i="50"/>
  <c r="F589" i="50"/>
  <c r="G589" i="50"/>
  <c r="B590" i="50"/>
  <c r="E590" i="50"/>
  <c r="F590" i="50"/>
  <c r="G590" i="50"/>
  <c r="B591" i="50"/>
  <c r="E591" i="50"/>
  <c r="F591" i="50"/>
  <c r="G591" i="50"/>
  <c r="B592" i="50"/>
  <c r="E592" i="50"/>
  <c r="F592" i="50"/>
  <c r="G592" i="50"/>
  <c r="B593" i="50"/>
  <c r="E593" i="50"/>
  <c r="F593" i="50"/>
  <c r="G593" i="50"/>
  <c r="B594" i="50"/>
  <c r="E594" i="50"/>
  <c r="F594" i="50"/>
  <c r="G594" i="50"/>
  <c r="B595" i="50"/>
  <c r="E595" i="50"/>
  <c r="F595" i="50"/>
  <c r="G595" i="50"/>
  <c r="B596" i="50"/>
  <c r="E596" i="50"/>
  <c r="F596" i="50"/>
  <c r="G596" i="50"/>
  <c r="B597" i="50"/>
  <c r="E597" i="50"/>
  <c r="F597" i="50"/>
  <c r="G597" i="50"/>
  <c r="B598" i="50"/>
  <c r="E598" i="50"/>
  <c r="F598" i="50"/>
  <c r="G598" i="50"/>
  <c r="B599" i="50"/>
  <c r="E599" i="50"/>
  <c r="F599" i="50"/>
  <c r="G599" i="50"/>
  <c r="B600" i="50"/>
  <c r="E600" i="50"/>
  <c r="F600" i="50"/>
  <c r="G600" i="50"/>
  <c r="B601" i="50"/>
  <c r="E601" i="50"/>
  <c r="F601" i="50"/>
  <c r="G601" i="50"/>
  <c r="B602" i="50"/>
  <c r="E602" i="50"/>
  <c r="F602" i="50"/>
  <c r="G602" i="50"/>
  <c r="B603" i="50"/>
  <c r="E603" i="50"/>
  <c r="F603" i="50"/>
  <c r="G603" i="50"/>
  <c r="B604" i="50"/>
  <c r="E604" i="50"/>
  <c r="F604" i="50"/>
  <c r="G604" i="50"/>
  <c r="B605" i="50"/>
  <c r="E605" i="50"/>
  <c r="F605" i="50"/>
  <c r="G605" i="50"/>
  <c r="B606" i="50"/>
  <c r="E606" i="50"/>
  <c r="F606" i="50"/>
  <c r="G606" i="50"/>
  <c r="B607" i="50"/>
  <c r="E607" i="50"/>
  <c r="F607" i="50"/>
  <c r="G607" i="50"/>
  <c r="B608" i="50"/>
  <c r="E608" i="50"/>
  <c r="F608" i="50"/>
  <c r="G608" i="50"/>
  <c r="B609" i="50"/>
  <c r="E609" i="50"/>
  <c r="F609" i="50"/>
  <c r="G609" i="50"/>
  <c r="B610" i="50"/>
  <c r="E610" i="50"/>
  <c r="F610" i="50"/>
  <c r="G610" i="50"/>
  <c r="B611" i="50"/>
  <c r="E611" i="50"/>
  <c r="F611" i="50"/>
  <c r="G611" i="50"/>
  <c r="B612" i="50"/>
  <c r="E612" i="50"/>
  <c r="F612" i="50"/>
  <c r="G612" i="50"/>
  <c r="B613" i="50"/>
  <c r="E613" i="50"/>
  <c r="F613" i="50"/>
  <c r="G613" i="50"/>
  <c r="B614" i="50"/>
  <c r="E614" i="50"/>
  <c r="F614" i="50"/>
  <c r="G614" i="50"/>
  <c r="B615" i="50"/>
  <c r="E615" i="50"/>
  <c r="F615" i="50"/>
  <c r="G615" i="50"/>
  <c r="B616" i="50"/>
  <c r="E616" i="50"/>
  <c r="F616" i="50"/>
  <c r="G616" i="50"/>
  <c r="B617" i="50"/>
  <c r="E617" i="50"/>
  <c r="F617" i="50"/>
  <c r="G617" i="50"/>
  <c r="B618" i="50"/>
  <c r="E618" i="50"/>
  <c r="F618" i="50"/>
  <c r="G618" i="50"/>
  <c r="B619" i="50"/>
  <c r="E619" i="50"/>
  <c r="F619" i="50"/>
  <c r="G619" i="50"/>
  <c r="B620" i="50"/>
  <c r="E620" i="50"/>
  <c r="F620" i="50"/>
  <c r="G620" i="50"/>
  <c r="B621" i="50"/>
  <c r="E621" i="50"/>
  <c r="F621" i="50"/>
  <c r="G621" i="50"/>
  <c r="B622" i="50"/>
  <c r="E622" i="50"/>
  <c r="F622" i="50"/>
  <c r="G622" i="50"/>
  <c r="B623" i="50"/>
  <c r="E623" i="50"/>
  <c r="F623" i="50"/>
  <c r="G623" i="50"/>
  <c r="B624" i="50"/>
  <c r="E624" i="50"/>
  <c r="F624" i="50"/>
  <c r="G624" i="50"/>
  <c r="B625" i="50"/>
  <c r="E625" i="50"/>
  <c r="F625" i="50"/>
  <c r="G625" i="50"/>
  <c r="B626" i="50"/>
  <c r="E626" i="50"/>
  <c r="F626" i="50"/>
  <c r="G626" i="50"/>
  <c r="B627" i="50"/>
  <c r="E627" i="50"/>
  <c r="F627" i="50"/>
  <c r="G627" i="50"/>
  <c r="B628" i="50"/>
  <c r="E628" i="50"/>
  <c r="F628" i="50"/>
  <c r="G628" i="50"/>
  <c r="B629" i="50"/>
  <c r="E629" i="50"/>
  <c r="F629" i="50"/>
  <c r="G629" i="50"/>
  <c r="B630" i="50"/>
  <c r="E630" i="50"/>
  <c r="F630" i="50"/>
  <c r="G630" i="50"/>
  <c r="B631" i="50"/>
  <c r="E631" i="50"/>
  <c r="F631" i="50"/>
  <c r="G631" i="50"/>
  <c r="B632" i="50"/>
  <c r="E632" i="50"/>
  <c r="F632" i="50"/>
  <c r="G632" i="50"/>
  <c r="B633" i="50"/>
  <c r="E633" i="50"/>
  <c r="F633" i="50"/>
  <c r="G633" i="50"/>
  <c r="B634" i="50"/>
  <c r="E634" i="50"/>
  <c r="F634" i="50"/>
  <c r="G634" i="50"/>
  <c r="B635" i="50"/>
  <c r="E635" i="50"/>
  <c r="F635" i="50"/>
  <c r="G635" i="50"/>
  <c r="B636" i="50"/>
  <c r="E636" i="50"/>
  <c r="F636" i="50"/>
  <c r="G636" i="50"/>
  <c r="B637" i="50"/>
  <c r="E637" i="50"/>
  <c r="F637" i="50"/>
  <c r="G637" i="50"/>
  <c r="B638" i="50"/>
  <c r="E638" i="50"/>
  <c r="F638" i="50"/>
  <c r="G638" i="50"/>
  <c r="B639" i="50"/>
  <c r="E639" i="50"/>
  <c r="F639" i="50"/>
  <c r="G639" i="50"/>
  <c r="B640" i="50"/>
  <c r="E640" i="50"/>
  <c r="F640" i="50"/>
  <c r="G640" i="50"/>
  <c r="B641" i="50"/>
  <c r="E641" i="50"/>
  <c r="F641" i="50"/>
  <c r="G641" i="50"/>
  <c r="B642" i="50"/>
  <c r="E642" i="50"/>
  <c r="F642" i="50"/>
  <c r="G642" i="50"/>
  <c r="B643" i="50"/>
  <c r="E643" i="50"/>
  <c r="F643" i="50"/>
  <c r="G643" i="50"/>
  <c r="B644" i="50"/>
  <c r="E644" i="50"/>
  <c r="F644" i="50"/>
  <c r="G644" i="50"/>
  <c r="B645" i="50"/>
  <c r="E645" i="50"/>
  <c r="F645" i="50"/>
  <c r="G645" i="50"/>
  <c r="B646" i="50"/>
  <c r="E646" i="50"/>
  <c r="F646" i="50"/>
  <c r="G646" i="50"/>
  <c r="B647" i="50"/>
  <c r="E647" i="50"/>
  <c r="F647" i="50"/>
  <c r="G647" i="50"/>
  <c r="B648" i="50"/>
  <c r="E648" i="50"/>
  <c r="F648" i="50"/>
  <c r="G648" i="50"/>
  <c r="B649" i="50"/>
  <c r="E649" i="50"/>
  <c r="F649" i="50"/>
  <c r="G649" i="50"/>
  <c r="B650" i="50"/>
  <c r="E650" i="50"/>
  <c r="F650" i="50"/>
  <c r="G650" i="50"/>
  <c r="B651" i="50"/>
  <c r="E651" i="50"/>
  <c r="F651" i="50"/>
  <c r="G651" i="50"/>
  <c r="B652" i="50"/>
  <c r="E652" i="50"/>
  <c r="F652" i="50"/>
  <c r="G652" i="50"/>
  <c r="B653" i="50"/>
  <c r="E653" i="50"/>
  <c r="F653" i="50"/>
  <c r="G653" i="50"/>
  <c r="B654" i="50"/>
  <c r="E654" i="50"/>
  <c r="F654" i="50"/>
  <c r="G654" i="50"/>
  <c r="B655" i="50"/>
  <c r="E655" i="50"/>
  <c r="F655" i="50"/>
  <c r="G655" i="50"/>
  <c r="B656" i="50"/>
  <c r="E656" i="50"/>
  <c r="F656" i="50"/>
  <c r="G656" i="50"/>
  <c r="B657" i="50"/>
  <c r="E657" i="50"/>
  <c r="F657" i="50"/>
  <c r="G657" i="50"/>
  <c r="B658" i="50"/>
  <c r="E658" i="50"/>
  <c r="F658" i="50"/>
  <c r="G658" i="50"/>
  <c r="B659" i="50"/>
  <c r="E659" i="50"/>
  <c r="F659" i="50"/>
  <c r="G659" i="50"/>
  <c r="B660" i="50"/>
  <c r="E660" i="50"/>
  <c r="F660" i="50"/>
  <c r="G660" i="50"/>
  <c r="B661" i="50"/>
  <c r="E661" i="50"/>
  <c r="F661" i="50"/>
  <c r="G661" i="50"/>
  <c r="B662" i="50"/>
  <c r="E662" i="50"/>
  <c r="F662" i="50"/>
  <c r="G662" i="50"/>
  <c r="B663" i="50"/>
  <c r="E663" i="50"/>
  <c r="F663" i="50"/>
  <c r="G663" i="50"/>
  <c r="B664" i="50"/>
  <c r="E664" i="50"/>
  <c r="F664" i="50"/>
  <c r="G664" i="50"/>
  <c r="B665" i="50"/>
  <c r="E665" i="50"/>
  <c r="F665" i="50"/>
  <c r="G665" i="50"/>
  <c r="B666" i="50"/>
  <c r="E666" i="50"/>
  <c r="F666" i="50"/>
  <c r="G666" i="50"/>
  <c r="B667" i="50"/>
  <c r="E667" i="50"/>
  <c r="F667" i="50"/>
  <c r="G667" i="50"/>
  <c r="B668" i="50"/>
  <c r="E668" i="50"/>
  <c r="F668" i="50"/>
  <c r="G668" i="50"/>
  <c r="B669" i="50"/>
  <c r="E669" i="50"/>
  <c r="F669" i="50"/>
  <c r="G669" i="50"/>
  <c r="B670" i="50"/>
  <c r="E670" i="50"/>
  <c r="F670" i="50"/>
  <c r="G670" i="50"/>
  <c r="B671" i="50"/>
  <c r="E671" i="50"/>
  <c r="F671" i="50"/>
  <c r="G671" i="50"/>
  <c r="B672" i="50"/>
  <c r="E672" i="50"/>
  <c r="F672" i="50"/>
  <c r="G672" i="50"/>
  <c r="B673" i="50"/>
  <c r="E673" i="50"/>
  <c r="F673" i="50"/>
  <c r="G673" i="50"/>
  <c r="B674" i="50"/>
  <c r="E674" i="50"/>
  <c r="F674" i="50"/>
  <c r="G674" i="50"/>
  <c r="B675" i="50"/>
  <c r="E675" i="50"/>
  <c r="F675" i="50"/>
  <c r="G675" i="50"/>
  <c r="B676" i="50"/>
  <c r="E676" i="50"/>
  <c r="F676" i="50"/>
  <c r="G676" i="50"/>
  <c r="B677" i="50"/>
  <c r="E677" i="50"/>
  <c r="F677" i="50"/>
  <c r="G677" i="50"/>
  <c r="B678" i="50"/>
  <c r="E678" i="50"/>
  <c r="F678" i="50"/>
  <c r="G678" i="50"/>
  <c r="B679" i="50"/>
  <c r="E679" i="50"/>
  <c r="F679" i="50"/>
  <c r="G679" i="50"/>
  <c r="B680" i="50"/>
  <c r="E680" i="50"/>
  <c r="F680" i="50"/>
  <c r="G680" i="50"/>
  <c r="B681" i="50"/>
  <c r="E681" i="50"/>
  <c r="F681" i="50"/>
  <c r="G681" i="50"/>
  <c r="B682" i="50"/>
  <c r="E682" i="50"/>
  <c r="F682" i="50"/>
  <c r="G682" i="50"/>
  <c r="B683" i="50"/>
  <c r="E683" i="50"/>
  <c r="F683" i="50"/>
  <c r="G683" i="50"/>
  <c r="B684" i="50"/>
  <c r="E684" i="50"/>
  <c r="F684" i="50"/>
  <c r="G684" i="50"/>
  <c r="B685" i="50"/>
  <c r="E685" i="50"/>
  <c r="F685" i="50"/>
  <c r="G685" i="50"/>
  <c r="B686" i="50"/>
  <c r="E686" i="50"/>
  <c r="F686" i="50"/>
  <c r="G686" i="50"/>
  <c r="B687" i="50"/>
  <c r="E687" i="50"/>
  <c r="F687" i="50"/>
  <c r="G687" i="50"/>
  <c r="B688" i="50"/>
  <c r="E688" i="50"/>
  <c r="F688" i="50"/>
  <c r="G688" i="50"/>
  <c r="B689" i="50"/>
  <c r="E689" i="50"/>
  <c r="F689" i="50"/>
  <c r="G689" i="50"/>
  <c r="B690" i="50"/>
  <c r="E690" i="50"/>
  <c r="F690" i="50"/>
  <c r="G690" i="50"/>
  <c r="B691" i="50"/>
  <c r="E691" i="50"/>
  <c r="F691" i="50"/>
  <c r="G691" i="50"/>
  <c r="B692" i="50"/>
  <c r="E692" i="50"/>
  <c r="F692" i="50"/>
  <c r="G692" i="50"/>
  <c r="B693" i="50"/>
  <c r="E693" i="50"/>
  <c r="F693" i="50"/>
  <c r="G693" i="50"/>
  <c r="B694" i="50"/>
  <c r="E694" i="50"/>
  <c r="F694" i="50"/>
  <c r="G694" i="50"/>
  <c r="B695" i="50"/>
  <c r="E695" i="50"/>
  <c r="F695" i="50"/>
  <c r="G695" i="50"/>
  <c r="B696" i="50"/>
  <c r="E696" i="50"/>
  <c r="F696" i="50"/>
  <c r="G696" i="50"/>
  <c r="B697" i="50"/>
  <c r="E697" i="50"/>
  <c r="F697" i="50"/>
  <c r="G697" i="50"/>
  <c r="B698" i="50"/>
  <c r="E698" i="50"/>
  <c r="F698" i="50"/>
  <c r="G698" i="50"/>
  <c r="B699" i="50"/>
  <c r="E699" i="50"/>
  <c r="F699" i="50"/>
  <c r="G699" i="50"/>
  <c r="B700" i="50"/>
  <c r="E700" i="50"/>
  <c r="F700" i="50"/>
  <c r="G700" i="50"/>
  <c r="B701" i="50"/>
  <c r="E701" i="50"/>
  <c r="F701" i="50"/>
  <c r="G701" i="50"/>
  <c r="B702" i="50"/>
  <c r="E702" i="50"/>
  <c r="F702" i="50"/>
  <c r="G702" i="50"/>
  <c r="B703" i="50"/>
  <c r="E703" i="50"/>
  <c r="F703" i="50"/>
  <c r="G703" i="50"/>
  <c r="B704" i="50"/>
  <c r="E704" i="50"/>
  <c r="F704" i="50"/>
  <c r="G704" i="50"/>
  <c r="B705" i="50"/>
  <c r="E705" i="50"/>
  <c r="F705" i="50"/>
  <c r="G705" i="50"/>
  <c r="B706" i="50"/>
  <c r="E706" i="50"/>
  <c r="F706" i="50"/>
  <c r="G706" i="50"/>
  <c r="B707" i="50"/>
  <c r="E707" i="50"/>
  <c r="F707" i="50"/>
  <c r="G707" i="50"/>
  <c r="B708" i="50"/>
  <c r="E708" i="50"/>
  <c r="F708" i="50"/>
  <c r="G708" i="50"/>
  <c r="B709" i="50"/>
  <c r="E709" i="50"/>
  <c r="F709" i="50"/>
  <c r="G709" i="50"/>
  <c r="B710" i="50"/>
  <c r="E710" i="50"/>
  <c r="F710" i="50"/>
  <c r="G710" i="50"/>
  <c r="B711" i="50"/>
  <c r="E711" i="50"/>
  <c r="F711" i="50"/>
  <c r="G711" i="50"/>
  <c r="B712" i="50"/>
  <c r="E712" i="50"/>
  <c r="F712" i="50"/>
  <c r="G712" i="50"/>
  <c r="B713" i="50"/>
  <c r="E713" i="50"/>
  <c r="F713" i="50"/>
  <c r="G713" i="50"/>
  <c r="B714" i="50"/>
  <c r="E714" i="50"/>
  <c r="F714" i="50"/>
  <c r="G714" i="50"/>
  <c r="B715" i="50"/>
  <c r="E715" i="50"/>
  <c r="F715" i="50"/>
  <c r="G715" i="50"/>
  <c r="B716" i="50"/>
  <c r="E716" i="50"/>
  <c r="F716" i="50"/>
  <c r="G716" i="50"/>
  <c r="B717" i="50"/>
  <c r="E717" i="50"/>
  <c r="F717" i="50"/>
  <c r="G717" i="50"/>
  <c r="B718" i="50"/>
  <c r="E718" i="50"/>
  <c r="F718" i="50"/>
  <c r="G718" i="50"/>
  <c r="B719" i="50"/>
  <c r="E719" i="50"/>
  <c r="F719" i="50"/>
  <c r="G719" i="50"/>
  <c r="B720" i="50"/>
  <c r="E720" i="50"/>
  <c r="F720" i="50"/>
  <c r="G720" i="50"/>
  <c r="B721" i="50"/>
  <c r="E721" i="50"/>
  <c r="F721" i="50"/>
  <c r="G721" i="50"/>
  <c r="B722" i="50"/>
  <c r="E722" i="50"/>
  <c r="F722" i="50"/>
  <c r="G722" i="50"/>
  <c r="B723" i="50"/>
  <c r="E723" i="50"/>
  <c r="F723" i="50"/>
  <c r="G723" i="50"/>
  <c r="B724" i="50"/>
  <c r="E724" i="50"/>
  <c r="F724" i="50"/>
  <c r="G724" i="50"/>
  <c r="B725" i="50"/>
  <c r="E725" i="50"/>
  <c r="F725" i="50"/>
  <c r="G725" i="50"/>
  <c r="B726" i="50"/>
  <c r="E726" i="50"/>
  <c r="F726" i="50"/>
  <c r="G726" i="50"/>
  <c r="B727" i="50"/>
  <c r="E727" i="50"/>
  <c r="F727" i="50"/>
  <c r="G727" i="50"/>
  <c r="B728" i="50"/>
  <c r="E728" i="50"/>
  <c r="F728" i="50"/>
  <c r="G728" i="50"/>
  <c r="B729" i="50"/>
  <c r="E729" i="50"/>
  <c r="F729" i="50"/>
  <c r="G729" i="50"/>
  <c r="B730" i="50"/>
  <c r="E730" i="50"/>
  <c r="F730" i="50"/>
  <c r="G730" i="50"/>
  <c r="B731" i="50"/>
  <c r="E731" i="50"/>
  <c r="F731" i="50"/>
  <c r="G731" i="50"/>
  <c r="B732" i="50"/>
  <c r="E732" i="50"/>
  <c r="F732" i="50"/>
  <c r="G732" i="50"/>
  <c r="B733" i="50"/>
  <c r="E733" i="50"/>
  <c r="F733" i="50"/>
  <c r="G733" i="50"/>
  <c r="B734" i="50"/>
  <c r="E734" i="50"/>
  <c r="F734" i="50"/>
  <c r="G734" i="50"/>
  <c r="B735" i="50"/>
  <c r="E735" i="50"/>
  <c r="F735" i="50"/>
  <c r="G735" i="50"/>
  <c r="B736" i="50"/>
  <c r="E736" i="50"/>
  <c r="F736" i="50"/>
  <c r="G736" i="50"/>
  <c r="B737" i="50"/>
  <c r="E737" i="50"/>
  <c r="F737" i="50"/>
  <c r="G737" i="50"/>
  <c r="B738" i="50"/>
  <c r="E738" i="50"/>
  <c r="F738" i="50"/>
  <c r="G738" i="50"/>
  <c r="B739" i="50"/>
  <c r="E739" i="50"/>
  <c r="F739" i="50"/>
  <c r="G739" i="50"/>
  <c r="B740" i="50"/>
  <c r="E740" i="50"/>
  <c r="F740" i="50"/>
  <c r="G740" i="50"/>
  <c r="B741" i="50"/>
  <c r="E741" i="50"/>
  <c r="F741" i="50"/>
  <c r="G741" i="50"/>
  <c r="B742" i="50"/>
  <c r="E742" i="50"/>
  <c r="F742" i="50"/>
  <c r="G742" i="50"/>
  <c r="B743" i="50"/>
  <c r="E743" i="50"/>
  <c r="F743" i="50"/>
  <c r="G743" i="50"/>
  <c r="B744" i="50"/>
  <c r="E744" i="50"/>
  <c r="F744" i="50"/>
  <c r="G744" i="50"/>
  <c r="B745" i="50"/>
  <c r="E745" i="50"/>
  <c r="F745" i="50"/>
  <c r="G745" i="50"/>
  <c r="B746" i="50"/>
  <c r="E746" i="50"/>
  <c r="F746" i="50"/>
  <c r="G746" i="50"/>
  <c r="B747" i="50"/>
  <c r="E747" i="50"/>
  <c r="F747" i="50"/>
  <c r="G747" i="50"/>
  <c r="B748" i="50"/>
  <c r="E748" i="50"/>
  <c r="F748" i="50"/>
  <c r="G748" i="50"/>
  <c r="B749" i="50"/>
  <c r="E749" i="50"/>
  <c r="F749" i="50"/>
  <c r="G749" i="50"/>
  <c r="B750" i="50"/>
  <c r="E750" i="50"/>
  <c r="F750" i="50"/>
  <c r="G750" i="50"/>
  <c r="B751" i="50"/>
  <c r="E751" i="50"/>
  <c r="F751" i="50"/>
  <c r="G751" i="50"/>
  <c r="B752" i="50"/>
  <c r="E752" i="50"/>
  <c r="F752" i="50"/>
  <c r="G752" i="50"/>
  <c r="B753" i="50"/>
  <c r="E753" i="50"/>
  <c r="F753" i="50"/>
  <c r="G753" i="50"/>
  <c r="B754" i="50"/>
  <c r="E754" i="50"/>
  <c r="F754" i="50"/>
  <c r="G754" i="50"/>
  <c r="B755" i="50"/>
  <c r="E755" i="50"/>
  <c r="F755" i="50"/>
  <c r="G755" i="50"/>
  <c r="B756" i="50"/>
  <c r="E756" i="50"/>
  <c r="F756" i="50"/>
  <c r="G756" i="50"/>
  <c r="B757" i="50"/>
  <c r="E757" i="50"/>
  <c r="F757" i="50"/>
  <c r="G757" i="50"/>
  <c r="B758" i="50"/>
  <c r="E758" i="50"/>
  <c r="F758" i="50"/>
  <c r="G758" i="50"/>
  <c r="B759" i="50"/>
  <c r="E759" i="50"/>
  <c r="F759" i="50"/>
  <c r="G759" i="50"/>
  <c r="B760" i="50"/>
  <c r="E760" i="50"/>
  <c r="F760" i="50"/>
  <c r="G760" i="50"/>
  <c r="B761" i="50"/>
  <c r="E761" i="50"/>
  <c r="F761" i="50"/>
  <c r="G761" i="50"/>
  <c r="B762" i="50"/>
  <c r="E762" i="50"/>
  <c r="F762" i="50"/>
  <c r="G762" i="50"/>
  <c r="B763" i="50"/>
  <c r="E763" i="50"/>
  <c r="F763" i="50"/>
  <c r="G763" i="50"/>
  <c r="B764" i="50"/>
  <c r="E764" i="50"/>
  <c r="F764" i="50"/>
  <c r="G764" i="50"/>
  <c r="B765" i="50"/>
  <c r="E765" i="50"/>
  <c r="F765" i="50"/>
  <c r="G765" i="50"/>
  <c r="B766" i="50"/>
  <c r="E766" i="50"/>
  <c r="F766" i="50"/>
  <c r="G766" i="50"/>
  <c r="B767" i="50"/>
  <c r="E767" i="50"/>
  <c r="F767" i="50"/>
  <c r="G767" i="50"/>
  <c r="B768" i="50"/>
  <c r="E768" i="50"/>
  <c r="F768" i="50"/>
  <c r="G768" i="50"/>
  <c r="B769" i="50"/>
  <c r="E769" i="50"/>
  <c r="F769" i="50"/>
  <c r="G769" i="50"/>
  <c r="B770" i="50"/>
  <c r="E770" i="50"/>
  <c r="F770" i="50"/>
  <c r="G770" i="50"/>
  <c r="B771" i="50"/>
  <c r="E771" i="50"/>
  <c r="F771" i="50"/>
  <c r="G771" i="50"/>
  <c r="B772" i="50"/>
  <c r="E772" i="50"/>
  <c r="F772" i="50"/>
  <c r="G772" i="50"/>
  <c r="B773" i="50"/>
  <c r="E773" i="50"/>
  <c r="F773" i="50"/>
  <c r="G773" i="50"/>
  <c r="B774" i="50"/>
  <c r="E774" i="50"/>
  <c r="F774" i="50"/>
  <c r="G774" i="50"/>
  <c r="B775" i="50"/>
  <c r="E775" i="50"/>
  <c r="F775" i="50"/>
  <c r="G775" i="50"/>
  <c r="B776" i="50"/>
  <c r="E776" i="50"/>
  <c r="F776" i="50"/>
  <c r="G776" i="50"/>
  <c r="B777" i="50"/>
  <c r="E777" i="50"/>
  <c r="F777" i="50"/>
  <c r="G777" i="50"/>
  <c r="B778" i="50"/>
  <c r="E778" i="50"/>
  <c r="F778" i="50"/>
  <c r="G778" i="50"/>
  <c r="B779" i="50"/>
  <c r="E779" i="50"/>
  <c r="F779" i="50"/>
  <c r="G779" i="50"/>
  <c r="B780" i="50"/>
  <c r="E780" i="50"/>
  <c r="F780" i="50"/>
  <c r="G780" i="50"/>
  <c r="B781" i="50"/>
  <c r="E781" i="50"/>
  <c r="F781" i="50"/>
  <c r="G781" i="50"/>
  <c r="B782" i="50"/>
  <c r="E782" i="50"/>
  <c r="F782" i="50"/>
  <c r="G782" i="50"/>
  <c r="B783" i="50"/>
  <c r="E783" i="50"/>
  <c r="F783" i="50"/>
  <c r="G783" i="50"/>
  <c r="B784" i="50"/>
  <c r="E784" i="50"/>
  <c r="F784" i="50"/>
  <c r="G784" i="50"/>
  <c r="B785" i="50"/>
  <c r="E785" i="50"/>
  <c r="F785" i="50"/>
  <c r="G785" i="50"/>
  <c r="B786" i="50"/>
  <c r="E786" i="50"/>
  <c r="F786" i="50"/>
  <c r="G786" i="50"/>
  <c r="B787" i="50"/>
  <c r="E787" i="50"/>
  <c r="F787" i="50"/>
  <c r="G787" i="50"/>
  <c r="B788" i="50"/>
  <c r="E788" i="50"/>
  <c r="F788" i="50"/>
  <c r="G788" i="50"/>
  <c r="B789" i="50"/>
  <c r="E789" i="50"/>
  <c r="F789" i="50"/>
  <c r="G789" i="50"/>
  <c r="B790" i="50"/>
  <c r="E790" i="50"/>
  <c r="F790" i="50"/>
  <c r="G790" i="50"/>
  <c r="B791" i="50"/>
  <c r="E791" i="50"/>
  <c r="F791" i="50"/>
  <c r="G791" i="50"/>
  <c r="B792" i="50"/>
  <c r="E792" i="50"/>
  <c r="F792" i="50"/>
  <c r="G792" i="50"/>
  <c r="B793" i="50"/>
  <c r="E793" i="50"/>
  <c r="F793" i="50"/>
  <c r="G793" i="50"/>
  <c r="B794" i="50"/>
  <c r="E794" i="50"/>
  <c r="F794" i="50"/>
  <c r="G794" i="50"/>
  <c r="B795" i="50"/>
  <c r="E795" i="50"/>
  <c r="F795" i="50"/>
  <c r="G795" i="50"/>
  <c r="B796" i="50"/>
  <c r="E796" i="50"/>
  <c r="F796" i="50"/>
  <c r="G796" i="50"/>
  <c r="B797" i="50"/>
  <c r="E797" i="50"/>
  <c r="F797" i="50"/>
  <c r="G797" i="50"/>
  <c r="B798" i="50"/>
  <c r="E798" i="50"/>
  <c r="F798" i="50"/>
  <c r="G798" i="50"/>
  <c r="B799" i="50"/>
  <c r="E799" i="50"/>
  <c r="F799" i="50"/>
  <c r="G799" i="50"/>
  <c r="B800" i="50"/>
  <c r="E800" i="50"/>
  <c r="F800" i="50"/>
  <c r="G800" i="50"/>
  <c r="B801" i="50"/>
  <c r="E801" i="50"/>
  <c r="F801" i="50"/>
  <c r="G801" i="50"/>
  <c r="B802" i="50"/>
  <c r="E802" i="50"/>
  <c r="F802" i="50"/>
  <c r="G802" i="50"/>
  <c r="B803" i="50"/>
  <c r="E803" i="50"/>
  <c r="F803" i="50"/>
  <c r="G803" i="50"/>
  <c r="B804" i="50"/>
  <c r="E804" i="50"/>
  <c r="F804" i="50"/>
  <c r="G804" i="50"/>
  <c r="B805" i="50"/>
  <c r="E805" i="50"/>
  <c r="F805" i="50"/>
  <c r="G805" i="50"/>
  <c r="B806" i="50"/>
  <c r="E806" i="50"/>
  <c r="F806" i="50"/>
  <c r="G806" i="50"/>
  <c r="B807" i="50"/>
  <c r="E807" i="50"/>
  <c r="F807" i="50"/>
  <c r="G807" i="50"/>
  <c r="B808" i="50"/>
  <c r="E808" i="50"/>
  <c r="F808" i="50"/>
  <c r="G808" i="50"/>
  <c r="B809" i="50"/>
  <c r="E809" i="50"/>
  <c r="F809" i="50"/>
  <c r="G809" i="50"/>
  <c r="B810" i="50"/>
  <c r="E810" i="50"/>
  <c r="F810" i="50"/>
  <c r="G810" i="50"/>
  <c r="B811" i="50"/>
  <c r="E811" i="50"/>
  <c r="F811" i="50"/>
  <c r="G811" i="50"/>
  <c r="B812" i="50"/>
  <c r="E812" i="50"/>
  <c r="F812" i="50"/>
  <c r="G812" i="50"/>
  <c r="B813" i="50"/>
  <c r="E813" i="50"/>
  <c r="F813" i="50"/>
  <c r="G813" i="50"/>
  <c r="B814" i="50"/>
  <c r="E814" i="50"/>
  <c r="F814" i="50"/>
  <c r="G814" i="50"/>
  <c r="B815" i="50"/>
  <c r="E815" i="50"/>
  <c r="F815" i="50"/>
  <c r="G815" i="50"/>
  <c r="B816" i="50"/>
  <c r="E816" i="50"/>
  <c r="F816" i="50"/>
  <c r="G816" i="50"/>
  <c r="B817" i="50"/>
  <c r="E817" i="50"/>
  <c r="F817" i="50"/>
  <c r="G817" i="50"/>
  <c r="B818" i="50"/>
  <c r="E818" i="50"/>
  <c r="F818" i="50"/>
  <c r="G818" i="50"/>
  <c r="B819" i="50"/>
  <c r="E819" i="50"/>
  <c r="F819" i="50"/>
  <c r="G819" i="50"/>
  <c r="B820" i="50"/>
  <c r="E820" i="50"/>
  <c r="F820" i="50"/>
  <c r="G820" i="50"/>
  <c r="B821" i="50"/>
  <c r="E821" i="50"/>
  <c r="F821" i="50"/>
  <c r="G821" i="50"/>
  <c r="B822" i="50"/>
  <c r="E822" i="50"/>
  <c r="F822" i="50"/>
  <c r="G822" i="50"/>
  <c r="B823" i="50"/>
  <c r="E823" i="50"/>
  <c r="F823" i="50"/>
  <c r="G823" i="50"/>
  <c r="B824" i="50"/>
  <c r="E824" i="50"/>
  <c r="F824" i="50"/>
  <c r="G824" i="50"/>
  <c r="B825" i="50"/>
  <c r="E825" i="50"/>
  <c r="F825" i="50"/>
  <c r="G825" i="50"/>
  <c r="B826" i="50"/>
  <c r="E826" i="50"/>
  <c r="F826" i="50"/>
  <c r="G826" i="50"/>
  <c r="B827" i="50"/>
  <c r="E827" i="50"/>
  <c r="F827" i="50"/>
  <c r="G827" i="50"/>
  <c r="B828" i="50"/>
  <c r="E828" i="50"/>
  <c r="F828" i="50"/>
  <c r="G828" i="50"/>
  <c r="B829" i="50"/>
  <c r="E829" i="50"/>
  <c r="F829" i="50"/>
  <c r="G829" i="50"/>
  <c r="B830" i="50"/>
  <c r="E830" i="50"/>
  <c r="F830" i="50"/>
  <c r="G830" i="50"/>
  <c r="B831" i="50"/>
  <c r="E831" i="50"/>
  <c r="F831" i="50"/>
  <c r="G831" i="50"/>
  <c r="B832" i="50"/>
  <c r="E832" i="50"/>
  <c r="F832" i="50"/>
  <c r="G832" i="50"/>
  <c r="B833" i="50"/>
  <c r="E833" i="50"/>
  <c r="F833" i="50"/>
  <c r="G833" i="50"/>
  <c r="B834" i="50"/>
  <c r="E834" i="50"/>
  <c r="F834" i="50"/>
  <c r="G834" i="50"/>
  <c r="B835" i="50"/>
  <c r="E835" i="50"/>
  <c r="F835" i="50"/>
  <c r="G835" i="50"/>
  <c r="B836" i="50"/>
  <c r="E836" i="50"/>
  <c r="F836" i="50"/>
  <c r="G836" i="50"/>
  <c r="B837" i="50"/>
  <c r="E837" i="50"/>
  <c r="F837" i="50"/>
  <c r="G837" i="50"/>
  <c r="B838" i="50"/>
  <c r="E838" i="50"/>
  <c r="F838" i="50"/>
  <c r="G838" i="50"/>
  <c r="B839" i="50"/>
  <c r="E839" i="50"/>
  <c r="F839" i="50"/>
  <c r="G839" i="50"/>
  <c r="B840" i="50"/>
  <c r="E840" i="50"/>
  <c r="F840" i="50"/>
  <c r="G840" i="50"/>
  <c r="B841" i="50"/>
  <c r="E841" i="50"/>
  <c r="F841" i="50"/>
  <c r="G841" i="50"/>
  <c r="B842" i="50"/>
  <c r="E842" i="50"/>
  <c r="F842" i="50"/>
  <c r="G842" i="50"/>
  <c r="B843" i="50"/>
  <c r="E843" i="50"/>
  <c r="F843" i="50"/>
  <c r="G843" i="50"/>
  <c r="B844" i="50"/>
  <c r="E844" i="50"/>
  <c r="F844" i="50"/>
  <c r="G844" i="50"/>
  <c r="B845" i="50"/>
  <c r="E845" i="50"/>
  <c r="F845" i="50"/>
  <c r="G845" i="50"/>
  <c r="B846" i="50"/>
  <c r="E846" i="50"/>
  <c r="F846" i="50"/>
  <c r="G846" i="50"/>
  <c r="B847" i="50"/>
  <c r="E847" i="50"/>
  <c r="F847" i="50"/>
  <c r="G847" i="50"/>
  <c r="B848" i="50"/>
  <c r="E848" i="50"/>
  <c r="F848" i="50"/>
  <c r="G848" i="50"/>
  <c r="B849" i="50"/>
  <c r="E849" i="50"/>
  <c r="F849" i="50"/>
  <c r="G849" i="50"/>
  <c r="B850" i="50"/>
  <c r="E850" i="50"/>
  <c r="F850" i="50"/>
  <c r="G850" i="50"/>
  <c r="B851" i="50"/>
  <c r="E851" i="50"/>
  <c r="F851" i="50"/>
  <c r="G851" i="50"/>
  <c r="B852" i="50"/>
  <c r="E852" i="50"/>
  <c r="F852" i="50"/>
  <c r="G852" i="50"/>
  <c r="B853" i="50"/>
  <c r="E853" i="50"/>
  <c r="F853" i="50"/>
  <c r="G853" i="50"/>
  <c r="B854" i="50"/>
  <c r="E854" i="50"/>
  <c r="F854" i="50"/>
  <c r="G854" i="50"/>
  <c r="B855" i="50"/>
  <c r="E855" i="50"/>
  <c r="F855" i="50"/>
  <c r="G855" i="50"/>
  <c r="B856" i="50"/>
  <c r="E856" i="50"/>
  <c r="F856" i="50"/>
  <c r="G856" i="50"/>
  <c r="B857" i="50"/>
  <c r="E857" i="50"/>
  <c r="F857" i="50"/>
  <c r="G857" i="50"/>
  <c r="B858" i="50"/>
  <c r="E858" i="50"/>
  <c r="F858" i="50"/>
  <c r="G858" i="50"/>
  <c r="B859" i="50"/>
  <c r="E859" i="50"/>
  <c r="F859" i="50"/>
  <c r="G859" i="50"/>
  <c r="B860" i="50"/>
  <c r="E860" i="50"/>
  <c r="F860" i="50"/>
  <c r="G860" i="50"/>
  <c r="B861" i="50"/>
  <c r="E861" i="50"/>
  <c r="F861" i="50"/>
  <c r="G861" i="50"/>
  <c r="B862" i="50"/>
  <c r="E862" i="50"/>
  <c r="F862" i="50"/>
  <c r="G862" i="50"/>
  <c r="B863" i="50"/>
  <c r="E863" i="50"/>
  <c r="F863" i="50"/>
  <c r="G863" i="50"/>
  <c r="B864" i="50"/>
  <c r="E864" i="50"/>
  <c r="F864" i="50"/>
  <c r="G864" i="50"/>
  <c r="B865" i="50"/>
  <c r="E865" i="50"/>
  <c r="F865" i="50"/>
  <c r="G865" i="50"/>
  <c r="B866" i="50"/>
  <c r="E866" i="50"/>
  <c r="F866" i="50"/>
  <c r="G866" i="50"/>
  <c r="B867" i="50"/>
  <c r="E867" i="50"/>
  <c r="F867" i="50"/>
  <c r="G867" i="50"/>
  <c r="B868" i="50"/>
  <c r="E868" i="50"/>
  <c r="F868" i="50"/>
  <c r="G868" i="50"/>
  <c r="B869" i="50"/>
  <c r="E869" i="50"/>
  <c r="F869" i="50"/>
  <c r="G869" i="50"/>
  <c r="B870" i="50"/>
  <c r="E870" i="50"/>
  <c r="F870" i="50"/>
  <c r="G870" i="50"/>
  <c r="B871" i="50"/>
  <c r="E871" i="50"/>
  <c r="F871" i="50"/>
  <c r="G871" i="50"/>
  <c r="B872" i="50"/>
  <c r="E872" i="50"/>
  <c r="F872" i="50"/>
  <c r="G872" i="50"/>
  <c r="B873" i="50"/>
  <c r="E873" i="50"/>
  <c r="F873" i="50"/>
  <c r="G873" i="50"/>
  <c r="B874" i="50"/>
  <c r="E874" i="50"/>
  <c r="F874" i="50"/>
  <c r="G874" i="50"/>
  <c r="B875" i="50"/>
  <c r="E875" i="50"/>
  <c r="F875" i="50"/>
  <c r="G875" i="50"/>
  <c r="B876" i="50"/>
  <c r="E876" i="50"/>
  <c r="F876" i="50"/>
  <c r="G876" i="50"/>
  <c r="B877" i="50"/>
  <c r="E877" i="50"/>
  <c r="F877" i="50"/>
  <c r="G877" i="50"/>
  <c r="B878" i="50"/>
  <c r="E878" i="50"/>
  <c r="F878" i="50"/>
  <c r="G878" i="50"/>
  <c r="B879" i="50"/>
  <c r="E879" i="50"/>
  <c r="F879" i="50"/>
  <c r="G879" i="50"/>
  <c r="B880" i="50"/>
  <c r="E880" i="50"/>
  <c r="F880" i="50"/>
  <c r="G880" i="50"/>
  <c r="B881" i="50"/>
  <c r="E881" i="50"/>
  <c r="F881" i="50"/>
  <c r="G881" i="50"/>
  <c r="B882" i="50"/>
  <c r="E882" i="50"/>
  <c r="F882" i="50"/>
  <c r="G882" i="50"/>
  <c r="B883" i="50"/>
  <c r="E883" i="50"/>
  <c r="F883" i="50"/>
  <c r="G883" i="50"/>
  <c r="B884" i="50"/>
  <c r="E884" i="50"/>
  <c r="F884" i="50"/>
  <c r="G884" i="50"/>
  <c r="B885" i="50"/>
  <c r="E885" i="50"/>
  <c r="F885" i="50"/>
  <c r="G885" i="50"/>
  <c r="B886" i="50"/>
  <c r="E886" i="50"/>
  <c r="F886" i="50"/>
  <c r="G886" i="50"/>
  <c r="B887" i="50"/>
  <c r="E887" i="50"/>
  <c r="F887" i="50"/>
  <c r="G887" i="50"/>
  <c r="B888" i="50"/>
  <c r="E888" i="50"/>
  <c r="F888" i="50"/>
  <c r="G888" i="50"/>
  <c r="B889" i="50"/>
  <c r="E889" i="50"/>
  <c r="F889" i="50"/>
  <c r="G889" i="50"/>
  <c r="B890" i="50"/>
  <c r="E890" i="50"/>
  <c r="F890" i="50"/>
  <c r="G890" i="50"/>
  <c r="B891" i="50"/>
  <c r="E891" i="50"/>
  <c r="F891" i="50"/>
  <c r="G891" i="50"/>
  <c r="B892" i="50"/>
  <c r="E892" i="50"/>
  <c r="F892" i="50"/>
  <c r="G892" i="50"/>
  <c r="B893" i="50"/>
  <c r="E893" i="50"/>
  <c r="F893" i="50"/>
  <c r="G893" i="50"/>
  <c r="B894" i="50"/>
  <c r="E894" i="50"/>
  <c r="F894" i="50"/>
  <c r="G894" i="50"/>
  <c r="B895" i="50"/>
  <c r="E895" i="50"/>
  <c r="F895" i="50"/>
  <c r="G895" i="50"/>
  <c r="B896" i="50"/>
  <c r="E896" i="50"/>
  <c r="F896" i="50"/>
  <c r="G896" i="50"/>
  <c r="B897" i="50"/>
  <c r="E897" i="50"/>
  <c r="F897" i="50"/>
  <c r="G897" i="50"/>
  <c r="B898" i="50"/>
  <c r="E898" i="50"/>
  <c r="F898" i="50"/>
  <c r="G898" i="50"/>
  <c r="B899" i="50"/>
  <c r="E899" i="50"/>
  <c r="F899" i="50"/>
  <c r="G899" i="50"/>
  <c r="B900" i="50"/>
  <c r="E900" i="50"/>
  <c r="F900" i="50"/>
  <c r="G900" i="50"/>
  <c r="B901" i="50"/>
  <c r="E901" i="50"/>
  <c r="F901" i="50"/>
  <c r="G901" i="50"/>
  <c r="B902" i="50"/>
  <c r="E902" i="50"/>
  <c r="F902" i="50"/>
  <c r="G902" i="50"/>
  <c r="B903" i="50"/>
  <c r="E903" i="50"/>
  <c r="F903" i="50"/>
  <c r="G903" i="50"/>
  <c r="B904" i="50"/>
  <c r="E904" i="50"/>
  <c r="F904" i="50"/>
  <c r="G904" i="50"/>
  <c r="B905" i="50"/>
  <c r="E905" i="50"/>
  <c r="F905" i="50"/>
  <c r="G905" i="50"/>
  <c r="B906" i="50"/>
  <c r="E906" i="50"/>
  <c r="F906" i="50"/>
  <c r="G906" i="50"/>
  <c r="B907" i="50"/>
  <c r="E907" i="50"/>
  <c r="F907" i="50"/>
  <c r="G907" i="50"/>
  <c r="B908" i="50"/>
  <c r="E908" i="50"/>
  <c r="F908" i="50"/>
  <c r="G908" i="50"/>
  <c r="B909" i="50"/>
  <c r="E909" i="50"/>
  <c r="F909" i="50"/>
  <c r="G909" i="50"/>
  <c r="B910" i="50"/>
  <c r="E910" i="50"/>
  <c r="F910" i="50"/>
  <c r="G910" i="50"/>
  <c r="B911" i="50"/>
  <c r="E911" i="50"/>
  <c r="F911" i="50"/>
  <c r="G911" i="50"/>
  <c r="B912" i="50"/>
  <c r="E912" i="50"/>
  <c r="F912" i="50"/>
  <c r="G912" i="50"/>
  <c r="B913" i="50"/>
  <c r="E913" i="50"/>
  <c r="F913" i="50"/>
  <c r="G913" i="50"/>
  <c r="B914" i="50"/>
  <c r="E914" i="50"/>
  <c r="F914" i="50"/>
  <c r="G914" i="50"/>
  <c r="B915" i="50"/>
  <c r="E915" i="50"/>
  <c r="F915" i="50"/>
  <c r="G915" i="50"/>
  <c r="B916" i="50"/>
  <c r="E916" i="50"/>
  <c r="F916" i="50"/>
  <c r="G916" i="50"/>
  <c r="B917" i="50"/>
  <c r="E917" i="50"/>
  <c r="F917" i="50"/>
  <c r="G917" i="50"/>
  <c r="B918" i="50"/>
  <c r="E918" i="50"/>
  <c r="F918" i="50"/>
  <c r="G918" i="50"/>
  <c r="B919" i="50"/>
  <c r="E919" i="50"/>
  <c r="F919" i="50"/>
  <c r="G919" i="50"/>
  <c r="B920" i="50"/>
  <c r="E920" i="50"/>
  <c r="F920" i="50"/>
  <c r="G920" i="50"/>
  <c r="B921" i="50"/>
  <c r="E921" i="50"/>
  <c r="F921" i="50"/>
  <c r="G921" i="50"/>
  <c r="B922" i="50"/>
  <c r="E922" i="50"/>
  <c r="F922" i="50"/>
  <c r="G922" i="50"/>
  <c r="B923" i="50"/>
  <c r="E923" i="50"/>
  <c r="F923" i="50"/>
  <c r="G923" i="50"/>
  <c r="B924" i="50"/>
  <c r="E924" i="50"/>
  <c r="F924" i="50"/>
  <c r="G924" i="50"/>
  <c r="B925" i="50"/>
  <c r="E925" i="50"/>
  <c r="F925" i="50"/>
  <c r="G925" i="50"/>
  <c r="B926" i="50"/>
  <c r="E926" i="50"/>
  <c r="F926" i="50"/>
  <c r="G926" i="50"/>
  <c r="B927" i="50"/>
  <c r="E927" i="50"/>
  <c r="F927" i="50"/>
  <c r="G927" i="50"/>
  <c r="B928" i="50"/>
  <c r="E928" i="50"/>
  <c r="F928" i="50"/>
  <c r="G928" i="50"/>
  <c r="B929" i="50"/>
  <c r="E929" i="50"/>
  <c r="F929" i="50"/>
  <c r="G929" i="50"/>
  <c r="B930" i="50"/>
  <c r="E930" i="50"/>
  <c r="F930" i="50"/>
  <c r="G930" i="50"/>
  <c r="B931" i="50"/>
  <c r="E931" i="50"/>
  <c r="F931" i="50"/>
  <c r="G931" i="50"/>
  <c r="B932" i="50"/>
  <c r="E932" i="50"/>
  <c r="F932" i="50"/>
  <c r="G932" i="50"/>
  <c r="B933" i="50"/>
  <c r="E933" i="50"/>
  <c r="F933" i="50"/>
  <c r="G933" i="50"/>
  <c r="B934" i="50"/>
  <c r="E934" i="50"/>
  <c r="F934" i="50"/>
  <c r="G934" i="50"/>
  <c r="B935" i="50"/>
  <c r="E935" i="50"/>
  <c r="F935" i="50"/>
  <c r="G935" i="50"/>
  <c r="B936" i="50"/>
  <c r="E936" i="50"/>
  <c r="F936" i="50"/>
  <c r="G936" i="50"/>
  <c r="B937" i="50"/>
  <c r="E937" i="50"/>
  <c r="F937" i="50"/>
  <c r="G937" i="50"/>
  <c r="B938" i="50"/>
  <c r="E938" i="50"/>
  <c r="F938" i="50"/>
  <c r="G938" i="50"/>
  <c r="B939" i="50"/>
  <c r="E939" i="50"/>
  <c r="F939" i="50"/>
  <c r="G939" i="50"/>
  <c r="B940" i="50"/>
  <c r="E940" i="50"/>
  <c r="F940" i="50"/>
  <c r="G940" i="50"/>
  <c r="B941" i="50"/>
  <c r="E941" i="50"/>
  <c r="F941" i="50"/>
  <c r="G941" i="50"/>
  <c r="B942" i="50"/>
  <c r="E942" i="50"/>
  <c r="F942" i="50"/>
  <c r="G942" i="50"/>
  <c r="B943" i="50"/>
  <c r="E943" i="50"/>
  <c r="F943" i="50"/>
  <c r="G943" i="50"/>
  <c r="B944" i="50"/>
  <c r="E944" i="50"/>
  <c r="F944" i="50"/>
  <c r="G944" i="50"/>
  <c r="B945" i="50"/>
  <c r="E945" i="50"/>
  <c r="F945" i="50"/>
  <c r="G945" i="50"/>
  <c r="B946" i="50"/>
  <c r="E946" i="50"/>
  <c r="F946" i="50"/>
  <c r="G946" i="50"/>
  <c r="B947" i="50"/>
  <c r="E947" i="50"/>
  <c r="F947" i="50"/>
  <c r="G947" i="50"/>
  <c r="B948" i="50"/>
  <c r="E948" i="50"/>
  <c r="F948" i="50"/>
  <c r="G948" i="50"/>
  <c r="B949" i="50"/>
  <c r="E949" i="50"/>
  <c r="F949" i="50"/>
  <c r="G949" i="50"/>
  <c r="B950" i="50"/>
  <c r="E950" i="50"/>
  <c r="F950" i="50"/>
  <c r="G950" i="50"/>
  <c r="B951" i="50"/>
  <c r="E951" i="50"/>
  <c r="F951" i="50"/>
  <c r="G951" i="50"/>
  <c r="B952" i="50"/>
  <c r="E952" i="50"/>
  <c r="F952" i="50"/>
  <c r="G952" i="50"/>
  <c r="B953" i="50"/>
  <c r="E953" i="50"/>
  <c r="F953" i="50"/>
  <c r="G953" i="50"/>
  <c r="B954" i="50"/>
  <c r="E954" i="50"/>
  <c r="F954" i="50"/>
  <c r="G954" i="50"/>
  <c r="B955" i="50"/>
  <c r="E955" i="50"/>
  <c r="F955" i="50"/>
  <c r="G955" i="50"/>
  <c r="B956" i="50"/>
  <c r="E956" i="50"/>
  <c r="F956" i="50"/>
  <c r="G956" i="50"/>
  <c r="B957" i="50"/>
  <c r="E957" i="50"/>
  <c r="F957" i="50"/>
  <c r="G957" i="50"/>
  <c r="B958" i="50"/>
  <c r="E958" i="50"/>
  <c r="F958" i="50"/>
  <c r="G958" i="50"/>
  <c r="B959" i="50"/>
  <c r="E959" i="50"/>
  <c r="F959" i="50"/>
  <c r="G959" i="50"/>
  <c r="B960" i="50"/>
  <c r="E960" i="50"/>
  <c r="F960" i="50"/>
  <c r="G960" i="50"/>
  <c r="B961" i="50"/>
  <c r="E961" i="50"/>
  <c r="F961" i="50"/>
  <c r="G961" i="50"/>
  <c r="B962" i="50"/>
  <c r="E962" i="50"/>
  <c r="F962" i="50"/>
  <c r="G962" i="50"/>
  <c r="B963" i="50"/>
  <c r="E963" i="50"/>
  <c r="F963" i="50"/>
  <c r="G963" i="50"/>
  <c r="B964" i="50"/>
  <c r="E964" i="50"/>
  <c r="F964" i="50"/>
  <c r="G964" i="50"/>
  <c r="B965" i="50"/>
  <c r="E965" i="50"/>
  <c r="F965" i="50"/>
  <c r="G965" i="50"/>
  <c r="B966" i="50"/>
  <c r="E966" i="50"/>
  <c r="F966" i="50"/>
  <c r="G966" i="50"/>
  <c r="B967" i="50"/>
  <c r="E967" i="50"/>
  <c r="F967" i="50"/>
  <c r="G967" i="50"/>
  <c r="B968" i="50"/>
  <c r="E968" i="50"/>
  <c r="F968" i="50"/>
  <c r="G968" i="50"/>
  <c r="B969" i="50"/>
  <c r="E969" i="50"/>
  <c r="F969" i="50"/>
  <c r="G969" i="50"/>
  <c r="B970" i="50"/>
  <c r="E970" i="50"/>
  <c r="F970" i="50"/>
  <c r="G970" i="50"/>
  <c r="B971" i="50"/>
  <c r="E971" i="50"/>
  <c r="F971" i="50"/>
  <c r="G971" i="50"/>
  <c r="B972" i="50"/>
  <c r="E972" i="50"/>
  <c r="F972" i="50"/>
  <c r="G972" i="50"/>
  <c r="B973" i="50"/>
  <c r="E973" i="50"/>
  <c r="F973" i="50"/>
  <c r="G973" i="50"/>
  <c r="B974" i="50"/>
  <c r="E974" i="50"/>
  <c r="F974" i="50"/>
  <c r="G974" i="50"/>
  <c r="B975" i="50"/>
  <c r="E975" i="50"/>
  <c r="F975" i="50"/>
  <c r="G975" i="50"/>
  <c r="B976" i="50"/>
  <c r="E976" i="50"/>
  <c r="F976" i="50"/>
  <c r="G976" i="50"/>
  <c r="B977" i="50"/>
  <c r="E977" i="50"/>
  <c r="F977" i="50"/>
  <c r="G977" i="50"/>
  <c r="B978" i="50"/>
  <c r="E978" i="50"/>
  <c r="F978" i="50"/>
  <c r="G978" i="50"/>
  <c r="B979" i="50"/>
  <c r="E979" i="50"/>
  <c r="F979" i="50"/>
  <c r="G979" i="50"/>
  <c r="B980" i="50"/>
  <c r="E980" i="50"/>
  <c r="F980" i="50"/>
  <c r="G980" i="50"/>
  <c r="B981" i="50"/>
  <c r="E981" i="50"/>
  <c r="F981" i="50"/>
  <c r="G981" i="50"/>
  <c r="B982" i="50"/>
  <c r="E982" i="50"/>
  <c r="F982" i="50"/>
  <c r="G982" i="50"/>
  <c r="B983" i="50"/>
  <c r="E983" i="50"/>
  <c r="F983" i="50"/>
  <c r="G983" i="50"/>
  <c r="B984" i="50"/>
  <c r="E984" i="50"/>
  <c r="F984" i="50"/>
  <c r="G984" i="50"/>
  <c r="B985" i="50"/>
  <c r="E985" i="50"/>
  <c r="F985" i="50"/>
  <c r="G985" i="50"/>
  <c r="B986" i="50"/>
  <c r="E986" i="50"/>
  <c r="F986" i="50"/>
  <c r="G986" i="50"/>
  <c r="B987" i="50"/>
  <c r="E987" i="50"/>
  <c r="F987" i="50"/>
  <c r="G987" i="50"/>
  <c r="B988" i="50"/>
  <c r="E988" i="50"/>
  <c r="F988" i="50"/>
  <c r="G988" i="50"/>
  <c r="B989" i="50"/>
  <c r="E989" i="50"/>
  <c r="F989" i="50"/>
  <c r="G989" i="50"/>
  <c r="B990" i="50"/>
  <c r="E990" i="50"/>
  <c r="F990" i="50"/>
  <c r="G990" i="50"/>
  <c r="B991" i="50"/>
  <c r="E991" i="50"/>
  <c r="F991" i="50"/>
  <c r="G991" i="50"/>
  <c r="B992" i="50"/>
  <c r="E992" i="50"/>
  <c r="F992" i="50"/>
  <c r="G992" i="50"/>
  <c r="B993" i="50"/>
  <c r="E993" i="50"/>
  <c r="F993" i="50"/>
  <c r="G993" i="50"/>
  <c r="B994" i="50"/>
  <c r="E994" i="50"/>
  <c r="F994" i="50"/>
  <c r="G994" i="50"/>
  <c r="B995" i="50"/>
  <c r="E995" i="50"/>
  <c r="F995" i="50"/>
  <c r="G995" i="50"/>
  <c r="B996" i="50"/>
  <c r="E996" i="50"/>
  <c r="F996" i="50"/>
  <c r="G996" i="50"/>
  <c r="B997" i="50"/>
  <c r="E997" i="50"/>
  <c r="F997" i="50"/>
  <c r="G997" i="50"/>
  <c r="B998" i="50"/>
  <c r="E998" i="50"/>
  <c r="F998" i="50"/>
  <c r="G998" i="50"/>
  <c r="B999" i="50"/>
  <c r="E999" i="50"/>
  <c r="F999" i="50"/>
  <c r="G999" i="50"/>
  <c r="B1000" i="50"/>
  <c r="E1000" i="50"/>
  <c r="F1000" i="50"/>
  <c r="G1000" i="50"/>
  <c r="B1001" i="50"/>
  <c r="E1001" i="50"/>
  <c r="F1001" i="50"/>
  <c r="G1001" i="50"/>
  <c r="B1002" i="50"/>
  <c r="E1002" i="50"/>
  <c r="F1002" i="50"/>
  <c r="G1002" i="50"/>
  <c r="B1003" i="50"/>
  <c r="E1003" i="50"/>
  <c r="F1003" i="50"/>
  <c r="G1003" i="50"/>
  <c r="B1004" i="50"/>
  <c r="E1004" i="50"/>
  <c r="F1004" i="50"/>
  <c r="G1004" i="50"/>
  <c r="B1005" i="50"/>
  <c r="E1005" i="50"/>
  <c r="F1005" i="50"/>
  <c r="G1005" i="50"/>
  <c r="B1006" i="50"/>
  <c r="E1006" i="50"/>
  <c r="F1006" i="50"/>
  <c r="G1006" i="50"/>
  <c r="B1007" i="50"/>
  <c r="E1007" i="50"/>
  <c r="F1007" i="50"/>
  <c r="G1007" i="50"/>
  <c r="B1008" i="50"/>
  <c r="E1008" i="50"/>
  <c r="F1008" i="50"/>
  <c r="G1008" i="50"/>
  <c r="B1009" i="50"/>
  <c r="E1009" i="50"/>
  <c r="F1009" i="50"/>
  <c r="G1009" i="50"/>
  <c r="B1010" i="50"/>
  <c r="E1010" i="50"/>
  <c r="F1010" i="50"/>
  <c r="G1010" i="50"/>
  <c r="B1011" i="50"/>
  <c r="E1011" i="50"/>
  <c r="F1011" i="50"/>
  <c r="G1011" i="50"/>
  <c r="B1012" i="50"/>
  <c r="E1012" i="50"/>
  <c r="F1012" i="50"/>
  <c r="G1012" i="50"/>
  <c r="B1013" i="50"/>
  <c r="E1013" i="50"/>
  <c r="F1013" i="50"/>
  <c r="G1013" i="50"/>
  <c r="B1014" i="50"/>
  <c r="E1014" i="50"/>
  <c r="F1014" i="50"/>
  <c r="G1014" i="50"/>
  <c r="B1015" i="50"/>
  <c r="E1015" i="50"/>
  <c r="F1015" i="50"/>
  <c r="G1015" i="50"/>
  <c r="B1016" i="50"/>
  <c r="E1016" i="50"/>
  <c r="F1016" i="50"/>
  <c r="G1016" i="50"/>
  <c r="B1017" i="50"/>
  <c r="E1017" i="50"/>
  <c r="F1017" i="50"/>
  <c r="G1017" i="50"/>
  <c r="B1018" i="50"/>
  <c r="E1018" i="50"/>
  <c r="F1018" i="50"/>
  <c r="G1018" i="50"/>
  <c r="B1019" i="50"/>
  <c r="E1019" i="50"/>
  <c r="F1019" i="50"/>
  <c r="G1019" i="50"/>
  <c r="B1020" i="50"/>
  <c r="E1020" i="50"/>
  <c r="F1020" i="50"/>
  <c r="G1020" i="50"/>
  <c r="B1021" i="50"/>
  <c r="E1021" i="50"/>
  <c r="F1021" i="50"/>
  <c r="G1021" i="50"/>
  <c r="B1022" i="50"/>
  <c r="E1022" i="50"/>
  <c r="F1022" i="50"/>
  <c r="G1022" i="50"/>
  <c r="B1023" i="50"/>
  <c r="E1023" i="50"/>
  <c r="F1023" i="50"/>
  <c r="G1023" i="50"/>
  <c r="B1024" i="50"/>
  <c r="E1024" i="50"/>
  <c r="F1024" i="50"/>
  <c r="G1024" i="50"/>
  <c r="B1025" i="50"/>
  <c r="E1025" i="50"/>
  <c r="F1025" i="50"/>
  <c r="G1025" i="50"/>
  <c r="B1026" i="50"/>
  <c r="E1026" i="50"/>
  <c r="F1026" i="50"/>
  <c r="G1026" i="50"/>
  <c r="B1027" i="50"/>
  <c r="E1027" i="50"/>
  <c r="F1027" i="50"/>
  <c r="G1027" i="50"/>
  <c r="B1028" i="50"/>
  <c r="E1028" i="50"/>
  <c r="F1028" i="50"/>
  <c r="G1028" i="50"/>
  <c r="B1029" i="50"/>
  <c r="E1029" i="50"/>
  <c r="F1029" i="50"/>
  <c r="G1029" i="50"/>
  <c r="B1030" i="50"/>
  <c r="E1030" i="50"/>
  <c r="F1030" i="50"/>
  <c r="G1030" i="50"/>
  <c r="B1031" i="50"/>
  <c r="E1031" i="50"/>
  <c r="F1031" i="50"/>
  <c r="G1031" i="50"/>
  <c r="B1032" i="50"/>
  <c r="E1032" i="50"/>
  <c r="F1032" i="50"/>
  <c r="G1032" i="50"/>
  <c r="B1033" i="50"/>
  <c r="E1033" i="50"/>
  <c r="F1033" i="50"/>
  <c r="G1033" i="50"/>
  <c r="B1034" i="50"/>
  <c r="E1034" i="50"/>
  <c r="F1034" i="50"/>
  <c r="G1034" i="50"/>
  <c r="B1035" i="50"/>
  <c r="E1035" i="50"/>
  <c r="F1035" i="50"/>
  <c r="G1035" i="50"/>
  <c r="B1036" i="50"/>
  <c r="E1036" i="50"/>
  <c r="F1036" i="50"/>
  <c r="G1036" i="50"/>
  <c r="B1037" i="50"/>
  <c r="E1037" i="50"/>
  <c r="F1037" i="50"/>
  <c r="G1037" i="50"/>
  <c r="B1038" i="50"/>
  <c r="E1038" i="50"/>
  <c r="F1038" i="50"/>
  <c r="G1038" i="50"/>
  <c r="B1039" i="50"/>
  <c r="E1039" i="50"/>
  <c r="F1039" i="50"/>
  <c r="G1039" i="50"/>
  <c r="B1040" i="50"/>
  <c r="E1040" i="50"/>
  <c r="F1040" i="50"/>
  <c r="G1040" i="50"/>
  <c r="B1041" i="50"/>
  <c r="E1041" i="50"/>
  <c r="F1041" i="50"/>
  <c r="G1041" i="50"/>
  <c r="B1042" i="50"/>
  <c r="E1042" i="50"/>
  <c r="F1042" i="50"/>
  <c r="G1042" i="50"/>
  <c r="B1043" i="50"/>
  <c r="E1043" i="50"/>
  <c r="F1043" i="50"/>
  <c r="G1043" i="50"/>
  <c r="B1044" i="50"/>
  <c r="E1044" i="50"/>
  <c r="F1044" i="50"/>
  <c r="G1044" i="50"/>
  <c r="B1045" i="50"/>
  <c r="E1045" i="50"/>
  <c r="F1045" i="50"/>
  <c r="G1045" i="50"/>
  <c r="B1046" i="50"/>
  <c r="E1046" i="50"/>
  <c r="F1046" i="50"/>
  <c r="G1046" i="50"/>
  <c r="B1047" i="50"/>
  <c r="E1047" i="50"/>
  <c r="F1047" i="50"/>
  <c r="G1047" i="50"/>
  <c r="B1048" i="50"/>
  <c r="E1048" i="50"/>
  <c r="F1048" i="50"/>
  <c r="G1048" i="50"/>
  <c r="B1049" i="50"/>
  <c r="E1049" i="50"/>
  <c r="F1049" i="50"/>
  <c r="G1049" i="50"/>
  <c r="B1050" i="50"/>
  <c r="E1050" i="50"/>
  <c r="F1050" i="50"/>
  <c r="G1050" i="50"/>
  <c r="B1051" i="50"/>
  <c r="E1051" i="50"/>
  <c r="F1051" i="50"/>
  <c r="G1051" i="50"/>
  <c r="B1052" i="50"/>
  <c r="E1052" i="50"/>
  <c r="F1052" i="50"/>
  <c r="G1052" i="50"/>
  <c r="B1053" i="50"/>
  <c r="E1053" i="50"/>
  <c r="F1053" i="50"/>
  <c r="G1053" i="50"/>
  <c r="B1054" i="50"/>
  <c r="E1054" i="50"/>
  <c r="F1054" i="50"/>
  <c r="G1054" i="50"/>
  <c r="B1055" i="50"/>
  <c r="E1055" i="50"/>
  <c r="F1055" i="50"/>
  <c r="G1055" i="50"/>
  <c r="B1056" i="50"/>
  <c r="E1056" i="50"/>
  <c r="F1056" i="50"/>
  <c r="G1056" i="50"/>
  <c r="B1057" i="50"/>
  <c r="E1057" i="50"/>
  <c r="F1057" i="50"/>
  <c r="G1057" i="50"/>
  <c r="B1058" i="50"/>
  <c r="E1058" i="50"/>
  <c r="F1058" i="50"/>
  <c r="G1058" i="50"/>
  <c r="B1059" i="50"/>
  <c r="E1059" i="50"/>
  <c r="F1059" i="50"/>
  <c r="G1059" i="50"/>
  <c r="B1060" i="50"/>
  <c r="E1060" i="50"/>
  <c r="F1060" i="50"/>
  <c r="G1060" i="50"/>
  <c r="B1061" i="50"/>
  <c r="E1061" i="50"/>
  <c r="F1061" i="50"/>
  <c r="G1061" i="50"/>
  <c r="B1062" i="50"/>
  <c r="E1062" i="50"/>
  <c r="F1062" i="50"/>
  <c r="G1062" i="50"/>
  <c r="B1063" i="50"/>
  <c r="E1063" i="50"/>
  <c r="F1063" i="50"/>
  <c r="G1063" i="50"/>
  <c r="B1064" i="50"/>
  <c r="E1064" i="50"/>
  <c r="F1064" i="50"/>
  <c r="G1064" i="50"/>
  <c r="B1065" i="50"/>
  <c r="E1065" i="50"/>
  <c r="F1065" i="50"/>
  <c r="G1065" i="50"/>
  <c r="B1066" i="50"/>
  <c r="E1066" i="50"/>
  <c r="F1066" i="50"/>
  <c r="G1066" i="50"/>
  <c r="B1067" i="50"/>
  <c r="E1067" i="50"/>
  <c r="F1067" i="50"/>
  <c r="G1067" i="50"/>
  <c r="B1068" i="50"/>
  <c r="E1068" i="50"/>
  <c r="F1068" i="50"/>
  <c r="G1068" i="50"/>
  <c r="B1069" i="50"/>
  <c r="E1069" i="50"/>
  <c r="F1069" i="50"/>
  <c r="G1069" i="50"/>
  <c r="B1070" i="50"/>
  <c r="E1070" i="50"/>
  <c r="F1070" i="50"/>
  <c r="G1070" i="50"/>
  <c r="B1071" i="50"/>
  <c r="E1071" i="50"/>
  <c r="F1071" i="50"/>
  <c r="G1071" i="50"/>
  <c r="B1072" i="50"/>
  <c r="E1072" i="50"/>
  <c r="F1072" i="50"/>
  <c r="G1072" i="50"/>
  <c r="B1073" i="50"/>
  <c r="E1073" i="50"/>
  <c r="F1073" i="50"/>
  <c r="G1073" i="50"/>
  <c r="B1074" i="50"/>
  <c r="E1074" i="50"/>
  <c r="F1074" i="50"/>
  <c r="G1074" i="50"/>
  <c r="B1075" i="50"/>
  <c r="E1075" i="50"/>
  <c r="F1075" i="50"/>
  <c r="G1075" i="50"/>
  <c r="B1076" i="50"/>
  <c r="E1076" i="50"/>
  <c r="F1076" i="50"/>
  <c r="G1076" i="50"/>
  <c r="B1077" i="50"/>
  <c r="E1077" i="50"/>
  <c r="F1077" i="50"/>
  <c r="G1077" i="50"/>
  <c r="B1078" i="50"/>
  <c r="E1078" i="50"/>
  <c r="F1078" i="50"/>
  <c r="G1078" i="50"/>
  <c r="B1079" i="50"/>
  <c r="E1079" i="50"/>
  <c r="F1079" i="50"/>
  <c r="G1079" i="50"/>
  <c r="B1080" i="50"/>
  <c r="E1080" i="50"/>
  <c r="F1080" i="50"/>
  <c r="G1080" i="50"/>
  <c r="B1081" i="50"/>
  <c r="E1081" i="50"/>
  <c r="F1081" i="50"/>
  <c r="G1081" i="50"/>
  <c r="B1082" i="50"/>
  <c r="E1082" i="50"/>
  <c r="F1082" i="50"/>
  <c r="G1082" i="50"/>
  <c r="B1083" i="50"/>
  <c r="E1083" i="50"/>
  <c r="F1083" i="50"/>
  <c r="G1083" i="50"/>
  <c r="B1084" i="50"/>
  <c r="E1084" i="50"/>
  <c r="F1084" i="50"/>
  <c r="G1084" i="50"/>
  <c r="B1085" i="50"/>
  <c r="E1085" i="50"/>
  <c r="F1085" i="50"/>
  <c r="G1085" i="50"/>
  <c r="B1086" i="50"/>
  <c r="E1086" i="50"/>
  <c r="F1086" i="50"/>
  <c r="G1086" i="50"/>
  <c r="B1087" i="50"/>
  <c r="E1087" i="50"/>
  <c r="F1087" i="50"/>
  <c r="G1087" i="50"/>
  <c r="B1088" i="50"/>
  <c r="E1088" i="50"/>
  <c r="F1088" i="50"/>
  <c r="G1088" i="50"/>
  <c r="B1089" i="50"/>
  <c r="E1089" i="50"/>
  <c r="F1089" i="50"/>
  <c r="G1089" i="50"/>
  <c r="B1090" i="50"/>
  <c r="E1090" i="50"/>
  <c r="F1090" i="50"/>
  <c r="G1090" i="50"/>
  <c r="B1091" i="50"/>
  <c r="E1091" i="50"/>
  <c r="F1091" i="50"/>
  <c r="G1091" i="50"/>
  <c r="B1092" i="50"/>
  <c r="E1092" i="50"/>
  <c r="F1092" i="50"/>
  <c r="G1092" i="50"/>
  <c r="B1093" i="50"/>
  <c r="E1093" i="50"/>
  <c r="F1093" i="50"/>
  <c r="G1093" i="50"/>
  <c r="B1094" i="50"/>
  <c r="E1094" i="50"/>
  <c r="F1094" i="50"/>
  <c r="G1094" i="50"/>
  <c r="B1095" i="50"/>
  <c r="E1095" i="50"/>
  <c r="F1095" i="50"/>
  <c r="G1095" i="50"/>
  <c r="B1096" i="50"/>
  <c r="E1096" i="50"/>
  <c r="F1096" i="50"/>
  <c r="G1096" i="50"/>
  <c r="B1097" i="50"/>
  <c r="E1097" i="50"/>
  <c r="F1097" i="50"/>
  <c r="G1097" i="50"/>
  <c r="B1098" i="50"/>
  <c r="E1098" i="50"/>
  <c r="F1098" i="50"/>
  <c r="G1098" i="50"/>
  <c r="B1099" i="50"/>
  <c r="E1099" i="50"/>
  <c r="F1099" i="50"/>
  <c r="G1099" i="50"/>
  <c r="B1100" i="50"/>
  <c r="E1100" i="50"/>
  <c r="F1100" i="50"/>
  <c r="G1100" i="50"/>
  <c r="B1101" i="50"/>
  <c r="E1101" i="50"/>
  <c r="F1101" i="50"/>
  <c r="G1101" i="50"/>
  <c r="B1102" i="50"/>
  <c r="E1102" i="50"/>
  <c r="F1102" i="50"/>
  <c r="G1102" i="50"/>
  <c r="B1103" i="50"/>
  <c r="E1103" i="50"/>
  <c r="F1103" i="50"/>
  <c r="G1103" i="50"/>
  <c r="B1104" i="50"/>
  <c r="E1104" i="50"/>
  <c r="F1104" i="50"/>
  <c r="G1104" i="50"/>
  <c r="B1105" i="50"/>
  <c r="E1105" i="50"/>
  <c r="F1105" i="50"/>
  <c r="G1105" i="50"/>
  <c r="B1106" i="50"/>
  <c r="E1106" i="50"/>
  <c r="F1106" i="50"/>
  <c r="G1106" i="50"/>
  <c r="B1107" i="50"/>
  <c r="E1107" i="50"/>
  <c r="F1107" i="50"/>
  <c r="G1107" i="50"/>
  <c r="B1108" i="50"/>
  <c r="E1108" i="50"/>
  <c r="F1108" i="50"/>
  <c r="G1108" i="50"/>
  <c r="B1109" i="50"/>
  <c r="E1109" i="50"/>
  <c r="F1109" i="50"/>
  <c r="G1109" i="50"/>
  <c r="B1110" i="50"/>
  <c r="E1110" i="50"/>
  <c r="F1110" i="50"/>
  <c r="G1110" i="50"/>
  <c r="B1111" i="50"/>
  <c r="E1111" i="50"/>
  <c r="F1111" i="50"/>
  <c r="G1111" i="50"/>
  <c r="B1112" i="50"/>
  <c r="E1112" i="50"/>
  <c r="F1112" i="50"/>
  <c r="G1112" i="50"/>
  <c r="B1113" i="50"/>
  <c r="E1113" i="50"/>
  <c r="F1113" i="50"/>
  <c r="G1113" i="50"/>
  <c r="B1114" i="50"/>
  <c r="E1114" i="50"/>
  <c r="F1114" i="50"/>
  <c r="G1114" i="50"/>
  <c r="B1115" i="50"/>
  <c r="E1115" i="50"/>
  <c r="F1115" i="50"/>
  <c r="G1115" i="50"/>
  <c r="B1116" i="50"/>
  <c r="E1116" i="50"/>
  <c r="F1116" i="50"/>
  <c r="G1116" i="50"/>
  <c r="B1117" i="50"/>
  <c r="E1117" i="50"/>
  <c r="F1117" i="50"/>
  <c r="G1117" i="50"/>
  <c r="B1118" i="50"/>
  <c r="E1118" i="50"/>
  <c r="F1118" i="50"/>
  <c r="G1118" i="50"/>
  <c r="B1119" i="50"/>
  <c r="E1119" i="50"/>
  <c r="F1119" i="50"/>
  <c r="G1119" i="50"/>
  <c r="B1120" i="50"/>
  <c r="E1120" i="50"/>
  <c r="F1120" i="50"/>
  <c r="G1120" i="50"/>
  <c r="B1121" i="50"/>
  <c r="E1121" i="50"/>
  <c r="F1121" i="50"/>
  <c r="G1121" i="50"/>
  <c r="B1122" i="50"/>
  <c r="E1122" i="50"/>
  <c r="F1122" i="50"/>
  <c r="G1122" i="50"/>
  <c r="B1123" i="50"/>
  <c r="E1123" i="50"/>
  <c r="F1123" i="50"/>
  <c r="G1123" i="50"/>
  <c r="B1124" i="50"/>
  <c r="E1124" i="50"/>
  <c r="F1124" i="50"/>
  <c r="G1124" i="50"/>
  <c r="B1125" i="50"/>
  <c r="E1125" i="50"/>
  <c r="F1125" i="50"/>
  <c r="G1125" i="50"/>
  <c r="B1126" i="50"/>
  <c r="E1126" i="50"/>
  <c r="F1126" i="50"/>
  <c r="G1126" i="50"/>
  <c r="B1127" i="50"/>
  <c r="E1127" i="50"/>
  <c r="F1127" i="50"/>
  <c r="G1127" i="50"/>
  <c r="B1128" i="50"/>
  <c r="E1128" i="50"/>
  <c r="F1128" i="50"/>
  <c r="G1128" i="50"/>
  <c r="B1129" i="50"/>
  <c r="E1129" i="50"/>
  <c r="F1129" i="50"/>
  <c r="G1129" i="50"/>
  <c r="B1130" i="50"/>
  <c r="E1130" i="50"/>
  <c r="F1130" i="50"/>
  <c r="G1130" i="50"/>
  <c r="B1131" i="50"/>
  <c r="E1131" i="50"/>
  <c r="F1131" i="50"/>
  <c r="G1131" i="50"/>
  <c r="B1132" i="50"/>
  <c r="E1132" i="50"/>
  <c r="F1132" i="50"/>
  <c r="G1132" i="50"/>
  <c r="B1133" i="50"/>
  <c r="E1133" i="50"/>
  <c r="F1133" i="50"/>
  <c r="G1133" i="50"/>
  <c r="B1134" i="50"/>
  <c r="E1134" i="50"/>
  <c r="F1134" i="50"/>
  <c r="G1134" i="50"/>
  <c r="B1135" i="50"/>
  <c r="E1135" i="50"/>
  <c r="F1135" i="50"/>
  <c r="G1135" i="50"/>
  <c r="B1136" i="50"/>
  <c r="E1136" i="50"/>
  <c r="F1136" i="50"/>
  <c r="G1136" i="50"/>
  <c r="B1137" i="50"/>
  <c r="E1137" i="50"/>
  <c r="F1137" i="50"/>
  <c r="G1137" i="50"/>
  <c r="B1138" i="50"/>
  <c r="E1138" i="50"/>
  <c r="F1138" i="50"/>
  <c r="G1138" i="50"/>
  <c r="B1139" i="50"/>
  <c r="E1139" i="50"/>
  <c r="F1139" i="50"/>
  <c r="G1139" i="50"/>
  <c r="B1140" i="50"/>
  <c r="E1140" i="50"/>
  <c r="F1140" i="50"/>
  <c r="G1140" i="50"/>
  <c r="B1141" i="50"/>
  <c r="E1141" i="50"/>
  <c r="F1141" i="50"/>
  <c r="G1141" i="50"/>
  <c r="B1142" i="50"/>
  <c r="E1142" i="50"/>
  <c r="F1142" i="50"/>
  <c r="G1142" i="50"/>
  <c r="B1143" i="50"/>
  <c r="E1143" i="50"/>
  <c r="F1143" i="50"/>
  <c r="G1143" i="50"/>
  <c r="B1144" i="50"/>
  <c r="E1144" i="50"/>
  <c r="F1144" i="50"/>
  <c r="G1144" i="50"/>
  <c r="B1145" i="50"/>
  <c r="E1145" i="50"/>
  <c r="F1145" i="50"/>
  <c r="G1145" i="50"/>
  <c r="B1146" i="50"/>
  <c r="E1146" i="50"/>
  <c r="F1146" i="50"/>
  <c r="G1146" i="50"/>
  <c r="B1147" i="50"/>
  <c r="E1147" i="50"/>
  <c r="F1147" i="50"/>
  <c r="G1147" i="50"/>
  <c r="B1148" i="50"/>
  <c r="E1148" i="50"/>
  <c r="F1148" i="50"/>
  <c r="G1148" i="50"/>
  <c r="B1149" i="50"/>
  <c r="E1149" i="50"/>
  <c r="F1149" i="50"/>
  <c r="G1149" i="50"/>
  <c r="B1150" i="50"/>
  <c r="E1150" i="50"/>
  <c r="F1150" i="50"/>
  <c r="G1150" i="50"/>
  <c r="B1151" i="50"/>
  <c r="E1151" i="50"/>
  <c r="F1151" i="50"/>
  <c r="G1151" i="50"/>
  <c r="B1152" i="50"/>
  <c r="E1152" i="50"/>
  <c r="F1152" i="50"/>
  <c r="G1152" i="50"/>
  <c r="B1153" i="50"/>
  <c r="E1153" i="50"/>
  <c r="F1153" i="50"/>
  <c r="G1153" i="50"/>
  <c r="B1154" i="50"/>
  <c r="E1154" i="50"/>
  <c r="F1154" i="50"/>
  <c r="G1154" i="50"/>
  <c r="B1155" i="50"/>
  <c r="E1155" i="50"/>
  <c r="F1155" i="50"/>
  <c r="G1155" i="50"/>
  <c r="B1156" i="50"/>
  <c r="E1156" i="50"/>
  <c r="F1156" i="50"/>
  <c r="G1156" i="50"/>
  <c r="B1157" i="50"/>
  <c r="E1157" i="50"/>
  <c r="F1157" i="50"/>
  <c r="G1157" i="50"/>
  <c r="B1158" i="50"/>
  <c r="E1158" i="50"/>
  <c r="F1158" i="50"/>
  <c r="G1158" i="50"/>
  <c r="B1159" i="50"/>
  <c r="E1159" i="50"/>
  <c r="F1159" i="50"/>
  <c r="G1159" i="50"/>
  <c r="B1160" i="50"/>
  <c r="E1160" i="50"/>
  <c r="F1160" i="50"/>
  <c r="G1160" i="50"/>
  <c r="B1161" i="50"/>
  <c r="E1161" i="50"/>
  <c r="F1161" i="50"/>
  <c r="G1161" i="50"/>
  <c r="B1162" i="50"/>
  <c r="E1162" i="50"/>
  <c r="F1162" i="50"/>
  <c r="G1162" i="50"/>
  <c r="B1163" i="50"/>
  <c r="E1163" i="50"/>
  <c r="F1163" i="50"/>
  <c r="G1163" i="50"/>
  <c r="B1164" i="50"/>
  <c r="E1164" i="50"/>
  <c r="F1164" i="50"/>
  <c r="G1164" i="50"/>
  <c r="B1165" i="50"/>
  <c r="E1165" i="50"/>
  <c r="F1165" i="50"/>
  <c r="G1165" i="50"/>
  <c r="B1166" i="50"/>
  <c r="E1166" i="50"/>
  <c r="F1166" i="50"/>
  <c r="G1166" i="50"/>
  <c r="B1167" i="50"/>
  <c r="E1167" i="50"/>
  <c r="F1167" i="50"/>
  <c r="G1167" i="50"/>
  <c r="B1168" i="50"/>
  <c r="E1168" i="50"/>
  <c r="F1168" i="50"/>
  <c r="G1168" i="50"/>
  <c r="B1169" i="50"/>
  <c r="E1169" i="50"/>
  <c r="F1169" i="50"/>
  <c r="G1169" i="50"/>
  <c r="B1170" i="50"/>
  <c r="E1170" i="50"/>
  <c r="F1170" i="50"/>
  <c r="G1170" i="50"/>
  <c r="B1171" i="50"/>
  <c r="E1171" i="50"/>
  <c r="F1171" i="50"/>
  <c r="G1171" i="50"/>
  <c r="B1172" i="50"/>
  <c r="E1172" i="50"/>
  <c r="F1172" i="50"/>
  <c r="G1172" i="50"/>
  <c r="B1173" i="50"/>
  <c r="E1173" i="50"/>
  <c r="F1173" i="50"/>
  <c r="G1173" i="50"/>
  <c r="B1174" i="50"/>
  <c r="E1174" i="50"/>
  <c r="F1174" i="50"/>
  <c r="G1174" i="50"/>
  <c r="B1175" i="50"/>
  <c r="E1175" i="50"/>
  <c r="F1175" i="50"/>
  <c r="G1175" i="50"/>
  <c r="B1176" i="50"/>
  <c r="E1176" i="50"/>
  <c r="F1176" i="50"/>
  <c r="G1176" i="50"/>
  <c r="B1177" i="50"/>
  <c r="E1177" i="50"/>
  <c r="F1177" i="50"/>
  <c r="G1177" i="50"/>
  <c r="B1178" i="50"/>
  <c r="E1178" i="50"/>
  <c r="F1178" i="50"/>
  <c r="G1178" i="50"/>
  <c r="B1179" i="50"/>
  <c r="E1179" i="50"/>
  <c r="F1179" i="50"/>
  <c r="G1179" i="50"/>
  <c r="B1180" i="50"/>
  <c r="E1180" i="50"/>
  <c r="F1180" i="50"/>
  <c r="G1180" i="50"/>
  <c r="B1181" i="50"/>
  <c r="E1181" i="50"/>
  <c r="F1181" i="50"/>
  <c r="G1181" i="50"/>
  <c r="B1182" i="50"/>
  <c r="E1182" i="50"/>
  <c r="F1182" i="50"/>
  <c r="G1182" i="50"/>
  <c r="B1183" i="50"/>
  <c r="E1183" i="50"/>
  <c r="F1183" i="50"/>
  <c r="G1183" i="50"/>
  <c r="B1184" i="50"/>
  <c r="E1184" i="50"/>
  <c r="F1184" i="50"/>
  <c r="G1184" i="50"/>
  <c r="B1185" i="50"/>
  <c r="E1185" i="50"/>
  <c r="F1185" i="50"/>
  <c r="G1185" i="50"/>
  <c r="B1186" i="50"/>
  <c r="E1186" i="50"/>
  <c r="F1186" i="50"/>
  <c r="G1186" i="50"/>
  <c r="B1187" i="50"/>
  <c r="E1187" i="50"/>
  <c r="F1187" i="50"/>
  <c r="G1187" i="50"/>
  <c r="B1188" i="50"/>
  <c r="E1188" i="50"/>
  <c r="F1188" i="50"/>
  <c r="G1188" i="50"/>
  <c r="B1189" i="50"/>
  <c r="E1189" i="50"/>
  <c r="F1189" i="50"/>
  <c r="G1189" i="50"/>
  <c r="B1190" i="50"/>
  <c r="E1190" i="50"/>
  <c r="F1190" i="50"/>
  <c r="G1190" i="50"/>
  <c r="B1191" i="50"/>
  <c r="E1191" i="50"/>
  <c r="F1191" i="50"/>
  <c r="G1191" i="50"/>
  <c r="B1192" i="50"/>
  <c r="E1192" i="50"/>
  <c r="F1192" i="50"/>
  <c r="G1192" i="50"/>
  <c r="B1193" i="50"/>
  <c r="E1193" i="50"/>
  <c r="F1193" i="50"/>
  <c r="G1193" i="50"/>
  <c r="B1194" i="50"/>
  <c r="E1194" i="50"/>
  <c r="F1194" i="50"/>
  <c r="G1194" i="50"/>
  <c r="B1195" i="50"/>
  <c r="E1195" i="50"/>
  <c r="F1195" i="50"/>
  <c r="G1195" i="50"/>
  <c r="B1196" i="50"/>
  <c r="E1196" i="50"/>
  <c r="F1196" i="50"/>
  <c r="G1196" i="50"/>
  <c r="B1197" i="50"/>
  <c r="E1197" i="50"/>
  <c r="F1197" i="50"/>
  <c r="G1197" i="50"/>
  <c r="B1198" i="50"/>
  <c r="E1198" i="50"/>
  <c r="F1198" i="50"/>
  <c r="G1198" i="50"/>
  <c r="B1199" i="50"/>
  <c r="E1199" i="50"/>
  <c r="F1199" i="50"/>
  <c r="G1199" i="50"/>
  <c r="B1200" i="50"/>
  <c r="E1200" i="50"/>
  <c r="F1200" i="50"/>
  <c r="G1200" i="50"/>
  <c r="B1201" i="50"/>
  <c r="E1201" i="50"/>
  <c r="F1201" i="50"/>
  <c r="G1201" i="50"/>
  <c r="B1202" i="50"/>
  <c r="E1202" i="50"/>
  <c r="F1202" i="50"/>
  <c r="G1202" i="50"/>
  <c r="B1203" i="50"/>
  <c r="E1203" i="50"/>
  <c r="F1203" i="50"/>
  <c r="G1203" i="50"/>
  <c r="B1204" i="50"/>
  <c r="E1204" i="50"/>
  <c r="F1204" i="50"/>
  <c r="G1204" i="50"/>
  <c r="B1205" i="50"/>
  <c r="E1205" i="50"/>
  <c r="F1205" i="50"/>
  <c r="G1205" i="50"/>
  <c r="B1206" i="50"/>
  <c r="E1206" i="50"/>
  <c r="F1206" i="50"/>
  <c r="G1206" i="50"/>
  <c r="B1207" i="50"/>
  <c r="E1207" i="50"/>
  <c r="F1207" i="50"/>
  <c r="G1207" i="50"/>
  <c r="B1208" i="50"/>
  <c r="E1208" i="50"/>
  <c r="F1208" i="50"/>
  <c r="G1208" i="50"/>
  <c r="B1209" i="50"/>
  <c r="E1209" i="50"/>
  <c r="F1209" i="50"/>
  <c r="G1209" i="50"/>
  <c r="B1210" i="50"/>
  <c r="E1210" i="50"/>
  <c r="F1210" i="50"/>
  <c r="G1210" i="50"/>
  <c r="B1211" i="50"/>
  <c r="E1211" i="50"/>
  <c r="F1211" i="50"/>
  <c r="G1211" i="50"/>
  <c r="B1212" i="50"/>
  <c r="E1212" i="50"/>
  <c r="F1212" i="50"/>
  <c r="G1212" i="50"/>
  <c r="B1213" i="50"/>
  <c r="E1213" i="50"/>
  <c r="F1213" i="50"/>
  <c r="G1213" i="50"/>
  <c r="B1214" i="50"/>
  <c r="E1214" i="50"/>
  <c r="F1214" i="50"/>
  <c r="G1214" i="50"/>
  <c r="B1215" i="50"/>
  <c r="E1215" i="50"/>
  <c r="F1215" i="50"/>
  <c r="G1215" i="50"/>
  <c r="B1216" i="50"/>
  <c r="E1216" i="50"/>
  <c r="F1216" i="50"/>
  <c r="G1216" i="50"/>
  <c r="B1217" i="50"/>
  <c r="E1217" i="50"/>
  <c r="F1217" i="50"/>
  <c r="G1217" i="50"/>
  <c r="B1218" i="50"/>
  <c r="E1218" i="50"/>
  <c r="F1218" i="50"/>
  <c r="G1218" i="50"/>
  <c r="B1219" i="50"/>
  <c r="E1219" i="50"/>
  <c r="F1219" i="50"/>
  <c r="G1219" i="50"/>
  <c r="B1220" i="50"/>
  <c r="E1220" i="50"/>
  <c r="F1220" i="50"/>
  <c r="G1220" i="50"/>
  <c r="B1221" i="50"/>
  <c r="E1221" i="50"/>
  <c r="F1221" i="50"/>
  <c r="G1221" i="50"/>
  <c r="B1222" i="50"/>
  <c r="E1222" i="50"/>
  <c r="F1222" i="50"/>
  <c r="G1222" i="50"/>
  <c r="B1223" i="50"/>
  <c r="E1223" i="50"/>
  <c r="F1223" i="50"/>
  <c r="G1223" i="50"/>
  <c r="B1224" i="50"/>
  <c r="E1224" i="50"/>
  <c r="F1224" i="50"/>
  <c r="G1224" i="50"/>
  <c r="B1225" i="50"/>
  <c r="E1225" i="50"/>
  <c r="F1225" i="50"/>
  <c r="G1225" i="50"/>
  <c r="B1226" i="50"/>
  <c r="E1226" i="50"/>
  <c r="F1226" i="50"/>
  <c r="G1226" i="50"/>
  <c r="B1227" i="50"/>
  <c r="E1227" i="50"/>
  <c r="F1227" i="50"/>
  <c r="G1227" i="50"/>
  <c r="B1228" i="50"/>
  <c r="E1228" i="50"/>
  <c r="F1228" i="50"/>
  <c r="G1228" i="50"/>
  <c r="B1229" i="50"/>
  <c r="E1229" i="50"/>
  <c r="F1229" i="50"/>
  <c r="G1229" i="50"/>
  <c r="B1230" i="50"/>
  <c r="E1230" i="50"/>
  <c r="F1230" i="50"/>
  <c r="G1230" i="50"/>
  <c r="B1231" i="50"/>
  <c r="E1231" i="50"/>
  <c r="F1231" i="50"/>
  <c r="G1231" i="50"/>
  <c r="B1232" i="50"/>
  <c r="E1232" i="50"/>
  <c r="F1232" i="50"/>
  <c r="G1232" i="50"/>
  <c r="B1233" i="50"/>
  <c r="E1233" i="50"/>
  <c r="F1233" i="50"/>
  <c r="G1233" i="50"/>
  <c r="B1234" i="50"/>
  <c r="E1234" i="50"/>
  <c r="F1234" i="50"/>
  <c r="G1234" i="50"/>
  <c r="B1235" i="50"/>
  <c r="E1235" i="50"/>
  <c r="F1235" i="50"/>
  <c r="G1235" i="50"/>
  <c r="B1236" i="50"/>
  <c r="E1236" i="50"/>
  <c r="F1236" i="50"/>
  <c r="G1236" i="50"/>
  <c r="B1237" i="50"/>
  <c r="E1237" i="50"/>
  <c r="F1237" i="50"/>
  <c r="G1237" i="50"/>
  <c r="B1238" i="50"/>
  <c r="E1238" i="50"/>
  <c r="F1238" i="50"/>
  <c r="G1238" i="50"/>
  <c r="B1239" i="50"/>
  <c r="E1239" i="50"/>
  <c r="F1239" i="50"/>
  <c r="G1239" i="50"/>
  <c r="B1240" i="50"/>
  <c r="E1240" i="50"/>
  <c r="F1240" i="50"/>
  <c r="G1240" i="50"/>
  <c r="B1241" i="50"/>
  <c r="E1241" i="50"/>
  <c r="F1241" i="50"/>
  <c r="G1241" i="50"/>
  <c r="B1242" i="50"/>
  <c r="E1242" i="50"/>
  <c r="F1242" i="50"/>
  <c r="G1242" i="50"/>
  <c r="B1243" i="50"/>
  <c r="E1243" i="50"/>
  <c r="F1243" i="50"/>
  <c r="G1243" i="50"/>
  <c r="B1244" i="50"/>
  <c r="E1244" i="50"/>
  <c r="F1244" i="50"/>
  <c r="G1244" i="50"/>
  <c r="B1245" i="50"/>
  <c r="E1245" i="50"/>
  <c r="F1245" i="50"/>
  <c r="G1245" i="50"/>
  <c r="B1246" i="50"/>
  <c r="E1246" i="50"/>
  <c r="F1246" i="50"/>
  <c r="G1246" i="50"/>
  <c r="B1247" i="50"/>
  <c r="E1247" i="50"/>
  <c r="F1247" i="50"/>
  <c r="G1247" i="50"/>
  <c r="B1248" i="50"/>
  <c r="E1248" i="50"/>
  <c r="F1248" i="50"/>
  <c r="G1248" i="50"/>
  <c r="B1249" i="50"/>
  <c r="E1249" i="50"/>
  <c r="F1249" i="50"/>
  <c r="G1249" i="50"/>
  <c r="B1250" i="50"/>
  <c r="E1250" i="50"/>
  <c r="F1250" i="50"/>
  <c r="G1250" i="50"/>
  <c r="B1251" i="50"/>
  <c r="E1251" i="50"/>
  <c r="F1251" i="50"/>
  <c r="G1251" i="50"/>
  <c r="B1252" i="50"/>
  <c r="E1252" i="50"/>
  <c r="F1252" i="50"/>
  <c r="G1252" i="50"/>
  <c r="B1253" i="50"/>
  <c r="E1253" i="50"/>
  <c r="F1253" i="50"/>
  <c r="G1253" i="50"/>
  <c r="B1254" i="50"/>
  <c r="E1254" i="50"/>
  <c r="F1254" i="50"/>
  <c r="G1254" i="50"/>
  <c r="B1255" i="50"/>
  <c r="E1255" i="50"/>
  <c r="F1255" i="50"/>
  <c r="G1255" i="50"/>
  <c r="B1256" i="50"/>
  <c r="E1256" i="50"/>
  <c r="F1256" i="50"/>
  <c r="G1256" i="50"/>
  <c r="B1257" i="50"/>
  <c r="E1257" i="50"/>
  <c r="F1257" i="50"/>
  <c r="G1257" i="50"/>
  <c r="B1258" i="50"/>
  <c r="E1258" i="50"/>
  <c r="F1258" i="50"/>
  <c r="G1258" i="50"/>
  <c r="B1259" i="50"/>
  <c r="E1259" i="50"/>
  <c r="F1259" i="50"/>
  <c r="G1259" i="50"/>
  <c r="B1260" i="50"/>
  <c r="E1260" i="50"/>
  <c r="F1260" i="50"/>
  <c r="G1260" i="50"/>
  <c r="B1261" i="50"/>
  <c r="E1261" i="50"/>
  <c r="F1261" i="50"/>
  <c r="G1261" i="50"/>
  <c r="B1262" i="50"/>
  <c r="E1262" i="50"/>
  <c r="F1262" i="50"/>
  <c r="G1262" i="50"/>
  <c r="B1263" i="50"/>
  <c r="E1263" i="50"/>
  <c r="F1263" i="50"/>
  <c r="G1263" i="50"/>
  <c r="B1264" i="50"/>
  <c r="E1264" i="50"/>
  <c r="F1264" i="50"/>
  <c r="G1264" i="50"/>
  <c r="B1265" i="50"/>
  <c r="E1265" i="50"/>
  <c r="F1265" i="50"/>
  <c r="G1265" i="50"/>
  <c r="B1266" i="50"/>
  <c r="E1266" i="50"/>
  <c r="F1266" i="50"/>
  <c r="G1266" i="50"/>
  <c r="B1267" i="50"/>
  <c r="E1267" i="50"/>
  <c r="F1267" i="50"/>
  <c r="G1267" i="50"/>
  <c r="B1268" i="50"/>
  <c r="E1268" i="50"/>
  <c r="F1268" i="50"/>
  <c r="G1268" i="50"/>
  <c r="B1269" i="50"/>
  <c r="E1269" i="50"/>
  <c r="F1269" i="50"/>
  <c r="G1269" i="50"/>
  <c r="B1270" i="50"/>
  <c r="E1270" i="50"/>
  <c r="F1270" i="50"/>
  <c r="G1270" i="50"/>
  <c r="B1271" i="50"/>
  <c r="E1271" i="50"/>
  <c r="F1271" i="50"/>
  <c r="G1271" i="50"/>
  <c r="B1272" i="50"/>
  <c r="E1272" i="50"/>
  <c r="F1272" i="50"/>
  <c r="G1272" i="50"/>
  <c r="B1273" i="50"/>
  <c r="E1273" i="50"/>
  <c r="F1273" i="50"/>
  <c r="G1273" i="50"/>
  <c r="B1274" i="50"/>
  <c r="E1274" i="50"/>
  <c r="F1274" i="50"/>
  <c r="G1274" i="50"/>
  <c r="B1275" i="50"/>
  <c r="E1275" i="50"/>
  <c r="F1275" i="50"/>
  <c r="G1275" i="50"/>
  <c r="B1276" i="50"/>
  <c r="E1276" i="50"/>
  <c r="F1276" i="50"/>
  <c r="G1276" i="50"/>
  <c r="B1277" i="50"/>
  <c r="E1277" i="50"/>
  <c r="F1277" i="50"/>
  <c r="G1277" i="50"/>
  <c r="B1278" i="50"/>
  <c r="E1278" i="50"/>
  <c r="F1278" i="50"/>
  <c r="G1278" i="50"/>
  <c r="B1279" i="50"/>
  <c r="E1279" i="50"/>
  <c r="F1279" i="50"/>
  <c r="G1279" i="50"/>
  <c r="G29" i="50"/>
  <c r="F29" i="50"/>
  <c r="E29" i="50"/>
  <c r="B29" i="50"/>
  <c r="Q183" i="10" l="1"/>
  <c r="Q153" i="10"/>
  <c r="Q213" i="10"/>
  <c r="Q112" i="10"/>
  <c r="Q196" i="10"/>
  <c r="Q115" i="10"/>
  <c r="Q188" i="10"/>
  <c r="Q146" i="10"/>
  <c r="Q134" i="10"/>
  <c r="Q27" i="10"/>
  <c r="Q173" i="10"/>
  <c r="Q192" i="10"/>
  <c r="Q138" i="10"/>
  <c r="Q157" i="10"/>
  <c r="Q33" i="10"/>
  <c r="Q81" i="10"/>
  <c r="Q130" i="10"/>
  <c r="Q166" i="10"/>
  <c r="Q191" i="10"/>
  <c r="Q210" i="10"/>
  <c r="Q139" i="10"/>
  <c r="Q102" i="10"/>
  <c r="Q145" i="10"/>
  <c r="Q86" i="10"/>
  <c r="Q45" i="10"/>
  <c r="Q75" i="10"/>
  <c r="Q22" i="10"/>
  <c r="Q184" i="10"/>
  <c r="Q203" i="10"/>
  <c r="Q35" i="10"/>
  <c r="Q119" i="10"/>
  <c r="Q161" i="10"/>
  <c r="Q133" i="10"/>
  <c r="Q194" i="10"/>
  <c r="Q193" i="10"/>
  <c r="Q80" i="10"/>
  <c r="Q92" i="10"/>
  <c r="Q110" i="10"/>
  <c r="Q57" i="10"/>
  <c r="Q103" i="10"/>
  <c r="Q160" i="10"/>
  <c r="Q29" i="10"/>
  <c r="Q149" i="10"/>
  <c r="Q209" i="10"/>
  <c r="Q48" i="10"/>
  <c r="Q38" i="10"/>
  <c r="Q99" i="10"/>
  <c r="Q117" i="10"/>
  <c r="Q159" i="10"/>
  <c r="Q82" i="10"/>
  <c r="Q190" i="10"/>
  <c r="Q208" i="10"/>
  <c r="Q65" i="10"/>
  <c r="Q168" i="10"/>
  <c r="Q120" i="10"/>
  <c r="Q25" i="10"/>
  <c r="Q85" i="10"/>
  <c r="Q186" i="10"/>
  <c r="Q32" i="10"/>
  <c r="Q207" i="10"/>
  <c r="Q111" i="10"/>
  <c r="Q64" i="10"/>
  <c r="Q53" i="10"/>
  <c r="Q101" i="10"/>
  <c r="Q144" i="10"/>
  <c r="Q162" i="10"/>
  <c r="Q116" i="10"/>
  <c r="Q189" i="10"/>
  <c r="Q158" i="10"/>
  <c r="Q40" i="10"/>
  <c r="Q94" i="10"/>
  <c r="Q100" i="10"/>
  <c r="Q214" i="10"/>
  <c r="Q167" i="10"/>
  <c r="Q72" i="10"/>
  <c r="Q31" i="10"/>
  <c r="Q61" i="10"/>
  <c r="Q121" i="10"/>
  <c r="Q199" i="10"/>
  <c r="Q87" i="10"/>
  <c r="Q204" i="10"/>
  <c r="Q211" i="10"/>
  <c r="Q46" i="10"/>
  <c r="Q67" i="10"/>
  <c r="Q52" i="10"/>
  <c r="Q58" i="10"/>
  <c r="Q76" i="10"/>
  <c r="Q118" i="10"/>
  <c r="Q195" i="10"/>
  <c r="Q148" i="10"/>
  <c r="Q154" i="10"/>
  <c r="Q108" i="10"/>
  <c r="Q128" i="10"/>
  <c r="Q185" i="10"/>
  <c r="Q140" i="10"/>
  <c r="Q180" i="10"/>
  <c r="Q17" i="10"/>
  <c r="Q11" i="10"/>
  <c r="Q4" i="10"/>
  <c r="Q6" i="10"/>
  <c r="Q16" i="10"/>
  <c r="Q7" i="10"/>
  <c r="Q10" i="10"/>
  <c r="Q19" i="10"/>
  <c r="Q13" i="10"/>
  <c r="R158" i="10"/>
  <c r="R192" i="10"/>
  <c r="R157" i="10"/>
  <c r="R166" i="10"/>
  <c r="AL68" i="10"/>
  <c r="AL61" i="10"/>
  <c r="AL46" i="10"/>
  <c r="AL100" i="10"/>
  <c r="AL134" i="10"/>
  <c r="AL58" i="10"/>
  <c r="AL41" i="10"/>
  <c r="AL135" i="10"/>
  <c r="AL96" i="10"/>
  <c r="AL4" i="10"/>
  <c r="AL49" i="10"/>
  <c r="AL90" i="10"/>
  <c r="AL29" i="10"/>
  <c r="AL129" i="10"/>
  <c r="AL70" i="10"/>
  <c r="AL163" i="10"/>
  <c r="AL87" i="10"/>
  <c r="AL115" i="10"/>
  <c r="AL21" i="10"/>
  <c r="AL27" i="10"/>
  <c r="AL81" i="10"/>
  <c r="AL117" i="10"/>
  <c r="AL141" i="10"/>
  <c r="AL88" i="10"/>
  <c r="AL101" i="10"/>
  <c r="AL54" i="10"/>
  <c r="AL31" i="10"/>
  <c r="AL112" i="10"/>
  <c r="AL91" i="10"/>
  <c r="AL57" i="10"/>
  <c r="AL76" i="10"/>
  <c r="AL13" i="10"/>
  <c r="AL65" i="10"/>
  <c r="D551" i="31" l="1"/>
  <c r="C551" i="31"/>
  <c r="D550" i="31"/>
  <c r="C550" i="31"/>
  <c r="D549" i="31"/>
  <c r="C549" i="31"/>
  <c r="D548" i="31"/>
  <c r="C548" i="31"/>
  <c r="D547" i="31"/>
  <c r="C547" i="31"/>
  <c r="D546" i="31"/>
  <c r="C546" i="31"/>
  <c r="D545" i="31"/>
  <c r="C545" i="31"/>
  <c r="D544" i="31"/>
  <c r="C544" i="31"/>
  <c r="D543" i="31"/>
  <c r="C543" i="31"/>
  <c r="D542" i="31"/>
  <c r="C542" i="31"/>
  <c r="D541" i="31"/>
  <c r="C541" i="31"/>
  <c r="D540" i="31"/>
  <c r="C540" i="31"/>
  <c r="D539" i="31"/>
  <c r="C539" i="31"/>
  <c r="D538" i="31"/>
  <c r="C538" i="31"/>
  <c r="D537" i="31"/>
  <c r="C537" i="31"/>
  <c r="D536" i="31"/>
  <c r="C536" i="31"/>
  <c r="D535" i="31"/>
  <c r="C535" i="31"/>
  <c r="D534" i="31"/>
  <c r="C534" i="31"/>
  <c r="D533" i="31"/>
  <c r="C533" i="31"/>
  <c r="C513" i="31"/>
  <c r="D513" i="31"/>
  <c r="C514" i="31"/>
  <c r="D514" i="31"/>
  <c r="C515" i="31"/>
  <c r="D515" i="31"/>
  <c r="C516" i="31"/>
  <c r="D516" i="31"/>
  <c r="C517" i="31"/>
  <c r="D517" i="31"/>
  <c r="C518" i="31"/>
  <c r="D518" i="31"/>
  <c r="C519" i="31"/>
  <c r="D519" i="31"/>
  <c r="C520" i="31"/>
  <c r="D520" i="31"/>
  <c r="C521" i="31"/>
  <c r="D521" i="31"/>
  <c r="C522" i="31"/>
  <c r="D522" i="31"/>
  <c r="C523" i="31"/>
  <c r="D523" i="31"/>
  <c r="C524" i="31"/>
  <c r="D524" i="31"/>
  <c r="C525" i="31"/>
  <c r="D525" i="31"/>
  <c r="C526" i="31"/>
  <c r="D526" i="31"/>
  <c r="C527" i="31"/>
  <c r="D527" i="31"/>
  <c r="C528" i="31"/>
  <c r="D528" i="31"/>
  <c r="C529" i="31"/>
  <c r="D529" i="31"/>
  <c r="C530" i="31"/>
  <c r="D530" i="31"/>
  <c r="C531" i="31"/>
  <c r="D531" i="31"/>
  <c r="D511" i="31" l="1"/>
  <c r="C511" i="31"/>
  <c r="D510" i="31"/>
  <c r="C510" i="31"/>
  <c r="D509" i="31"/>
  <c r="C509" i="31"/>
  <c r="D508" i="31"/>
  <c r="C508" i="31"/>
  <c r="D507" i="31"/>
  <c r="C507" i="31"/>
  <c r="D506" i="31"/>
  <c r="C506" i="31"/>
  <c r="D505" i="31"/>
  <c r="C505" i="31"/>
  <c r="D504" i="31"/>
  <c r="C504" i="31"/>
  <c r="D503" i="31"/>
  <c r="C503" i="31"/>
  <c r="D502" i="31"/>
  <c r="C502" i="31"/>
  <c r="D501" i="31"/>
  <c r="C501" i="31"/>
  <c r="D500" i="31"/>
  <c r="C500" i="31"/>
  <c r="D499" i="31"/>
  <c r="C499" i="31"/>
  <c r="D498" i="31"/>
  <c r="C498" i="31"/>
  <c r="D497" i="31"/>
  <c r="C497" i="31"/>
  <c r="D496" i="31"/>
  <c r="C496" i="31"/>
  <c r="D495" i="31"/>
  <c r="C495" i="31"/>
  <c r="D494" i="31"/>
  <c r="C494" i="31"/>
  <c r="C490" i="31" l="1"/>
  <c r="D490" i="31"/>
  <c r="D492" i="31" l="1"/>
  <c r="C492" i="31"/>
  <c r="D491" i="31"/>
  <c r="C491" i="31"/>
  <c r="D489" i="31"/>
  <c r="C489" i="31"/>
  <c r="D488" i="31"/>
  <c r="C488" i="31"/>
  <c r="D487" i="31"/>
  <c r="C487" i="31"/>
  <c r="D486" i="31"/>
  <c r="C486" i="31"/>
  <c r="D485" i="31"/>
  <c r="C485" i="31"/>
  <c r="D484" i="31"/>
  <c r="C484" i="31"/>
  <c r="D483" i="31"/>
  <c r="C483" i="31"/>
  <c r="D482" i="31"/>
  <c r="C482" i="31"/>
  <c r="D481" i="31"/>
  <c r="C481" i="31"/>
  <c r="D480" i="31"/>
  <c r="C480" i="31"/>
  <c r="D479" i="31"/>
  <c r="C479" i="31"/>
  <c r="D478" i="31"/>
  <c r="C478" i="31"/>
  <c r="D477" i="31"/>
  <c r="C477" i="31"/>
  <c r="D476" i="31"/>
  <c r="C476" i="31"/>
  <c r="D475" i="31"/>
  <c r="C475" i="31"/>
  <c r="D473" i="31" l="1"/>
  <c r="C473" i="31"/>
  <c r="D472" i="31"/>
  <c r="C472" i="31"/>
  <c r="D471" i="31"/>
  <c r="C471" i="31"/>
  <c r="D470" i="31"/>
  <c r="C470" i="31"/>
  <c r="D469" i="31"/>
  <c r="C469" i="31"/>
  <c r="D468" i="31"/>
  <c r="C468" i="31"/>
  <c r="D467" i="31"/>
  <c r="C467" i="31"/>
  <c r="D466" i="31"/>
  <c r="C466" i="31"/>
  <c r="D465" i="31"/>
  <c r="C465" i="31"/>
  <c r="D464" i="31"/>
  <c r="C464" i="31"/>
  <c r="D463" i="31"/>
  <c r="C463" i="31"/>
  <c r="D462" i="31"/>
  <c r="C462" i="31"/>
  <c r="D461" i="31"/>
  <c r="C461" i="31"/>
  <c r="D460" i="31"/>
  <c r="C460" i="31"/>
  <c r="D459" i="31"/>
  <c r="C459" i="31"/>
  <c r="D458" i="31"/>
  <c r="C458" i="31"/>
  <c r="D457" i="31"/>
  <c r="C457" i="31"/>
  <c r="C439" i="31"/>
  <c r="D439" i="31"/>
  <c r="C440" i="31"/>
  <c r="D440" i="31"/>
  <c r="C441" i="31"/>
  <c r="D441" i="31"/>
  <c r="C442" i="31"/>
  <c r="D442" i="31"/>
  <c r="C443" i="31"/>
  <c r="D443" i="31"/>
  <c r="C444" i="31"/>
  <c r="D444" i="31"/>
  <c r="C445" i="31"/>
  <c r="D445" i="31"/>
  <c r="C446" i="31"/>
  <c r="D446" i="31"/>
  <c r="C447" i="31"/>
  <c r="D447" i="31"/>
  <c r="C448" i="31"/>
  <c r="D448" i="31"/>
  <c r="C449" i="31"/>
  <c r="D449" i="31"/>
  <c r="C450" i="31"/>
  <c r="D450" i="31"/>
  <c r="C451" i="31"/>
  <c r="D451" i="31"/>
  <c r="C452" i="31"/>
  <c r="D452" i="31"/>
  <c r="C453" i="31"/>
  <c r="D453" i="31"/>
  <c r="C454" i="31"/>
  <c r="D454" i="31"/>
  <c r="C455" i="31"/>
  <c r="D455" i="31"/>
  <c r="C420" i="31"/>
  <c r="D420" i="31"/>
  <c r="C421" i="31"/>
  <c r="D421" i="31"/>
  <c r="C422" i="31"/>
  <c r="D422" i="31"/>
  <c r="C423" i="31"/>
  <c r="D423" i="31"/>
  <c r="C424" i="31"/>
  <c r="D424" i="31"/>
  <c r="C425" i="31"/>
  <c r="D425" i="31"/>
  <c r="C426" i="31"/>
  <c r="D426" i="31"/>
  <c r="C427" i="31"/>
  <c r="D427" i="31"/>
  <c r="C428" i="31"/>
  <c r="D428" i="31"/>
  <c r="C429" i="31"/>
  <c r="D429" i="31"/>
  <c r="C430" i="31"/>
  <c r="D430" i="31"/>
  <c r="C431" i="31"/>
  <c r="D431" i="31"/>
  <c r="C432" i="31"/>
  <c r="D432" i="31"/>
  <c r="C433" i="31"/>
  <c r="D433" i="31"/>
  <c r="C434" i="31"/>
  <c r="D434" i="31"/>
  <c r="C435" i="31"/>
  <c r="D435" i="31"/>
  <c r="C436" i="31"/>
  <c r="D436" i="31"/>
  <c r="C437" i="31"/>
  <c r="D437" i="31"/>
  <c r="C401" i="31" l="1"/>
  <c r="D401" i="31"/>
  <c r="C402" i="31"/>
  <c r="D402" i="31"/>
  <c r="C403" i="31"/>
  <c r="D403" i="31"/>
  <c r="C404" i="31"/>
  <c r="D404" i="31"/>
  <c r="C405" i="31"/>
  <c r="D405" i="31"/>
  <c r="C406" i="31"/>
  <c r="D406" i="31"/>
  <c r="C407" i="31"/>
  <c r="D407" i="31"/>
  <c r="C408" i="31"/>
  <c r="D408" i="31"/>
  <c r="C409" i="31"/>
  <c r="D409" i="31"/>
  <c r="C410" i="31"/>
  <c r="D410" i="31"/>
  <c r="C411" i="31"/>
  <c r="D411" i="31"/>
  <c r="C412" i="31"/>
  <c r="D412" i="31"/>
  <c r="C413" i="31"/>
  <c r="D413" i="31"/>
  <c r="C414" i="31"/>
  <c r="D414" i="31"/>
  <c r="C415" i="31"/>
  <c r="D415" i="31"/>
  <c r="C416" i="31"/>
  <c r="D416" i="31"/>
  <c r="C417" i="31"/>
  <c r="D417" i="31"/>
  <c r="C418" i="31"/>
  <c r="D418" i="31"/>
  <c r="D399" i="31" l="1"/>
  <c r="C399" i="31"/>
  <c r="D398" i="31"/>
  <c r="C398" i="31"/>
  <c r="D397" i="31"/>
  <c r="C397" i="31"/>
  <c r="D396" i="31"/>
  <c r="C396" i="31"/>
  <c r="D395" i="31"/>
  <c r="C395" i="31"/>
  <c r="D394" i="31"/>
  <c r="C394" i="31"/>
  <c r="D393" i="31"/>
  <c r="C393" i="31"/>
  <c r="D392" i="31"/>
  <c r="C392" i="31"/>
  <c r="D391" i="31"/>
  <c r="C391" i="31"/>
  <c r="D390" i="31"/>
  <c r="C390" i="31"/>
  <c r="D389" i="31"/>
  <c r="C389" i="31"/>
  <c r="D388" i="31"/>
  <c r="C388" i="31"/>
  <c r="D387" i="31"/>
  <c r="C387" i="31"/>
  <c r="D386" i="31"/>
  <c r="C386" i="31"/>
  <c r="D385" i="31"/>
  <c r="C385" i="31"/>
  <c r="D384" i="31"/>
  <c r="C384" i="31"/>
  <c r="D383" i="31"/>
  <c r="C383" i="31"/>
  <c r="D382" i="31"/>
  <c r="C382" i="31"/>
  <c r="D27" i="22" l="1"/>
  <c r="C363" i="31"/>
  <c r="D363" i="31"/>
  <c r="C364" i="31"/>
  <c r="D364" i="31"/>
  <c r="C365" i="31"/>
  <c r="D365" i="31"/>
  <c r="C366" i="31"/>
  <c r="D366" i="31"/>
  <c r="C367" i="31"/>
  <c r="D367" i="31"/>
  <c r="C368" i="31"/>
  <c r="D368" i="31"/>
  <c r="C369" i="31"/>
  <c r="D369" i="31"/>
  <c r="C370" i="31"/>
  <c r="D370" i="31"/>
  <c r="C371" i="31"/>
  <c r="D371" i="31"/>
  <c r="C372" i="31"/>
  <c r="D372" i="31"/>
  <c r="C373" i="31"/>
  <c r="D373" i="31"/>
  <c r="C374" i="31"/>
  <c r="D374" i="31"/>
  <c r="C375" i="31"/>
  <c r="D375" i="31"/>
  <c r="C376" i="31"/>
  <c r="D376" i="31"/>
  <c r="C377" i="31"/>
  <c r="D377" i="31"/>
  <c r="C378" i="31"/>
  <c r="D378" i="31"/>
  <c r="C379" i="31"/>
  <c r="D379" i="31"/>
  <c r="C380" i="31"/>
  <c r="D380" i="31"/>
  <c r="C358" i="31"/>
  <c r="D358" i="31"/>
  <c r="C359" i="31"/>
  <c r="D359" i="31"/>
  <c r="C360" i="31"/>
  <c r="D360" i="31"/>
  <c r="D341" i="31"/>
  <c r="C341" i="31"/>
  <c r="E27" i="22" l="1"/>
  <c r="V27" i="22"/>
  <c r="S27" i="22"/>
  <c r="O27" i="22"/>
  <c r="W27" i="22"/>
  <c r="L27" i="22"/>
  <c r="I27" i="22"/>
  <c r="T27" i="22"/>
  <c r="P27" i="22"/>
  <c r="Y27" i="22"/>
  <c r="M27" i="22"/>
  <c r="Z27" i="22"/>
  <c r="Q27" i="22"/>
  <c r="K27" i="22"/>
  <c r="U27" i="22"/>
  <c r="R27" i="22"/>
  <c r="N27" i="22"/>
  <c r="H27" i="22"/>
  <c r="D324" i="31"/>
  <c r="C324" i="31"/>
  <c r="D304" i="31"/>
  <c r="C304" i="31"/>
  <c r="D284" i="31"/>
  <c r="C284" i="31"/>
  <c r="J27" i="22" l="1"/>
  <c r="F28" i="22"/>
  <c r="O3" i="22"/>
  <c r="D302" i="31" l="1"/>
  <c r="C302" i="31"/>
  <c r="D282" i="31"/>
  <c r="C282" i="31"/>
  <c r="D262" i="31"/>
  <c r="C262" i="31"/>
  <c r="D241" i="31"/>
  <c r="C241" i="31"/>
  <c r="D220" i="31" l="1"/>
  <c r="C220" i="31"/>
  <c r="C197" i="31" l="1"/>
  <c r="D197" i="31"/>
  <c r="C198" i="31"/>
  <c r="D198" i="31"/>
  <c r="C199" i="31"/>
  <c r="D199" i="31"/>
  <c r="C200" i="31"/>
  <c r="D200" i="31"/>
  <c r="C224" i="31"/>
  <c r="D224" i="31"/>
  <c r="C225" i="31"/>
  <c r="D225" i="31"/>
  <c r="C226" i="31"/>
  <c r="D226" i="31"/>
  <c r="C227" i="31"/>
  <c r="D227" i="31"/>
  <c r="C228" i="31"/>
  <c r="D228" i="31"/>
  <c r="C229" i="31"/>
  <c r="D229" i="31"/>
  <c r="C230" i="31"/>
  <c r="D230" i="31"/>
  <c r="C231" i="31"/>
  <c r="D231" i="31"/>
  <c r="C232" i="31"/>
  <c r="D232" i="31"/>
  <c r="C233" i="31"/>
  <c r="D233" i="31"/>
  <c r="C234" i="31"/>
  <c r="D234" i="31"/>
  <c r="C235" i="31"/>
  <c r="D235" i="31"/>
  <c r="C236" i="31"/>
  <c r="D236" i="31"/>
  <c r="C237" i="31"/>
  <c r="D237" i="31"/>
  <c r="C238" i="31"/>
  <c r="D238" i="31"/>
  <c r="C239" i="31"/>
  <c r="D239" i="31"/>
  <c r="C240" i="31"/>
  <c r="D240" i="31"/>
  <c r="C242" i="31"/>
  <c r="D242" i="31"/>
  <c r="C216" i="31"/>
  <c r="D216" i="31"/>
  <c r="C217" i="31"/>
  <c r="D217" i="31"/>
  <c r="C218" i="31"/>
  <c r="D218" i="31"/>
  <c r="C219" i="31"/>
  <c r="D219" i="31"/>
  <c r="D361" i="31" l="1"/>
  <c r="C361" i="31"/>
  <c r="D357" i="31"/>
  <c r="C357" i="31"/>
  <c r="D356" i="31"/>
  <c r="C356" i="31"/>
  <c r="D355" i="31"/>
  <c r="C355" i="31"/>
  <c r="D354" i="31"/>
  <c r="C354" i="31"/>
  <c r="D353" i="31"/>
  <c r="C353" i="31"/>
  <c r="D352" i="31"/>
  <c r="C352" i="31"/>
  <c r="D351" i="31"/>
  <c r="C351" i="31"/>
  <c r="D350" i="31"/>
  <c r="C350" i="31"/>
  <c r="D349" i="31"/>
  <c r="C349" i="31"/>
  <c r="D348" i="31"/>
  <c r="C348" i="31"/>
  <c r="D347" i="31"/>
  <c r="C347" i="31"/>
  <c r="D346" i="31"/>
  <c r="C346" i="31"/>
  <c r="D345" i="31"/>
  <c r="C345" i="31"/>
  <c r="D342" i="31"/>
  <c r="C342" i="31"/>
  <c r="D340" i="31"/>
  <c r="C340" i="31"/>
  <c r="D339" i="31"/>
  <c r="C339" i="31"/>
  <c r="D338" i="31"/>
  <c r="C338" i="31"/>
  <c r="D337" i="31"/>
  <c r="C337" i="31"/>
  <c r="D336" i="31"/>
  <c r="C336" i="31"/>
  <c r="D335" i="31"/>
  <c r="C335" i="31"/>
  <c r="D334" i="31"/>
  <c r="C334" i="31"/>
  <c r="D333" i="31"/>
  <c r="C333" i="31"/>
  <c r="D332" i="31"/>
  <c r="C332" i="31"/>
  <c r="D331" i="31"/>
  <c r="C331" i="31"/>
  <c r="D330" i="31"/>
  <c r="C330" i="31"/>
  <c r="D329" i="31"/>
  <c r="C329" i="31"/>
  <c r="D328" i="31"/>
  <c r="C328" i="31"/>
  <c r="D327" i="31"/>
  <c r="C327" i="31"/>
  <c r="D323" i="31"/>
  <c r="C323" i="31"/>
  <c r="D322" i="31"/>
  <c r="C322" i="31"/>
  <c r="D321" i="31"/>
  <c r="C321" i="31"/>
  <c r="D320" i="31"/>
  <c r="C320" i="31"/>
  <c r="D319" i="31"/>
  <c r="C319" i="31"/>
  <c r="D318" i="31"/>
  <c r="C318" i="31"/>
  <c r="D317" i="31"/>
  <c r="C317" i="31"/>
  <c r="D316" i="31"/>
  <c r="C316" i="31"/>
  <c r="D315" i="31"/>
  <c r="C315" i="31"/>
  <c r="D314" i="31"/>
  <c r="C314" i="31"/>
  <c r="D313" i="31"/>
  <c r="C313" i="31"/>
  <c r="D312" i="31"/>
  <c r="C312" i="31"/>
  <c r="D311" i="31"/>
  <c r="C311" i="31"/>
  <c r="D310" i="31"/>
  <c r="C310" i="31"/>
  <c r="D309" i="31"/>
  <c r="C309" i="31"/>
  <c r="D308" i="31"/>
  <c r="C308" i="31"/>
  <c r="D307" i="31"/>
  <c r="C307" i="31"/>
  <c r="D303" i="31"/>
  <c r="C303" i="31"/>
  <c r="D301" i="31"/>
  <c r="C301" i="31"/>
  <c r="D300" i="31"/>
  <c r="C300" i="31"/>
  <c r="D299" i="31"/>
  <c r="C299" i="31"/>
  <c r="D298" i="31"/>
  <c r="C298" i="31"/>
  <c r="D297" i="31"/>
  <c r="C297" i="31"/>
  <c r="D296" i="31"/>
  <c r="C296" i="31"/>
  <c r="D295" i="31"/>
  <c r="C295" i="31"/>
  <c r="D294" i="31"/>
  <c r="C294" i="31"/>
  <c r="D293" i="31"/>
  <c r="C293" i="31"/>
  <c r="D292" i="31"/>
  <c r="C292" i="31"/>
  <c r="D291" i="31"/>
  <c r="C291" i="31"/>
  <c r="D290" i="31"/>
  <c r="C290" i="31"/>
  <c r="D289" i="31"/>
  <c r="C289" i="31"/>
  <c r="D288" i="31"/>
  <c r="C288" i="31"/>
  <c r="D287" i="31"/>
  <c r="C287" i="31"/>
  <c r="D283" i="31"/>
  <c r="C283" i="31"/>
  <c r="D281" i="31"/>
  <c r="C281" i="31"/>
  <c r="D280" i="31"/>
  <c r="C280" i="31"/>
  <c r="D279" i="31"/>
  <c r="C279" i="31"/>
  <c r="D278" i="31"/>
  <c r="C278" i="31"/>
  <c r="D277" i="31"/>
  <c r="C277" i="31"/>
  <c r="D276" i="31"/>
  <c r="C276" i="31"/>
  <c r="D275" i="31"/>
  <c r="C275" i="31"/>
  <c r="D274" i="31"/>
  <c r="C274" i="31"/>
  <c r="D273" i="31"/>
  <c r="C273" i="31"/>
  <c r="D272" i="31"/>
  <c r="C272" i="31"/>
  <c r="D271" i="31"/>
  <c r="C271" i="31"/>
  <c r="D270" i="31"/>
  <c r="C270" i="31"/>
  <c r="D269" i="31"/>
  <c r="C269" i="31"/>
  <c r="D268" i="31"/>
  <c r="C268" i="31"/>
  <c r="D267" i="31"/>
  <c r="C267" i="31"/>
  <c r="D266" i="31"/>
  <c r="C266" i="31"/>
  <c r="C245" i="31"/>
  <c r="D245" i="31"/>
  <c r="C246" i="31"/>
  <c r="D246" i="31"/>
  <c r="C247" i="31"/>
  <c r="D247" i="31"/>
  <c r="C248" i="31"/>
  <c r="D248" i="31"/>
  <c r="C249" i="31"/>
  <c r="D249" i="31"/>
  <c r="C250" i="31"/>
  <c r="D250" i="31"/>
  <c r="C251" i="31"/>
  <c r="D251" i="31"/>
  <c r="C252" i="31"/>
  <c r="D252" i="31"/>
  <c r="C253" i="31"/>
  <c r="D253" i="31"/>
  <c r="C254" i="31"/>
  <c r="D254" i="31"/>
  <c r="C255" i="31"/>
  <c r="D255" i="31"/>
  <c r="C256" i="31"/>
  <c r="D256" i="31"/>
  <c r="C257" i="31"/>
  <c r="D257" i="31"/>
  <c r="C258" i="31"/>
  <c r="D258" i="31"/>
  <c r="C259" i="31"/>
  <c r="D259" i="31"/>
  <c r="C260" i="31"/>
  <c r="D260" i="31"/>
  <c r="C261" i="31"/>
  <c r="D261" i="31"/>
  <c r="C263" i="31"/>
  <c r="D263" i="31"/>
  <c r="C223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D344" i="31"/>
  <c r="C344" i="31"/>
  <c r="D326" i="31"/>
  <c r="C326" i="31"/>
  <c r="D306" i="31"/>
  <c r="C306" i="31"/>
  <c r="D286" i="31"/>
  <c r="C286" i="31"/>
  <c r="D265" i="31"/>
  <c r="C265" i="31"/>
  <c r="D244" i="31"/>
  <c r="C244" i="31"/>
  <c r="D223" i="31"/>
  <c r="D222" i="31"/>
  <c r="C222" i="31"/>
  <c r="D215" i="31"/>
  <c r="D214" i="31"/>
  <c r="D213" i="31"/>
  <c r="D212" i="31"/>
  <c r="D211" i="31"/>
  <c r="D210" i="31"/>
  <c r="D209" i="31"/>
  <c r="D208" i="31"/>
  <c r="D207" i="31"/>
  <c r="D206" i="31"/>
  <c r="D205" i="31"/>
  <c r="D204" i="31"/>
  <c r="D203" i="31"/>
  <c r="D202" i="31"/>
  <c r="C202" i="31"/>
  <c r="D196" i="31"/>
  <c r="D195" i="31"/>
  <c r="D194" i="31"/>
  <c r="D193" i="31"/>
  <c r="D192" i="31"/>
  <c r="D191" i="31"/>
  <c r="D190" i="31"/>
  <c r="D189" i="31"/>
  <c r="D188" i="31"/>
  <c r="D187" i="31"/>
  <c r="D186" i="31"/>
  <c r="D185" i="31"/>
  <c r="D184" i="31"/>
  <c r="D183" i="31"/>
  <c r="C183" i="31"/>
  <c r="C162" i="31" l="1"/>
  <c r="D162" i="31"/>
  <c r="D145" i="31" l="1"/>
  <c r="C145" i="31"/>
  <c r="C128" i="31" l="1"/>
  <c r="D128" i="31"/>
  <c r="C3" i="31" l="1"/>
  <c r="D3" i="31"/>
  <c r="C4" i="31"/>
  <c r="D4" i="31"/>
  <c r="C5" i="31"/>
  <c r="D5" i="31"/>
  <c r="C6" i="31"/>
  <c r="D6" i="31"/>
  <c r="C7" i="31"/>
  <c r="D7" i="31"/>
  <c r="C8" i="31"/>
  <c r="D8" i="31"/>
  <c r="C9" i="31"/>
  <c r="D9" i="31"/>
  <c r="C10" i="31"/>
  <c r="D10" i="31"/>
  <c r="C11" i="31"/>
  <c r="D11" i="31"/>
  <c r="C12" i="31"/>
  <c r="D12" i="31"/>
  <c r="C13" i="31"/>
  <c r="D13" i="31"/>
  <c r="C14" i="31"/>
  <c r="D14" i="31"/>
  <c r="C15" i="31"/>
  <c r="D15" i="31"/>
  <c r="C16" i="31"/>
  <c r="D16" i="31"/>
  <c r="C18" i="31"/>
  <c r="D18" i="31"/>
  <c r="C19" i="31"/>
  <c r="D19" i="31"/>
  <c r="C20" i="31"/>
  <c r="D20" i="31"/>
  <c r="C21" i="31"/>
  <c r="D21" i="31"/>
  <c r="C22" i="31"/>
  <c r="D22" i="31"/>
  <c r="C23" i="31"/>
  <c r="D23" i="31"/>
  <c r="C24" i="31"/>
  <c r="D24" i="31"/>
  <c r="C25" i="31"/>
  <c r="D25" i="31"/>
  <c r="C26" i="31"/>
  <c r="D26" i="31"/>
  <c r="C27" i="31"/>
  <c r="D27" i="31"/>
  <c r="C28" i="31"/>
  <c r="D28" i="31"/>
  <c r="C29" i="31"/>
  <c r="D29" i="31"/>
  <c r="C30" i="31"/>
  <c r="D30" i="31"/>
  <c r="C31" i="31"/>
  <c r="D31" i="31"/>
  <c r="C32" i="31"/>
  <c r="D32" i="31"/>
  <c r="C34" i="31"/>
  <c r="D34" i="31"/>
  <c r="C35" i="31"/>
  <c r="D35" i="31"/>
  <c r="C36" i="31"/>
  <c r="D36" i="31"/>
  <c r="C37" i="31"/>
  <c r="D37" i="31"/>
  <c r="C38" i="31"/>
  <c r="D38" i="31"/>
  <c r="C39" i="31"/>
  <c r="D39" i="31"/>
  <c r="C40" i="31"/>
  <c r="D40" i="31"/>
  <c r="C41" i="31"/>
  <c r="D41" i="31"/>
  <c r="C42" i="31"/>
  <c r="D42" i="31"/>
  <c r="C43" i="31"/>
  <c r="D43" i="31"/>
  <c r="C44" i="31"/>
  <c r="D44" i="31"/>
  <c r="C45" i="31"/>
  <c r="D45" i="31"/>
  <c r="C46" i="31"/>
  <c r="D46" i="31"/>
  <c r="C47" i="31"/>
  <c r="D47" i="31"/>
  <c r="C48" i="31"/>
  <c r="D48" i="31"/>
  <c r="C50" i="31"/>
  <c r="D50" i="31"/>
  <c r="C51" i="31"/>
  <c r="D51" i="31"/>
  <c r="C52" i="31"/>
  <c r="D52" i="31"/>
  <c r="C53" i="31"/>
  <c r="D53" i="31"/>
  <c r="C54" i="31"/>
  <c r="D54" i="31"/>
  <c r="C55" i="31"/>
  <c r="D55" i="31"/>
  <c r="C56" i="31"/>
  <c r="D56" i="31"/>
  <c r="C57" i="31"/>
  <c r="D57" i="31"/>
  <c r="C58" i="31"/>
  <c r="D58" i="31"/>
  <c r="C59" i="31"/>
  <c r="D59" i="31"/>
  <c r="C60" i="31"/>
  <c r="D60" i="31"/>
  <c r="C61" i="31"/>
  <c r="D61" i="31"/>
  <c r="C62" i="31"/>
  <c r="D62" i="31"/>
  <c r="C63" i="31"/>
  <c r="D63" i="31"/>
  <c r="C64" i="31"/>
  <c r="D64" i="31"/>
  <c r="C66" i="31"/>
  <c r="D66" i="31"/>
  <c r="C67" i="31"/>
  <c r="D67" i="31"/>
  <c r="C68" i="31"/>
  <c r="D68" i="31"/>
  <c r="C69" i="31"/>
  <c r="D69" i="31"/>
  <c r="C70" i="31"/>
  <c r="D70" i="31"/>
  <c r="C71" i="31"/>
  <c r="D71" i="31"/>
  <c r="C72" i="31"/>
  <c r="D72" i="31"/>
  <c r="C73" i="31"/>
  <c r="D73" i="31"/>
  <c r="C74" i="31"/>
  <c r="D74" i="31"/>
  <c r="C75" i="31"/>
  <c r="D75" i="31"/>
  <c r="C76" i="31"/>
  <c r="D76" i="31"/>
  <c r="C77" i="31"/>
  <c r="D77" i="31"/>
  <c r="C78" i="31"/>
  <c r="D78" i="31"/>
  <c r="C79" i="31"/>
  <c r="D79" i="31"/>
  <c r="C80" i="31"/>
  <c r="D80" i="31"/>
  <c r="C82" i="31"/>
  <c r="D82" i="31"/>
  <c r="C83" i="31"/>
  <c r="D83" i="31"/>
  <c r="C84" i="31"/>
  <c r="D84" i="31"/>
  <c r="C85" i="31"/>
  <c r="D85" i="31"/>
  <c r="C86" i="31"/>
  <c r="D86" i="31"/>
  <c r="C87" i="31"/>
  <c r="D87" i="31"/>
  <c r="C88" i="31"/>
  <c r="D88" i="31"/>
  <c r="C89" i="31"/>
  <c r="D89" i="31"/>
  <c r="C90" i="31"/>
  <c r="D90" i="31"/>
  <c r="C91" i="31"/>
  <c r="D91" i="31"/>
  <c r="C92" i="31"/>
  <c r="D92" i="31"/>
  <c r="C93" i="31"/>
  <c r="D93" i="31"/>
  <c r="C94" i="31"/>
  <c r="D94" i="31"/>
  <c r="C95" i="31"/>
  <c r="D95" i="31"/>
  <c r="C96" i="31"/>
  <c r="D96" i="31"/>
  <c r="C98" i="31"/>
  <c r="D98" i="31"/>
  <c r="C99" i="31"/>
  <c r="D99" i="31"/>
  <c r="C100" i="31"/>
  <c r="D100" i="31"/>
  <c r="C101" i="31"/>
  <c r="D101" i="31"/>
  <c r="C102" i="31"/>
  <c r="D102" i="31"/>
  <c r="C103" i="31"/>
  <c r="D103" i="31"/>
  <c r="C104" i="31"/>
  <c r="D104" i="31"/>
  <c r="C105" i="31"/>
  <c r="D105" i="31"/>
  <c r="C106" i="31"/>
  <c r="D106" i="31"/>
  <c r="C107" i="31"/>
  <c r="D107" i="31"/>
  <c r="C108" i="31"/>
  <c r="D108" i="31"/>
  <c r="C109" i="31"/>
  <c r="D109" i="31"/>
  <c r="C110" i="31"/>
  <c r="D110" i="31"/>
  <c r="C111" i="31"/>
  <c r="D111" i="31"/>
  <c r="C112" i="31"/>
  <c r="D112" i="31"/>
  <c r="C114" i="31"/>
  <c r="D114" i="31"/>
  <c r="C115" i="31"/>
  <c r="D115" i="31"/>
  <c r="C116" i="31"/>
  <c r="D116" i="31"/>
  <c r="C117" i="31"/>
  <c r="D117" i="31"/>
  <c r="C118" i="31"/>
  <c r="D118" i="31"/>
  <c r="C119" i="31"/>
  <c r="D119" i="31"/>
  <c r="C120" i="31"/>
  <c r="D120" i="31"/>
  <c r="C121" i="31"/>
  <c r="D121" i="31"/>
  <c r="C122" i="31"/>
  <c r="D122" i="31"/>
  <c r="C123" i="31"/>
  <c r="D123" i="31"/>
  <c r="C124" i="31"/>
  <c r="D124" i="31"/>
  <c r="C125" i="31"/>
  <c r="D125" i="31"/>
  <c r="C126" i="31"/>
  <c r="D126" i="31"/>
  <c r="C127" i="31"/>
  <c r="D127" i="31"/>
  <c r="C129" i="31"/>
  <c r="D129" i="31"/>
  <c r="C131" i="31"/>
  <c r="D131" i="31"/>
  <c r="C132" i="31"/>
  <c r="D132" i="31"/>
  <c r="C133" i="31"/>
  <c r="D133" i="31"/>
  <c r="C134" i="31"/>
  <c r="D134" i="31"/>
  <c r="C135" i="31"/>
  <c r="D135" i="31"/>
  <c r="C136" i="31"/>
  <c r="D136" i="31"/>
  <c r="C137" i="31"/>
  <c r="D137" i="31"/>
  <c r="C138" i="31"/>
  <c r="D138" i="31"/>
  <c r="C139" i="31"/>
  <c r="D139" i="31"/>
  <c r="C140" i="31"/>
  <c r="D140" i="31"/>
  <c r="C141" i="31"/>
  <c r="D141" i="31"/>
  <c r="C142" i="31"/>
  <c r="D142" i="31"/>
  <c r="C143" i="31"/>
  <c r="D143" i="31"/>
  <c r="C144" i="31"/>
  <c r="D144" i="31"/>
  <c r="C146" i="31"/>
  <c r="D146" i="31"/>
  <c r="C148" i="31"/>
  <c r="D148" i="31"/>
  <c r="C149" i="31"/>
  <c r="D149" i="31"/>
  <c r="C150" i="31"/>
  <c r="D150" i="31"/>
  <c r="C151" i="31"/>
  <c r="D151" i="31"/>
  <c r="C152" i="31"/>
  <c r="D152" i="31"/>
  <c r="C153" i="31"/>
  <c r="D153" i="31"/>
  <c r="C154" i="31"/>
  <c r="D154" i="31"/>
  <c r="C155" i="31"/>
  <c r="D155" i="31"/>
  <c r="C156" i="31"/>
  <c r="D156" i="31"/>
  <c r="C157" i="31"/>
  <c r="D157" i="31"/>
  <c r="C158" i="31"/>
  <c r="D158" i="31"/>
  <c r="C159" i="31"/>
  <c r="D159" i="31"/>
  <c r="C160" i="31"/>
  <c r="D160" i="31"/>
  <c r="C161" i="31"/>
  <c r="D161" i="31"/>
  <c r="C163" i="31"/>
  <c r="D163" i="31"/>
  <c r="C165" i="31"/>
  <c r="D165" i="31"/>
  <c r="C166" i="31"/>
  <c r="D166" i="31"/>
  <c r="C167" i="31"/>
  <c r="D167" i="31"/>
  <c r="C168" i="31"/>
  <c r="D168" i="31"/>
  <c r="C169" i="31"/>
  <c r="D169" i="31"/>
  <c r="C170" i="31"/>
  <c r="D170" i="31"/>
  <c r="C171" i="31"/>
  <c r="D171" i="31"/>
  <c r="C172" i="31"/>
  <c r="D172" i="31"/>
  <c r="C173" i="31"/>
  <c r="D173" i="31"/>
  <c r="C174" i="31"/>
  <c r="D174" i="31"/>
  <c r="C175" i="31"/>
  <c r="D175" i="31"/>
  <c r="C176" i="31"/>
  <c r="D176" i="31"/>
  <c r="C177" i="31"/>
  <c r="D177" i="31"/>
  <c r="C178" i="31"/>
  <c r="D178" i="31"/>
  <c r="C181" i="31"/>
  <c r="D181" i="31"/>
  <c r="D2" i="31"/>
  <c r="C2" i="31"/>
  <c r="A213" i="9" l="1"/>
  <c r="A1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48" i="9"/>
  <c r="A47" i="9"/>
  <c r="A46" i="9"/>
  <c r="A45" i="9"/>
  <c r="A44" i="9"/>
  <c r="A43" i="9"/>
  <c r="A42" i="9"/>
  <c r="A41" i="9"/>
  <c r="A40" i="9"/>
  <c r="A39" i="9"/>
  <c r="A38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49" i="9"/>
  <c r="AF3" i="22" l="1"/>
  <c r="O28" i="22" l="1"/>
  <c r="AE3" i="22"/>
  <c r="B7" i="22" s="1"/>
  <c r="H28" i="22"/>
  <c r="X28" i="22"/>
  <c r="G28" i="22"/>
  <c r="B46" i="22" l="1"/>
  <c r="B30" i="22"/>
  <c r="B20" i="22"/>
  <c r="B45" i="22"/>
  <c r="B33" i="22"/>
  <c r="B18" i="22"/>
  <c r="B39" i="22"/>
  <c r="B16" i="22"/>
  <c r="B31" i="22"/>
  <c r="B22" i="22"/>
  <c r="B26" i="22"/>
  <c r="B32" i="22"/>
  <c r="B9" i="22"/>
  <c r="B23" i="22"/>
  <c r="B8" i="22"/>
  <c r="B35" i="22"/>
  <c r="B12" i="22"/>
  <c r="B21" i="22"/>
  <c r="B41" i="22"/>
  <c r="B15" i="22"/>
  <c r="B36" i="22"/>
  <c r="B40" i="22"/>
  <c r="B11" i="22"/>
  <c r="B37" i="22"/>
  <c r="B42" i="22"/>
  <c r="B34" i="22"/>
  <c r="B19" i="22"/>
  <c r="B38" i="22"/>
  <c r="B14" i="22"/>
  <c r="B13" i="22"/>
  <c r="B43" i="22"/>
  <c r="B44" i="22"/>
  <c r="B48" i="22"/>
  <c r="B29" i="22"/>
  <c r="B25" i="22"/>
  <c r="B17" i="22"/>
  <c r="B10" i="22"/>
  <c r="B24" i="22"/>
  <c r="B28" i="22"/>
  <c r="B47" i="22"/>
  <c r="B27" i="22"/>
  <c r="Y28" i="22"/>
  <c r="C7" i="22" l="1" a="1"/>
  <c r="C7" i="22" l="1"/>
  <c r="D7" i="22" s="1"/>
  <c r="D21" i="22"/>
  <c r="AC21" i="22" s="1"/>
  <c r="D26" i="22"/>
  <c r="D25" i="22"/>
  <c r="D9" i="22"/>
  <c r="AC9" i="22" s="1"/>
  <c r="D13" i="22"/>
  <c r="AC13" i="22" s="1"/>
  <c r="D17" i="22"/>
  <c r="AC17" i="22" s="1"/>
  <c r="D10" i="22"/>
  <c r="AC10" i="22" s="1"/>
  <c r="D14" i="22"/>
  <c r="AC14" i="22" s="1"/>
  <c r="D18" i="22"/>
  <c r="AC18" i="22" s="1"/>
  <c r="D22" i="22"/>
  <c r="AC22" i="22" s="1"/>
  <c r="D11" i="22"/>
  <c r="AC11" i="22" s="1"/>
  <c r="D15" i="22"/>
  <c r="AC15" i="22" s="1"/>
  <c r="D19" i="22"/>
  <c r="AC19" i="22" s="1"/>
  <c r="D23" i="22"/>
  <c r="AC23" i="22" s="1"/>
  <c r="D8" i="22"/>
  <c r="AC8" i="22" s="1"/>
  <c r="D12" i="22"/>
  <c r="AC12" i="22" s="1"/>
  <c r="D16" i="22"/>
  <c r="AC16" i="22" s="1"/>
  <c r="D20" i="22"/>
  <c r="AC20" i="22" s="1"/>
  <c r="D24" i="22"/>
  <c r="AC24" i="22" s="1"/>
  <c r="F27" i="22"/>
  <c r="X27" i="22"/>
  <c r="G27" i="22"/>
  <c r="AC7" i="22" l="1"/>
  <c r="Q7" i="22"/>
  <c r="E7" i="22"/>
  <c r="E18" i="22"/>
  <c r="S18" i="22"/>
  <c r="O18" i="22"/>
  <c r="H18" i="22"/>
  <c r="T18" i="22"/>
  <c r="P18" i="22"/>
  <c r="Q18" i="22"/>
  <c r="Z18" i="22"/>
  <c r="AA18" i="22" s="1"/>
  <c r="U18" i="22"/>
  <c r="R18" i="22"/>
  <c r="E22" i="22"/>
  <c r="Z22" i="22"/>
  <c r="AA22" i="22" s="1"/>
  <c r="U22" i="22"/>
  <c r="R22" i="22"/>
  <c r="S22" i="22"/>
  <c r="O22" i="22"/>
  <c r="H22" i="22"/>
  <c r="T22" i="22"/>
  <c r="P22" i="22"/>
  <c r="Q22" i="22"/>
  <c r="E14" i="22"/>
  <c r="T14" i="22"/>
  <c r="Q14" i="22"/>
  <c r="Z14" i="22"/>
  <c r="AA14" i="22" s="1"/>
  <c r="U14" i="22"/>
  <c r="R14" i="22"/>
  <c r="S14" i="22"/>
  <c r="O14" i="22"/>
  <c r="H14" i="22"/>
  <c r="P14" i="22"/>
  <c r="E11" i="22"/>
  <c r="Q11" i="22"/>
  <c r="Z11" i="22"/>
  <c r="AA11" i="22" s="1"/>
  <c r="U11" i="22"/>
  <c r="R11" i="22"/>
  <c r="S11" i="22"/>
  <c r="O11" i="22"/>
  <c r="H11" i="22"/>
  <c r="T11" i="22"/>
  <c r="P11" i="22"/>
  <c r="E10" i="22"/>
  <c r="Z10" i="22"/>
  <c r="AA10" i="22" s="1"/>
  <c r="U10" i="22"/>
  <c r="R10" i="22"/>
  <c r="S10" i="22"/>
  <c r="O10" i="22"/>
  <c r="H10" i="22"/>
  <c r="T10" i="22"/>
  <c r="P10" i="22"/>
  <c r="Q10" i="22"/>
  <c r="E24" i="22"/>
  <c r="Q24" i="22"/>
  <c r="Z24" i="22"/>
  <c r="AA24" i="22" s="1"/>
  <c r="U24" i="22"/>
  <c r="V24" i="22" s="1"/>
  <c r="R24" i="22"/>
  <c r="S24" i="22"/>
  <c r="O24" i="22"/>
  <c r="H24" i="22"/>
  <c r="T24" i="22"/>
  <c r="P24" i="22"/>
  <c r="E20" i="22"/>
  <c r="U20" i="22"/>
  <c r="R20" i="22"/>
  <c r="S20" i="22"/>
  <c r="O20" i="22"/>
  <c r="H20" i="22"/>
  <c r="T20" i="22"/>
  <c r="P20" i="22"/>
  <c r="Q20" i="22"/>
  <c r="Z20" i="22"/>
  <c r="AA20" i="22" s="1"/>
  <c r="E17" i="22"/>
  <c r="S17" i="22"/>
  <c r="O17" i="22"/>
  <c r="T17" i="22"/>
  <c r="P17" i="22"/>
  <c r="Q17" i="22"/>
  <c r="Z17" i="22"/>
  <c r="AA17" i="22" s="1"/>
  <c r="U17" i="22"/>
  <c r="R17" i="22"/>
  <c r="H17" i="22"/>
  <c r="E16" i="22"/>
  <c r="O16" i="22"/>
  <c r="H16" i="22"/>
  <c r="T16" i="22"/>
  <c r="P16" i="22"/>
  <c r="Q16" i="22"/>
  <c r="Z16" i="22"/>
  <c r="AA16" i="22" s="1"/>
  <c r="U16" i="22"/>
  <c r="R16" i="22"/>
  <c r="S16" i="22"/>
  <c r="E13" i="22"/>
  <c r="P13" i="22"/>
  <c r="Q13" i="22"/>
  <c r="Z13" i="22"/>
  <c r="AA13" i="22" s="1"/>
  <c r="U13" i="22"/>
  <c r="R13" i="22"/>
  <c r="S13" i="22"/>
  <c r="O13" i="22"/>
  <c r="H13" i="22"/>
  <c r="T13" i="22"/>
  <c r="E12" i="22"/>
  <c r="Z12" i="22"/>
  <c r="AA12" i="22" s="1"/>
  <c r="U12" i="22"/>
  <c r="V12" i="22" s="1"/>
  <c r="R12" i="22"/>
  <c r="S12" i="22"/>
  <c r="O12" i="22"/>
  <c r="H12" i="22"/>
  <c r="T12" i="22"/>
  <c r="Q12" i="22"/>
  <c r="P12" i="22"/>
  <c r="E9" i="22"/>
  <c r="U9" i="22"/>
  <c r="S9" i="22"/>
  <c r="O9" i="22"/>
  <c r="H9" i="22"/>
  <c r="T9" i="22"/>
  <c r="P9" i="22"/>
  <c r="Q9" i="22"/>
  <c r="R9" i="22"/>
  <c r="Z9" i="22"/>
  <c r="AA9" i="22" s="1"/>
  <c r="E8" i="22"/>
  <c r="U8" i="22"/>
  <c r="R8" i="22"/>
  <c r="S8" i="22"/>
  <c r="O8" i="22"/>
  <c r="H8" i="22"/>
  <c r="T8" i="22"/>
  <c r="P8" i="22"/>
  <c r="Q8" i="22"/>
  <c r="Z8" i="22"/>
  <c r="AA8" i="22" s="1"/>
  <c r="E25" i="22"/>
  <c r="O25" i="22"/>
  <c r="P25" i="22"/>
  <c r="Y25" i="22"/>
  <c r="Z25" i="22"/>
  <c r="Q25" i="22"/>
  <c r="U25" i="22"/>
  <c r="R25" i="22"/>
  <c r="N25" i="22"/>
  <c r="H25" i="22"/>
  <c r="V25" i="22"/>
  <c r="W25" i="22" s="1"/>
  <c r="S25" i="22"/>
  <c r="E26" i="22"/>
  <c r="S26" i="22"/>
  <c r="O26" i="22"/>
  <c r="P26" i="22"/>
  <c r="Y26" i="22"/>
  <c r="Z26" i="22" s="1"/>
  <c r="U26" i="22"/>
  <c r="Q26" i="22"/>
  <c r="R26" i="22"/>
  <c r="N26" i="22"/>
  <c r="H26" i="22"/>
  <c r="E19" i="22"/>
  <c r="S19" i="22"/>
  <c r="O19" i="22"/>
  <c r="H19" i="22"/>
  <c r="T19" i="22"/>
  <c r="P19" i="22"/>
  <c r="Q19" i="22"/>
  <c r="Z19" i="22"/>
  <c r="AA19" i="22" s="1"/>
  <c r="U19" i="22"/>
  <c r="R19" i="22"/>
  <c r="E21" i="22"/>
  <c r="U21" i="22"/>
  <c r="V21" i="22" s="1"/>
  <c r="R21" i="22"/>
  <c r="S21" i="22"/>
  <c r="O21" i="22"/>
  <c r="H21" i="22"/>
  <c r="T21" i="22"/>
  <c r="P21" i="22"/>
  <c r="Q21" i="22"/>
  <c r="Z21" i="22"/>
  <c r="AA21" i="22" s="1"/>
  <c r="E23" i="22"/>
  <c r="Q23" i="22"/>
  <c r="U23" i="22"/>
  <c r="W23" i="22" s="1"/>
  <c r="X23" i="22" s="1"/>
  <c r="R23" i="22"/>
  <c r="S23" i="22"/>
  <c r="O23" i="22"/>
  <c r="H23" i="22"/>
  <c r="T23" i="22"/>
  <c r="P23" i="22"/>
  <c r="Z23" i="22"/>
  <c r="AA23" i="22" s="1"/>
  <c r="E15" i="22"/>
  <c r="P15" i="22"/>
  <c r="Q15" i="22"/>
  <c r="Z15" i="22"/>
  <c r="AA15" i="22" s="1"/>
  <c r="U15" i="22"/>
  <c r="R15" i="22"/>
  <c r="S15" i="22"/>
  <c r="T15" i="22"/>
  <c r="O15" i="22"/>
  <c r="H15" i="22"/>
  <c r="O7" i="22"/>
  <c r="H7" i="22"/>
  <c r="T7" i="22"/>
  <c r="P7" i="22"/>
  <c r="Z7" i="22"/>
  <c r="AA7" i="22" s="1"/>
  <c r="Y7" i="22"/>
  <c r="U7" i="22"/>
  <c r="W7" i="22" s="1"/>
  <c r="X7" i="22" s="1"/>
  <c r="R7" i="22"/>
  <c r="S7" i="22"/>
  <c r="G17" i="22"/>
  <c r="F25" i="22"/>
  <c r="F26" i="22"/>
  <c r="Y15" i="22"/>
  <c r="X26" i="22"/>
  <c r="G26" i="22"/>
  <c r="Y8" i="22"/>
  <c r="Y23" i="22"/>
  <c r="Y12" i="22"/>
  <c r="F15" i="22"/>
  <c r="G24" i="22"/>
  <c r="Y24" i="22"/>
  <c r="G8" i="22"/>
  <c r="F24" i="22"/>
  <c r="G7" i="22"/>
  <c r="G23" i="22"/>
  <c r="G21" i="22"/>
  <c r="F23" i="22"/>
  <c r="Y21" i="22"/>
  <c r="G25" i="22"/>
  <c r="X25" i="22"/>
  <c r="G11" i="22"/>
  <c r="Y11" i="22"/>
  <c r="F18" i="22"/>
  <c r="F19" i="22"/>
  <c r="F21" i="22"/>
  <c r="F11" i="22"/>
  <c r="F10" i="22"/>
  <c r="F17" i="22"/>
  <c r="F14" i="22"/>
  <c r="Y20" i="22"/>
  <c r="Y10" i="22"/>
  <c r="Y9" i="22"/>
  <c r="F20" i="22"/>
  <c r="G20" i="22"/>
  <c r="Y13" i="22"/>
  <c r="G13" i="22"/>
  <c r="G10" i="22"/>
  <c r="G9" i="22"/>
  <c r="G14" i="22"/>
  <c r="Y14" i="22"/>
  <c r="F9" i="22"/>
  <c r="G12" i="22"/>
  <c r="F12" i="22"/>
  <c r="F13" i="22"/>
  <c r="F7" i="22"/>
  <c r="G15" i="22"/>
  <c r="Y17" i="22"/>
  <c r="Y16" i="22"/>
  <c r="Y22" i="22"/>
  <c r="F16" i="22"/>
  <c r="G16" i="22"/>
  <c r="G22" i="22"/>
  <c r="G19" i="22"/>
  <c r="F22" i="22"/>
  <c r="G18" i="22"/>
  <c r="Y18" i="22"/>
  <c r="Y19" i="22"/>
  <c r="F8" i="22"/>
  <c r="V14" i="22" l="1"/>
  <c r="I14" i="22" s="1"/>
  <c r="M14" i="22" s="1"/>
  <c r="V19" i="22"/>
  <c r="I19" i="22" s="1"/>
  <c r="J19" i="22" s="1"/>
  <c r="K24" i="22"/>
  <c r="K18" i="22"/>
  <c r="K9" i="22"/>
  <c r="K11" i="22"/>
  <c r="K17" i="22"/>
  <c r="K16" i="22"/>
  <c r="K7" i="22"/>
  <c r="K8" i="22"/>
  <c r="K20" i="22"/>
  <c r="K13" i="22"/>
  <c r="K21" i="22"/>
  <c r="K15" i="22"/>
  <c r="K23" i="22"/>
  <c r="K12" i="22"/>
  <c r="K10" i="22"/>
  <c r="K19" i="22"/>
  <c r="K14" i="22"/>
  <c r="K22" i="22"/>
  <c r="I25" i="22"/>
  <c r="K25" i="22" s="1"/>
  <c r="V18" i="22"/>
  <c r="I18" i="22" s="1"/>
  <c r="J18" i="22" s="1"/>
  <c r="V16" i="22"/>
  <c r="I16" i="22" s="1"/>
  <c r="J16" i="22" s="1"/>
  <c r="V10" i="22"/>
  <c r="I10" i="22" s="1"/>
  <c r="J10" i="22" s="1"/>
  <c r="V23" i="22"/>
  <c r="I23" i="22" s="1"/>
  <c r="T26" i="22"/>
  <c r="I26" i="22"/>
  <c r="K26" i="22" s="1"/>
  <c r="T25" i="22"/>
  <c r="L26" i="22"/>
  <c r="M26" i="22" s="1"/>
  <c r="I24" i="22"/>
  <c r="L24" i="22" s="1"/>
  <c r="M24" i="22"/>
  <c r="N24" i="22" s="1"/>
  <c r="V8" i="22"/>
  <c r="I8" i="22" s="1"/>
  <c r="J8" i="22" s="1"/>
  <c r="V22" i="22"/>
  <c r="I22" i="22" s="1"/>
  <c r="M22" i="22" s="1"/>
  <c r="L25" i="22"/>
  <c r="M25" i="22" s="1"/>
  <c r="V26" i="22"/>
  <c r="W26" i="22" s="1"/>
  <c r="V13" i="22"/>
  <c r="I13" i="22" s="1"/>
  <c r="M13" i="22" s="1"/>
  <c r="W24" i="22"/>
  <c r="X24" i="22" s="1"/>
  <c r="V7" i="22"/>
  <c r="I7" i="22" s="1"/>
  <c r="M7" i="22" s="1"/>
  <c r="V15" i="22"/>
  <c r="I15" i="22" s="1"/>
  <c r="M15" i="22" s="1"/>
  <c r="I12" i="22"/>
  <c r="V17" i="22"/>
  <c r="I17" i="22" s="1"/>
  <c r="I21" i="22"/>
  <c r="J21" i="22" s="1"/>
  <c r="V9" i="22"/>
  <c r="I9" i="22" s="1"/>
  <c r="J9" i="22" s="1"/>
  <c r="V20" i="22"/>
  <c r="I20" i="22" s="1"/>
  <c r="J20" i="22" s="1"/>
  <c r="V11" i="22"/>
  <c r="I11" i="22" s="1"/>
  <c r="M11" i="22" s="1"/>
  <c r="W21" i="22"/>
  <c r="X21" i="22" s="1"/>
  <c r="W12" i="22"/>
  <c r="X12" i="22" s="1"/>
  <c r="Q28" i="22"/>
  <c r="J25" i="22" l="1"/>
  <c r="J15" i="22"/>
  <c r="M16" i="22"/>
  <c r="J22" i="22"/>
  <c r="J14" i="22"/>
  <c r="M18" i="22"/>
  <c r="J11" i="22"/>
  <c r="M20" i="22"/>
  <c r="M10" i="22"/>
  <c r="N10" i="22" s="1"/>
  <c r="M9" i="22"/>
  <c r="N9" i="22" s="1"/>
  <c r="J7" i="22"/>
  <c r="J24" i="22"/>
  <c r="J26" i="22"/>
  <c r="N13" i="22"/>
  <c r="J13" i="22"/>
  <c r="N11" i="22"/>
  <c r="J17" i="22"/>
  <c r="N15" i="22"/>
  <c r="M17" i="22"/>
  <c r="M23" i="22"/>
  <c r="N23" i="22" s="1"/>
  <c r="N14" i="22"/>
  <c r="N22" i="22"/>
  <c r="M19" i="22"/>
  <c r="J12" i="22"/>
  <c r="J23" i="22"/>
  <c r="M21" i="22"/>
  <c r="N21" i="22" s="1"/>
  <c r="M8" i="22"/>
  <c r="N8" i="22" s="1"/>
  <c r="M12" i="22"/>
  <c r="N12" i="22" s="1"/>
  <c r="W10" i="22"/>
  <c r="X10" i="22" s="1"/>
  <c r="L19" i="22"/>
  <c r="L21" i="22"/>
  <c r="L12" i="22"/>
  <c r="L22" i="22"/>
  <c r="L18" i="22"/>
  <c r="L7" i="22"/>
  <c r="L9" i="22"/>
  <c r="L16" i="22"/>
  <c r="L11" i="22"/>
  <c r="L10" i="22"/>
  <c r="L15" i="22"/>
  <c r="L8" i="22"/>
  <c r="L20" i="22"/>
  <c r="L14" i="22"/>
  <c r="L13" i="22"/>
  <c r="L17" i="22"/>
  <c r="L23" i="22"/>
  <c r="W22" i="22"/>
  <c r="X22" i="22" s="1"/>
  <c r="W8" i="22"/>
  <c r="X8" i="22" s="1"/>
  <c r="W11" i="22"/>
  <c r="X11" i="22" s="1"/>
  <c r="W13" i="22"/>
  <c r="X13" i="22" s="1"/>
  <c r="W15" i="22"/>
  <c r="X15" i="22" s="1"/>
  <c r="W14" i="22"/>
  <c r="X14" i="22" s="1"/>
  <c r="L28" i="22"/>
  <c r="N17" i="22" l="1"/>
  <c r="W17" i="22"/>
  <c r="X17" i="22" s="1"/>
  <c r="N20" i="22"/>
  <c r="W20" i="22"/>
  <c r="X20" i="22" s="1"/>
  <c r="N19" i="22"/>
  <c r="W19" i="22"/>
  <c r="X19" i="22" s="1"/>
  <c r="N7" i="22"/>
  <c r="K30" i="22"/>
  <c r="K31" i="22"/>
  <c r="N18" i="22"/>
  <c r="W18" i="22"/>
  <c r="X18" i="22" s="1"/>
  <c r="N16" i="22"/>
  <c r="W16" i="22"/>
  <c r="X16" i="22" s="1"/>
  <c r="W9" i="22"/>
  <c r="X9" i="22" s="1"/>
  <c r="U28" i="22"/>
  <c r="I28" i="22" s="1"/>
  <c r="N28" i="22"/>
  <c r="K32" i="22" l="1"/>
  <c r="K28" i="22"/>
  <c r="J28" i="22"/>
  <c r="AN1" i="10"/>
  <c r="AM350" i="10" l="1" a="1"/>
  <c r="AM350" i="10" s="1"/>
  <c r="AL350" i="10"/>
  <c r="AM349" i="10" a="1"/>
  <c r="AM349" i="10" s="1"/>
  <c r="AL349" i="10"/>
  <c r="AM351" i="10" a="1"/>
  <c r="AM351" i="10" s="1"/>
  <c r="AL351" i="10"/>
  <c r="AM352" i="10" a="1"/>
  <c r="AM352" i="10" s="1"/>
  <c r="AL352" i="10"/>
  <c r="AM353" i="10" a="1"/>
  <c r="AM353" i="10" s="1"/>
  <c r="AL353" i="10"/>
  <c r="A218" i="10" l="1"/>
  <c r="A222" i="10"/>
  <c r="A226" i="10"/>
  <c r="A227" i="10"/>
  <c r="A231" i="10"/>
  <c r="A232" i="10"/>
  <c r="A233" i="10"/>
  <c r="A234" i="10"/>
  <c r="A235" i="10"/>
  <c r="A236" i="10"/>
  <c r="A237" i="10"/>
  <c r="A238" i="10"/>
  <c r="A239" i="10"/>
  <c r="A240" i="10"/>
  <c r="A243" i="10"/>
  <c r="A244" i="10"/>
  <c r="A245" i="10"/>
  <c r="A246" i="10"/>
  <c r="A254" i="10"/>
  <c r="A256" i="10"/>
  <c r="A257" i="10"/>
  <c r="A258" i="10"/>
  <c r="A262" i="10"/>
  <c r="A263" i="10"/>
  <c r="A264" i="10"/>
  <c r="A265" i="10"/>
  <c r="A266" i="10"/>
  <c r="A268" i="10"/>
  <c r="A270" i="10"/>
  <c r="A275" i="10"/>
  <c r="A276" i="10"/>
  <c r="A277" i="10"/>
  <c r="A278" i="10"/>
  <c r="A283" i="10"/>
  <c r="A284" i="10"/>
  <c r="A286" i="10"/>
  <c r="A287" i="10"/>
  <c r="A290" i="10"/>
  <c r="A291" i="10"/>
  <c r="A297" i="10"/>
  <c r="A299" i="10"/>
  <c r="A305" i="10"/>
  <c r="A306" i="10"/>
  <c r="A308" i="10"/>
  <c r="A309" i="10"/>
  <c r="A314" i="10"/>
  <c r="A315" i="10"/>
  <c r="A316" i="10"/>
  <c r="A317" i="10"/>
  <c r="A324" i="10"/>
  <c r="A325" i="10"/>
  <c r="A326" i="10"/>
  <c r="A329" i="10"/>
  <c r="A331" i="10"/>
  <c r="A332" i="10"/>
  <c r="A333" i="10"/>
  <c r="A335" i="10"/>
  <c r="A336" i="10"/>
  <c r="A337" i="10"/>
  <c r="A340" i="10"/>
  <c r="A343" i="10"/>
  <c r="A344" i="10"/>
  <c r="A345" i="10"/>
  <c r="A346" i="10"/>
  <c r="A347" i="10"/>
  <c r="A348" i="10"/>
  <c r="A350" i="10"/>
  <c r="A358" i="10"/>
  <c r="A361" i="10"/>
  <c r="A364" i="10"/>
  <c r="A371" i="10"/>
  <c r="A376" i="10"/>
  <c r="A387" i="10"/>
  <c r="A388" i="10"/>
  <c r="A404" i="10"/>
  <c r="A417" i="10"/>
  <c r="A422" i="10"/>
  <c r="A469" i="10"/>
  <c r="A470" i="10"/>
  <c r="A471" i="10"/>
  <c r="A472" i="10"/>
  <c r="A473" i="10"/>
  <c r="A481" i="10"/>
  <c r="A482" i="10"/>
  <c r="A483" i="10"/>
  <c r="A487" i="10"/>
  <c r="A488" i="10"/>
  <c r="A491" i="10"/>
  <c r="A493" i="10"/>
  <c r="A495" i="10"/>
  <c r="A496" i="10"/>
  <c r="A497" i="10"/>
  <c r="A438" i="10" l="1"/>
  <c r="A439" i="10"/>
  <c r="A457" i="10" l="1"/>
  <c r="A458" i="10"/>
  <c r="A459" i="10"/>
  <c r="A402" i="10"/>
  <c r="A475" i="10"/>
  <c r="A214" i="10"/>
  <c r="A465" i="10"/>
  <c r="A477" i="10"/>
  <c r="A466" i="10"/>
  <c r="A456" i="10"/>
  <c r="A476" i="10"/>
  <c r="A484" i="10" l="1"/>
  <c r="A490" i="10"/>
  <c r="A215" i="10"/>
  <c r="A216" i="10"/>
  <c r="A467" i="10"/>
  <c r="A468" i="10"/>
  <c r="A219" i="10" l="1"/>
  <c r="A220" i="10"/>
  <c r="A224" i="10"/>
  <c r="A492" i="10" l="1"/>
  <c r="A478" i="10" l="1"/>
  <c r="A449" i="10" l="1"/>
  <c r="A453" i="10"/>
  <c r="A411" i="10" l="1"/>
  <c r="A426" i="10"/>
  <c r="A252" i="10" l="1"/>
  <c r="A460" i="10" l="1"/>
  <c r="A362" i="10" l="1"/>
  <c r="A423" i="10" l="1"/>
  <c r="A450" i="10"/>
  <c r="A452" i="10"/>
  <c r="A398" i="10" l="1"/>
  <c r="A399" i="10"/>
  <c r="A485" i="10"/>
  <c r="A486" i="10"/>
  <c r="A427" i="10"/>
  <c r="A394" i="10"/>
  <c r="A431" i="10"/>
  <c r="A395" i="10"/>
  <c r="A432" i="10"/>
  <c r="A396" i="10"/>
  <c r="A479" i="10"/>
  <c r="A480" i="10"/>
  <c r="A247" i="10" l="1"/>
  <c r="A463" i="10" l="1"/>
  <c r="A500" i="10" l="1"/>
  <c r="A445" i="10" l="1"/>
  <c r="A434" i="10"/>
  <c r="A446" i="10"/>
  <c r="A436" i="10"/>
  <c r="A448" i="10"/>
  <c r="A461" i="10"/>
  <c r="A462" i="10"/>
  <c r="A403" i="10"/>
  <c r="A451" i="10"/>
  <c r="A454" i="10"/>
  <c r="A464" i="10"/>
  <c r="A443" i="10"/>
  <c r="A444" i="10"/>
  <c r="A416" i="10"/>
  <c r="A397" i="10" l="1"/>
  <c r="A409" i="10"/>
  <c r="A410" i="10"/>
  <c r="A447" i="10"/>
  <c r="A412" i="10"/>
  <c r="A401" i="10"/>
  <c r="A437" i="10"/>
  <c r="A414" i="10"/>
  <c r="A405" i="10"/>
  <c r="A441" i="10"/>
  <c r="A406" i="10"/>
  <c r="A442" i="10"/>
  <c r="A407" i="10"/>
  <c r="A408" i="10"/>
  <c r="A430" i="10" l="1"/>
  <c r="A229" i="10" l="1"/>
  <c r="A502" i="10"/>
  <c r="A228" i="10"/>
  <c r="A501" i="10"/>
  <c r="A217" i="10" l="1"/>
  <c r="A419" i="10" l="1"/>
  <c r="A250" i="10" l="1"/>
  <c r="A241" i="10" l="1"/>
  <c r="A302" i="10"/>
  <c r="A300" i="10" l="1"/>
  <c r="A301" i="10"/>
  <c r="A298" i="10" l="1"/>
  <c r="A251" i="10" l="1"/>
  <c r="A435" i="10" l="1"/>
  <c r="A311" i="10" l="1"/>
  <c r="A293" i="10"/>
  <c r="A294" i="10"/>
  <c r="A295" i="10"/>
  <c r="A429" i="10"/>
  <c r="A312" i="10" l="1"/>
  <c r="A296" i="10" l="1"/>
  <c r="A248" i="10" l="1"/>
  <c r="A253" i="10" l="1"/>
  <c r="A242" i="10" l="1"/>
  <c r="A420" i="10" l="1"/>
  <c r="A428" i="10"/>
  <c r="A433" i="10" l="1"/>
  <c r="A327" i="10"/>
  <c r="A304" i="10" l="1"/>
  <c r="A424" i="10" l="1"/>
  <c r="A339" i="10"/>
  <c r="A425" i="10"/>
  <c r="A418" i="10"/>
  <c r="A310" i="10"/>
  <c r="A303" i="10" l="1"/>
  <c r="A279" i="10" l="1"/>
  <c r="A280" i="10"/>
  <c r="A281" i="10"/>
  <c r="A360" i="10" l="1"/>
  <c r="A351" i="10" l="1"/>
  <c r="A353" i="10"/>
  <c r="A338" i="10" l="1"/>
  <c r="A259" i="10" l="1"/>
  <c r="A260" i="10"/>
  <c r="A261" i="10"/>
  <c r="A282" i="10" l="1"/>
  <c r="A307" i="10"/>
  <c r="A349" i="10" l="1"/>
  <c r="A328" i="10" l="1"/>
  <c r="A374" i="10" l="1"/>
  <c r="A365" i="10"/>
  <c r="A354" i="10"/>
  <c r="A356" i="10"/>
  <c r="A357" i="10"/>
  <c r="A355" i="10"/>
  <c r="A359" i="10"/>
  <c r="A292" i="10" l="1"/>
  <c r="A267" i="10" l="1"/>
  <c r="A322" i="10" l="1"/>
  <c r="A352" i="10" l="1"/>
  <c r="A323" i="10" l="1"/>
  <c r="A421" i="10" l="1"/>
  <c r="A269" i="10"/>
  <c r="A271" i="10"/>
  <c r="A272" i="10"/>
  <c r="A334" i="10" l="1"/>
  <c r="A330" i="10" l="1"/>
  <c r="A288" i="10" l="1"/>
  <c r="A289" i="10"/>
  <c r="A285" i="10"/>
  <c r="A273" i="10"/>
  <c r="A415" i="10" l="1"/>
  <c r="A392" i="10" l="1"/>
  <c r="A381" i="10" l="1"/>
  <c r="A249" i="10"/>
  <c r="A382" i="10"/>
  <c r="A380" i="10"/>
  <c r="A255" i="10" l="1"/>
  <c r="A386" i="10" l="1"/>
  <c r="A400" i="10"/>
  <c r="A413" i="10" l="1"/>
  <c r="A274" i="10"/>
  <c r="A379" i="10" l="1"/>
  <c r="A391" i="10" l="1"/>
  <c r="A393" i="10"/>
  <c r="A385" i="10" l="1"/>
  <c r="A383" i="10"/>
  <c r="A384" i="10"/>
  <c r="A389" i="10" l="1"/>
  <c r="A223" i="10" l="1"/>
  <c r="A225" i="10"/>
  <c r="A318" i="10" l="1"/>
  <c r="A319" i="10"/>
  <c r="A320" i="10"/>
  <c r="A372" i="10" l="1"/>
  <c r="A373" i="10"/>
  <c r="A377" i="10"/>
  <c r="A498" i="10"/>
  <c r="A378" i="10"/>
  <c r="A366" i="10"/>
  <c r="A368" i="10"/>
  <c r="A369" i="10"/>
  <c r="A367" i="10"/>
  <c r="A370" i="10"/>
  <c r="A313" i="10" l="1"/>
  <c r="A363" i="10"/>
  <c r="A230" i="10"/>
  <c r="A390" i="10"/>
  <c r="A474" i="10"/>
  <c r="A499" i="10"/>
  <c r="A342" i="10"/>
  <c r="A489" i="10"/>
  <c r="A440" i="10"/>
  <c r="A321" i="10"/>
  <c r="A455" i="10"/>
  <c r="D181" i="55" l="1"/>
  <c r="T584" i="10"/>
  <c r="T583" i="10"/>
  <c r="C181" i="55"/>
  <c r="E181" i="55"/>
  <c r="F181" i="55" s="1"/>
  <c r="C179" i="55"/>
  <c r="E180" i="55"/>
  <c r="C180" i="55"/>
  <c r="T582" i="10"/>
  <c r="D180" i="55"/>
  <c r="E179" i="55"/>
  <c r="F179" i="55" s="1"/>
  <c r="T581" i="10"/>
  <c r="D179" i="55"/>
  <c r="T580" i="10"/>
  <c r="T577" i="10"/>
  <c r="D177" i="55"/>
  <c r="T578" i="10"/>
  <c r="D178" i="55"/>
  <c r="T579" i="10"/>
  <c r="C178" i="55"/>
  <c r="E178" i="55"/>
  <c r="E177" i="55"/>
  <c r="C177" i="55"/>
  <c r="C176" i="55"/>
  <c r="E176" i="55"/>
  <c r="T575" i="10"/>
  <c r="D176" i="55"/>
  <c r="T576" i="10"/>
  <c r="C175" i="55"/>
  <c r="T574" i="10"/>
  <c r="T572" i="10"/>
  <c r="T573" i="10"/>
  <c r="T571" i="10"/>
  <c r="D175" i="55"/>
  <c r="E175" i="55"/>
  <c r="C174" i="55"/>
  <c r="D174" i="55"/>
  <c r="E174" i="55"/>
  <c r="T570" i="10"/>
  <c r="T569" i="10"/>
  <c r="D173" i="55"/>
  <c r="D172" i="55"/>
  <c r="C172" i="55"/>
  <c r="E173" i="55"/>
  <c r="E172" i="55"/>
  <c r="C173" i="55"/>
  <c r="B578" i="10"/>
  <c r="C578" i="10" s="1"/>
  <c r="B584" i="10"/>
  <c r="C584" i="10" s="1"/>
  <c r="B570" i="10"/>
  <c r="C570" i="10" s="1"/>
  <c r="B575" i="10"/>
  <c r="C575" i="10" s="1"/>
  <c r="B571" i="10"/>
  <c r="C571" i="10" s="1"/>
  <c r="B576" i="10"/>
  <c r="C576" i="10" s="1"/>
  <c r="B569" i="10"/>
  <c r="C569" i="10" s="1"/>
  <c r="B579" i="10"/>
  <c r="C579" i="10" s="1"/>
  <c r="B573" i="10"/>
  <c r="C573" i="10" s="1"/>
  <c r="B581" i="10"/>
  <c r="C581" i="10" s="1"/>
  <c r="B582" i="10"/>
  <c r="C582" i="10" s="1"/>
  <c r="B572" i="10"/>
  <c r="C572" i="10" s="1"/>
  <c r="B574" i="10"/>
  <c r="C574" i="10" s="1"/>
  <c r="B580" i="10"/>
  <c r="C580" i="10" s="1"/>
  <c r="B583" i="10"/>
  <c r="C583" i="10" s="1"/>
  <c r="B577" i="10"/>
  <c r="C577" i="10" s="1"/>
  <c r="D170" i="55"/>
  <c r="D171" i="55"/>
  <c r="C170" i="55"/>
  <c r="C171" i="55"/>
  <c r="E171" i="55"/>
  <c r="E170" i="55"/>
  <c r="T566" i="10"/>
  <c r="T568" i="10"/>
  <c r="T567" i="10"/>
  <c r="T565" i="10"/>
  <c r="T564" i="10"/>
  <c r="D169" i="55"/>
  <c r="D168" i="55"/>
  <c r="E168" i="55"/>
  <c r="C169" i="55"/>
  <c r="C168" i="55"/>
  <c r="E169" i="55"/>
  <c r="T563" i="10"/>
  <c r="B566" i="10"/>
  <c r="C566" i="10" s="1"/>
  <c r="B563" i="10"/>
  <c r="C563" i="10" s="1"/>
  <c r="B568" i="10"/>
  <c r="C568" i="10" s="1"/>
  <c r="E167" i="55"/>
  <c r="B565" i="10"/>
  <c r="C565" i="10" s="1"/>
  <c r="B567" i="10"/>
  <c r="C567" i="10" s="1"/>
  <c r="C167" i="55"/>
  <c r="T561" i="10"/>
  <c r="B564" i="10"/>
  <c r="C564" i="10" s="1"/>
  <c r="T535" i="10"/>
  <c r="D167" i="55"/>
  <c r="T562" i="10"/>
  <c r="B562" i="10"/>
  <c r="C562" i="10" s="1"/>
  <c r="D166" i="55"/>
  <c r="T559" i="10"/>
  <c r="T560" i="10"/>
  <c r="E166" i="55"/>
  <c r="C166" i="55"/>
  <c r="D165" i="55"/>
  <c r="T558" i="10"/>
  <c r="C165" i="55"/>
  <c r="E165" i="55"/>
  <c r="B558" i="10"/>
  <c r="C558" i="10" s="1"/>
  <c r="B559" i="10"/>
  <c r="C559" i="10" s="1"/>
  <c r="B561" i="10"/>
  <c r="C561" i="10" s="1"/>
  <c r="B560" i="10"/>
  <c r="C560" i="10" s="1"/>
  <c r="B535" i="10"/>
  <c r="C535" i="10" s="1"/>
  <c r="B556" i="10"/>
  <c r="C556" i="10" s="1"/>
  <c r="B557" i="10"/>
  <c r="C557" i="10" s="1"/>
  <c r="T556" i="10"/>
  <c r="T557" i="10"/>
  <c r="D164" i="55"/>
  <c r="T536" i="10"/>
  <c r="C163" i="55"/>
  <c r="C164" i="55"/>
  <c r="E164" i="55"/>
  <c r="T554" i="10"/>
  <c r="D163" i="55"/>
  <c r="E163" i="55"/>
  <c r="B536" i="10"/>
  <c r="C536" i="10" s="1"/>
  <c r="T555" i="10"/>
  <c r="B554" i="10"/>
  <c r="C554" i="10" s="1"/>
  <c r="B553" i="10"/>
  <c r="C553" i="10" s="1"/>
  <c r="B555" i="10"/>
  <c r="C555" i="10" s="1"/>
  <c r="T551" i="10"/>
  <c r="T552" i="10"/>
  <c r="T553" i="10"/>
  <c r="B551" i="10"/>
  <c r="C551" i="10" s="1"/>
  <c r="B552" i="10"/>
  <c r="C552" i="10" s="1"/>
  <c r="T550" i="10"/>
  <c r="B550" i="10"/>
  <c r="C550" i="10" s="1"/>
  <c r="E162" i="55"/>
  <c r="T548" i="10"/>
  <c r="T547" i="10"/>
  <c r="T549" i="10"/>
  <c r="C162" i="55"/>
  <c r="D162" i="55"/>
  <c r="E161" i="55"/>
  <c r="B549" i="10"/>
  <c r="C549" i="10" s="1"/>
  <c r="D161" i="55"/>
  <c r="T546" i="10"/>
  <c r="C161" i="55"/>
  <c r="T526" i="10"/>
  <c r="T545" i="10"/>
  <c r="E160" i="55"/>
  <c r="B526" i="10"/>
  <c r="C526" i="10" s="1"/>
  <c r="T544" i="10"/>
  <c r="D160" i="55"/>
  <c r="C160" i="55"/>
  <c r="T543" i="10"/>
  <c r="D159" i="55"/>
  <c r="E159" i="55"/>
  <c r="C159" i="55"/>
  <c r="T541" i="10"/>
  <c r="T542" i="10"/>
  <c r="D158" i="55"/>
  <c r="C158" i="55"/>
  <c r="T525" i="10"/>
  <c r="T539" i="10"/>
  <c r="E158" i="55"/>
  <c r="T540" i="10"/>
  <c r="B543" i="10"/>
  <c r="C543" i="10" s="1"/>
  <c r="B545" i="10"/>
  <c r="C545" i="10" s="1"/>
  <c r="B541" i="10"/>
  <c r="C541" i="10" s="1"/>
  <c r="B538" i="10"/>
  <c r="C538" i="10" s="1"/>
  <c r="B544" i="10"/>
  <c r="C544" i="10" s="1"/>
  <c r="B546" i="10"/>
  <c r="C546" i="10" s="1"/>
  <c r="B542" i="10"/>
  <c r="C542" i="10" s="1"/>
  <c r="B525" i="10"/>
  <c r="C525" i="10" s="1"/>
  <c r="B540" i="10"/>
  <c r="C540" i="10" s="1"/>
  <c r="B548" i="10"/>
  <c r="C548" i="10" s="1"/>
  <c r="B547" i="10"/>
  <c r="C547" i="10" s="1"/>
  <c r="B539" i="10"/>
  <c r="C539" i="10" s="1"/>
  <c r="T375" i="10"/>
  <c r="T538" i="10"/>
  <c r="T341" i="10"/>
  <c r="B537" i="10"/>
  <c r="C537" i="10" s="1"/>
  <c r="C157" i="55"/>
  <c r="D157" i="55"/>
  <c r="T537" i="10"/>
  <c r="E157" i="55"/>
  <c r="T530" i="10"/>
  <c r="E156" i="55"/>
  <c r="D156" i="55"/>
  <c r="C156" i="55"/>
  <c r="T534" i="10"/>
  <c r="B534" i="10"/>
  <c r="C534" i="10" s="1"/>
  <c r="T532" i="10"/>
  <c r="T531" i="10"/>
  <c r="T533" i="10"/>
  <c r="T529" i="10"/>
  <c r="B533" i="10"/>
  <c r="C533" i="10" s="1"/>
  <c r="B532" i="10"/>
  <c r="C532" i="10" s="1"/>
  <c r="B531" i="10"/>
  <c r="C531" i="10" s="1"/>
  <c r="B529" i="10"/>
  <c r="C529" i="10" s="1"/>
  <c r="B530" i="10"/>
  <c r="C530" i="10" s="1"/>
  <c r="C155" i="55"/>
  <c r="T528" i="10"/>
  <c r="T527" i="10"/>
  <c r="B528" i="10"/>
  <c r="C528" i="10" s="1"/>
  <c r="B527" i="10"/>
  <c r="C527" i="10" s="1"/>
  <c r="D155" i="55"/>
  <c r="E155" i="55"/>
  <c r="C154" i="55"/>
  <c r="B524" i="10"/>
  <c r="C524" i="10" s="1"/>
  <c r="D154" i="55"/>
  <c r="E154" i="55"/>
  <c r="T524" i="10"/>
  <c r="E151" i="55"/>
  <c r="E152" i="55"/>
  <c r="C142" i="55"/>
  <c r="C149" i="55"/>
  <c r="E150" i="55"/>
  <c r="D150" i="55"/>
  <c r="C151" i="55"/>
  <c r="C146" i="55"/>
  <c r="D146" i="55"/>
  <c r="D152" i="55"/>
  <c r="E143" i="55"/>
  <c r="E142" i="55"/>
  <c r="D147" i="55"/>
  <c r="C147" i="55"/>
  <c r="C152" i="55"/>
  <c r="C150" i="55"/>
  <c r="D148" i="55"/>
  <c r="E144" i="55"/>
  <c r="D145" i="55"/>
  <c r="C145" i="55"/>
  <c r="E148" i="55"/>
  <c r="E147" i="55"/>
  <c r="E146" i="55"/>
  <c r="E149" i="55"/>
  <c r="D153" i="55"/>
  <c r="D143" i="55"/>
  <c r="C153" i="55"/>
  <c r="D151" i="55"/>
  <c r="D142" i="55"/>
  <c r="E153" i="55"/>
  <c r="E145" i="55"/>
  <c r="C144" i="55"/>
  <c r="D149" i="55"/>
  <c r="C148" i="55"/>
  <c r="C143" i="55"/>
  <c r="D144" i="55"/>
  <c r="T517" i="10"/>
  <c r="T518" i="10"/>
  <c r="B517" i="10"/>
  <c r="C517" i="10" s="1"/>
  <c r="T513" i="10"/>
  <c r="T494" i="10"/>
  <c r="B494" i="10"/>
  <c r="C494" i="10" s="1"/>
  <c r="B375" i="10"/>
  <c r="C375" i="10" s="1"/>
  <c r="B341" i="10"/>
  <c r="C341" i="10" s="1"/>
  <c r="B513" i="10"/>
  <c r="C513" i="10" s="1"/>
  <c r="B518" i="10"/>
  <c r="C518" i="10" s="1"/>
  <c r="T520" i="10"/>
  <c r="T522" i="10"/>
  <c r="T523" i="10"/>
  <c r="T519" i="10"/>
  <c r="T521" i="10"/>
  <c r="B520" i="10"/>
  <c r="C520" i="10" s="1"/>
  <c r="B522" i="10"/>
  <c r="C522" i="10" s="1"/>
  <c r="B523" i="10"/>
  <c r="C523" i="10" s="1"/>
  <c r="B519" i="10"/>
  <c r="C519" i="10" s="1"/>
  <c r="B521" i="10"/>
  <c r="C521" i="10" s="1"/>
  <c r="T516" i="10"/>
  <c r="B516" i="10"/>
  <c r="C516" i="10" s="1"/>
  <c r="T515" i="10"/>
  <c r="T514" i="10"/>
  <c r="B512" i="10"/>
  <c r="C512" i="10" s="1"/>
  <c r="B515" i="10"/>
  <c r="C515" i="10" s="1"/>
  <c r="B514" i="10"/>
  <c r="C514" i="10" s="1"/>
  <c r="T512" i="10"/>
  <c r="T511" i="10"/>
  <c r="T510" i="10"/>
  <c r="T506" i="10"/>
  <c r="T508" i="10"/>
  <c r="T507" i="10"/>
  <c r="T509" i="10"/>
  <c r="T504" i="10"/>
  <c r="T505" i="10"/>
  <c r="C3" i="55"/>
  <c r="C88" i="55"/>
  <c r="C124" i="55"/>
  <c r="C77" i="55"/>
  <c r="C48" i="55"/>
  <c r="C126" i="55"/>
  <c r="C2" i="55"/>
  <c r="C118" i="55"/>
  <c r="C66" i="55"/>
  <c r="C64" i="55"/>
  <c r="C23" i="55"/>
  <c r="C103" i="55"/>
  <c r="C87" i="55"/>
  <c r="C110" i="55"/>
  <c r="C33" i="55"/>
  <c r="C26" i="55"/>
  <c r="C98" i="55"/>
  <c r="C83" i="55"/>
  <c r="C67" i="55"/>
  <c r="C29" i="55"/>
  <c r="C78" i="55"/>
  <c r="C25" i="55"/>
  <c r="C141" i="55"/>
  <c r="C28" i="55"/>
  <c r="C95" i="55"/>
  <c r="C82" i="55"/>
  <c r="C68" i="55"/>
  <c r="C72" i="55"/>
  <c r="C91" i="55"/>
  <c r="C31" i="55"/>
  <c r="C35" i="55"/>
  <c r="C128" i="55"/>
  <c r="C113" i="55"/>
  <c r="C58" i="55"/>
  <c r="C54" i="55"/>
  <c r="C55" i="55"/>
  <c r="C45" i="55"/>
  <c r="C18" i="55"/>
  <c r="C17" i="55"/>
  <c r="C106" i="55"/>
  <c r="C61" i="55"/>
  <c r="C46" i="55"/>
  <c r="C22" i="55"/>
  <c r="C138" i="55"/>
  <c r="C102" i="55"/>
  <c r="C63" i="55"/>
  <c r="C4" i="55"/>
  <c r="C9" i="55"/>
  <c r="C50" i="55"/>
  <c r="C11" i="55"/>
  <c r="C133" i="55"/>
  <c r="C37" i="55"/>
  <c r="C53" i="55"/>
  <c r="C15" i="55"/>
  <c r="C119" i="55"/>
  <c r="C130" i="55"/>
  <c r="C38" i="55"/>
  <c r="C76" i="55"/>
  <c r="C122" i="55"/>
  <c r="C90" i="55"/>
  <c r="C100" i="55"/>
  <c r="C121" i="55"/>
  <c r="C69" i="55"/>
  <c r="C41" i="55"/>
  <c r="C105" i="55"/>
  <c r="C79" i="55"/>
  <c r="C43" i="55"/>
  <c r="C132" i="55"/>
  <c r="C115" i="55"/>
  <c r="C93" i="55"/>
  <c r="C56" i="55"/>
  <c r="C16" i="55"/>
  <c r="C140" i="55"/>
  <c r="C104" i="55"/>
  <c r="C75" i="55"/>
  <c r="C127" i="55"/>
  <c r="C52" i="55"/>
  <c r="C101" i="55"/>
  <c r="C94" i="55"/>
  <c r="C70" i="55"/>
  <c r="C30" i="55"/>
  <c r="C51" i="55"/>
  <c r="C57" i="55"/>
  <c r="C49" i="55"/>
  <c r="C47" i="55"/>
  <c r="C139" i="55"/>
  <c r="C20" i="55"/>
  <c r="C89" i="55"/>
  <c r="C111" i="55"/>
  <c r="C21" i="55"/>
  <c r="C12" i="55"/>
  <c r="C13" i="55"/>
  <c r="C40" i="55"/>
  <c r="C27" i="55"/>
  <c r="C108" i="55"/>
  <c r="C114" i="55"/>
  <c r="C136" i="55"/>
  <c r="C107" i="55"/>
  <c r="C24" i="55"/>
  <c r="C8" i="55"/>
  <c r="C32" i="55"/>
  <c r="C92" i="55"/>
  <c r="C71" i="55"/>
  <c r="T372" i="10"/>
  <c r="C10" i="55"/>
  <c r="C34" i="55"/>
  <c r="C42" i="55"/>
  <c r="C81" i="55"/>
  <c r="C125" i="55"/>
  <c r="C134" i="55"/>
  <c r="C62" i="55"/>
  <c r="C7" i="55"/>
  <c r="C117" i="55"/>
  <c r="C74" i="55"/>
  <c r="C116" i="55"/>
  <c r="C97" i="55"/>
  <c r="C44" i="55"/>
  <c r="C36" i="55"/>
  <c r="C129" i="55"/>
  <c r="C137" i="55"/>
  <c r="C59" i="55"/>
  <c r="C99" i="55"/>
  <c r="C6" i="55"/>
  <c r="C73" i="55"/>
  <c r="C84" i="55"/>
  <c r="C19" i="55"/>
  <c r="C123" i="55"/>
  <c r="C85" i="55"/>
  <c r="C5" i="55"/>
  <c r="C65" i="55"/>
  <c r="C109" i="55"/>
  <c r="C135" i="55"/>
  <c r="C80" i="55"/>
  <c r="C60" i="55"/>
  <c r="C14" i="55"/>
  <c r="C86" i="55"/>
  <c r="C96" i="55"/>
  <c r="C120" i="55"/>
  <c r="C112" i="55"/>
  <c r="C39" i="55"/>
  <c r="C131" i="55"/>
  <c r="B367" i="10"/>
  <c r="C367" i="10" s="1"/>
  <c r="T367" i="10"/>
  <c r="T370" i="10"/>
  <c r="T503" i="10"/>
  <c r="T221" i="10"/>
  <c r="B366" i="10"/>
  <c r="C366" i="10" s="1"/>
  <c r="B455" i="10"/>
  <c r="C455" i="10" s="1"/>
  <c r="T455" i="10"/>
  <c r="T313" i="10"/>
  <c r="B313" i="10"/>
  <c r="C313" i="10" s="1"/>
  <c r="T230" i="10"/>
  <c r="B230" i="10"/>
  <c r="C230" i="10" s="1"/>
  <c r="E75" i="55"/>
  <c r="D75" i="55"/>
  <c r="B389" i="10"/>
  <c r="C389" i="10" s="1"/>
  <c r="T389" i="10"/>
  <c r="T225" i="10"/>
  <c r="B502" i="10"/>
  <c r="C502" i="10" s="1"/>
  <c r="B246" i="10"/>
  <c r="C246" i="10" s="1"/>
  <c r="B283" i="10"/>
  <c r="C283" i="10" s="1"/>
  <c r="B332" i="10"/>
  <c r="C332" i="10" s="1"/>
  <c r="E118" i="55"/>
  <c r="B461" i="10"/>
  <c r="C461" i="10" s="1"/>
  <c r="T399" i="10"/>
  <c r="T256" i="10"/>
  <c r="B481" i="10"/>
  <c r="C481" i="10" s="1"/>
  <c r="T325" i="10"/>
  <c r="B478" i="10"/>
  <c r="C478" i="10" s="1"/>
  <c r="E120" i="55"/>
  <c r="B454" i="10"/>
  <c r="C454" i="10" s="1"/>
  <c r="D79" i="55"/>
  <c r="B510" i="10"/>
  <c r="C510" i="10" s="1"/>
  <c r="B315" i="10"/>
  <c r="C315" i="10" s="1"/>
  <c r="B278" i="10"/>
  <c r="C278" i="10" s="1"/>
  <c r="B437" i="10"/>
  <c r="C437" i="10" s="1"/>
  <c r="T266" i="10"/>
  <c r="B306" i="10"/>
  <c r="C306" i="10" s="1"/>
  <c r="B480" i="10"/>
  <c r="C480" i="10" s="1"/>
  <c r="E29" i="55"/>
  <c r="E104" i="55"/>
  <c r="T316" i="10"/>
  <c r="T387" i="10"/>
  <c r="T486" i="10"/>
  <c r="E26" i="55"/>
  <c r="B493" i="10"/>
  <c r="C493" i="10" s="1"/>
  <c r="B305" i="10"/>
  <c r="C305" i="10" s="1"/>
  <c r="T243" i="10"/>
  <c r="B403" i="10"/>
  <c r="C403" i="10" s="1"/>
  <c r="B291" i="10"/>
  <c r="C291" i="10" s="1"/>
  <c r="E112" i="55"/>
  <c r="D115" i="55"/>
  <c r="B333" i="10"/>
  <c r="C333" i="10" s="1"/>
  <c r="T426" i="10"/>
  <c r="B443" i="10"/>
  <c r="C443" i="10" s="1"/>
  <c r="D87" i="55"/>
  <c r="D20" i="55"/>
  <c r="T408" i="10"/>
  <c r="B270" i="10"/>
  <c r="C270" i="10" s="1"/>
  <c r="T246" i="10"/>
  <c r="B348" i="10"/>
  <c r="C348" i="10" s="1"/>
  <c r="T394" i="10"/>
  <c r="T388" i="10"/>
  <c r="E2" i="55"/>
  <c r="E92" i="55"/>
  <c r="T300" i="10"/>
  <c r="D35" i="55"/>
  <c r="B429" i="10"/>
  <c r="C429" i="10" s="1"/>
  <c r="T428" i="10"/>
  <c r="B310" i="10"/>
  <c r="C310" i="10" s="1"/>
  <c r="B225" i="10"/>
  <c r="C225" i="10" s="1"/>
  <c r="E28" i="55"/>
  <c r="T456" i="10"/>
  <c r="T235" i="10"/>
  <c r="E7" i="55"/>
  <c r="T219" i="10"/>
  <c r="B217" i="10"/>
  <c r="C217" i="10" s="1"/>
  <c r="T277" i="10"/>
  <c r="T337" i="10"/>
  <c r="E14" i="55"/>
  <c r="E4" i="55"/>
  <c r="T444" i="10"/>
  <c r="B405" i="10"/>
  <c r="C405" i="10" s="1"/>
  <c r="E117" i="55"/>
  <c r="B244" i="10"/>
  <c r="C244" i="10" s="1"/>
  <c r="D102" i="55"/>
  <c r="B340" i="10"/>
  <c r="C340" i="10" s="1"/>
  <c r="D113" i="55"/>
  <c r="B238" i="10"/>
  <c r="C238" i="10" s="1"/>
  <c r="B406" i="10"/>
  <c r="C406" i="10" s="1"/>
  <c r="B325" i="10"/>
  <c r="C325" i="10" s="1"/>
  <c r="T493" i="10"/>
  <c r="B387" i="10"/>
  <c r="C387" i="10" s="1"/>
  <c r="D92" i="55"/>
  <c r="T397" i="10"/>
  <c r="B316" i="10"/>
  <c r="C316" i="10" s="1"/>
  <c r="B456" i="10"/>
  <c r="C456" i="10" s="1"/>
  <c r="T247" i="10"/>
  <c r="E81" i="55"/>
  <c r="T402" i="10"/>
  <c r="T329" i="10"/>
  <c r="B457" i="10"/>
  <c r="C457" i="10" s="1"/>
  <c r="T436" i="10"/>
  <c r="D89" i="55"/>
  <c r="B347" i="10"/>
  <c r="C347" i="10" s="1"/>
  <c r="T472" i="10"/>
  <c r="T465" i="10"/>
  <c r="D17" i="55"/>
  <c r="T414" i="10"/>
  <c r="T245" i="10"/>
  <c r="T430" i="10"/>
  <c r="D88" i="55"/>
  <c r="T473" i="10"/>
  <c r="E109" i="55"/>
  <c r="T395" i="10"/>
  <c r="D91" i="55"/>
  <c r="T265" i="10"/>
  <c r="T423" i="10"/>
  <c r="T401" i="10"/>
  <c r="T419" i="10"/>
  <c r="E32" i="55"/>
  <c r="B298" i="10"/>
  <c r="C298" i="10" s="1"/>
  <c r="E37" i="55"/>
  <c r="T296" i="10"/>
  <c r="B253" i="10"/>
  <c r="C253" i="10" s="1"/>
  <c r="T420" i="10"/>
  <c r="T425" i="10"/>
  <c r="B424" i="10"/>
  <c r="C424" i="10" s="1"/>
  <c r="B281" i="10"/>
  <c r="C281" i="10" s="1"/>
  <c r="D28" i="55"/>
  <c r="B309" i="10"/>
  <c r="C309" i="10" s="1"/>
  <c r="T270" i="10"/>
  <c r="D119" i="55"/>
  <c r="D25" i="55"/>
  <c r="D90" i="55"/>
  <c r="E128" i="55"/>
  <c r="T214" i="10"/>
  <c r="B438" i="10"/>
  <c r="C438" i="10" s="1"/>
  <c r="E8" i="55"/>
  <c r="D110" i="55"/>
  <c r="D94" i="55"/>
  <c r="B488" i="10"/>
  <c r="C488" i="10" s="1"/>
  <c r="E140" i="55"/>
  <c r="T488" i="10"/>
  <c r="E21" i="55"/>
  <c r="B508" i="10"/>
  <c r="C508" i="10" s="1"/>
  <c r="T376" i="10"/>
  <c r="T447" i="10"/>
  <c r="B376" i="10"/>
  <c r="C376" i="10" s="1"/>
  <c r="T458" i="10"/>
  <c r="B468" i="10"/>
  <c r="C468" i="10" s="1"/>
  <c r="E19" i="55"/>
  <c r="B484" i="10"/>
  <c r="C484" i="10" s="1"/>
  <c r="B234" i="10"/>
  <c r="C234" i="10" s="1"/>
  <c r="B290" i="10"/>
  <c r="C290" i="10" s="1"/>
  <c r="T453" i="10"/>
  <c r="B361" i="10"/>
  <c r="C361" i="10" s="1"/>
  <c r="T475" i="10"/>
  <c r="B472" i="10"/>
  <c r="C472" i="10" s="1"/>
  <c r="T362" i="10"/>
  <c r="B326" i="10"/>
  <c r="C326" i="10" s="1"/>
  <c r="B431" i="10"/>
  <c r="C431" i="10" s="1"/>
  <c r="T495" i="10"/>
  <c r="D2" i="55"/>
  <c r="E135" i="55"/>
  <c r="B397" i="10"/>
  <c r="C397" i="10" s="1"/>
  <c r="T250" i="10"/>
  <c r="D32" i="55"/>
  <c r="T293" i="10"/>
  <c r="E39" i="55"/>
  <c r="B420" i="10"/>
  <c r="C420" i="10" s="1"/>
  <c r="D46" i="55"/>
  <c r="T424" i="10"/>
  <c r="D49" i="55"/>
  <c r="T353" i="10"/>
  <c r="T223" i="10"/>
  <c r="T217" i="10"/>
  <c r="T215" i="10"/>
  <c r="E6" i="55"/>
  <c r="T286" i="10"/>
  <c r="T449" i="10"/>
  <c r="E131" i="55"/>
  <c r="E114" i="55"/>
  <c r="T371" i="10"/>
  <c r="T278" i="10"/>
  <c r="B337" i="10"/>
  <c r="C337" i="10" s="1"/>
  <c r="E141" i="55"/>
  <c r="E16" i="55"/>
  <c r="B243" i="10"/>
  <c r="C243" i="10" s="1"/>
  <c r="D127" i="55"/>
  <c r="B329" i="10"/>
  <c r="C329" i="10" s="1"/>
  <c r="T484" i="10"/>
  <c r="B427" i="10"/>
  <c r="C427" i="10" s="1"/>
  <c r="E103" i="55"/>
  <c r="B482" i="10"/>
  <c r="C482" i="10" s="1"/>
  <c r="B500" i="10"/>
  <c r="C500" i="10" s="1"/>
  <c r="D128" i="55"/>
  <c r="T335" i="10"/>
  <c r="B224" i="10"/>
  <c r="C224" i="10" s="1"/>
  <c r="D98" i="55"/>
  <c r="T254" i="10"/>
  <c r="T257" i="10"/>
  <c r="B426" i="10"/>
  <c r="C426" i="10" s="1"/>
  <c r="B448" i="10"/>
  <c r="C448" i="10" s="1"/>
  <c r="T306" i="10"/>
  <c r="D9" i="55"/>
  <c r="T212" i="10"/>
  <c r="B423" i="10"/>
  <c r="C423" i="10" s="1"/>
  <c r="B459" i="10"/>
  <c r="C459" i="10" s="1"/>
  <c r="T308" i="10"/>
  <c r="B398" i="10"/>
  <c r="C398" i="10" s="1"/>
  <c r="T451" i="10"/>
  <c r="E9" i="55"/>
  <c r="B314" i="10"/>
  <c r="C314" i="10" s="1"/>
  <c r="B463" i="10"/>
  <c r="C463" i="10" s="1"/>
  <c r="T340" i="10"/>
  <c r="D21" i="55"/>
  <c r="E27" i="55"/>
  <c r="B250" i="10"/>
  <c r="C250" i="10" s="1"/>
  <c r="T301" i="10"/>
  <c r="T298" i="10"/>
  <c r="B435" i="10"/>
  <c r="C435" i="10" s="1"/>
  <c r="D37" i="55"/>
  <c r="T253" i="10"/>
  <c r="T327" i="10"/>
  <c r="B425" i="10"/>
  <c r="C425" i="10" s="1"/>
  <c r="B223" i="10"/>
  <c r="C223" i="10" s="1"/>
  <c r="D123" i="55"/>
  <c r="B299" i="10"/>
  <c r="C299" i="10" s="1"/>
  <c r="B257" i="10"/>
  <c r="C257" i="10" s="1"/>
  <c r="D106" i="55"/>
  <c r="D104" i="55"/>
  <c r="B227" i="10"/>
  <c r="C227" i="10" s="1"/>
  <c r="B286" i="10"/>
  <c r="C286" i="10" s="1"/>
  <c r="B473" i="10"/>
  <c r="C473" i="10" s="1"/>
  <c r="B236" i="10"/>
  <c r="C236" i="10" s="1"/>
  <c r="B362" i="10"/>
  <c r="C362" i="10" s="1"/>
  <c r="T459" i="10"/>
  <c r="D80" i="55"/>
  <c r="E102" i="55"/>
  <c r="D131" i="55"/>
  <c r="B509" i="10"/>
  <c r="C509" i="10" s="1"/>
  <c r="T410" i="10"/>
  <c r="D138" i="55"/>
  <c r="D3" i="55"/>
  <c r="B462" i="10"/>
  <c r="C462" i="10" s="1"/>
  <c r="D111" i="55"/>
  <c r="T287" i="10"/>
  <c r="E11" i="55"/>
  <c r="B451" i="10"/>
  <c r="C451" i="10" s="1"/>
  <c r="T477" i="10"/>
  <c r="E119" i="55"/>
  <c r="E84" i="55"/>
  <c r="T348" i="10"/>
  <c r="T441" i="10"/>
  <c r="E132" i="55"/>
  <c r="D116" i="55"/>
  <c r="E137" i="55"/>
  <c r="T490" i="10"/>
  <c r="T222" i="10"/>
  <c r="E98" i="55"/>
  <c r="T466" i="10"/>
  <c r="E88" i="55"/>
  <c r="B231" i="10"/>
  <c r="C231" i="10" s="1"/>
  <c r="E115" i="55"/>
  <c r="D107" i="55"/>
  <c r="E124" i="55"/>
  <c r="B486" i="10"/>
  <c r="C486" i="10" s="1"/>
  <c r="B501" i="10"/>
  <c r="C501" i="10" s="1"/>
  <c r="E34" i="55"/>
  <c r="T295" i="10"/>
  <c r="E38" i="55"/>
  <c r="D39" i="55"/>
  <c r="T242" i="10"/>
  <c r="E43" i="55"/>
  <c r="B433" i="10"/>
  <c r="C433" i="10" s="1"/>
  <c r="T310" i="10"/>
  <c r="B339" i="10"/>
  <c r="C339" i="10" s="1"/>
  <c r="B470" i="10"/>
  <c r="C470" i="10" s="1"/>
  <c r="B460" i="10"/>
  <c r="C460" i="10" s="1"/>
  <c r="T437" i="10"/>
  <c r="B215" i="10"/>
  <c r="C215" i="10" s="1"/>
  <c r="E79" i="55"/>
  <c r="T227" i="10"/>
  <c r="T396" i="10"/>
  <c r="B221" i="10"/>
  <c r="C221" i="10" s="1"/>
  <c r="E100" i="55"/>
  <c r="D19" i="55"/>
  <c r="B401" i="10"/>
  <c r="C401" i="10" s="1"/>
  <c r="T326" i="10"/>
  <c r="D5" i="55"/>
  <c r="D6" i="55"/>
  <c r="T497" i="10"/>
  <c r="B218" i="10"/>
  <c r="C218" i="10" s="1"/>
  <c r="B324" i="10"/>
  <c r="C324" i="10" s="1"/>
  <c r="D112" i="55"/>
  <c r="B247" i="10"/>
  <c r="C247" i="10" s="1"/>
  <c r="T232" i="10"/>
  <c r="E127" i="55"/>
  <c r="B491" i="10"/>
  <c r="C491" i="10" s="1"/>
  <c r="D11" i="55"/>
  <c r="T446" i="10"/>
  <c r="T478" i="10"/>
  <c r="E90" i="55"/>
  <c r="T233" i="10"/>
  <c r="T358" i="10"/>
  <c r="E123" i="55"/>
  <c r="B441" i="10"/>
  <c r="C441" i="10" s="1"/>
  <c r="D27" i="55"/>
  <c r="D130" i="55"/>
  <c r="B331" i="10"/>
  <c r="C331" i="10" s="1"/>
  <c r="T324" i="10"/>
  <c r="B371" i="10"/>
  <c r="C371" i="10" s="1"/>
  <c r="E24" i="55"/>
  <c r="B404" i="10"/>
  <c r="C404" i="10" s="1"/>
  <c r="B268" i="10"/>
  <c r="C268" i="10" s="1"/>
  <c r="E107" i="55"/>
  <c r="D103" i="55"/>
  <c r="B219" i="10"/>
  <c r="C219" i="10" s="1"/>
  <c r="T276" i="10"/>
  <c r="D7" i="55"/>
  <c r="T290" i="10"/>
  <c r="T406" i="10"/>
  <c r="E31" i="55"/>
  <c r="E33" i="55"/>
  <c r="D34" i="55"/>
  <c r="E36" i="55"/>
  <c r="B293" i="10"/>
  <c r="C293" i="10" s="1"/>
  <c r="D38" i="55"/>
  <c r="E40" i="55"/>
  <c r="E42" i="55"/>
  <c r="B327" i="10"/>
  <c r="C327" i="10" s="1"/>
  <c r="T351" i="10"/>
  <c r="B259" i="10"/>
  <c r="C259" i="10" s="1"/>
  <c r="T501" i="10"/>
  <c r="T299" i="10"/>
  <c r="D96" i="55"/>
  <c r="D125" i="55"/>
  <c r="E108" i="55"/>
  <c r="B447" i="10"/>
  <c r="C447" i="10" s="1"/>
  <c r="D121" i="55"/>
  <c r="B237" i="10"/>
  <c r="C237" i="10" s="1"/>
  <c r="T314" i="10"/>
  <c r="T427" i="10"/>
  <c r="E85" i="55"/>
  <c r="B483" i="10"/>
  <c r="C483" i="10" s="1"/>
  <c r="B394" i="10"/>
  <c r="C394" i="10" s="1"/>
  <c r="D100" i="55"/>
  <c r="B344" i="10"/>
  <c r="C344" i="10" s="1"/>
  <c r="E121" i="55"/>
  <c r="E3" i="55"/>
  <c r="T469" i="10"/>
  <c r="B449" i="10"/>
  <c r="C449" i="10" s="1"/>
  <c r="B266" i="10"/>
  <c r="C266" i="10" s="1"/>
  <c r="B511" i="10"/>
  <c r="C511" i="10" s="1"/>
  <c r="B232" i="10"/>
  <c r="C232" i="10" s="1"/>
  <c r="D13" i="55"/>
  <c r="B444" i="10"/>
  <c r="C444" i="10" s="1"/>
  <c r="T443" i="10"/>
  <c r="T262" i="10"/>
  <c r="B213" i="10"/>
  <c r="C213" i="10" s="1"/>
  <c r="B476" i="10"/>
  <c r="C476" i="10" s="1"/>
  <c r="T464" i="10"/>
  <c r="B402" i="10"/>
  <c r="C402" i="10" s="1"/>
  <c r="B216" i="10"/>
  <c r="C216" i="10" s="1"/>
  <c r="B308" i="10"/>
  <c r="C308" i="10" s="1"/>
  <c r="T450" i="10"/>
  <c r="B430" i="10"/>
  <c r="C430" i="10" s="1"/>
  <c r="T457" i="10"/>
  <c r="B343" i="10"/>
  <c r="C343" i="10" s="1"/>
  <c r="T350" i="10"/>
  <c r="E95" i="55"/>
  <c r="B485" i="10"/>
  <c r="C485" i="10" s="1"/>
  <c r="B228" i="10"/>
  <c r="C228" i="10" s="1"/>
  <c r="E106" i="55"/>
  <c r="E138" i="55"/>
  <c r="T224" i="10"/>
  <c r="T454" i="10"/>
  <c r="D16" i="55"/>
  <c r="B358" i="10"/>
  <c r="C358" i="10" s="1"/>
  <c r="T213" i="10"/>
  <c r="B445" i="10"/>
  <c r="C445" i="10" s="1"/>
  <c r="T467" i="10"/>
  <c r="B240" i="10"/>
  <c r="C240" i="10" s="1"/>
  <c r="D139" i="55"/>
  <c r="D31" i="55"/>
  <c r="B301" i="10"/>
  <c r="C301" i="10" s="1"/>
  <c r="D36" i="55"/>
  <c r="B295" i="10"/>
  <c r="C295" i="10" s="1"/>
  <c r="D40" i="55"/>
  <c r="D42" i="55"/>
  <c r="D43" i="55"/>
  <c r="T304" i="10"/>
  <c r="E46" i="55"/>
  <c r="B280" i="10"/>
  <c r="C280" i="10" s="1"/>
  <c r="E130" i="55"/>
  <c r="T468" i="10"/>
  <c r="E110" i="55"/>
  <c r="E20" i="55"/>
  <c r="B408" i="10"/>
  <c r="C408" i="10" s="1"/>
  <c r="E86" i="55"/>
  <c r="T479" i="10"/>
  <c r="E105" i="55"/>
  <c r="T239" i="10"/>
  <c r="D126" i="55"/>
  <c r="B496" i="10"/>
  <c r="C496" i="10" s="1"/>
  <c r="T480" i="10"/>
  <c r="T228" i="10"/>
  <c r="E94" i="55"/>
  <c r="T331" i="10"/>
  <c r="E87" i="55"/>
  <c r="B471" i="10"/>
  <c r="C471" i="10" s="1"/>
  <c r="B256" i="10"/>
  <c r="C256" i="10" s="1"/>
  <c r="B434" i="10"/>
  <c r="C434" i="10" s="1"/>
  <c r="T405" i="10"/>
  <c r="B505" i="10"/>
  <c r="C505" i="10" s="1"/>
  <c r="E111" i="55"/>
  <c r="D136" i="55"/>
  <c r="E15" i="55"/>
  <c r="B467" i="10"/>
  <c r="C467" i="10" s="1"/>
  <c r="T476" i="10"/>
  <c r="D109" i="55"/>
  <c r="B252" i="10"/>
  <c r="C252" i="10" s="1"/>
  <c r="D26" i="55"/>
  <c r="B275" i="10"/>
  <c r="C275" i="10" s="1"/>
  <c r="D101" i="55"/>
  <c r="B233" i="10"/>
  <c r="C233" i="10" s="1"/>
  <c r="B399" i="10"/>
  <c r="C399" i="10" s="1"/>
  <c r="B414" i="10"/>
  <c r="C414" i="10" s="1"/>
  <c r="T231" i="10"/>
  <c r="E22" i="55"/>
  <c r="T492" i="10"/>
  <c r="B284" i="10"/>
  <c r="C284" i="10" s="1"/>
  <c r="B350" i="10"/>
  <c r="C350" i="10" s="1"/>
  <c r="B226" i="10"/>
  <c r="C226" i="10" s="1"/>
  <c r="E12" i="55"/>
  <c r="T445" i="10"/>
  <c r="T448" i="10"/>
  <c r="T275" i="10"/>
  <c r="B239" i="10"/>
  <c r="C239" i="10" s="1"/>
  <c r="B345" i="10"/>
  <c r="C345" i="10" s="1"/>
  <c r="B409" i="10"/>
  <c r="C409" i="10" s="1"/>
  <c r="D134" i="55"/>
  <c r="B503" i="10"/>
  <c r="C503" i="10" s="1"/>
  <c r="T487" i="10"/>
  <c r="B235" i="10"/>
  <c r="C235" i="10" s="1"/>
  <c r="D24" i="55"/>
  <c r="T485" i="10"/>
  <c r="T302" i="10"/>
  <c r="T294" i="10"/>
  <c r="T248" i="10"/>
  <c r="B304" i="10"/>
  <c r="C304" i="10" s="1"/>
  <c r="T339" i="10"/>
  <c r="T303" i="10"/>
  <c r="T291" i="10"/>
  <c r="D122" i="55"/>
  <c r="B432" i="10"/>
  <c r="C432" i="10" s="1"/>
  <c r="T502" i="10"/>
  <c r="T417" i="10"/>
  <c r="D108" i="55"/>
  <c r="B277" i="10"/>
  <c r="C277" i="10" s="1"/>
  <c r="B263" i="10"/>
  <c r="C263" i="10" s="1"/>
  <c r="T398" i="10"/>
  <c r="D93" i="55"/>
  <c r="E82" i="55"/>
  <c r="B265" i="10"/>
  <c r="C265" i="10" s="1"/>
  <c r="B395" i="10"/>
  <c r="C395" i="10" s="1"/>
  <c r="T268" i="10"/>
  <c r="D120" i="55"/>
  <c r="T315" i="10"/>
  <c r="T361" i="10"/>
  <c r="B492" i="10"/>
  <c r="C492" i="10" s="1"/>
  <c r="T403" i="10"/>
  <c r="D137" i="55"/>
  <c r="D117" i="55"/>
  <c r="E116" i="55"/>
  <c r="T252" i="10"/>
  <c r="T442" i="10"/>
  <c r="T344" i="10"/>
  <c r="T284" i="10"/>
  <c r="T496" i="10"/>
  <c r="T409" i="10"/>
  <c r="D141" i="55"/>
  <c r="T432" i="10"/>
  <c r="B416" i="10"/>
  <c r="C416" i="10" s="1"/>
  <c r="T309" i="10"/>
  <c r="T264" i="10"/>
  <c r="T364" i="10"/>
  <c r="E122" i="55"/>
  <c r="D140" i="55"/>
  <c r="B504" i="10"/>
  <c r="C504" i="10" s="1"/>
  <c r="B464" i="10"/>
  <c r="C464" i="10" s="1"/>
  <c r="T218" i="10"/>
  <c r="D81" i="55"/>
  <c r="B411" i="10"/>
  <c r="C411" i="10" s="1"/>
  <c r="B410" i="10"/>
  <c r="C410" i="10" s="1"/>
  <c r="T237" i="10"/>
  <c r="T461" i="10"/>
  <c r="D30" i="55"/>
  <c r="B302" i="10"/>
  <c r="C302" i="10" s="1"/>
  <c r="D33" i="55"/>
  <c r="B251" i="10"/>
  <c r="C251" i="10" s="1"/>
  <c r="T312" i="10"/>
  <c r="B248" i="10"/>
  <c r="C248" i="10" s="1"/>
  <c r="B242" i="10"/>
  <c r="C242" i="10" s="1"/>
  <c r="B303" i="10"/>
  <c r="C303" i="10" s="1"/>
  <c r="T280" i="10"/>
  <c r="B360" i="10"/>
  <c r="C360" i="10" s="1"/>
  <c r="D51" i="55"/>
  <c r="E52" i="55"/>
  <c r="B359" i="10"/>
  <c r="C359" i="10" s="1"/>
  <c r="E56" i="55"/>
  <c r="T229" i="10"/>
  <c r="B507" i="10"/>
  <c r="C507" i="10" s="1"/>
  <c r="B479" i="10"/>
  <c r="C479" i="10" s="1"/>
  <c r="E23" i="55"/>
  <c r="D86" i="55"/>
  <c r="B212" i="10"/>
  <c r="C212" i="10" s="1"/>
  <c r="B254" i="10"/>
  <c r="C254" i="10" s="1"/>
  <c r="E25" i="55"/>
  <c r="T333" i="10"/>
  <c r="T305" i="10"/>
  <c r="T438" i="10"/>
  <c r="D4" i="55"/>
  <c r="D83" i="55"/>
  <c r="D95" i="55"/>
  <c r="B258" i="10"/>
  <c r="C258" i="10" s="1"/>
  <c r="E13" i="55"/>
  <c r="B422" i="10"/>
  <c r="C422" i="10" s="1"/>
  <c r="E89" i="55"/>
  <c r="B497" i="10"/>
  <c r="C497" i="10" s="1"/>
  <c r="E18" i="55"/>
  <c r="B407" i="10"/>
  <c r="C407" i="10" s="1"/>
  <c r="T343" i="10"/>
  <c r="T283" i="10"/>
  <c r="E83" i="55"/>
  <c r="T317" i="10"/>
  <c r="T431" i="10"/>
  <c r="T336" i="10"/>
  <c r="D105" i="55"/>
  <c r="E133" i="55"/>
  <c r="B446" i="10"/>
  <c r="C446" i="10" s="1"/>
  <c r="B276" i="10"/>
  <c r="C276" i="10" s="1"/>
  <c r="B264" i="10"/>
  <c r="C264" i="10" s="1"/>
  <c r="T434" i="10"/>
  <c r="D118" i="55"/>
  <c r="B495" i="10"/>
  <c r="C495" i="10" s="1"/>
  <c r="T460" i="10"/>
  <c r="E97" i="55"/>
  <c r="E91" i="55"/>
  <c r="D12" i="55"/>
  <c r="E30" i="55"/>
  <c r="T435" i="10"/>
  <c r="B312" i="10"/>
  <c r="C312" i="10" s="1"/>
  <c r="T433" i="10"/>
  <c r="T279" i="10"/>
  <c r="B353" i="10"/>
  <c r="C353" i="10" s="1"/>
  <c r="D52" i="55"/>
  <c r="B282" i="10"/>
  <c r="C282" i="10" s="1"/>
  <c r="B229" i="10"/>
  <c r="C229" i="10" s="1"/>
  <c r="E125" i="55"/>
  <c r="B262" i="10"/>
  <c r="C262" i="10" s="1"/>
  <c r="E139" i="55"/>
  <c r="B436" i="10"/>
  <c r="C436" i="10" s="1"/>
  <c r="D133" i="55"/>
  <c r="B465" i="10"/>
  <c r="C465" i="10" s="1"/>
  <c r="T220" i="10"/>
  <c r="T407" i="10"/>
  <c r="T297" i="10"/>
  <c r="D132" i="55"/>
  <c r="E134" i="55"/>
  <c r="B487" i="10"/>
  <c r="C487" i="10" s="1"/>
  <c r="B214" i="10"/>
  <c r="C214" i="10" s="1"/>
  <c r="T258" i="10"/>
  <c r="T471" i="10"/>
  <c r="D15" i="55"/>
  <c r="T226" i="10"/>
  <c r="B458" i="10"/>
  <c r="C458" i="10" s="1"/>
  <c r="B450" i="10"/>
  <c r="C450" i="10" s="1"/>
  <c r="E136" i="55"/>
  <c r="T236" i="10"/>
  <c r="T481" i="10"/>
  <c r="D29" i="55"/>
  <c r="T483" i="10"/>
  <c r="T345" i="10"/>
  <c r="D114" i="55"/>
  <c r="D22" i="55"/>
  <c r="D18" i="55"/>
  <c r="E113" i="55"/>
  <c r="T422" i="10"/>
  <c r="B336" i="10"/>
  <c r="C336" i="10" s="1"/>
  <c r="E17" i="55"/>
  <c r="T240" i="10"/>
  <c r="B317" i="10"/>
  <c r="C317" i="10" s="1"/>
  <c r="D124" i="55"/>
  <c r="B452" i="10"/>
  <c r="C452" i="10" s="1"/>
  <c r="D23" i="55"/>
  <c r="T332" i="10"/>
  <c r="D14" i="55"/>
  <c r="T462" i="10"/>
  <c r="T241" i="10"/>
  <c r="T251" i="10"/>
  <c r="T429" i="10"/>
  <c r="B294" i="10"/>
  <c r="C294" i="10" s="1"/>
  <c r="D41" i="55"/>
  <c r="B428" i="10"/>
  <c r="C428" i="10" s="1"/>
  <c r="E44" i="55"/>
  <c r="E45" i="55"/>
  <c r="B418" i="10"/>
  <c r="C418" i="10" s="1"/>
  <c r="E47" i="55"/>
  <c r="D48" i="55"/>
  <c r="E50" i="55"/>
  <c r="D97" i="55"/>
  <c r="T491" i="10"/>
  <c r="T463" i="10"/>
  <c r="D84" i="55"/>
  <c r="B469" i="10"/>
  <c r="C469" i="10" s="1"/>
  <c r="E10" i="55"/>
  <c r="E129" i="55"/>
  <c r="E126" i="55"/>
  <c r="B364" i="10"/>
  <c r="C364" i="10" s="1"/>
  <c r="E93" i="55"/>
  <c r="D10" i="55"/>
  <c r="B220" i="10"/>
  <c r="C220" i="10" s="1"/>
  <c r="D129" i="55"/>
  <c r="D8" i="55"/>
  <c r="B417" i="10"/>
  <c r="C417" i="10" s="1"/>
  <c r="B475" i="10"/>
  <c r="C475" i="10" s="1"/>
  <c r="B412" i="10"/>
  <c r="C412" i="10" s="1"/>
  <c r="T234" i="10"/>
  <c r="T482" i="10"/>
  <c r="B388" i="10"/>
  <c r="C388" i="10" s="1"/>
  <c r="T244" i="10"/>
  <c r="B396" i="10"/>
  <c r="C396" i="10" s="1"/>
  <c r="E96" i="55"/>
  <c r="B245" i="10"/>
  <c r="C245" i="10" s="1"/>
  <c r="E101" i="55"/>
  <c r="D99" i="55"/>
  <c r="B442" i="10"/>
  <c r="C442" i="10" s="1"/>
  <c r="D85" i="55"/>
  <c r="T263" i="10"/>
  <c r="B506" i="10"/>
  <c r="C506" i="10" s="1"/>
  <c r="T500" i="10"/>
  <c r="B287" i="10"/>
  <c r="C287" i="10" s="1"/>
  <c r="T216" i="10"/>
  <c r="B453" i="10"/>
  <c r="C453" i="10" s="1"/>
  <c r="T416" i="10"/>
  <c r="B297" i="10"/>
  <c r="C297" i="10" s="1"/>
  <c r="E80" i="55"/>
  <c r="B335" i="10"/>
  <c r="C335" i="10" s="1"/>
  <c r="T452" i="10"/>
  <c r="T470" i="10"/>
  <c r="D82" i="55"/>
  <c r="B490" i="10"/>
  <c r="C490" i="10" s="1"/>
  <c r="B477" i="10"/>
  <c r="C477" i="10" s="1"/>
  <c r="D135" i="55"/>
  <c r="B466" i="10"/>
  <c r="C466" i="10" s="1"/>
  <c r="E99" i="55"/>
  <c r="B222" i="10"/>
  <c r="C222" i="10" s="1"/>
  <c r="T411" i="10"/>
  <c r="T412" i="10"/>
  <c r="B419" i="10"/>
  <c r="C419" i="10" s="1"/>
  <c r="B241" i="10"/>
  <c r="C241" i="10" s="1"/>
  <c r="B300" i="10"/>
  <c r="C300" i="10" s="1"/>
  <c r="E35" i="55"/>
  <c r="T311" i="10"/>
  <c r="B311" i="10"/>
  <c r="C311" i="10" s="1"/>
  <c r="B296" i="10"/>
  <c r="C296" i="10" s="1"/>
  <c r="E41" i="55"/>
  <c r="D44" i="55"/>
  <c r="D45" i="55"/>
  <c r="T418" i="10"/>
  <c r="D47" i="55"/>
  <c r="E48" i="55"/>
  <c r="T338" i="10"/>
  <c r="B351" i="10"/>
  <c r="C351" i="10" s="1"/>
  <c r="D54" i="55"/>
  <c r="T357" i="10"/>
  <c r="T356" i="10"/>
  <c r="T292" i="10"/>
  <c r="E59" i="55"/>
  <c r="D61" i="55"/>
  <c r="T421" i="10"/>
  <c r="D63" i="55"/>
  <c r="T289" i="10"/>
  <c r="D69" i="55"/>
  <c r="B413" i="10"/>
  <c r="C413" i="10" s="1"/>
  <c r="T379" i="10"/>
  <c r="E73" i="55"/>
  <c r="D74" i="55"/>
  <c r="T374" i="10"/>
  <c r="E57" i="55"/>
  <c r="D59" i="55"/>
  <c r="B272" i="10"/>
  <c r="C272" i="10" s="1"/>
  <c r="E63" i="55"/>
  <c r="T273" i="10"/>
  <c r="T285" i="10"/>
  <c r="E67" i="55"/>
  <c r="T382" i="10"/>
  <c r="D72" i="55"/>
  <c r="D73" i="55"/>
  <c r="E74" i="55"/>
  <c r="B279" i="10"/>
  <c r="C279" i="10" s="1"/>
  <c r="B338" i="10"/>
  <c r="C338" i="10" s="1"/>
  <c r="B260" i="10"/>
  <c r="C260" i="10" s="1"/>
  <c r="B357" i="10"/>
  <c r="C357" i="10" s="1"/>
  <c r="B354" i="10"/>
  <c r="C354" i="10" s="1"/>
  <c r="D57" i="55"/>
  <c r="B323" i="10"/>
  <c r="C323" i="10" s="1"/>
  <c r="B421" i="10"/>
  <c r="C421" i="10" s="1"/>
  <c r="B289" i="10"/>
  <c r="C289" i="10" s="1"/>
  <c r="B285" i="10"/>
  <c r="C285" i="10" s="1"/>
  <c r="D67" i="55"/>
  <c r="B381" i="10"/>
  <c r="C381" i="10" s="1"/>
  <c r="B400" i="10"/>
  <c r="C400" i="10" s="1"/>
  <c r="T413" i="10"/>
  <c r="E72" i="55"/>
  <c r="T281" i="10"/>
  <c r="E51" i="55"/>
  <c r="E53" i="55"/>
  <c r="T349" i="10"/>
  <c r="T359" i="10"/>
  <c r="D56" i="55"/>
  <c r="B273" i="10"/>
  <c r="C273" i="10" s="1"/>
  <c r="D66" i="55"/>
  <c r="B274" i="10"/>
  <c r="C274" i="10" s="1"/>
  <c r="B384" i="10"/>
  <c r="C384" i="10" s="1"/>
  <c r="T383" i="10"/>
  <c r="B349" i="10"/>
  <c r="C349" i="10" s="1"/>
  <c r="T355" i="10"/>
  <c r="B267" i="10"/>
  <c r="C267" i="10" s="1"/>
  <c r="T323" i="10"/>
  <c r="E62" i="55"/>
  <c r="T330" i="10"/>
  <c r="E66" i="55"/>
  <c r="B380" i="10"/>
  <c r="C380" i="10" s="1"/>
  <c r="T381" i="10"/>
  <c r="T400" i="10"/>
  <c r="D53" i="55"/>
  <c r="T354" i="10"/>
  <c r="E60" i="55"/>
  <c r="T271" i="10"/>
  <c r="D62" i="55"/>
  <c r="T288" i="10"/>
  <c r="E68" i="55"/>
  <c r="T274" i="10"/>
  <c r="T391" i="10"/>
  <c r="E76" i="55"/>
  <c r="D76" i="55"/>
  <c r="E49" i="55"/>
  <c r="T328" i="10"/>
  <c r="B356" i="10"/>
  <c r="C356" i="10" s="1"/>
  <c r="T365" i="10"/>
  <c r="T267" i="10"/>
  <c r="D60" i="55"/>
  <c r="E64" i="55"/>
  <c r="E65" i="55"/>
  <c r="T249" i="10"/>
  <c r="B386" i="10"/>
  <c r="C386" i="10" s="1"/>
  <c r="E71" i="55"/>
  <c r="B391" i="10"/>
  <c r="C391" i="10" s="1"/>
  <c r="T384" i="10"/>
  <c r="T261" i="10"/>
  <c r="B328" i="10"/>
  <c r="C328" i="10" s="1"/>
  <c r="B365" i="10"/>
  <c r="C365" i="10" s="1"/>
  <c r="E58" i="55"/>
  <c r="T352" i="10"/>
  <c r="B271" i="10"/>
  <c r="C271" i="10" s="1"/>
  <c r="D64" i="55"/>
  <c r="T415" i="10"/>
  <c r="T380" i="10"/>
  <c r="B249" i="10"/>
  <c r="C249" i="10" s="1"/>
  <c r="E70" i="55"/>
  <c r="D71" i="55"/>
  <c r="B385" i="10"/>
  <c r="C385" i="10" s="1"/>
  <c r="T360" i="10"/>
  <c r="T260" i="10"/>
  <c r="T307" i="10"/>
  <c r="E55" i="55"/>
  <c r="D58" i="55"/>
  <c r="B352" i="10"/>
  <c r="C352" i="10" s="1"/>
  <c r="T269" i="10"/>
  <c r="D65" i="55"/>
  <c r="B415" i="10"/>
  <c r="C415" i="10" s="1"/>
  <c r="D70" i="55"/>
  <c r="B261" i="10"/>
  <c r="C261" i="10" s="1"/>
  <c r="B307" i="10"/>
  <c r="C307" i="10" s="1"/>
  <c r="D55" i="55"/>
  <c r="T322" i="10"/>
  <c r="B334" i="10"/>
  <c r="C334" i="10" s="1"/>
  <c r="B288" i="10"/>
  <c r="C288" i="10" s="1"/>
  <c r="B382" i="10"/>
  <c r="C382" i="10" s="1"/>
  <c r="T255" i="10"/>
  <c r="B393" i="10"/>
  <c r="C393" i="10" s="1"/>
  <c r="B383" i="10"/>
  <c r="C383" i="10" s="1"/>
  <c r="D50" i="55"/>
  <c r="T282" i="10"/>
  <c r="B374" i="10"/>
  <c r="C374" i="10" s="1"/>
  <c r="B292" i="10"/>
  <c r="C292" i="10" s="1"/>
  <c r="B322" i="10"/>
  <c r="C322" i="10" s="1"/>
  <c r="B269" i="10"/>
  <c r="C269" i="10" s="1"/>
  <c r="B330" i="10"/>
  <c r="C330" i="10" s="1"/>
  <c r="T392" i="10"/>
  <c r="D68" i="55"/>
  <c r="B255" i="10"/>
  <c r="C255" i="10" s="1"/>
  <c r="B379" i="10"/>
  <c r="C379" i="10" s="1"/>
  <c r="T385" i="10"/>
  <c r="T259" i="10"/>
  <c r="E54" i="55"/>
  <c r="B355" i="10"/>
  <c r="C355" i="10" s="1"/>
  <c r="E61" i="55"/>
  <c r="T272" i="10"/>
  <c r="T334" i="10"/>
  <c r="B392" i="10"/>
  <c r="C392" i="10" s="1"/>
  <c r="E69" i="55"/>
  <c r="T386" i="10"/>
  <c r="T393" i="10"/>
  <c r="B319" i="10"/>
  <c r="C319" i="10" s="1"/>
  <c r="T319" i="10"/>
  <c r="E77" i="55"/>
  <c r="B318" i="10"/>
  <c r="C318" i="10" s="1"/>
  <c r="T318" i="10"/>
  <c r="D77" i="55"/>
  <c r="B320" i="10"/>
  <c r="C320" i="10" s="1"/>
  <c r="T320" i="10"/>
  <c r="T366" i="10"/>
  <c r="T321" i="10"/>
  <c r="B321" i="10"/>
  <c r="C321" i="10" s="1"/>
  <c r="B370" i="10"/>
  <c r="C370" i="10" s="1"/>
  <c r="B440" i="10"/>
  <c r="C440" i="10" s="1"/>
  <c r="T440" i="10"/>
  <c r="B378" i="10"/>
  <c r="C378" i="10" s="1"/>
  <c r="D78" i="55"/>
  <c r="T378" i="10"/>
  <c r="B368" i="10"/>
  <c r="C368" i="10" s="1"/>
  <c r="E78" i="55"/>
  <c r="T368" i="10"/>
  <c r="B372" i="10"/>
  <c r="C372" i="10" s="1"/>
  <c r="T489" i="10"/>
  <c r="B489" i="10"/>
  <c r="C489" i="10" s="1"/>
  <c r="B377" i="10"/>
  <c r="C377" i="10" s="1"/>
  <c r="B369" i="10"/>
  <c r="C369" i="10" s="1"/>
  <c r="T342" i="10"/>
  <c r="B342" i="10"/>
  <c r="C342" i="10" s="1"/>
  <c r="T377" i="10"/>
  <c r="T369" i="10"/>
  <c r="B373" i="10"/>
  <c r="C373" i="10" s="1"/>
  <c r="B499" i="10"/>
  <c r="C499" i="10" s="1"/>
  <c r="T499" i="10"/>
  <c r="T404" i="10"/>
  <c r="T346" i="10"/>
  <c r="T347" i="10"/>
  <c r="T238" i="10"/>
  <c r="B346" i="10"/>
  <c r="C346" i="10" s="1"/>
  <c r="B439" i="10"/>
  <c r="C439" i="10" s="1"/>
  <c r="E5" i="55"/>
  <c r="T439" i="10"/>
  <c r="T498" i="10"/>
  <c r="T363" i="10"/>
  <c r="B363" i="10"/>
  <c r="C363" i="10" s="1"/>
  <c r="T373" i="10"/>
  <c r="T474" i="10"/>
  <c r="B474" i="10"/>
  <c r="C474" i="10" s="1"/>
  <c r="B390" i="10"/>
  <c r="C390" i="10" s="1"/>
  <c r="T390" i="10"/>
  <c r="B498" i="10"/>
  <c r="C498" i="10" s="1"/>
  <c r="F180" i="55" l="1"/>
  <c r="F177" i="55"/>
  <c r="F178" i="55"/>
  <c r="F176" i="55"/>
  <c r="F174" i="55"/>
  <c r="F175" i="55"/>
  <c r="F172" i="55"/>
  <c r="F173" i="55"/>
  <c r="F171" i="55"/>
  <c r="F170" i="55"/>
  <c r="F168" i="55"/>
  <c r="F169" i="55"/>
  <c r="F167" i="55"/>
  <c r="F166" i="55"/>
  <c r="F165" i="55"/>
  <c r="F163" i="55"/>
  <c r="F164" i="55"/>
  <c r="F162" i="55"/>
  <c r="F161" i="55"/>
  <c r="F160" i="55"/>
  <c r="F158" i="55"/>
  <c r="F159" i="55"/>
  <c r="F157" i="55"/>
  <c r="F145" i="55"/>
  <c r="F156" i="55"/>
  <c r="F155" i="55"/>
  <c r="F154" i="55"/>
  <c r="F146" i="55"/>
  <c r="F147" i="55"/>
  <c r="F150" i="55"/>
  <c r="F143" i="55"/>
  <c r="F149" i="55"/>
  <c r="F151" i="55"/>
  <c r="F142" i="55"/>
  <c r="F148" i="55"/>
  <c r="F153" i="55"/>
  <c r="F144" i="55"/>
  <c r="F152" i="55"/>
  <c r="F94" i="55"/>
  <c r="F110" i="55"/>
  <c r="F115" i="55"/>
  <c r="F101" i="55"/>
  <c r="F80" i="55"/>
  <c r="F96" i="55"/>
  <c r="F5" i="55"/>
  <c r="F126" i="55"/>
  <c r="F25" i="55"/>
  <c r="F79" i="55"/>
  <c r="F130" i="55"/>
  <c r="F48" i="55"/>
  <c r="F119" i="55"/>
  <c r="F138" i="55"/>
  <c r="F91" i="55"/>
  <c r="F87" i="55"/>
  <c r="F89" i="55"/>
  <c r="F93" i="55"/>
  <c r="F134" i="55"/>
  <c r="F90" i="55"/>
  <c r="F46" i="55"/>
  <c r="F99" i="55"/>
  <c r="F54" i="55"/>
  <c r="F13" i="55"/>
  <c r="F69" i="55"/>
  <c r="F125" i="55"/>
  <c r="F111" i="55"/>
  <c r="F35" i="55"/>
  <c r="F77" i="55"/>
  <c r="F3" i="55"/>
  <c r="F136" i="55"/>
  <c r="F75" i="55"/>
  <c r="F49" i="55"/>
  <c r="F72" i="55"/>
  <c r="F30" i="55"/>
  <c r="F122" i="55"/>
  <c r="F102" i="55"/>
  <c r="F98" i="55"/>
  <c r="F127" i="55"/>
  <c r="F59" i="55"/>
  <c r="F118" i="55"/>
  <c r="F61" i="55"/>
  <c r="F73" i="55"/>
  <c r="F63" i="55"/>
  <c r="F106" i="55"/>
  <c r="F27" i="55"/>
  <c r="F135" i="55"/>
  <c r="F37" i="55"/>
  <c r="F116" i="55"/>
  <c r="F129" i="55"/>
  <c r="F97" i="55"/>
  <c r="F14" i="55"/>
  <c r="F88" i="55"/>
  <c r="F121" i="55"/>
  <c r="F66" i="55"/>
  <c r="F38" i="55"/>
  <c r="F19" i="55"/>
  <c r="F60" i="55"/>
  <c r="F57" i="55"/>
  <c r="F107" i="55"/>
  <c r="F62" i="55"/>
  <c r="F51" i="55"/>
  <c r="F78" i="55"/>
  <c r="F76" i="55"/>
  <c r="F24" i="55"/>
  <c r="F11" i="55"/>
  <c r="F109" i="55"/>
  <c r="F71" i="55"/>
  <c r="F56" i="55"/>
  <c r="F86" i="55"/>
  <c r="F103" i="55"/>
  <c r="F16" i="55"/>
  <c r="F21" i="55"/>
  <c r="F133" i="55"/>
  <c r="F82" i="55"/>
  <c r="F108" i="55"/>
  <c r="F100" i="55"/>
  <c r="F141" i="55"/>
  <c r="F6" i="55"/>
  <c r="F39" i="55"/>
  <c r="F92" i="55"/>
  <c r="F120" i="55"/>
  <c r="F123" i="55"/>
  <c r="F74" i="55"/>
  <c r="F41" i="55"/>
  <c r="F113" i="55"/>
  <c r="F42" i="55"/>
  <c r="F34" i="55"/>
  <c r="F140" i="55"/>
  <c r="F32" i="55"/>
  <c r="F2" i="55"/>
  <c r="F58" i="55"/>
  <c r="F53" i="55"/>
  <c r="F50" i="55"/>
  <c r="F15" i="55"/>
  <c r="F40" i="55"/>
  <c r="F132" i="55"/>
  <c r="F128" i="55"/>
  <c r="F117" i="55"/>
  <c r="F26" i="55"/>
  <c r="F10" i="55"/>
  <c r="F52" i="55"/>
  <c r="F12" i="55"/>
  <c r="F20" i="55"/>
  <c r="F85" i="55"/>
  <c r="F68" i="55"/>
  <c r="F65" i="55"/>
  <c r="F47" i="55"/>
  <c r="F17" i="55"/>
  <c r="F18" i="55"/>
  <c r="F23" i="55"/>
  <c r="F70" i="55"/>
  <c r="F64" i="55"/>
  <c r="F139" i="55"/>
  <c r="F95" i="55"/>
  <c r="F36" i="55"/>
  <c r="F7" i="55"/>
  <c r="F45" i="55"/>
  <c r="F124" i="55"/>
  <c r="F84" i="55"/>
  <c r="F114" i="55"/>
  <c r="F8" i="55"/>
  <c r="F104" i="55"/>
  <c r="F67" i="55"/>
  <c r="F44" i="55"/>
  <c r="F33" i="55"/>
  <c r="F43" i="55"/>
  <c r="F9" i="55"/>
  <c r="F81" i="55"/>
  <c r="F4" i="55"/>
  <c r="F112" i="55"/>
  <c r="F55" i="55"/>
  <c r="F83" i="55"/>
  <c r="F22" i="55"/>
  <c r="F105" i="55"/>
  <c r="F31" i="55"/>
  <c r="F137" i="55"/>
  <c r="F131" i="55"/>
  <c r="F28" i="55"/>
  <c r="F29" i="5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<sst xmlns="http://schemas.openxmlformats.org/spreadsheetml/2006/main" count="26144" uniqueCount="2428">
  <si>
    <t xml:space="preserve">MÊS DE REFERENCIA </t>
  </si>
  <si>
    <t>DIA INICIAL</t>
  </si>
  <si>
    <t>DIA FINAL</t>
  </si>
  <si>
    <t>PLACA</t>
  </si>
  <si>
    <t>MODELO</t>
  </si>
  <si>
    <t>TIPO VEICULO</t>
  </si>
  <si>
    <t>MÉDIA SOLICIT.</t>
  </si>
  <si>
    <t>MÉDIA FEITA</t>
  </si>
  <si>
    <t>SITUAÇÃO</t>
  </si>
  <si>
    <t>50 % P/ MOTORISTA</t>
  </si>
  <si>
    <t>CUSTO OLEO</t>
  </si>
  <si>
    <t>TOT. LITROS CONSUM.</t>
  </si>
  <si>
    <t>KM ROD</t>
  </si>
  <si>
    <t>KM CARR.</t>
  </si>
  <si>
    <t>KM VAZIO</t>
  </si>
  <si>
    <t>QTDE DE ABAST.</t>
  </si>
  <si>
    <t>% CARREG</t>
  </si>
  <si>
    <t>KM A DESC.</t>
  </si>
  <si>
    <t>MÉDIA REAL</t>
  </si>
  <si>
    <t>VALOR ECONO.</t>
  </si>
  <si>
    <t>TCM</t>
  </si>
  <si>
    <t>DP</t>
  </si>
  <si>
    <t>OQC0C33</t>
  </si>
  <si>
    <t>HNC7I76</t>
  </si>
  <si>
    <t>FKS0J24</t>
  </si>
  <si>
    <t>QHE9735</t>
  </si>
  <si>
    <t>BZA3587</t>
  </si>
  <si>
    <t>GHS4J57</t>
  </si>
  <si>
    <t>FZA3E94</t>
  </si>
  <si>
    <t>GKA2J56</t>
  </si>
  <si>
    <t>GFB0I37</t>
  </si>
  <si>
    <t>GGZ3G38</t>
  </si>
  <si>
    <t>GJU9A22</t>
  </si>
  <si>
    <t>GGF7G26</t>
  </si>
  <si>
    <t>QXI8065</t>
  </si>
  <si>
    <t>QNP3A97</t>
  </si>
  <si>
    <t>TOTAL DE PREJUIZO</t>
  </si>
  <si>
    <t>TOTAL DE ECONOMIA</t>
  </si>
  <si>
    <t>DIESEL</t>
  </si>
  <si>
    <t>MÉDIA SOLICITADA</t>
  </si>
  <si>
    <t>GRE8708</t>
  </si>
  <si>
    <t>GYS4066</t>
  </si>
  <si>
    <t>HIA2B10</t>
  </si>
  <si>
    <t>OQL5721</t>
  </si>
  <si>
    <t>OQL5H33</t>
  </si>
  <si>
    <t>OQT2443</t>
  </si>
  <si>
    <t>ID</t>
  </si>
  <si>
    <t>6CC0A70E-9379-4BF7-9063-21D318A103FE</t>
  </si>
  <si>
    <t>DAF XF 510</t>
  </si>
  <si>
    <t>F4FE5996-DC74-4D0B-AEF1-D6ADE020157C</t>
  </si>
  <si>
    <t>VOLVO FH 540</t>
  </si>
  <si>
    <t>F6693059-6B3C-4978-83E2-F1140AE5CB1C</t>
  </si>
  <si>
    <t>SCANIA G420</t>
  </si>
  <si>
    <t>3F050F09-4F23-42ED-AD46-D1D76E0CC909</t>
  </si>
  <si>
    <t>VOLVO FH 400</t>
  </si>
  <si>
    <t>375C1390-EC5A-4661-84E4-6D222EEA16FD</t>
  </si>
  <si>
    <t>MB-2544s</t>
  </si>
  <si>
    <t>8A1310ED-388C-4445-B027-7A0CC3ABEF97</t>
  </si>
  <si>
    <t>4005EDD0-9058-44C6-8D49-6DA422E6B23E</t>
  </si>
  <si>
    <t>748460A9-3CD6-48F6-9169-1730D31665CA</t>
  </si>
  <si>
    <t>6B275FDC-A2AC-4272-8CE2-C39701ECE18D</t>
  </si>
  <si>
    <t>VOLVO FH 460</t>
  </si>
  <si>
    <t>0704F285-9532-44A8-B32A-C16F1E6FD89C</t>
  </si>
  <si>
    <t>35D3CEA7-74ED-464A-8235-A4C22DB796DA</t>
  </si>
  <si>
    <t>VOLVO FH 520</t>
  </si>
  <si>
    <t>B05A8E44-5DA1-4128-83F0-8DDE6CB8291B</t>
  </si>
  <si>
    <t>0FD3629E-8FA4-4575-81E5-E460A4EFD545</t>
  </si>
  <si>
    <t>6B5F18E0-6EAE-404A-AE41-39E549361094</t>
  </si>
  <si>
    <t>MB-2651</t>
  </si>
  <si>
    <t>97D798AC-9C50-4B40-BD06-86A89CAFCF44</t>
  </si>
  <si>
    <t>ATEGO 3030</t>
  </si>
  <si>
    <t>E2142D75-BC20-47B9-8225-FC4ED3D279CF</t>
  </si>
  <si>
    <t>VOLVO VM 330</t>
  </si>
  <si>
    <t>17ED636C-5A71-44D5-AF3C-192D3DA6CDD1</t>
  </si>
  <si>
    <t>GYS4B19</t>
  </si>
  <si>
    <t>55B269B4-5CB2-4A08-96C0-678FA83DD3E3</t>
  </si>
  <si>
    <t>VW-25370</t>
  </si>
  <si>
    <t>4DFC6CC2-BC04-4FE8-81DF-C3A3882D850D</t>
  </si>
  <si>
    <t>DAF XF FTT 530</t>
  </si>
  <si>
    <t>75A3D88C-4B99-481A-ACC8-34008151E92D</t>
  </si>
  <si>
    <t>94099C57-E02A-40F7-B573-6368475EB0B3</t>
  </si>
  <si>
    <t>28D74B0F-5C0F-4A59-86EB-697E3711F324</t>
  </si>
  <si>
    <t>51FCA948-8BA9-488B-AAF2-8F2F237B75B2</t>
  </si>
  <si>
    <t>4F0C2317-958D-4267-BAF8-BC4F7B6B12A1</t>
  </si>
  <si>
    <t>TRUCK 8X2</t>
  </si>
  <si>
    <t>9 EIXOS</t>
  </si>
  <si>
    <t>BI-CAÇAMBA</t>
  </si>
  <si>
    <t>VANDERLÉIA</t>
  </si>
  <si>
    <t>LS</t>
  </si>
  <si>
    <t>DAF XF 530</t>
  </si>
  <si>
    <t>MB-2651 Actros</t>
  </si>
  <si>
    <t>Volvo FH 540 6X4</t>
  </si>
  <si>
    <t>MB-2544s 6X2</t>
  </si>
  <si>
    <t>Volvo FH 400 6X2</t>
  </si>
  <si>
    <t>Volvo FH 520 6X4</t>
  </si>
  <si>
    <t>Scania G420 6X2</t>
  </si>
  <si>
    <t>Volvo FH 460 6X2</t>
  </si>
  <si>
    <t>MB-2544s 8X2</t>
  </si>
  <si>
    <t>Volvo VM 330 8X2</t>
  </si>
  <si>
    <t>MB-3030 Atego 8x2</t>
  </si>
  <si>
    <t>ABASTECIMENTO</t>
  </si>
  <si>
    <t>DATA</t>
  </si>
  <si>
    <t>KM ATUAL</t>
  </si>
  <si>
    <t>LT DIESEL</t>
  </si>
  <si>
    <t>VALOR DIESEL</t>
  </si>
  <si>
    <t>TIPO</t>
  </si>
  <si>
    <t>VLR UNIT</t>
  </si>
  <si>
    <t>MÉDIA</t>
  </si>
  <si>
    <t>KM A DESCONTAR</t>
  </si>
  <si>
    <t>ALERTA</t>
  </si>
  <si>
    <t>LINK DO TRAJETO</t>
  </si>
  <si>
    <t>E</t>
  </si>
  <si>
    <t>I</t>
  </si>
  <si>
    <t>HIF3599</t>
  </si>
  <si>
    <t>HIF3624</t>
  </si>
  <si>
    <t>HLQ6388</t>
  </si>
  <si>
    <t>PWH2833</t>
  </si>
  <si>
    <t>GYS4112</t>
  </si>
  <si>
    <t>OGX3528</t>
  </si>
  <si>
    <t>OPM8935</t>
  </si>
  <si>
    <t>HHU5324</t>
  </si>
  <si>
    <t>GYS4102</t>
  </si>
  <si>
    <t>HDI6652</t>
  </si>
  <si>
    <t>82801E41-A001-436F-A743-F071900B878A</t>
  </si>
  <si>
    <t>GHH9B64</t>
  </si>
  <si>
    <t>KM INIC.</t>
  </si>
  <si>
    <t>GHX4D71</t>
  </si>
  <si>
    <t>OPM8J51</t>
  </si>
  <si>
    <t>GFR0D47</t>
  </si>
  <si>
    <t>D171D77B-7EEE-4B8A-AB93-163C02819566</t>
  </si>
  <si>
    <t>HBJ2I55</t>
  </si>
  <si>
    <t>GGN4J86</t>
  </si>
  <si>
    <t>0C13AEC3-426E-4E1A-A62E-C4BA625F41E7</t>
  </si>
  <si>
    <t>ds_paginacao_produto</t>
  </si>
  <si>
    <t>ds_paginacao_veiculo</t>
  </si>
  <si>
    <t>ds_placa</t>
  </si>
  <si>
    <t>nm_unidade</t>
  </si>
  <si>
    <t>cd_caixa</t>
  </si>
  <si>
    <t>cd_pessoa_favorecido</t>
  </si>
  <si>
    <t>nm_pessoa_favorecido</t>
  </si>
  <si>
    <t>cd_nm_pessoa_favorecido</t>
  </si>
  <si>
    <t>nm_cidade_favorecido</t>
  </si>
  <si>
    <t>nm_produto</t>
  </si>
  <si>
    <t>vl_medidor</t>
  </si>
  <si>
    <t>vl_km_rodado</t>
  </si>
  <si>
    <t>vl_km_rodado_tc</t>
  </si>
  <si>
    <t>vl_km_rodado_tc_totalizador</t>
  </si>
  <si>
    <t>qt_produto</t>
  </si>
  <si>
    <t>qt_produto_tc</t>
  </si>
  <si>
    <t>qt_produto_tc_totalizador</t>
  </si>
  <si>
    <t>vl_media</t>
  </si>
  <si>
    <t>vl_media_tc</t>
  </si>
  <si>
    <t>vl_produto</t>
  </si>
  <si>
    <t>vl_produto_com_desconto</t>
  </si>
  <si>
    <t>vl_desconto</t>
  </si>
  <si>
    <t>vl_total</t>
  </si>
  <si>
    <t>id_integracao</t>
  </si>
  <si>
    <t>nm_grupo</t>
  </si>
  <si>
    <t>COMBUSTÍVEL</t>
  </si>
  <si>
    <t>SEM GRUPO</t>
  </si>
  <si>
    <t>2 / FROTA PROPRIA</t>
  </si>
  <si>
    <t>GYS4080</t>
  </si>
  <si>
    <t>dt_documento</t>
  </si>
  <si>
    <t>MÉDIA MENSAL</t>
  </si>
  <si>
    <t>VALOR P/ MOTORISTA</t>
  </si>
  <si>
    <t>22 NORTE</t>
  </si>
  <si>
    <t>22 SUL</t>
  </si>
  <si>
    <t>VARGINHA-MG</t>
  </si>
  <si>
    <t>CUBATAO-SP</t>
  </si>
  <si>
    <t>FORMIGA-MG</t>
  </si>
  <si>
    <t>UBERABA-MG</t>
  </si>
  <si>
    <t>IGUATAMA-MG</t>
  </si>
  <si>
    <t>COROMANDEL-MG</t>
  </si>
  <si>
    <t>LAGOA DA PRATA-MG</t>
  </si>
  <si>
    <t>POMPEU-MG</t>
  </si>
  <si>
    <t>SANTOS-SP</t>
  </si>
  <si>
    <t>ALFENAS-MG</t>
  </si>
  <si>
    <t>BOA ESPERANCA-MG</t>
  </si>
  <si>
    <t>GUARUJA-SP</t>
  </si>
  <si>
    <t>TAUBATE-SP</t>
  </si>
  <si>
    <t>CARVALHOPOLIS-MG</t>
  </si>
  <si>
    <t>PLANURA-MG</t>
  </si>
  <si>
    <t>PATOS DE MINAS-MG</t>
  </si>
  <si>
    <t>PERDIZES-MG</t>
  </si>
  <si>
    <t>JOAO PINHEIRO-MG</t>
  </si>
  <si>
    <t>PASSOS-MG</t>
  </si>
  <si>
    <t>PIMENTA-MG</t>
  </si>
  <si>
    <t>PIUMHI-MG</t>
  </si>
  <si>
    <t>PIRAJUBA-MG</t>
  </si>
  <si>
    <t>INDIANOPOLIS-MG</t>
  </si>
  <si>
    <t>PATROCINIO-MG</t>
  </si>
  <si>
    <t>GUARDA-MOR-MG</t>
  </si>
  <si>
    <t>PARANAGUA-PR</t>
  </si>
  <si>
    <t>CARMO DO CAJURU-MG</t>
  </si>
  <si>
    <t>TRES PONTAS-MG</t>
  </si>
  <si>
    <t>CORREGO FUNDO-MG</t>
  </si>
  <si>
    <t>SAO JOSE DA BARRA-MG</t>
  </si>
  <si>
    <t>UBERLANDIA-MG</t>
  </si>
  <si>
    <t>DESCALVADO-SP</t>
  </si>
  <si>
    <t>CATANDUVA-SP</t>
  </si>
  <si>
    <t>CONGONHAL-MG</t>
  </si>
  <si>
    <t>TRES CORACOES-MG</t>
  </si>
  <si>
    <t>MONTE CARMELO-MG</t>
  </si>
  <si>
    <t>POUSO ALEGRE-MG</t>
  </si>
  <si>
    <t>PINTOPOLIS-MG</t>
  </si>
  <si>
    <t>CARMO DO RIO CLARO-MG</t>
  </si>
  <si>
    <t>CANDEIAS-MG</t>
  </si>
  <si>
    <t>SAO SEBASTIAO DO OESTE-MG</t>
  </si>
  <si>
    <t>PITANGUI-MG</t>
  </si>
  <si>
    <t>IGARATINGA-MG</t>
  </si>
  <si>
    <t>BAMBUI-MG</t>
  </si>
  <si>
    <t>CAMPO GRANDE-MS</t>
  </si>
  <si>
    <t>ITANHANDU-MG</t>
  </si>
  <si>
    <t>MARTINS SOARES-MG</t>
  </si>
  <si>
    <t>GUAXUPE-MG</t>
  </si>
  <si>
    <t>ARAGUARI-MG</t>
  </si>
  <si>
    <t>DP PAULINHO</t>
  </si>
  <si>
    <t>DP JK SUL</t>
  </si>
  <si>
    <t>DP PA NORTE</t>
  </si>
  <si>
    <t>DP ATIBAIA NORTE</t>
  </si>
  <si>
    <t>ABASTECEU no</t>
  </si>
  <si>
    <t>CARREGOU em</t>
  </si>
  <si>
    <t>DESCARREGOU em</t>
  </si>
  <si>
    <t>TRAJETO</t>
  </si>
  <si>
    <t>PICA PAU SUL</t>
  </si>
  <si>
    <t>PASSOU em</t>
  </si>
  <si>
    <t>PRODOESTE UBA</t>
  </si>
  <si>
    <t>PICA PAU NORTE</t>
  </si>
  <si>
    <t>DP SALES OLIVEIRA</t>
  </si>
  <si>
    <t>CAXUXA UBER.</t>
  </si>
  <si>
    <t>IPAMERI-GO</t>
  </si>
  <si>
    <t>DECIO UBER.</t>
  </si>
  <si>
    <t>SANTA JULIANA-MG</t>
  </si>
  <si>
    <t>DP ESTIVA</t>
  </si>
  <si>
    <t>LUZ-MG</t>
  </si>
  <si>
    <t>ROTA</t>
  </si>
  <si>
    <t/>
  </si>
  <si>
    <t>ARUJÁ-SP</t>
  </si>
  <si>
    <t>MÁXIMOSES($E$1:E290;$C$1:C290;C291)</t>
  </si>
  <si>
    <t>DP ALIANCA PA</t>
  </si>
  <si>
    <t>BRASILEIRAO ARAGUARI</t>
  </si>
  <si>
    <t>DP LEME SUL</t>
  </si>
  <si>
    <t>SUG. KM VAZ</t>
  </si>
  <si>
    <t>Nº ROTA</t>
  </si>
  <si>
    <t>QTD VEZES</t>
  </si>
  <si>
    <t>MÉDIA LITROS GASTOS</t>
  </si>
  <si>
    <t>MÉDIA KM ROD.</t>
  </si>
  <si>
    <t>RODO</t>
  </si>
  <si>
    <t>BI</t>
  </si>
  <si>
    <t>TOTAL</t>
  </si>
  <si>
    <t>PREJ./LUCRO</t>
  </si>
  <si>
    <t>CONTAGEM-MG</t>
  </si>
  <si>
    <t>SÃO GOTARDO-MG</t>
  </si>
  <si>
    <t>LIQUIDO</t>
  </si>
  <si>
    <t>DIEGO</t>
  </si>
  <si>
    <t>RONY</t>
  </si>
  <si>
    <t>RONILSON</t>
  </si>
  <si>
    <t>JULIO</t>
  </si>
  <si>
    <t>CELIO</t>
  </si>
  <si>
    <t>ISRAEL</t>
  </si>
  <si>
    <t>ANTONIO</t>
  </si>
  <si>
    <t>IZAIAS</t>
  </si>
  <si>
    <t>ADILSON</t>
  </si>
  <si>
    <t>EDNILSON</t>
  </si>
  <si>
    <t>ERNESTINO</t>
  </si>
  <si>
    <t>ISAC</t>
  </si>
  <si>
    <t>EDUALDO</t>
  </si>
  <si>
    <t>ELI RICARDO</t>
  </si>
  <si>
    <t>ALTIELIS</t>
  </si>
  <si>
    <t>EVERTON</t>
  </si>
  <si>
    <t>MED. KM</t>
  </si>
  <si>
    <t>QTD VZS</t>
  </si>
  <si>
    <t>ARCOS-MG</t>
  </si>
  <si>
    <t>GUILHERME</t>
  </si>
  <si>
    <t>MÊS COMP.</t>
  </si>
  <si>
    <t>PAULO HENR.</t>
  </si>
  <si>
    <t>MOTORISTA</t>
  </si>
  <si>
    <t>JOEL</t>
  </si>
  <si>
    <t>TOINZINHO</t>
  </si>
  <si>
    <t>janeiro de 2023</t>
  </si>
  <si>
    <t>N°</t>
  </si>
  <si>
    <t>OSASCO-SP</t>
  </si>
  <si>
    <t>CONC. DAS ALAGOAS-MG</t>
  </si>
  <si>
    <t>SÃO JOAO DALIANCA-GO</t>
  </si>
  <si>
    <t>SÃO PAULO-SP</t>
  </si>
  <si>
    <t>MULTIPLICA DATA POR-1</t>
  </si>
  <si>
    <t>PMG CORR. DANTA</t>
  </si>
  <si>
    <t>UNAÍ-MG</t>
  </si>
  <si>
    <t>POSTO W3 UNAÍ</t>
  </si>
  <si>
    <t>TCM TRINDADE LOGISTICA</t>
  </si>
  <si>
    <t>2 / TCM TRINDADE LOGISTICA</t>
  </si>
  <si>
    <t>MG / CANDEIAS</t>
  </si>
  <si>
    <t>KM CARR</t>
  </si>
  <si>
    <t xml:space="preserve">               </t>
  </si>
  <si>
    <t xml:space="preserve">ABASTECEU no CANDEIAS-MG CARREGOU em FORMIGA-MG ABASTECEU no 22 SUL          </t>
  </si>
  <si>
    <t xml:space="preserve">ABASTECEU no 22 NORTE DESCARREGOU em ALFENAS-MG PASSOU em ARUJÁ-SP CARREGOU em CUBATAO-SP PASSOU em ARUJÁ-SP ABASTECEU no 22 NORTE    </t>
  </si>
  <si>
    <t xml:space="preserve">ABASTECEU no 22 NORTE DESCARREGOU em ALFENAS-MG PASSOU em ARUJÁ-SP CARREGOU em CUBATAO-SP PASSOU em SÃO PAULO-SP ABASTECEU no 22 NORTE    </t>
  </si>
  <si>
    <t xml:space="preserve">ABASTECEU no 22 NORTE DESCARREGOU em CONGONHAL-MG PASSOU em SÃO PAULO-SP CARREGOU em SANTOS-SP PASSOU em SÃO PAULO-SP ABASTECEU no 22 NORTE    </t>
  </si>
  <si>
    <t xml:space="preserve">ABASTECEU no PICA PAU NORTE ABASTECEU no PRODOESTE UBA            </t>
  </si>
  <si>
    <t xml:space="preserve">ABASTECEU no 22 NORTE DESCARREGOU em ALFENAS-MG PASSOU em ARUJÁ-SP CARREGOU em SANTOS-SP PASSOU em OSASCO-SP ABASTECEU no PICA PAU NORTE    </t>
  </si>
  <si>
    <t xml:space="preserve">ABASTECEU no CANDEIAS-MG DESCARREGOU em VARGINHA-MG PASSOU em SÃO PAULO-SP CARREGOU em SANTOS-SP PASSOU em ARUJÁ-SP ABASTECEU no PICA PAU NORTE    </t>
  </si>
  <si>
    <t xml:space="preserve">ABASTECEU no DP PA NORTE DESCARREGOU em IGUATAMA-MG CARREGOU em LUZ-MG ABASTECEU no DP ESTIVA        </t>
  </si>
  <si>
    <t xml:space="preserve">ABASTECEU no 22 SUL PASSOU em SÃO PAULO-SP DESCARREGOU em SANTOS-SP CARREGOU em SANTOS-SP PASSOU em SÃO PAULO-SP ABASTECEU no 22 NORTE    </t>
  </si>
  <si>
    <t xml:space="preserve">ABASTECEU no CANDEIAS-MG PASSOU em SÃO PAULO-SP DESCARREGOU em SANTOS-SP CARREGOU em CUBATAO-SP PASSOU em SÃO PAULO-SP ABASTECEU no 22 NORTE    </t>
  </si>
  <si>
    <t xml:space="preserve">ABASTECEU no PICA PAU SUL PASSOU em OSASCO-SP DESCARREGOU em SANTOS-SP CARREGOU em CUBATAO-SP PASSOU em SÃO PAULO-SP ABASTECEU no 22 NORTE    </t>
  </si>
  <si>
    <t xml:space="preserve">ABASTECEU no 22 NORTE DESCARREGOU em CONGONHAL-MG PASSOU em SÃO PAULO-SP CARREGOU em SANTOS-SP PASSOU em ARUJÁ-SP ABASTECEU no 22 NORTE    </t>
  </si>
  <si>
    <t xml:space="preserve">ABASTECEU no CANDEIAS-MG ABASTECEU no CANDEIAS-MG            </t>
  </si>
  <si>
    <t xml:space="preserve">ABASTECEU no DP ESTIVA PASSOU em SÃO PAULO-SP DESCARREGOU em SANTOS-SP CARREGOU em SANTOS-SP PASSOU em ARUJÁ-SP ABASTECEU no 22 NORTE    </t>
  </si>
  <si>
    <t xml:space="preserve">ABASTECEU no PICA PAU NORTE DESCARREGOU em ARAGUARI-MG CARREGOU em SANTA JULIANA-MG ABASTECEU no PICA PAU SUL        </t>
  </si>
  <si>
    <t xml:space="preserve">ABASTECEU no PICA PAU NORTE DESCARREGOU em ARAGUARI-MG CARREGOU em IPAMERI-GO ABASTECEU no DECIO UBER.        </t>
  </si>
  <si>
    <t xml:space="preserve">ABASTECEU no DECIO UBER. ABASTECEU no DP SALES OLIVEIRA            </t>
  </si>
  <si>
    <t xml:space="preserve">ABASTECEU no PRODOESTE UBA DESCARREGOU em ARAGUARI-MG CARREGOU em IPAMERI-GO ABASTECEU no CAXUXA UBER.        </t>
  </si>
  <si>
    <t xml:space="preserve">ABASTECEU no CAXUXA UBER. ABASTECEU no PRODOESTE UBA            </t>
  </si>
  <si>
    <t xml:space="preserve">ABASTECEU no PICA PAU NORTE DESCARREGOU em ARAGUARI-MG CARREGOU em UBERABA-MG ABASTECEU no PICA PAU NORTE        </t>
  </si>
  <si>
    <t xml:space="preserve">ABASTECEU no DP SALES OLIVEIRA ABASTECEU no PICA PAU NORTE            </t>
  </si>
  <si>
    <t xml:space="preserve">ABASTECEU no PRODOESTE UBA ABASTECEU no PICA PAU NORTE            </t>
  </si>
  <si>
    <t xml:space="preserve">ABASTECEU no PICA PAU SUL PASSOU em SÃO PAULO-SP DESCARREGOU em SANTOS-SP CARREGOU em SANTOS-SP PASSOU em SÃO PAULO-SP ABASTECEU no 22 NORTE    </t>
  </si>
  <si>
    <t xml:space="preserve">ABASTECEU no 22 NORTE DESCARREGOU em IGUATAMA-MG CARREGOU em FORMIGA-MG ABASTECEU no CANDEIAS-MG        </t>
  </si>
  <si>
    <t xml:space="preserve">ABASTECEU no 22 NORTE DESCARREGOU em TRES CORACOES-MG PASSOU em CANDEIAS-MG ABASTECEU no 22 SUL        </t>
  </si>
  <si>
    <t xml:space="preserve">ABASTECEU no DP ATIBAIA NORTE DESCARREGOU em IGUATAMA-MG CARREGOU em PIUMHI-MG ABASTECEU no 22 SUL        </t>
  </si>
  <si>
    <t xml:space="preserve">ABASTECEU no DP ATIBAIA NORTE DESCARREGOU em IGUATAMA-MG CARREGOU em CORREGO FUNDO-MG ABASTECEU no CANDEIAS-MG        </t>
  </si>
  <si>
    <t xml:space="preserve">ABASTECEU no PICA PAU NORTE DESCARREGOU em ARAGUARI-MG PASSOU em UBERABA-MG CARREGOU em SANTA JULIANA-MG ABASTECEU no UBERABA-MG      </t>
  </si>
  <si>
    <t xml:space="preserve">ABASTECEU no 22 NORTE DESCARREGOU em CONGONHAL-MG PASSOU em ARUJÁ-SP CARREGOU em SANTOS-SP PASSOU em ARUJÁ-SP ABASTECEU no 22 NORTE    </t>
  </si>
  <si>
    <t xml:space="preserve">ABASTECEU no 22 NORTE DESCARREGOU em TRES CORACOES-MG PASSOU em ARUJÁ-SP CARREGOU em SANTOS-SP PASSOU em ARUJÁ-SP ABASTECEU no 22 NORTE    </t>
  </si>
  <si>
    <t xml:space="preserve">ABASTECEU no 22 SUL PASSOU em ARUJÁ-SP CARREGOU em SANTOS-SP PASSOU em ARUJÁ-SP ABASTECEU no 22 NORTE      </t>
  </si>
  <si>
    <t xml:space="preserve">ABASTECEU no 22 NORTE DESCARREGOU em IGUATAMA-MG CARREGOU em CORREGO FUNDO-MG ABASTECEU no CANDEIAS-MG        </t>
  </si>
  <si>
    <t xml:space="preserve">ABASTECEU no 22 NORTE DESCARREGOU em TRES CORACOES-MG CARREGOU em CORREGO FUNDO-MG DESCARREGOU em VARGINHA-MG ABASTECEU no DP ESTIVA      </t>
  </si>
  <si>
    <t xml:space="preserve">ABASTECEU no 22 NORTE DESCARREGOU em CONGONHAL-MG CARREGOU em CORREGO FUNDO-MG ABASTECEU no CANDEIAS-MG        </t>
  </si>
  <si>
    <t xml:space="preserve">ABASTECEU no 22 NORTE DESCARREGOU em TRES CORACOES-MG PASSOU em ARUJÁ-SP CARREGOU em SANTOS-SP PASSOU em SÃO PAULO-SP ABASTECEU no 22 NORTE    </t>
  </si>
  <si>
    <t xml:space="preserve">ABASTECEU no PICA PAU NORTE PASSOU em SÃO PAULO-SP DESCARREGOU em SANTOS-SP CARREGOU em SANTOS-SP PASSOU em SÃO PAULO-SP ABASTECEU no DP PA NORTE    </t>
  </si>
  <si>
    <t xml:space="preserve">ABASTECEU no 22 SUL PASSOU em ARUJÁ-SP CARREGOU em SANTOS-SP PASSOU em SÃO PAULO-SP ABASTECEU no 22 NORTE      </t>
  </si>
  <si>
    <t xml:space="preserve">ABASTECEU no PICA PAU NORTE PASSOU em SÃO PAULO-SP DESCARREGOU em SANTOS-SP CARREGOU em SANTOS-SP PASSOU em ARUJÁ-SP ABASTECEU no 22 NORTE    </t>
  </si>
  <si>
    <t xml:space="preserve">ABASTECEU no CANDEIAS-MG DESCARREGOU em VARGINHA-MG PASSOU em SÃO PAULO-SP CARREGOU em SANTOS-SP PASSOU em ARUJÁ-SP ABASTECEU no 22 NORTE    </t>
  </si>
  <si>
    <t xml:space="preserve">ABASTECEU no 22 NORTE DESCARREGOU em VARGINHA-MG CARREGOU em ALFENAS-MG DESCARREGOU em UBERABA-MG ABASTECEU no PRODOESTE UBA      </t>
  </si>
  <si>
    <t xml:space="preserve">ABASTECEU no CANDEIAS-MG DESCARREGOU em VARGINHA-MG PASSOU em ARUJÁ-SP CARREGOU em SANTOS-SP PASSOU em SÃO PAULO-SP ABASTECEU no 22 NORTE    </t>
  </si>
  <si>
    <t xml:space="preserve">ABASTECEU no CANDEIAS-MG DESCARREGOU em VARGINHA-MG CARREGOU em ALFENAS-MG DESCARREGOU em UBERABA-MG ABASTECEU no PRODOESTE UBA      </t>
  </si>
  <si>
    <t xml:space="preserve">ABASTECEU no PICA PAU NORTE PASSOU em SÃO PAULO-SP DESCARREGOU em SANTOS-SP CARREGOU em SANTOS-SP PASSOU em SÃO PAULO-SP ABASTECEU no 22 NORTE    </t>
  </si>
  <si>
    <t xml:space="preserve">ABASTECEU no PRODOESTE UBA PASSOU em SÃO PAULO-SP DESCARREGOU em SANTOS-SP CARREGOU em SANTOS-SP PASSOU em SÃO PAULO-SP ABASTECEU no 22 NORTE    </t>
  </si>
  <si>
    <t xml:space="preserve">ABASTECEU no DP PA NORTE DESCARREGOU em CONGONHAL-MG PASSOU em ARUJÁ-SP CARREGOU em CUBATAO-SP PASSOU em SÃO PAULO-SP ABASTECEU no 22 NORTE    </t>
  </si>
  <si>
    <t xml:space="preserve">ABASTECEU no 22 NORTE DESCARREGOU em VARGINHA-MG PASSOU em ARUJÁ-SP CARREGOU em CUBATAO-SP PASSOU em SÃO PAULO-SP ABASTECEU no 22 NORTE    </t>
  </si>
  <si>
    <t xml:space="preserve">ABASTECEU no DP ESTIVA PASSOU em ARUJÁ-SP CARREGOU em CUBATAO-SP PASSOU em ARUJÁ-SP DESCARREGOU em CONGONHAL-MG ABASTECEU no 22 SUL    </t>
  </si>
  <si>
    <t xml:space="preserve">ABASTECEU no 22 NORTE DESCARREGOU em VARGINHA-MG PASSOU em SÃO PAULO-SP CARREGOU em CUBATAO-SP PASSOU em ARUJÁ-SP ABASTECEU no 22 NORTE    </t>
  </si>
  <si>
    <t xml:space="preserve">ABASTECEU no 22 NORTE DESCARREGOU em VARGINHA-MG PASSOU em SÃO PAULO-SP CARREGOU em CUBATAO-SP PASSOU em SÃO PAULO-SP ABASTECEU no 22 NORTE    </t>
  </si>
  <si>
    <t xml:space="preserve">ABASTECEU no 22 SUL PASSOU em SÃO PAULO-SP CARREGOU em CUBATAO-SP PASSOU em SÃO PAULO-SP ABASTECEU no 22 NORTE      </t>
  </si>
  <si>
    <t xml:space="preserve">ABASTECEU no PRODOESTE UBA CARREGOU em IPAMERI-GO ABASTECEU no DP SALES OLIVEIRA          </t>
  </si>
  <si>
    <t xml:space="preserve">ABASTECEU no PRODOESTE UBA CARREGOU em IPAMERI-GO ABASTECEU no PICA PAU NORTE          </t>
  </si>
  <si>
    <t xml:space="preserve">ABASTECEU no 22 NORTE DESCARREGOU em TRES CORACOES-MG PASSOU em SÃO PAULO-SP CARREGOU em SANTOS-SP PASSOU em SÃO PAULO-SP ABASTECEU no 22 NORTE    </t>
  </si>
  <si>
    <t xml:space="preserve">ABASTECEU no 22 NORTE DESCARREGOU em VARGINHA-MG CARREGOU em CORREGO FUNDO-MG ABASTECEU no CANDEIAS-MG        </t>
  </si>
  <si>
    <t xml:space="preserve">ABASTECEU no PICA PAU NORTE PASSOU em SÃO PAULO-SP DESCARREGOU em SANTOS-SP CARREGOU em CUBATAO-SP PASSOU em SÃO PAULO-SP ABASTECEU no 22 NORTE    </t>
  </si>
  <si>
    <t xml:space="preserve">ABASTECEU no 22 NORTE ABASTECEU no CANDEIAS-MG            </t>
  </si>
  <si>
    <t xml:space="preserve">ABASTECEU no PRODOESTE UBA CARREGOU em CONC. DAS ALAGOAS-MG ABASTECEU no PICA PAU SUL          </t>
  </si>
  <si>
    <t xml:space="preserve">ABASTECEU no 22 NORTE DESCARREGOU em VARGINHA-MG PASSOU em ARUJÁ-SP CARREGOU em CUBATAO-SP PASSOU em ARUJÁ-SP ABASTECEU no 22 NORTE    </t>
  </si>
  <si>
    <t xml:space="preserve">ABASTECEU no 22 NORTE DESCARREGOU em TRES CORACOES-MG PASSOU em ARUJÁ-SP CARREGOU em CUBATAO-SP PASSOU em SÃO PAULO-SP ABASTECEU no 22 NORTE    </t>
  </si>
  <si>
    <t xml:space="preserve">ABASTECEU no 22 NORTE DESCARREGOU em TRES CORACOES-MG PASSOU em ARUJÁ-SP CARREGOU em CUBATAO-SP PASSOU em SÃO PAULO-SP ABASTECEU no DP PA NORTE    </t>
  </si>
  <si>
    <t xml:space="preserve">ABASTECEU no CANDEIAS-MG DESCARREGOU em VARGINHA-MG PASSOU em ARUJÁ-SP CARREGOU em CUBATAO-SP PASSOU em SÃO PAULO-SP ABASTECEU no 22 NORTE    </t>
  </si>
  <si>
    <t xml:space="preserve">ABASTECEU no 22 NORTE DESCARREGOU em TRES CORACOES-MG CARREGOU em CORREGO FUNDO-MG ABASTECEU no CANDEIAS-MG        </t>
  </si>
  <si>
    <t xml:space="preserve">ABASTECEU no CANDEIAS-MG DESCARREGOU em TRES CORACOES-MG CARREGOU em ALFENAS-MG DESCARREGOU em CATANDUVA-SP ABASTECEU no PRODOESTE UBA      </t>
  </si>
  <si>
    <t xml:space="preserve">ABASTECEU no 22 NORTE DESCARREGOU em TRES CORACOES-MG CARREGOU em ALFENAS-MG DESCARREGOU em CATANDUVA-SP ABASTECEU no PRODOESTE UBA      </t>
  </si>
  <si>
    <t xml:space="preserve">ABASTECEU no 22 NORTE DESCARREGOU em TRES CORACOES-MG PASSOU em SÃO PAULO-SP CARREGOU em CUBATAO-SP PASSOU em SÃO PAULO-SP ABASTECEU no DP PAULINHO    </t>
  </si>
  <si>
    <t xml:space="preserve">ABASTECEU no 22 NORTE DESCARREGOU em TRES CORACOES-MG PASSOU em SÃO PAULO-SP CARREGOU em CUBATAO-SP PASSOU em ARUJÁ-SP ABASTECEU no DP PAULINHO    </t>
  </si>
  <si>
    <t xml:space="preserve">ABASTECEU no CANDEIAS-MG DESCARREGOU em VARGINHA-MG PASSOU em SÃO PAULO-SP CARREGOU em CUBATAO-SP PASSOU em ARUJÁ-SP ABASTECEU no DP PAULINHO    </t>
  </si>
  <si>
    <t xml:space="preserve">ABASTECEU no PICA PAU SUL PASSOU em SÃO PAULO-SP DESCARREGOU em SANTOS-SP CARREGOU em CUBATAO-SP PASSOU em ARUJÁ-SP ABASTECEU no DP PA NORTE    </t>
  </si>
  <si>
    <t xml:space="preserve">ABASTECEU no CANDEIAS-MG DESCARREGOU em VARGINHA-MG ABASTECEU no DP JK SUL          </t>
  </si>
  <si>
    <t xml:space="preserve">ABASTECEU no DP PA NORTE DESCARREGOU em TRES CORACOES-MG PASSOU em SÃO PAULO-SP CARREGOU em CUBATAO-SP PASSOU em SÃO PAULO-SP ABASTECEU no 22 NORTE    </t>
  </si>
  <si>
    <t xml:space="preserve">ABASTECEU no 22 NORTE DESCARREGOU em TRES CORACOES-MG PASSOU em SÃO PAULO-SP CARREGOU em CUBATAO-SP PASSOU em SÃO PAULO-SP ABASTECEU no 22 NORTE    </t>
  </si>
  <si>
    <t xml:space="preserve">ABASTECEU no 22 NORTE DESCARREGOU em TRES CORACOES-MG PASSOU em ARUJÁ-SP CARREGOU em CUBATAO-SP PASSOU em SÃO PAULO-SP ABASTECEU no DP ALIANCA PA    </t>
  </si>
  <si>
    <t xml:space="preserve">ABASTECEU no DP JK SUL PASSOU em SÃO PAULO-SP CARREGOU em CUBATAO-SP PASSOU em ARUJÁ-SP ABASTECEU no 22 NORTE      </t>
  </si>
  <si>
    <t xml:space="preserve">ABASTECEU no PRODOESTE UBA CARREGOU em SÃO JOAO DALIANCA-GO ABASTECEU no BRASILEIRAO ARAGUARI          </t>
  </si>
  <si>
    <t xml:space="preserve">ABASTECEU no BRASILEIRAO ARAGUARI ABASTECEU no DP LEME SUL            </t>
  </si>
  <si>
    <t xml:space="preserve">ABASTECEU no 22 NORTE DESCARREGOU em VARGINHA-MG PASSOU em CANDEIAS-MG ABASTECEU no DP JK SUL        </t>
  </si>
  <si>
    <t xml:space="preserve">ABASTECEU no 22 NORTE DESCARREGOU em VARGINHA-MG PASSOU em FORMIGA-MG ABASTECEU no DP JK SUL        </t>
  </si>
  <si>
    <t xml:space="preserve">ABASTECEU no DP LEME SUL PASSOU em OSASCO-SP DESCARREGOU em SANTOS-SP CARREGOU em CUBATAO-SP PASSOU em SÃO PAULO-SP ABASTECEU no 22 NORTE    </t>
  </si>
  <si>
    <t xml:space="preserve">ABASTECEU no 22 NORTE DESCARREGOU em TRES CORACOES-MG PASSOU em SÃO PAULO-SP CARREGOU em CUBATAO-SP PASSOU em ARUJÁ-SP ABASTECEU no 22 NORTE    </t>
  </si>
  <si>
    <t xml:space="preserve">ABASTECEU no 22 NORTE DESCARREGOU em VARGINHA-MG CARREGOU em LAGOA DA PRATA-MG ABASTECEU no CANDEIAS-MG        </t>
  </si>
  <si>
    <t xml:space="preserve">ABASTECEU no DP PAULINHO DESCARREGOU em VARGINHA-MG CARREGOU em LAGOA DA PRATA-MG ABASTECEU no CANDEIAS-MG        </t>
  </si>
  <si>
    <t xml:space="preserve">ABASTECEU no 22 NORTE DESCARREGOU em VARGINHA-MG PASSOU em SÃO PAULO-SP CARREGOU em CUBATAO-SP PASSOU em ARUJÁ-SP ABASTECEU no DP PAULINHO    </t>
  </si>
  <si>
    <t xml:space="preserve">ABASTECEU no DP PA NORTE DESCARREGOU em VARGINHA-MG PASSOU em SÃO PAULO-SP CARREGOU em CUBATAO-SP PASSOU em ARUJÁ-SP ABASTECEU no DP PA NORTE    </t>
  </si>
  <si>
    <t xml:space="preserve">ABASTECEU no DP PAULINHO DESCARREGOU em VARGINHA-MG PASSOU em SÃO PAULO-SP CARREGOU em CUBATAO-SP PASSOU em ARUJÁ-SP ABASTECEU no DP PA NORTE    </t>
  </si>
  <si>
    <t xml:space="preserve">ABASTECEU no 22 NORTE DESCARREGOU em VARGINHA-MG PASSOU em SÃO PAULO-SP CARREGOU em CUBATAO-SP PASSOU em ARUJÁ-SP ABASTECEU no DP PA NORTE    </t>
  </si>
  <si>
    <t xml:space="preserve">ABASTECEU no DP ALIANCA PA DESCARREGOU em VARGINHA-MG PASSOU em SÃO PAULO-SP CARREGOU em CUBATAO-SP PASSOU em ARUJÁ-SP ABASTECEU no DP ALIANCA PA    </t>
  </si>
  <si>
    <t xml:space="preserve">ABASTECEU no DP JK SUL PASSOU em SÃO PAULO-SP CARREGOU em CUBATAO-SP PASSOU em ARUJÁ-SP DESCARREGOU em VARGINHA-MG ABASTECEU no DP ESTIVA    </t>
  </si>
  <si>
    <t xml:space="preserve">ABASTECEU no DP PAULINHO DESCARREGOU em VARGINHA-MG PASSOU em SÃO PAULO-SP CARREGOU em CUBATAO-SP PASSOU em ARUJÁ-SP ABASTECEU no DP ATIBAIA NORTE    </t>
  </si>
  <si>
    <t xml:space="preserve">ABASTECEU no 22 NORTE DESCARREGOU em VARGINHA-MG ABASTECEU no DP JK SUL          </t>
  </si>
  <si>
    <t xml:space="preserve">ABASTECEU no DP PA NORTE DESCARREGOU em VARGINHA-MG PASSOU em SÃO PAULO-SP CARREGOU em SANTOS-SP PASSOU em ARUJÁ-SP ABASTECEU no DP PA NORTE    </t>
  </si>
  <si>
    <t xml:space="preserve">ABASTECEU no DP PAULINHO DESCARREGOU em VARGINHA-MG PASSOU em SÃO PAULO-SP CARREGOU em SANTOS-SP PASSOU em SÃO PAULO-SP ABASTECEU no 22 NORTE    </t>
  </si>
  <si>
    <t xml:space="preserve">ABASTECEU no DP ALIANCA PA DESCARREGOU em VARGINHA-MG PASSOU em SÃO PAULO-SP CARREGOU em SANTOS-SP PASSOU em SÃO PAULO-SP ABASTECEU no 22 NORTE    </t>
  </si>
  <si>
    <t xml:space="preserve">ABASTECEU no DP JK SUL PASSOU em SÃO PAULO-SP CARREGOU em SANTOS-SP PASSOU em SÃO PAULO-SP ABASTECEU no 22 NORTE      </t>
  </si>
  <si>
    <t xml:space="preserve">ABASTECEU no CANDEIAS-MG PASSOU em SÃO PAULO-SP DESCARREGOU em SANTOS-SP CARREGOU em SANTOS-SP PASSOU em SÃO PAULO-SP ABASTECEU no DP PAULINHO    </t>
  </si>
  <si>
    <t xml:space="preserve">ABASTECEU no 22 NORTE DESCARREGOU em VARGINHA-MG CARREGOU em FORMIGA-MG DESCARREGOU em CONTAGEM-MG ABASTECEU no CANDEIAS-MG      </t>
  </si>
  <si>
    <t xml:space="preserve">ABASTECEU no DP ESTIVA PASSOU em SÃO PAULO-SP CARREGOU em CUBATAO-SP PASSOU em ARUJÁ-SP DESCARREGOU em VARGINHA-MG ABASTECEU no CANDEIAS-MG    </t>
  </si>
  <si>
    <t xml:space="preserve">ABASTECEU no 22 NORTE DESCARREGOU em VARGINHA-MG ABASTECEU no CANDEIAS-MG          </t>
  </si>
  <si>
    <t xml:space="preserve">ABASTECEU no 22 NORTE DESCARREGOU em VARGINHA-MG PASSOU em FORMIGA-MG ABASTECEU no CANDEIAS-MG        </t>
  </si>
  <si>
    <t xml:space="preserve">ABASTECEU no 22 NORTE DESCARREGOU em VARGINHA-MG CARREGOU em SÃO GOTARDO-MG ABASTECEU no CANDEIAS-MG        </t>
  </si>
  <si>
    <t xml:space="preserve">ABASTECEU no CANDEIAS-MG CARREGOU em SÃO GOTARDO-MG ABASTECEU no CANDEIAS-MG          </t>
  </si>
  <si>
    <t xml:space="preserve">ABASTECEU no 22 NORTE DESCARREGOU em VARGINHA-MG ABASTECEU no 22 SUL          </t>
  </si>
  <si>
    <t xml:space="preserve">ABASTECEU no CANDEIAS-MG CARREGOU em SÃO GOTARDO-MG ABASTECEU no 22 SUL          </t>
  </si>
  <si>
    <t xml:space="preserve">ABASTECEU no 22 NORTE DESCARREGOU em CONGONHAL-MG CARREGOU em SÃO GOTARDO-MG ABASTECEU no CANDEIAS-MG        </t>
  </si>
  <si>
    <t xml:space="preserve">ABASTECEU no CANDEIAS-MG ABASTECEU no 22 SUL            </t>
  </si>
  <si>
    <t xml:space="preserve">ABASTECEU no 22 SUL PASSOU em SÃO PAULO-SP CARREGOU em SANTOS-SP PASSOU em SÃO PAULO-SP ABASTECEU no 22 NORTE      </t>
  </si>
  <si>
    <t xml:space="preserve">ABASTECEU no 22 SUL PASSOU em SÃO PAULO-SP DESCARREGOU em SANTOS-SP CARREGOU em CUBATAO-SP PASSOU em SÃO PAULO-SP ABASTECEU no 22 NORTE    </t>
  </si>
  <si>
    <t xml:space="preserve">ABASTECEU no 22 SUL PASSOU em ARUJÁ-SP DESCARREGOU em SANTOS-SP CARREGOU em CUBATAO-SP PASSOU em SÃO PAULO-SP ABASTECEU no 22 NORTE    </t>
  </si>
  <si>
    <t xml:space="preserve">ABASTECEU no 22 SUL PASSOU em SÃO PAULO-SP DESCARREGOU em SANTOS-SP CARREGOU em CUBATAO-SP PASSOU em SÃO PAULO-SP DESCARREGOU em CONGONHAL-MG ABASTECEU no 22 SUL  </t>
  </si>
  <si>
    <t xml:space="preserve">ABASTECEU no 22 SUL PASSOU em SÃO PAULO-SP DESCARREGOU em SANTOS-SP CARREGOU em CUBATAO-SP PASSOU em ARUJÁ-SP ABASTECEU no 22 NORTE    </t>
  </si>
  <si>
    <t xml:space="preserve">ABASTECEU no 22 SUL PASSOU em ARUJÁ-SP CARREGOU em CUBATAO-SP PASSOU em ARUJÁ-SP ABASTECEU no 22 NORTE      </t>
  </si>
  <si>
    <t xml:space="preserve">ABASTECEU no 22 NORTE DESCARREGOU em CONGONHAL-MG PASSOU em ARUJÁ-SP CARREGOU em CUBATAO-SP PASSOU em SÃO PAULO-SP ABASTECEU no 22 NORTE    </t>
  </si>
  <si>
    <t xml:space="preserve">ABASTECEU no 22 NORTE DESCARREGOU em CONGONHAL-MG PASSOU em SÃO PAULO-SP CARREGOU em CUBATAO-SP PASSOU em SÃO PAULO-SP ABASTECEU no 22 NORTE    </t>
  </si>
  <si>
    <t xml:space="preserve">ABASTECEU no 22 NORTE DESCARREGOU em CONGONHAL-MG PASSOU em SÃO PAULO-SP CARREGOU em CUBATAO-SP PASSOU em ARUJÁ-SP ABASTECEU no 22 NORTE    </t>
  </si>
  <si>
    <t xml:space="preserve">ABASTECEU no 22 NORTE DESCARREGOU em ALFENAS-MG ABASTECEU no 22 SUL          </t>
  </si>
  <si>
    <t xml:space="preserve">ABASTECEU no 22 NORTE DESCARREGOU em ALFENAS-MG PASSOU em SÃO PAULO-SP CARREGOU em CUBATAO-SP PASSOU em SÃO PAULO-SP ABASTECEU no 22 NORTE    </t>
  </si>
  <si>
    <t xml:space="preserve">ABASTECEU no 22 NORTE DESCARREGOU em VARGINHA-MG PASSOU em SÃO PAULO-SP CARREGOU em GUARUJA-SP PASSOU em SÃO PAULO-SP ABASTECEU no 22 NORTE    </t>
  </si>
  <si>
    <t xml:space="preserve">ABASTECEU no DP PA NORTE DESCARREGOU em VARGINHA-MG PASSOU em ARCOS-MG PASSOU em SÃO PAULO-SP CARREGOU em CUBATAO-SP PASSOU em ARUJÁ-SP ABASTECEU no 22 NORTE  </t>
  </si>
  <si>
    <t xml:space="preserve">ABASTECEU no 22 NORTE DESCARREGOU em CONGONHAL-MG PASSOU em TRES CORACOES-MG PASSOU em SÃO PAULO-SP CARREGOU em CUBATAO-SP PASSOU em SÃO PAULO-SP ABASTECEU no 22 NORTE  </t>
  </si>
  <si>
    <t xml:space="preserve">ABASTECEU no 22 NORTE DESCARREGOU em TRES CORACOES-MG PASSOU em CANDEIAS-MG PASSOU em SÃO PAULO-SP CARREGOU em CUBATAO-SP PASSOU em SÃO PAULO-SP ABASTECEU no 22 NORTE  </t>
  </si>
  <si>
    <t xml:space="preserve">ABASTECEU no CANDEIAS-MG PASSOU em ARCOS-MG PASSOU em SÃO PAULO-SP CARREGOU em CUBATAO-SP PASSOU em ARUJÁ-SP ABASTECEU no 22 NORTE    </t>
  </si>
  <si>
    <t xml:space="preserve">ABASTECEU no 22 NORTE DESCARREGOU em CONGONHAL-MG PASSOU em ARUJÁ-SP CARREGOU em CUBATAO-SP PASSOU em ARUJÁ-SP ABASTECEU no 22 NORTE    </t>
  </si>
  <si>
    <t xml:space="preserve">ABASTECEU no 22 NORTE DESCARREGOU em CONGONHAL-MG PASSOU em SÃO PAULO-SP CARREGOU em GUARUJA-SP PASSOU em SÃO PAULO-SP ABASTECEU no 22 NORTE    </t>
  </si>
  <si>
    <t xml:space="preserve">ABASTECEU no 22 NORTE DESCARREGOU em TRES CORACOES-MG PASSOU em ARUJÁ-SP CARREGOU em CUBATAO-SP PASSOU em ARUJÁ-SP ABASTECEU no 22 NORTE    </t>
  </si>
  <si>
    <t xml:space="preserve">ABASTECEU no 22 NORTE DESCARREGOU em ALFENAS-MG ABASTECEU no CANDEIAS-MG          </t>
  </si>
  <si>
    <t xml:space="preserve">ABASTECEU no 22 NORTE DESCARREGOU em ALFENAS-MG PASSOU em SÃO PAULO-SP CARREGOU em CUBATAO-SP PASSOU em ARUJÁ-SP ABASTECEU no 22 NORTE    </t>
  </si>
  <si>
    <t xml:space="preserve">ABASTECEU no 22 NORTE DESCARREGOU em CONGONHAL-MG CARREGOU em IGUATAMA-MG ABASTECEU no CANDEIAS-MG        </t>
  </si>
  <si>
    <t xml:space="preserve">ABASTECEU no 22 NORTE DESCARREGOU em CONGONHAL-MG PASSOU em CANDEIAS-MG PASSOU em SÃO PAULO-SP CARREGOU em CUBATAO-SP PASSOU em ARUJÁ-SP ABASTECEU no 22 NORTE  </t>
  </si>
  <si>
    <t xml:space="preserve">ABASTECEU no CANDEIAS-MG CARREGOU em IGUATAMA-MG DESCARREGOU em TRES CORACOES-MG CARREGOU em CUBATAO-SP PASSOU em SÃO PAULO-SP ABASTECEU no 22 NORTE    </t>
  </si>
  <si>
    <t xml:space="preserve">ABASTECEU no 22 NORTE DESCARREGOU em ALFENAS-MG PASSOU em CANDEIAS-MG PASSOU em SÃO PAULO-SP CARREGOU em CUBATAO-SP PASSOU em ARUJÁ-SP ABASTECEU no 22 NORTE  </t>
  </si>
  <si>
    <t xml:space="preserve">ABASTECEU no CANDEIAS-MG DESCARREGOU em PATOS DE MINAS-MG CARREGOU em COROMANDEL-MG ABASTECEU no PMG CORR. DANTA        </t>
  </si>
  <si>
    <t xml:space="preserve">ABASTECEU no CANDEIAS-MG DESCARREGOU em PATOS DE MINAS-MG CARREGOU em COROMANDEL-MG ABASTECEU no CANDEIAS-MG        </t>
  </si>
  <si>
    <t xml:space="preserve">ABASTECEU no PMG CORR. DANTA ABASTECEU no CANDEIAS-MG            </t>
  </si>
  <si>
    <t xml:space="preserve">ABASTECEU no CANDEIAS-MG DESCARREGOU em PATOS DE MINAS-MG CARREGOU em UNAÍ-MG ABASTECEU no POSTO W3 UNAÍ        </t>
  </si>
  <si>
    <t xml:space="preserve">ABASTECEU no POSTO W3 UNAÍ ABASTECEU no CANDEIAS-MG            </t>
  </si>
  <si>
    <t xml:space="preserve">ABASTECEU no 22 NORTE DESCARREGOU em ALFENAS-MG PASSOU em ARUJÁ-SP CARREGOU em SANTOS-SP PASSOU em SÃO PAULO-SP ABASTECEU no 22 NORTE    </t>
  </si>
  <si>
    <t xml:space="preserve">ABASTECEU no CANDEIAS-MG PASSOU em ARUJÁ-SP CARREGOU em SANTOS-SP PASSOU em SÃO PAULO-SP ABASTECEU no 22 NORTE      </t>
  </si>
  <si>
    <t xml:space="preserve">ABASTECEU no CANDEIAS-MG PASSOU em SÃO PAULO-SP DESCARREGOU em SANTOS-SP CARREGOU em SANTOS-SP PASSOU em SÃO PAULO-SP ABASTECEU no 22 NORTE    </t>
  </si>
  <si>
    <t xml:space="preserve">ABASTECEU no 22 NORTE DESCARREGOU em CONGONHAL-MG PASSOU em CANDEIAS-MG PASSOU em SÃO PAULO-SP CARREGOU em SANTOS-SP PASSOU em ARUJÁ-SP ABASTECEU no 22 NORTE  </t>
  </si>
  <si>
    <t xml:space="preserve">ABASTECEU no 22 NORTE DESCARREGOU em ALFENAS-MG CARREGOU em CONGONHAL-MG DESCARREGOU em ALFENAS-MG PASSOU em SÃO PAULO-SP CARREGOU em SANTOS-SP ABASTECEU no 22 NORTE  </t>
  </si>
  <si>
    <t>ABASTECEU no 22 NORTE DESCARREGOU em ALFENAS-MG CARREGOU em CONGONHAL-MG DESCARREGOU em ALFENAS-MG PASSOU em SÃO PAULO-SP CARREGOU em SANTOS-SP PASSOU em ARUJÁ-SP ABASTECEU no 22 NORTE</t>
  </si>
  <si>
    <t>ABASTECEU no 22 NORTE DESCARREGOU em ALFENAS-MG CARREGOU em CONGONHAL-MG DESCARREGOU em ALFENAS-MG PASSOU em SÃO PAULO-SP CARREGOU em CUBATAO-SP PASSOU em SÃO PAULO-SP ABASTECEU no 22 NORTE</t>
  </si>
  <si>
    <t>ABASTECEU no 22 NORTE DESCARREGOU em CONGONHAL-MG CARREGOU em CONGONHAL-MG DESCARREGOU em ALFENAS-MG PASSOU em ARUJÁ-SP CARREGOU em SANTOS-SP PASSOU em ARUJÁ-SP ABASTECEU no 22 NORTE</t>
  </si>
  <si>
    <t xml:space="preserve">ABASTECEU no 22 NORTE DESCARREGOU em TRES CORACOES-MG PASSOU em CANDEIAS-MG PASSOU em SÃO PAULO-SP CARREGOU em SANTOS-SP PASSOU em SÃO PAULO-SP ABASTECEU no 22 NORTE  </t>
  </si>
  <si>
    <t xml:space="preserve">ABASTECEU no 22 NORTE DESCARREGOU em CONGONHAL-MG CARREGOU em CONGONHAL-MG DESCARREGOU em CANDEIAS-MG ABASTECEU no 22 SUL      </t>
  </si>
  <si>
    <t>JACAREI-SP</t>
  </si>
  <si>
    <t xml:space="preserve">ABASTECEU no 22 SUL PASSOU em JACAREI-SP CARREGOU em SANTOS-SP PASSOU em SÃO PAULO-SP ABASTECEU no 22 NORTE      </t>
  </si>
  <si>
    <t xml:space="preserve">ABASTECEU no 22 NORTE DESCARREGOU em CONGONHAL-MG PASSOU em JACAREI-SP CARREGOU em SANTOS-SP PASSOU em SÃO PAULO-SP ABASTECEU no 22 NORTE    </t>
  </si>
  <si>
    <t xml:space="preserve">ABASTECEU no 22 NORTE DESCARREGOU em CONGONHAL-MG PASSOU em SÃO PAULO-SP CARREGOU em CUBATAO-SP PASSOU em SÃO PAULO-SP DESCARREGOU em CONGONHAL-MG ABASTECEU no 22 SUL  </t>
  </si>
  <si>
    <t xml:space="preserve">ABASTECEU no 22 NORTE DESCARREGOU em TRES CORACOES-MG PASSOU em JACAREI-SP CARREGOU em SANTOS-SP PASSOU em ARUJÁ-SP ABASTECEU no 22 NORTE    </t>
  </si>
  <si>
    <t xml:space="preserve">ABASTECEU no 22 SUL CARREGOU em SANTOS-SP PASSOU em JACAREI-SP DESCARREGOU em CONGONHAL-MG ABASTECEU no 22 SUL      </t>
  </si>
  <si>
    <t xml:space="preserve">ABASTECEU no 22 NORTE DESCARREGOU em IGUATAMA-MG ABASTECEU no 22 SUL          </t>
  </si>
  <si>
    <t xml:space="preserve">ABASTECEU no 22 SUL PASSOU em SÃO PAULO-SP CARREGOU em SANTOS-SP PASSOU em ARUJÁ-SP ABASTECEU no 22 NORTE      </t>
  </si>
  <si>
    <t>QXI8065 / MERCEDES-BENZ</t>
  </si>
  <si>
    <t>2022-11-01 18:00:00</t>
  </si>
  <si>
    <t>2022-11-21 08:45:00</t>
  </si>
  <si>
    <t>2022-12-19 07:25:00</t>
  </si>
  <si>
    <t>2022-12-22 17:25:00</t>
  </si>
  <si>
    <t>2023-01-03 16:46:00</t>
  </si>
  <si>
    <t>2023-01-21 08:10:00</t>
  </si>
  <si>
    <t>2023-01-25 09:05:00</t>
  </si>
  <si>
    <t>2023-01-25 18:45:00</t>
  </si>
  <si>
    <t xml:space="preserve">ABASTECEU no 22 NORTE DESCARREGOU em TRES CORACOES-MG PASSOU em SÃO PAULO-SP CARREGOU em SANTOS-SP PASSOU em ARUJÁ-SP ABASTECEU no 22 NORTE    </t>
  </si>
  <si>
    <t>% MÉD</t>
  </si>
  <si>
    <t xml:space="preserve">ABASTECEU no CANDEIAS-MG PASSOU em SÃO PAULO-SP DESCARREGOU em SANTOS-SP CARREGOU em CUBATAO-SP PASSOU em JACAREI-SP DESCARREGOU em CONGONHAL-MG ABASTECEU no DP JK SUL  </t>
  </si>
  <si>
    <t xml:space="preserve">ABASTECEU no CANDEIAS-MG DESCARREGOU em IGUATAMA-MG PASSOU em SÃO PAULO-SP CARREGOU em SANTOS-SP PASSOU em ARUJÁ-SP ABASTECEU no 22 NORTE    </t>
  </si>
  <si>
    <t xml:space="preserve">ABASTECEU no 22 NORTE DESCARREGOU em VARGINHA-MG PASSOU em SÃO PAULO-SP CARREGOU em SANTOS-SP PASSOU em ARUJÁ-SP ABASTECEU no 22 NORTE    </t>
  </si>
  <si>
    <t xml:space="preserve">ABASTECEU no 22 NORTE DESCARREGOU em VARGINHA-MG PASSOU em ARUJÁ-SP CARREGOU em SANTOS-SP PASSOU em SÃO PAULO-SP ABASTECEU no 22 NORTE    </t>
  </si>
  <si>
    <t xml:space="preserve">ABASTECEU no 22 NORTE DESCARREGOU em IGUATAMA-MG CARREGOU em LUZ-MG ABASTECEU no CANDEIAS-MG        </t>
  </si>
  <si>
    <t xml:space="preserve">ABASTECEU no DP JK SUL PASSOU em SÃO PAULO-SP CARREGOU em SANTOS-SP PASSOU em ARUJÁ-SP ABASTECEU no CANDEIAS-MG      </t>
  </si>
  <si>
    <t xml:space="preserve">ABASTECEU no CANDEIAS-MG CARREGOU em IGUATAMA-MG DESCARREGOU em TRES CORACOES-MG PASSOU em SÃO PAULO-SP CARREGOU em SANTOS-SP PASSOU em SÃO PAULO-SP ABASTECEU no 22 NORTE  </t>
  </si>
  <si>
    <t xml:space="preserve">ABASTECEU no CANDEIAS-MG PASSOU em SÃO PAULO-SP DESCARREGOU em SANTOS-SP CARREGOU em CUBATAO-SP PASSOU em ARUJÁ-SP ABASTECEU no 22 NORTE    </t>
  </si>
  <si>
    <t xml:space="preserve">ABASTECEU no 22 NORTE DESCARREGOU em IGUATAMA-MG PASSOU em FORMIGA-MG CARREGOU em LUZ-MG ABASTECEU no CANDEIAS-MG      </t>
  </si>
  <si>
    <t xml:space="preserve">ABASTECEU no CANDEIAS-MG DESCARREGOU em IGUATAMA-MG CARREGOU em LUZ-MG ABASTECEU no CANDEIAS-MG        </t>
  </si>
  <si>
    <t>FATURAMENTO</t>
  </si>
  <si>
    <t>%</t>
  </si>
  <si>
    <t>PREMIO</t>
  </si>
  <si>
    <t>nr_ctrc</t>
  </si>
  <si>
    <t>ds_serie</t>
  </si>
  <si>
    <t>nr_cfop</t>
  </si>
  <si>
    <t>id_sintegra</t>
  </si>
  <si>
    <t>id_situacao_cte</t>
  </si>
  <si>
    <t>nr_contrato</t>
  </si>
  <si>
    <t>nr_pedido</t>
  </si>
  <si>
    <t>nr_ordem_compra</t>
  </si>
  <si>
    <t>nr_liberacao_embarque</t>
  </si>
  <si>
    <t>dt_cancelamento</t>
  </si>
  <si>
    <t>dt_emissao</t>
  </si>
  <si>
    <t>dt_mes_emissao</t>
  </si>
  <si>
    <t>dt_lancamento</t>
  </si>
  <si>
    <t>dt_chegada</t>
  </si>
  <si>
    <t>cd_pessoa_filial</t>
  </si>
  <si>
    <t>nm_pessoa_filial</t>
  </si>
  <si>
    <t>cd_agencia</t>
  </si>
  <si>
    <t>nm_agencia</t>
  </si>
  <si>
    <t>nm_cidade_origem</t>
  </si>
  <si>
    <t>ds_uf_origem</t>
  </si>
  <si>
    <t>nm_cidade_destino</t>
  </si>
  <si>
    <t>ds_uf_destino</t>
  </si>
  <si>
    <t>cd_pessoa_usuario</t>
  </si>
  <si>
    <t>nm_pessoa_usuario</t>
  </si>
  <si>
    <t>cd_pessoa_embarque</t>
  </si>
  <si>
    <t>nm_pessoa_remetente</t>
  </si>
  <si>
    <t>nr_cnpj_cpf_remetente</t>
  </si>
  <si>
    <t>ds_endereco_remetente</t>
  </si>
  <si>
    <t>ds_uf_remetente</t>
  </si>
  <si>
    <t>nm_cidade_remetente</t>
  </si>
  <si>
    <t>cd_pessoa_consignatario</t>
  </si>
  <si>
    <t>nm_pessoa_consignatario</t>
  </si>
  <si>
    <t>nr_cnpj_cpf_consignatario</t>
  </si>
  <si>
    <t>ds_uf_consignatario</t>
  </si>
  <si>
    <t>nm_cidade_consignatario</t>
  </si>
  <si>
    <t>cd_pessoa_consignatario_embarque</t>
  </si>
  <si>
    <t>nm_pessoa_consignatario_embarque</t>
  </si>
  <si>
    <t>cd_pessoa_entrega</t>
  </si>
  <si>
    <t>nm_pessoa_destinatario</t>
  </si>
  <si>
    <t>nr_cnpj_cpf_destinatario</t>
  </si>
  <si>
    <t>ds_endereco_destinatario</t>
  </si>
  <si>
    <t>ds_uf_destinatario</t>
  </si>
  <si>
    <t>nm_cidade_destinatario</t>
  </si>
  <si>
    <t>cd_pessoa_pagador</t>
  </si>
  <si>
    <t>nm_pessoa_pagador</t>
  </si>
  <si>
    <t>nr_cnpj_cpf_pagador</t>
  </si>
  <si>
    <t>ds_uf_pagador</t>
  </si>
  <si>
    <t>nm_cidade_pagador</t>
  </si>
  <si>
    <t>cd_pessoa_motorista</t>
  </si>
  <si>
    <t>nm_pessoa_motorista</t>
  </si>
  <si>
    <t>cd_veiculo</t>
  </si>
  <si>
    <t>ds_placa_carreta</t>
  </si>
  <si>
    <t>nr_cnpj_cpf_proprietario_veiculo_doc</t>
  </si>
  <si>
    <t>cd_pessoa_proprietario_veiculo_doc</t>
  </si>
  <si>
    <t>nm_pessoa_proprietario_veiculo_doc</t>
  </si>
  <si>
    <t>ds_endereco_proprietario_doc</t>
  </si>
  <si>
    <t>cd_pessoa_proprietario_veiculo_posse</t>
  </si>
  <si>
    <t>nm_pessoa_proprietario_veiculo_posse</t>
  </si>
  <si>
    <t>ds_endereco_proprietario_posse</t>
  </si>
  <si>
    <t>vl_peso</t>
  </si>
  <si>
    <t>vl_nota_fiscal</t>
  </si>
  <si>
    <t>ncm</t>
  </si>
  <si>
    <t>nm_marca</t>
  </si>
  <si>
    <t>ds_modelo</t>
  </si>
  <si>
    <t>vl_frete_empresa</t>
  </si>
  <si>
    <t>vl_frete_peso</t>
  </si>
  <si>
    <t>vl_outros</t>
  </si>
  <si>
    <t>vl_advalorem</t>
  </si>
  <si>
    <t>vl_frete_motorista</t>
  </si>
  <si>
    <t>nr_nota_fiscal</t>
  </si>
  <si>
    <t>cd_pessoa_tomador</t>
  </si>
  <si>
    <t>nm_pessoa_tomador</t>
  </si>
  <si>
    <t>nr_chave_nf</t>
  </si>
  <si>
    <t>ds_modelo_nf</t>
  </si>
  <si>
    <t>pr_tolerancia_de_quebra</t>
  </si>
  <si>
    <t>ds_quebra_sobre</t>
  </si>
  <si>
    <t>vl_falta</t>
  </si>
  <si>
    <t>vl_peso_dif</t>
  </si>
  <si>
    <t>nm_unidade_operacional</t>
  </si>
  <si>
    <t>nm_grupo_produto</t>
  </si>
  <si>
    <t>vl_adiantamento</t>
  </si>
  <si>
    <t>pr_adiantamento_motorista</t>
  </si>
  <si>
    <t>vl_tarifa_empresa</t>
  </si>
  <si>
    <t>vl_tarifa_motorista</t>
  </si>
  <si>
    <t>pr_dif_frete</t>
  </si>
  <si>
    <t>vl_base_empresa</t>
  </si>
  <si>
    <t>vl_base_motorista</t>
  </si>
  <si>
    <t>vl_desconto_carta_frete</t>
  </si>
  <si>
    <t>vl_icms_issqn</t>
  </si>
  <si>
    <t>vl_icms_diferenca</t>
  </si>
  <si>
    <t>vl_pedagio_ctrc</t>
  </si>
  <si>
    <t>id_pedagio_ctrc</t>
  </si>
  <si>
    <t>vl_pedagio_empresa</t>
  </si>
  <si>
    <t>vl_pedagio_motorista</t>
  </si>
  <si>
    <t>id_pedagio_motorista</t>
  </si>
  <si>
    <t>vl_vale_combustivel</t>
  </si>
  <si>
    <t>vl_corretor</t>
  </si>
  <si>
    <t>nm_corretor</t>
  </si>
  <si>
    <t>vl_base</t>
  </si>
  <si>
    <t>vl_comissao</t>
  </si>
  <si>
    <t>vl_imposto_federal</t>
  </si>
  <si>
    <t>vl_imposto_federal_debito</t>
  </si>
  <si>
    <t>vl_imposto_federal_credito</t>
  </si>
  <si>
    <t>vl_frete_valor</t>
  </si>
  <si>
    <t>vl_custo</t>
  </si>
  <si>
    <t>vl_acrescimo_motorista</t>
  </si>
  <si>
    <t>vl_seguro</t>
  </si>
  <si>
    <t>vl_seguro_descontado</t>
  </si>
  <si>
    <t>id_seguradora</t>
  </si>
  <si>
    <t>nm_pessoa_seguradora</t>
  </si>
  <si>
    <t>vl_taxa_adm</t>
  </si>
  <si>
    <t>pr_margem_resultado</t>
  </si>
  <si>
    <t>vl_resultado</t>
  </si>
  <si>
    <t>cd_lote_carregamento</t>
  </si>
  <si>
    <t>ds_lote_carregamento</t>
  </si>
  <si>
    <t>nr_cartao_vale_pedagio</t>
  </si>
  <si>
    <t>nm_emissao_vale_pedagio</t>
  </si>
  <si>
    <t>id_destino_mercadoria</t>
  </si>
  <si>
    <t>id_enquadramento_federal</t>
  </si>
  <si>
    <t>nr_ciot</t>
  </si>
  <si>
    <t>nr_pgto_eletronico</t>
  </si>
  <si>
    <t>cd_pessoa_adm_pgto_eletronico</t>
  </si>
  <si>
    <t>nm_administradora</t>
  </si>
  <si>
    <t>nm_categoria</t>
  </si>
  <si>
    <t>nr_embarque</t>
  </si>
  <si>
    <t>ds_placa_embarque</t>
  </si>
  <si>
    <t>cd_pessoa_motorista_embarque</t>
  </si>
  <si>
    <t>nm_pessoa_embarque</t>
  </si>
  <si>
    <t>dt_saida_embarque</t>
  </si>
  <si>
    <t>cd_agencia_agenciador</t>
  </si>
  <si>
    <t>nm_agencia_agenciador</t>
  </si>
  <si>
    <t>cd_agencia_gerente</t>
  </si>
  <si>
    <t>nm_agencia_gerente</t>
  </si>
  <si>
    <t>cd_agencia_manifestador</t>
  </si>
  <si>
    <t>nm_agencia_manifestador</t>
  </si>
  <si>
    <t>cd_agencia_supervisor</t>
  </si>
  <si>
    <t>nm_agencia_supervisor</t>
  </si>
  <si>
    <t>cd_uf_origem</t>
  </si>
  <si>
    <t>cd_uf_destino</t>
  </si>
  <si>
    <t>cd_cidade_origem</t>
  </si>
  <si>
    <t>cd_cidade_destino</t>
  </si>
  <si>
    <t>id_cobrado</t>
  </si>
  <si>
    <t>ds_observacao</t>
  </si>
  <si>
    <t>ds_percurso</t>
  </si>
  <si>
    <t>cd_pessoa_matriz</t>
  </si>
  <si>
    <t>nm_pessoa_matriz</t>
  </si>
  <si>
    <t>id_tipo</t>
  </si>
  <si>
    <t>id_operacao</t>
  </si>
  <si>
    <t>nr_ctrc_novo</t>
  </si>
  <si>
    <t>nr_ctrc_complementado</t>
  </si>
  <si>
    <t>nr_ordem</t>
  </si>
  <si>
    <t>cd_agencia_ordem</t>
  </si>
  <si>
    <t>nm_agencia_ordem</t>
  </si>
  <si>
    <t>cd_usuario_ordem</t>
  </si>
  <si>
    <t>nm_usuario_ordem</t>
  </si>
  <si>
    <t>nr_chave</t>
  </si>
  <si>
    <t>ds_motivo_cancelamento</t>
  </si>
  <si>
    <t>id_issqn_retido</t>
  </si>
  <si>
    <t>dt_embarque</t>
  </si>
  <si>
    <t>dt_chegada_destino</t>
  </si>
  <si>
    <t>nr_solicitacao</t>
  </si>
  <si>
    <t>nr_lacres</t>
  </si>
  <si>
    <t>perna</t>
  </si>
  <si>
    <t>nr_ctrc_primeira_perna</t>
  </si>
  <si>
    <t>CTRC</t>
  </si>
  <si>
    <t>Autorizado</t>
  </si>
  <si>
    <t>02/01/23 13:56</t>
  </si>
  <si>
    <t>01/2023</t>
  </si>
  <si>
    <t>TCM - FILIAL SP</t>
  </si>
  <si>
    <t>TCM FILIAL CUBATAO</t>
  </si>
  <si>
    <t>SANTOS</t>
  </si>
  <si>
    <t>SP</t>
  </si>
  <si>
    <t>ALFENAS</t>
  </si>
  <si>
    <t>MG</t>
  </si>
  <si>
    <t>JACKSON A NASCIMENTO DA SILVA</t>
  </si>
  <si>
    <t>YARA BRASIL FERTILIZANTES S/A</t>
  </si>
  <si>
    <t>92.660.604/0154-57</t>
  </si>
  <si>
    <t>AV. ANTONIO CARLOS GUILLAUMON, 800 - DISTRITO INDUSTRIAL III</t>
  </si>
  <si>
    <t>UBERABA</t>
  </si>
  <si>
    <t>PROFLORA INDUSTRIA E COMERCIO DE FERTILIZANTES LTDA</t>
  </si>
  <si>
    <t>17.498.890/0001-06</t>
  </si>
  <si>
    <t>RODRIMAR SA TERMINAIS PORTUARIOS E ARMAZ</t>
  </si>
  <si>
    <t>RODOVIA BR 491 KM 176, 0, S/N - FAZENDA NS APARECIDA</t>
  </si>
  <si>
    <t>JACOB RODRIGUES DA SILVA FILHO</t>
  </si>
  <si>
    <t>CLJ6B83</t>
  </si>
  <si>
    <t>CUA0E42</t>
  </si>
  <si>
    <t>175.812.878/07</t>
  </si>
  <si>
    <t>CAMILA ALONSO MASANO FLORES</t>
  </si>
  <si>
    <t>AVENIDA DOUTOR MOURA RIBEIRO, 0 - MARAPE - SANTOS / SP - BRASIL - 11070061</t>
  </si>
  <si>
    <t>CLORETO - KCL</t>
  </si>
  <si>
    <t>VOLVO</t>
  </si>
  <si>
    <t>NH12380 4X2T</t>
  </si>
  <si>
    <t xml:space="preserve">31230192660604015457550760000282291212582763 </t>
  </si>
  <si>
    <t>55 NF-e</t>
  </si>
  <si>
    <t>Somente do Ultrapassado</t>
  </si>
  <si>
    <t>Kg x R$ 2.7402</t>
  </si>
  <si>
    <t>Kgs x R$ 0.124 p/ Kg faltante</t>
  </si>
  <si>
    <t>TERCEIRIZACAO</t>
  </si>
  <si>
    <t>Incluso</t>
  </si>
  <si>
    <t>Incluso na Tarifa =&gt; Pg Cartão/Cupom</t>
  </si>
  <si>
    <t>Da Transportadora</t>
  </si>
  <si>
    <t>AXA SEGUROS S.A</t>
  </si>
  <si>
    <t>PEDIDO-184022</t>
  </si>
  <si>
    <t>PAMCARD SEM PARAR</t>
  </si>
  <si>
    <t>Nacional</t>
  </si>
  <si>
    <t xml:space="preserve">022031880031/9524  </t>
  </si>
  <si>
    <t>76111976-8</t>
  </si>
  <si>
    <t>PAMCARD</t>
  </si>
  <si>
    <t>NAO ASSOCIADO</t>
  </si>
  <si>
    <t>SEM EMBARQUE</t>
  </si>
  <si>
    <t>PEDIDO - 184022 / DI-22/2566613-9 / NV- FORTUNE ISLAND</t>
  </si>
  <si>
    <t>SP / SANTOS X MG / ALFENAS</t>
  </si>
  <si>
    <t>TCM - MATRIZ</t>
  </si>
  <si>
    <t>Normal</t>
  </si>
  <si>
    <t xml:space="preserve">35230166271883000263570020000289671668359820 </t>
  </si>
  <si>
    <t>02/01/23 14:47</t>
  </si>
  <si>
    <t>GENESIO DELFINO DE CARVALHO</t>
  </si>
  <si>
    <t>CUD6I46</t>
  </si>
  <si>
    <t>OXG5C32</t>
  </si>
  <si>
    <t>29.865.007/0001-58</t>
  </si>
  <si>
    <t>FORTE TRANSPORTES E LOGISTICA EIRELI</t>
  </si>
  <si>
    <t>SITIO BANDEIRANTES, 0, SN - ZONA RURAL - INGAI / MG - BRASIL - 37215000</t>
  </si>
  <si>
    <t>FH 400 6X2T</t>
  </si>
  <si>
    <t xml:space="preserve">31230192660604015457550760000282341834021676 </t>
  </si>
  <si>
    <t>Kgs x R$ 0.114 p/ Kg faltante</t>
  </si>
  <si>
    <t xml:space="preserve">025031880586/9842  </t>
  </si>
  <si>
    <t>76113674-1</t>
  </si>
  <si>
    <t xml:space="preserve">35230166271883000263570020000289681384569003 </t>
  </si>
  <si>
    <t>02/01/23 15:34</t>
  </si>
  <si>
    <t>MARCUS VINICIUS PEREZ RAMOS PEREIRA</t>
  </si>
  <si>
    <t>CLAUDIO ANTUNES CORREIA</t>
  </si>
  <si>
    <t>FLR0A96</t>
  </si>
  <si>
    <t>EGN5H39 / EMY2G59</t>
  </si>
  <si>
    <t>19.842.570/0001-57</t>
  </si>
  <si>
    <t>ANTUNES CORREIA TRANSPORTES LTDA</t>
  </si>
  <si>
    <t>AVENIDA M 23, 2135 - PARQUE DAS INDUSTRIAS - RIO CLARO / SP - BRASIL - 13505970</t>
  </si>
  <si>
    <t>FH 540 6X4T</t>
  </si>
  <si>
    <t xml:space="preserve">31230192660604015457550760000282391129336307 </t>
  </si>
  <si>
    <t>Trajeto s/ Pedágio</t>
  </si>
  <si>
    <t>ASSOCIADO - ASSOCIADO</t>
  </si>
  <si>
    <t>EMBARQUE 85</t>
  </si>
  <si>
    <t xml:space="preserve">35230166271883000263570020000289691415850407 </t>
  </si>
  <si>
    <t>02/01/23 15:36</t>
  </si>
  <si>
    <t xml:space="preserve">31230192660604015457550760000282401616755683 </t>
  </si>
  <si>
    <t xml:space="preserve">029031881150/9124  </t>
  </si>
  <si>
    <t>76115250-5</t>
  </si>
  <si>
    <t xml:space="preserve">35230166271883000263570020000289701191825634 </t>
  </si>
  <si>
    <t>02/01/23 15:42</t>
  </si>
  <si>
    <t>LEONIDAS LAURINDO LEME FILHO</t>
  </si>
  <si>
    <t>FGV6H57</t>
  </si>
  <si>
    <t>DRQ4B92 / FHW3F21</t>
  </si>
  <si>
    <t>13.236.883/0001-85</t>
  </si>
  <si>
    <t>SP NSB TRANSPORTES E LOGISTICA LTDA</t>
  </si>
  <si>
    <t>RUA LUIGI BATTISTINI, 467 - BATISTINI - SAO BERNARDO DO CAMPO / SP - BRASIL - 09842020</t>
  </si>
  <si>
    <t>DAF</t>
  </si>
  <si>
    <t>XF FTT 530</t>
  </si>
  <si>
    <t xml:space="preserve">31230192660604015457550760000282371926469411 </t>
  </si>
  <si>
    <t>EMBARQUE 86</t>
  </si>
  <si>
    <t xml:space="preserve">35230166271883000263570020000289711725590606 </t>
  </si>
  <si>
    <t>02/01/23 15:46</t>
  </si>
  <si>
    <t xml:space="preserve">31230192660604015457550760000282381660850485 </t>
  </si>
  <si>
    <t xml:space="preserve">023031881252/9077  </t>
  </si>
  <si>
    <t>76115696-1</t>
  </si>
  <si>
    <t xml:space="preserve">35230166271883000263570020000289721343362725 </t>
  </si>
  <si>
    <t>02/01/23 17:10</t>
  </si>
  <si>
    <t>CONGONHAL</t>
  </si>
  <si>
    <t>FERTIMAN INDUSTRIA E COM DE PRODUTOS QUIMICOS LTDA</t>
  </si>
  <si>
    <t>66.197.963/0001-35</t>
  </si>
  <si>
    <t>ROD PRESIDENTE JUSCELINO K. DE OLIVEIRA, S/NR, BR 459 KM 835 - VILA INDUSTRIAL</t>
  </si>
  <si>
    <t>GIOVANE APARECIDO CORREA</t>
  </si>
  <si>
    <t>DBL4085</t>
  </si>
  <si>
    <t>RTI2J94</t>
  </si>
  <si>
    <t>074.986.126/66</t>
  </si>
  <si>
    <t>RUA BALSAMO, 13 - CENTRO - CANA VERDE / MG - BRASIL - 37267000</t>
  </si>
  <si>
    <t>SCANIA</t>
  </si>
  <si>
    <t>G 420 A6X2</t>
  </si>
  <si>
    <t xml:space="preserve">31230192660604015457550760000282451327690333 </t>
  </si>
  <si>
    <t>Kgs x R$ 0.102 p/ Kg faltante</t>
  </si>
  <si>
    <t>PEDIDO-899147</t>
  </si>
  <si>
    <t xml:space="preserve">024031882312/9572  </t>
  </si>
  <si>
    <t>76118533-6</t>
  </si>
  <si>
    <t>PEDIDO - 899147 /  DI-22/2566632-5 / NV-FORTUNE ISLAND</t>
  </si>
  <si>
    <t>SP / SANTOS X MG / CONGONHAL</t>
  </si>
  <si>
    <t xml:space="preserve">35230166271883000263570020000289731562976025 </t>
  </si>
  <si>
    <t>02/01/23 17:23</t>
  </si>
  <si>
    <t>MARCOS AUGUSTO GOMES</t>
  </si>
  <si>
    <t>CPR3A52</t>
  </si>
  <si>
    <t>DTE0968</t>
  </si>
  <si>
    <t>07.021.791/0001-85</t>
  </si>
  <si>
    <t>PONTUAL COMERCIO ATACADISTA DE AREIA EP</t>
  </si>
  <si>
    <t>RUA PERO NUNES, 188 - CHACARA SANTO ANTONIO (ZONA LESTE) - SAO PAULO / SP - BRASIL - 03411140</t>
  </si>
  <si>
    <t>T124 GA4X2NZ</t>
  </si>
  <si>
    <t xml:space="preserve">31230192660604015457550760000282481604000699 </t>
  </si>
  <si>
    <t>Kgs x R$ 0.109 p/ Kg faltante</t>
  </si>
  <si>
    <t xml:space="preserve">025031882571/9633  </t>
  </si>
  <si>
    <t>76119180-1</t>
  </si>
  <si>
    <t xml:space="preserve">35230166271883000263570020000289741342625930 </t>
  </si>
  <si>
    <t>03/01/23 07:53</t>
  </si>
  <si>
    <t>DIEGO CAMPOS DA MATA</t>
  </si>
  <si>
    <t>BXZ5682 / BKX6314</t>
  </si>
  <si>
    <t>66.271.883/0002-63</t>
  </si>
  <si>
    <t>AV. MANOEL SANTOS PEREIRA, 100, LT 07, BL 03, SALA 16 - ZONA INDUSTRIAL - CUBATAO / SP - BRASIL - 11570000</t>
  </si>
  <si>
    <t>AV OZANAN LEVINDO COELHO, 145, LETRA A - PARMALAT - CANDEIAS / MG - BRASIL - 37280000</t>
  </si>
  <si>
    <t>XF105 FTT 510A</t>
  </si>
  <si>
    <t xml:space="preserve">31230192660604015457550760000282651966072940 </t>
  </si>
  <si>
    <t xml:space="preserve">35230166271883000263570020000289751636188224 </t>
  </si>
  <si>
    <t>03/01/23 07:57</t>
  </si>
  <si>
    <t xml:space="preserve">31230192660604015457550760000282661768288170 </t>
  </si>
  <si>
    <t xml:space="preserve">35230166271883000263570020000289761871127954 </t>
  </si>
  <si>
    <t>03/01/23 10:46</t>
  </si>
  <si>
    <t>IRME PINHEIRO FILHO</t>
  </si>
  <si>
    <t>BVN2958</t>
  </si>
  <si>
    <t>FSU8267 / GGW9773</t>
  </si>
  <si>
    <t>10.412.573/0001-86</t>
  </si>
  <si>
    <t>RONDON TRANSPORTES DE CARGAS LTDA</t>
  </si>
  <si>
    <t>RUA FRANCISCO PINHEIRO, 157 - CENTRO - NAZARE PAULISTA / SP - BRASIL - 12960000</t>
  </si>
  <si>
    <t>MERCEDES-BENZ</t>
  </si>
  <si>
    <t>ACTROS 2651SX4</t>
  </si>
  <si>
    <t xml:space="preserve">31230192660604015457550760000282711627226381 </t>
  </si>
  <si>
    <t>Kgs x R$ 0.108 p/ Kg faltante</t>
  </si>
  <si>
    <t xml:space="preserve">028031887548/9540  </t>
  </si>
  <si>
    <t>76131131-5</t>
  </si>
  <si>
    <t xml:space="preserve">35230166271883000263570020000289771204361297 </t>
  </si>
  <si>
    <t>03/01/23 18:42</t>
  </si>
  <si>
    <t>ALDO BORGES JUNIOR</t>
  </si>
  <si>
    <t>GKA3D18</t>
  </si>
  <si>
    <t>DZH9D88 / FTO5E28</t>
  </si>
  <si>
    <t>07.140.533/0001-18</t>
  </si>
  <si>
    <t>FERNIMAN TRANSPORTES LTDA</t>
  </si>
  <si>
    <t>AVENIDA HUMBERTO CERESER, 5220, C-04 - CAXAMBU - JUNDIAI / SP - BRASIL - 13218711</t>
  </si>
  <si>
    <t xml:space="preserve">31230192660604015457550760000282871421031682 </t>
  </si>
  <si>
    <t>EMBARQUE 87</t>
  </si>
  <si>
    <t xml:space="preserve">35230166271883000263570020000289781159587667 </t>
  </si>
  <si>
    <t>03/01/23 18:45</t>
  </si>
  <si>
    <t xml:space="preserve">31230192660604015457550760000282881461476194 </t>
  </si>
  <si>
    <t xml:space="preserve">021031893147/9460  </t>
  </si>
  <si>
    <t>76144885-1</t>
  </si>
  <si>
    <t xml:space="preserve">35230166271883000263570020000289791014393559 </t>
  </si>
  <si>
    <t>03/01/23 11:16</t>
  </si>
  <si>
    <t>MATRIZ</t>
  </si>
  <si>
    <t>SAO GOTARDO</t>
  </si>
  <si>
    <t>JOAO PEDRO ALVES MOUTINHO</t>
  </si>
  <si>
    <t>OURO SAFRA INDUSTRIA E COMERCIO LTDA</t>
  </si>
  <si>
    <t>07.191.228/0026-03</t>
  </si>
  <si>
    <t>RODOVIA RODOVIA CRUZEIRO DO SUL  MG 810, S/N - ZONA RURAL</t>
  </si>
  <si>
    <t>PLANURA</t>
  </si>
  <si>
    <t>TERMINAL 12 A S.A</t>
  </si>
  <si>
    <t>56.216.872/0001-46</t>
  </si>
  <si>
    <t>COOPERATIVA AGROPECUARIA ALTO PARANAIBA</t>
  </si>
  <si>
    <t>COFCO INTERNATIONAL BRASIL S A</t>
  </si>
  <si>
    <t>06.315.338/0215-40</t>
  </si>
  <si>
    <t>RUA AZALEIA, 399 - CHACARA FLORESTA</t>
  </si>
  <si>
    <t>BOTUCATU</t>
  </si>
  <si>
    <t>SILVA TRANSPORTES LOGISTICA LTDA</t>
  </si>
  <si>
    <t>09.454.009/0001-47</t>
  </si>
  <si>
    <t>CANDEIAS</t>
  </si>
  <si>
    <t>RONILSON CARLOS EMERENCIANO</t>
  </si>
  <si>
    <t>GKH5E75 / GJH0D98</t>
  </si>
  <si>
    <t>MILHO</t>
  </si>
  <si>
    <t xml:space="preserve">31230107191228002603550010000432591633139605 </t>
  </si>
  <si>
    <t>Kg x R$ 1.5583</t>
  </si>
  <si>
    <t>Do Cliente</t>
  </si>
  <si>
    <t>ICMS ISENTO CONFORME ITEM 199, PARTE 1 DO ANEXO 1 DO RICMS/MG.</t>
  </si>
  <si>
    <t>MG / SAO GOTARDO X SP / SANTOS</t>
  </si>
  <si>
    <t xml:space="preserve">31230166271883000182570010000297091933236223 </t>
  </si>
  <si>
    <t>03/01/23 11:28</t>
  </si>
  <si>
    <t>ELI RICARDO ROSA</t>
  </si>
  <si>
    <t>RTT2E40 / RTT2E47</t>
  </si>
  <si>
    <t>43251, 43252</t>
  </si>
  <si>
    <t xml:space="preserve">31230107191228002603550010000432511349642456, 31230107191228002603550010000432521492397955 </t>
  </si>
  <si>
    <t xml:space="preserve">31230166271883000182570010000297101647141667 </t>
  </si>
  <si>
    <t>03/01/23 11:33</t>
  </si>
  <si>
    <t>PAULO HENRIQUE RODRIGUES</t>
  </si>
  <si>
    <t>OPK8847 / OQT2437</t>
  </si>
  <si>
    <t>66.271.883/0001-82</t>
  </si>
  <si>
    <t xml:space="preserve">31230107191228002603550010000432181349642869 </t>
  </si>
  <si>
    <t xml:space="preserve">31230166271883000182570010000297111725687771 </t>
  </si>
  <si>
    <t>03/01/23 11:36</t>
  </si>
  <si>
    <t>RONY JOSE SILVEIRA</t>
  </si>
  <si>
    <t>FSL5C13 / FSA7I41</t>
  </si>
  <si>
    <t xml:space="preserve">31230107191228002603550010000432501633139359 </t>
  </si>
  <si>
    <t xml:space="preserve">31230166271883000182570010000297121616905899 </t>
  </si>
  <si>
    <t>03/01/23 11:40</t>
  </si>
  <si>
    <t>ISAC FIRMINO RIBEIRO</t>
  </si>
  <si>
    <t>PYH5B04 / PYH5C05</t>
  </si>
  <si>
    <t>FH 520 6X4T</t>
  </si>
  <si>
    <t xml:space="preserve">31230107191228002603550010000432711349642653 </t>
  </si>
  <si>
    <t xml:space="preserve">31230166271883000182570010000297141239465256 </t>
  </si>
  <si>
    <t>03/01/23 11:43</t>
  </si>
  <si>
    <t>EDNILSON DE ALMEIDA</t>
  </si>
  <si>
    <t>GBK4F13 / GFY2H67</t>
  </si>
  <si>
    <t xml:space="preserve">31230107191228002603550010000432741785284191 </t>
  </si>
  <si>
    <t xml:space="preserve">31230166271883000182570010000297151445851350 </t>
  </si>
  <si>
    <t>03/01/23 11:47</t>
  </si>
  <si>
    <t>EDUALDO ANTONIO DE OLIVEIRA</t>
  </si>
  <si>
    <t>QJC2J86 / QJC3A66</t>
  </si>
  <si>
    <t>FH 540 6X4T NOVO</t>
  </si>
  <si>
    <t xml:space="preserve">31230107191228002603550010000432751278978564 </t>
  </si>
  <si>
    <t xml:space="preserve">31230166271883000182570010000297161458657112 </t>
  </si>
  <si>
    <t>03/01/23 11:51</t>
  </si>
  <si>
    <t>EVERTON DINIZ</t>
  </si>
  <si>
    <t>MLB6J36 / MLB6966</t>
  </si>
  <si>
    <t>FH 460 6X2T</t>
  </si>
  <si>
    <t xml:space="preserve">31230107191228002603550010000432731927428468 </t>
  </si>
  <si>
    <t xml:space="preserve">31230166271883000182570010000297171401937628 </t>
  </si>
  <si>
    <t>03/01/23 11:54</t>
  </si>
  <si>
    <t>ISRAEL HONORATO SOARES</t>
  </si>
  <si>
    <t>GFQ9I83 / GJD8H15</t>
  </si>
  <si>
    <t xml:space="preserve">31230107191228002603550010000432811349649158 </t>
  </si>
  <si>
    <t xml:space="preserve">31230166271883000182570010000297181242947389 </t>
  </si>
  <si>
    <t>03/01/23 11:56</t>
  </si>
  <si>
    <t>ALTIELIS JOSE RODRIGUES</t>
  </si>
  <si>
    <t>GGR8J92 / GJZ5I06</t>
  </si>
  <si>
    <t>ACTROS 2651S 6X4 NOVO</t>
  </si>
  <si>
    <t xml:space="preserve">31230107191228002603550010000432871492397640 </t>
  </si>
  <si>
    <t xml:space="preserve">31230166271883000182570010000297191121371939 </t>
  </si>
  <si>
    <t>04/01/23 00:12</t>
  </si>
  <si>
    <t>JEFFERSON</t>
  </si>
  <si>
    <t xml:space="preserve">31230192660604015457550760000282951554891536 </t>
  </si>
  <si>
    <t xml:space="preserve">023031894443/9571  </t>
  </si>
  <si>
    <t>76147536-9</t>
  </si>
  <si>
    <t xml:space="preserve">35230166271883000263570020000289801923554672 </t>
  </si>
  <si>
    <t>04/01/23 00:23</t>
  </si>
  <si>
    <t>CUBATAO</t>
  </si>
  <si>
    <t>TERLOC - TERMINAL LOGISTICO CESARI LTDA</t>
  </si>
  <si>
    <t>06.225.292/0001-47</t>
  </si>
  <si>
    <t>AV PLINIO DE QUEIROZ, 0, S/N - JARDIM SAO MARCOS</t>
  </si>
  <si>
    <t>NITRATO DE AMONIO</t>
  </si>
  <si>
    <t xml:space="preserve">35230106225292000147550010007172691014802878 </t>
  </si>
  <si>
    <t>Kg x R$ 2.5769</t>
  </si>
  <si>
    <t>4500898782 / 761806</t>
  </si>
  <si>
    <t>PEDIDO - 4500898782 / 761806</t>
  </si>
  <si>
    <t>SP / CUBATAO X MG / CONGONHAL</t>
  </si>
  <si>
    <t xml:space="preserve">35230166271883000263570020000289811992555345 </t>
  </si>
  <si>
    <t>04/01/23 00:28</t>
  </si>
  <si>
    <t>PAULO MARCIO DA SILVA PEREIRA</t>
  </si>
  <si>
    <t>GGT2I57</t>
  </si>
  <si>
    <t>GHF4D56</t>
  </si>
  <si>
    <t>30.587.986/0001-09</t>
  </si>
  <si>
    <t>TRADLOG LOGISTICA E TRANSPORTES LTDA</t>
  </si>
  <si>
    <t>RUA JOAO PESSOA, 60, CONJ 13 - CENTRO - SANTOS / SP - BRASIL - 11013904</t>
  </si>
  <si>
    <t>ACTROS 2651S 6X4</t>
  </si>
  <si>
    <t xml:space="preserve">31230192660604015457550760000282981475228593 </t>
  </si>
  <si>
    <t xml:space="preserve"> 4417812007170902</t>
  </si>
  <si>
    <t xml:space="preserve">35230166271883000263570020000289821578230973 </t>
  </si>
  <si>
    <t>04/01/23 01:15</t>
  </si>
  <si>
    <t>RIVAIR VICTOR REIS GOMES</t>
  </si>
  <si>
    <t>RFV1E82</t>
  </si>
  <si>
    <t>RGA3I99 / RGA1I71</t>
  </si>
  <si>
    <t>71.429.260/0001-25</t>
  </si>
  <si>
    <t>EXPRESSO MOREIRA LTDA</t>
  </si>
  <si>
    <t>AVENIDA OZANAN LEVINDO COELHO, 1485 - PARMALAT - CANDEIAS / MG - BRASIL - 37280000</t>
  </si>
  <si>
    <t>YARAMILA 19 04 19 1MG YARAMILA</t>
  </si>
  <si>
    <t>M.BENZ/ACTROS 2651S6X4</t>
  </si>
  <si>
    <t xml:space="preserve">35230106225292000147550010007172851014803185 </t>
  </si>
  <si>
    <t>Kg x R$ 3.3965</t>
  </si>
  <si>
    <t>Kgs x R$ 0.098 p/ Kg faltante</t>
  </si>
  <si>
    <t>PEDIDO- 4500848414</t>
  </si>
  <si>
    <t>SP / CUBATAO X MG / ALFENAS</t>
  </si>
  <si>
    <t xml:space="preserve">35230166271883000263570020000289831073064801 </t>
  </si>
  <si>
    <t>04/01/23 01:37</t>
  </si>
  <si>
    <t>RIVAIR PEREIRA GOMES</t>
  </si>
  <si>
    <t>RTU3G07</t>
  </si>
  <si>
    <t>RTY4D72 / RTY4D81</t>
  </si>
  <si>
    <t xml:space="preserve">35230106225292000147550010007172891014803249 </t>
  </si>
  <si>
    <t>Kgs x R$ 0.099 p/ Kg faltante</t>
  </si>
  <si>
    <t xml:space="preserve">35230166271883000263570020000289841132418179 </t>
  </si>
  <si>
    <t>04/01/23 03:22</t>
  </si>
  <si>
    <t>ABEL SOARES NETO</t>
  </si>
  <si>
    <t>OYF1E05</t>
  </si>
  <si>
    <t>RFP3E01 / RFP3E03</t>
  </si>
  <si>
    <t>31.385.497/0001-37</t>
  </si>
  <si>
    <t>SOARES NETO TRANSPORTES LTDA</t>
  </si>
  <si>
    <t>R FLORENTINO MACHADO PACHECO, 14 - PILAR - PATOS DE MINAS / MG - BRASIL - 38717000</t>
  </si>
  <si>
    <t>JUSSARA GARCIA LIMA</t>
  </si>
  <si>
    <t>RUA MARIA CAIXETA VIEIRA, 57, AP 102 - IPANEMA - PATOS DE MINAS / MG - BRASIL - 38706519</t>
  </si>
  <si>
    <t xml:space="preserve">35230106225292000147550010007173121014803788 </t>
  </si>
  <si>
    <t xml:space="preserve">026031894682/9388  </t>
  </si>
  <si>
    <t>76148355-5</t>
  </si>
  <si>
    <t xml:space="preserve">35230166271883000263570020000289851535544994 </t>
  </si>
  <si>
    <t>04/01/23 03:36</t>
  </si>
  <si>
    <t>PHILIPPE MARCEL TEIXEIRA SILVA</t>
  </si>
  <si>
    <t>HMD5C10</t>
  </si>
  <si>
    <t>RFA1C90 / RFA1C94</t>
  </si>
  <si>
    <t xml:space="preserve">35230106225292000147550010007173081014803670 </t>
  </si>
  <si>
    <t xml:space="preserve"> 4417812012991250</t>
  </si>
  <si>
    <t xml:space="preserve">026031894700/9189  </t>
  </si>
  <si>
    <t>76148432-3</t>
  </si>
  <si>
    <t xml:space="preserve">35230166271883000263570020000289861596127436 </t>
  </si>
  <si>
    <t>04/01/23 11:35</t>
  </si>
  <si>
    <t xml:space="preserve">31230192660604015457550760000283111009724410 </t>
  </si>
  <si>
    <t xml:space="preserve">35230166271883000263570020000289871810353532 </t>
  </si>
  <si>
    <t>04/01/23 11:38</t>
  </si>
  <si>
    <t xml:space="preserve">31230192660604015457550760000283101128776807 </t>
  </si>
  <si>
    <t xml:space="preserve">35230166271883000263570020000289881485399904 </t>
  </si>
  <si>
    <t>04/01/23 11:55</t>
  </si>
  <si>
    <t xml:space="preserve">31230192660604015457550760000283121737449509 </t>
  </si>
  <si>
    <t xml:space="preserve">026031898369/9524  </t>
  </si>
  <si>
    <t>76158431-3</t>
  </si>
  <si>
    <t xml:space="preserve">35230166271883000263570020000289891321596976 </t>
  </si>
  <si>
    <t>04/01/23 12:35</t>
  </si>
  <si>
    <t xml:space="preserve">31230192660604015457550760000283141394332140 </t>
  </si>
  <si>
    <t xml:space="preserve">35230166271883000263570020000289901395230402 </t>
  </si>
  <si>
    <t>04/01/23 12:38</t>
  </si>
  <si>
    <t xml:space="preserve">31230192660604015457550760000283151884332306 </t>
  </si>
  <si>
    <t xml:space="preserve">35230166271883000263570020000289911476723368 </t>
  </si>
  <si>
    <t>04/01/23 13:35</t>
  </si>
  <si>
    <t>ADILSON DE SOUSA ANDRADE</t>
  </si>
  <si>
    <t>GDF3A24 / GEL8J02</t>
  </si>
  <si>
    <t xml:space="preserve">31230192660604015457550760000283191784407915 </t>
  </si>
  <si>
    <t xml:space="preserve">35230166271883000263570020000289921039212800 </t>
  </si>
  <si>
    <t>04/01/23 13:37</t>
  </si>
  <si>
    <t xml:space="preserve">31230192660604015457550760000283181962965148 </t>
  </si>
  <si>
    <t xml:space="preserve">35230166271883000263570020000289931573465224 </t>
  </si>
  <si>
    <t>04/01/23 13:41</t>
  </si>
  <si>
    <t xml:space="preserve">31230192660604015457550760000283201645537284 </t>
  </si>
  <si>
    <t xml:space="preserve">35230166271883000263570020000289941497384254 </t>
  </si>
  <si>
    <t>04/01/23 13:44</t>
  </si>
  <si>
    <t xml:space="preserve">31230192660604015457550760000283211303308297 </t>
  </si>
  <si>
    <t xml:space="preserve">35230166271883000263570020000289951984305187 </t>
  </si>
  <si>
    <t>04/01/23 17:16</t>
  </si>
  <si>
    <t xml:space="preserve">35230106225292000147550010007175531014808066 </t>
  </si>
  <si>
    <t xml:space="preserve">35230166271883000263570020000289961048282122 </t>
  </si>
  <si>
    <t>04/01/23 17:20</t>
  </si>
  <si>
    <t xml:space="preserve">35230106225292000147550010007175561014808092 </t>
  </si>
  <si>
    <t xml:space="preserve">35230166271883000263570020000289971873322908 </t>
  </si>
  <si>
    <t>04/01/23 17:55</t>
  </si>
  <si>
    <t xml:space="preserve">35230106225292000147550010007175691014808252 </t>
  </si>
  <si>
    <t xml:space="preserve">35230166271883000263570020000289981017046219 </t>
  </si>
  <si>
    <t>04/01/23 18:21</t>
  </si>
  <si>
    <t xml:space="preserve">35230106225292000147550010007175771014808378 </t>
  </si>
  <si>
    <t xml:space="preserve">35230166271883000263570020000289991450860269 </t>
  </si>
  <si>
    <t>04/01/23 18:25</t>
  </si>
  <si>
    <t>ANTONIO CARLOS DOS SANTOS</t>
  </si>
  <si>
    <t>GCM8D37 / GFO2E96</t>
  </si>
  <si>
    <t xml:space="preserve">35230106225292000147550010007175801014808403 </t>
  </si>
  <si>
    <t xml:space="preserve">35230166271883000263570020000290001174059504 </t>
  </si>
  <si>
    <t>04/01/23 19:09</t>
  </si>
  <si>
    <t>MARCIO CALIXTO SOARES</t>
  </si>
  <si>
    <t>RQR4J35</t>
  </si>
  <si>
    <t>RTZ7C68 / RTZ7C74</t>
  </si>
  <si>
    <t>37.636.788/0001-37</t>
  </si>
  <si>
    <t>RENATO JOSE DA SILVA TRANSPORTE &amp; CIA LTDA</t>
  </si>
  <si>
    <t>RUA OLIVEIROS RODRIGUES PEREIRA, 8 - PARAISO SOL NASCENTE - VARJAO DE MINAS / MG - BRASIL - 38794000</t>
  </si>
  <si>
    <t>RENATO JOSE DA SILVA</t>
  </si>
  <si>
    <t>R DINE RODRIGUES DA SILVA, 172 - PEDRO ANDALECIO II - VARJAO DE MINAS / MG - BRASIL - 38794000</t>
  </si>
  <si>
    <t xml:space="preserve">35230106225292000147550010007175911014808555 </t>
  </si>
  <si>
    <t xml:space="preserve">35230166271883000263570020000290011757905212 </t>
  </si>
  <si>
    <t>04/01/23 20:01</t>
  </si>
  <si>
    <t>LUCIANO JOSE DA MATA</t>
  </si>
  <si>
    <t>RNQ6E99</t>
  </si>
  <si>
    <t>RTH1E36 / RTH0G43</t>
  </si>
  <si>
    <t xml:space="preserve">35230106225292000147550010007176081014808759 </t>
  </si>
  <si>
    <t xml:space="preserve">35230166271883000263570020000290021808664753 </t>
  </si>
  <si>
    <t>04/01/23 21:17</t>
  </si>
  <si>
    <t>IZAIAS FIRMINO RIBEIRO</t>
  </si>
  <si>
    <t>MLU8G74 / MLU8F54</t>
  </si>
  <si>
    <t xml:space="preserve">35230106225292000147550010007176271014809106 </t>
  </si>
  <si>
    <t xml:space="preserve">35230166271883000263570020000290031811168130 </t>
  </si>
  <si>
    <t>05/01/23 13:11</t>
  </si>
  <si>
    <t>YARA BRASIL FERTILIZANTES S/A.</t>
  </si>
  <si>
    <t>92.660.604/0170-77</t>
  </si>
  <si>
    <t>AVENIDA ENGENHEIRO PLINIO DE QUEIROZ, SN - ZONA INDUSTRIAL</t>
  </si>
  <si>
    <t>VANDER DE OLIVEIRA LOPES</t>
  </si>
  <si>
    <t>QWX5933</t>
  </si>
  <si>
    <t>QXH4593 / QXI2118</t>
  </si>
  <si>
    <t>28.354.938/0001-29</t>
  </si>
  <si>
    <t>LAGOINHA TRANSPORTES LTDA</t>
  </si>
  <si>
    <t>RUA PARAISO, 431 - LAGOINHA - CARMO DO PARANAIBA / MG - BRASIL - 38840000</t>
  </si>
  <si>
    <t>04 28 08 10CA 6S GRANULADO</t>
  </si>
  <si>
    <t xml:space="preserve">35230192660604017077550500000370331569712301 </t>
  </si>
  <si>
    <t>Kg x R$ 4.0022</t>
  </si>
  <si>
    <t>Kgs x R$ 0.090 p/ Kg faltante</t>
  </si>
  <si>
    <t xml:space="preserve"> 4417812010945944</t>
  </si>
  <si>
    <t xml:space="preserve">029031909564/9011  </t>
  </si>
  <si>
    <t>76186802-4</t>
  </si>
  <si>
    <t>PEDIDO - 4500914985 - A ENTREGA DA MERCADORIA SER FEITA DIRETAMENTE NO ESTABELECIMENTO DO INDUSTRIALIZADOR FERTIMAN INDUSTRIA E COMERCIO DE PRODUTOS QUIMICOS LTDA LOCALIZADA  RODOVIA J K OLIVEIRA BAIRRO INSUTRIAL KM 83,5 CONGONHAL MG CNPJ 66.197.963;0001-35 E IE 1797599620090</t>
  </si>
  <si>
    <t xml:space="preserve">35230166271883000263570020000290041566969579 </t>
  </si>
  <si>
    <t>05/01/23 13:21</t>
  </si>
  <si>
    <t>UANDERSON ALVES RODRIGUES</t>
  </si>
  <si>
    <t>RTZ7C56</t>
  </si>
  <si>
    <t>RUG6I24 / RUG6I34</t>
  </si>
  <si>
    <t>VOLKSWAGEN</t>
  </si>
  <si>
    <t>29520 METEOR 6X4</t>
  </si>
  <si>
    <t xml:space="preserve">35230106225292000147550010007177661014812550 </t>
  </si>
  <si>
    <t xml:space="preserve">35230166271883000263570020000290051713705357 </t>
  </si>
  <si>
    <t>05/01/23 13:27</t>
  </si>
  <si>
    <t>TAUBATE</t>
  </si>
  <si>
    <t>VARGINHA</t>
  </si>
  <si>
    <t>SOCIEDADE EXTRATIVA DOLOMIA LTDA</t>
  </si>
  <si>
    <t>72.277.254/0001-62</t>
  </si>
  <si>
    <t>ESTRADA GERALDO CURSINO DE MOURA, S/N, CAIEIRAS - REGISTRO</t>
  </si>
  <si>
    <t>FERTIPAR SUDESTE ADUBOS E CORRETIVOS AGRICOLAS LTDA</t>
  </si>
  <si>
    <t>02.614.911/0002-15</t>
  </si>
  <si>
    <t>RUA HANS KIESER, 101, ANEXO: R JOSE LUIZ MAIA 121; - REZENDE</t>
  </si>
  <si>
    <t>LUCIANO DA CUNHA FERREIRA</t>
  </si>
  <si>
    <t>RFH0D33</t>
  </si>
  <si>
    <t>RFH2F08</t>
  </si>
  <si>
    <t>18.915.078/0001-00</t>
  </si>
  <si>
    <t>P H DE OLIVEIRA TRANSPORTES LTDA</t>
  </si>
  <si>
    <t>RUA ARGENTINA, 982 - VILA NIRMATELLE - FORMIGA / MG - BRASIL - 35577078</t>
  </si>
  <si>
    <t>CARBONATO DE CALCIO E MAGNESIO</t>
  </si>
  <si>
    <t xml:space="preserve">35230172277254000162550010002715971783077029 </t>
  </si>
  <si>
    <t>Kg x R$ 0.0830</t>
  </si>
  <si>
    <t>Kgs x R$ 0.091 p/ Kg faltante</t>
  </si>
  <si>
    <t>SP / TAUBATE X MG / VARGINHA</t>
  </si>
  <si>
    <t xml:space="preserve">35230166271883000263570020000290061860688691 </t>
  </si>
  <si>
    <t>05/01/23 13:52</t>
  </si>
  <si>
    <t>LEANDRO DIEGO DA SILVA</t>
  </si>
  <si>
    <t>RUZ9G86</t>
  </si>
  <si>
    <t>RMZ4J99 / RMZ5A02</t>
  </si>
  <si>
    <t>29.520 METEOR 6X4</t>
  </si>
  <si>
    <t xml:space="preserve">35230106225292000147550010007177761014812670 </t>
  </si>
  <si>
    <t xml:space="preserve">35230166271883000263570020000290071297941001 </t>
  </si>
  <si>
    <t>05/01/23 14:57</t>
  </si>
  <si>
    <t>NELSON CRISPIM MARRA DE SOUSA</t>
  </si>
  <si>
    <t>PUL0A50</t>
  </si>
  <si>
    <t>RVC3I52 / RVC3I68</t>
  </si>
  <si>
    <t xml:space="preserve">35230106225292000147550010007177911014813339 </t>
  </si>
  <si>
    <t xml:space="preserve">35230166271883000263570020000290081630146549 </t>
  </si>
  <si>
    <t>05/01/23 17:22</t>
  </si>
  <si>
    <t xml:space="preserve">35230106225292000147550010007178331014814019 </t>
  </si>
  <si>
    <t>PEDIDO - 761806</t>
  </si>
  <si>
    <t xml:space="preserve">35230166271883000263570020000290101234963984 </t>
  </si>
  <si>
    <t>05/01/23 17:27</t>
  </si>
  <si>
    <t xml:space="preserve">35230106225292000147550010007178351014814056 </t>
  </si>
  <si>
    <t xml:space="preserve">35230166271883000263570020000290111920428950 </t>
  </si>
  <si>
    <t>05/01/23 17:32</t>
  </si>
  <si>
    <t xml:space="preserve">35230106225292000147550010007178501014814281 </t>
  </si>
  <si>
    <t xml:space="preserve">35230166271883000263570020000290121491531654 </t>
  </si>
  <si>
    <t>05/01/23 17:52</t>
  </si>
  <si>
    <t xml:space="preserve">35230192660604017077550500000370551871509227 </t>
  </si>
  <si>
    <t xml:space="preserve">35230166271883000263570020000290131970996735 </t>
  </si>
  <si>
    <t>05/01/23 18:59</t>
  </si>
  <si>
    <t xml:space="preserve">35230192660604017077550500000370681879451404 </t>
  </si>
  <si>
    <t xml:space="preserve">35230166271883000263570020000290141555210602 </t>
  </si>
  <si>
    <t>05/01/23 19:34</t>
  </si>
  <si>
    <t xml:space="preserve">35230192660604017077550500000370751818904446 </t>
  </si>
  <si>
    <t xml:space="preserve">35230166271883000263570020000290151647763087 </t>
  </si>
  <si>
    <t>05/01/23 20:30</t>
  </si>
  <si>
    <t>06 27 06 8CA 8,4 GRANULADO</t>
  </si>
  <si>
    <t xml:space="preserve">35230192660604017077550500000370791513279377 </t>
  </si>
  <si>
    <t>Kg x R$ 3.8714</t>
  </si>
  <si>
    <t>PEDIDO - 4500914986 - A ENTREGA DA MERCADORIA SER FEITA DIRETAMENTE NO ESTABELECIMENTO DO INDUSTRIALIZADOR FERTIMAN INDUSTRIA E COMERCIO DE PRODUTOS QUIMICOS LTDA LOCALIZADA  RODOVIA J K OLIVEIRA BAIRRO INSUTRIAL KM 83,5 CONGONHAL MG CNPJ 66.197.963;0001-35 E IE 1797599620090</t>
  </si>
  <si>
    <t xml:space="preserve">35230166271883000263570020000290161109073573 </t>
  </si>
  <si>
    <t>05/01/23 20:36</t>
  </si>
  <si>
    <t xml:space="preserve">35230192660604017077550500000370831978468735 </t>
  </si>
  <si>
    <t>Kg x R$ 3.8715</t>
  </si>
  <si>
    <t xml:space="preserve">35230166271883000263570020000290171326571650 </t>
  </si>
  <si>
    <t>05/01/23 20:40</t>
  </si>
  <si>
    <t xml:space="preserve">35230192660604017077550500000370891759799101 </t>
  </si>
  <si>
    <t xml:space="preserve">35230166271883000263570020000290181905166606 </t>
  </si>
  <si>
    <t>05/01/23 22:33</t>
  </si>
  <si>
    <t xml:space="preserve">35230192660604017077550500000370991817857160 </t>
  </si>
  <si>
    <t xml:space="preserve">35230166271883000263570020000290191266038637 </t>
  </si>
  <si>
    <t>05/01/23 11:27</t>
  </si>
  <si>
    <t xml:space="preserve">31230107191228002603550010000432721492397354 </t>
  </si>
  <si>
    <t xml:space="preserve">31230166271883000182570010000297201027873544 </t>
  </si>
  <si>
    <t>05/01/23 13:46</t>
  </si>
  <si>
    <t xml:space="preserve">31230107191228002603550010000432691633134103 </t>
  </si>
  <si>
    <t xml:space="preserve">31230166271883000182570010000297211587817060 </t>
  </si>
  <si>
    <t>05/01/23 14:10</t>
  </si>
  <si>
    <t xml:space="preserve">31230107191228002603550010000432651278978061 </t>
  </si>
  <si>
    <t xml:space="preserve">31230166271883000182570010000297221280610046 </t>
  </si>
  <si>
    <t>06/01/23 02:20</t>
  </si>
  <si>
    <t xml:space="preserve">35230192660604017077550500000371041347866004 </t>
  </si>
  <si>
    <t xml:space="preserve">35230166271883000263570020000290201068517033 </t>
  </si>
  <si>
    <t>06/01/23 02:49</t>
  </si>
  <si>
    <t xml:space="preserve">35230192660604017077550500000371071058193061 </t>
  </si>
  <si>
    <t xml:space="preserve">35230166271883000263570020000290211041470351 </t>
  </si>
  <si>
    <t>06/01/23 08:59</t>
  </si>
  <si>
    <t>ANDERSON LOPES DA SILVA</t>
  </si>
  <si>
    <t>QOK4402</t>
  </si>
  <si>
    <t>DPF0F36</t>
  </si>
  <si>
    <t>M.BENZ/AXOR 2544 S</t>
  </si>
  <si>
    <t xml:space="preserve">35230172277254000162550010002716741472268605 </t>
  </si>
  <si>
    <t xml:space="preserve">35230166271883000263570020000290221537445018 </t>
  </si>
  <si>
    <t>06/01/23 10:20</t>
  </si>
  <si>
    <t>GERALDO TEIXEIRA MACHADO</t>
  </si>
  <si>
    <t xml:space="preserve">35230106225292000147550010007180891014818487 </t>
  </si>
  <si>
    <t>EMBARQUE 88</t>
  </si>
  <si>
    <t xml:space="preserve">35230166271883000263570020000290231068318741 </t>
  </si>
  <si>
    <t>06/01/23 12:20</t>
  </si>
  <si>
    <t>FABIO ANTONIO BONTEMPO CUNHA</t>
  </si>
  <si>
    <t>QYP0A52</t>
  </si>
  <si>
    <t>EOV6D68 / FLH3G58</t>
  </si>
  <si>
    <t xml:space="preserve">35230106225292000147550010007181791014819903 </t>
  </si>
  <si>
    <t xml:space="preserve"> 4417812006329004</t>
  </si>
  <si>
    <t xml:space="preserve">024031920385/9919  </t>
  </si>
  <si>
    <t>76213597-2</t>
  </si>
  <si>
    <t xml:space="preserve">35230166271883000263570020000290241065701193 </t>
  </si>
  <si>
    <t>06/01/23 12:28</t>
  </si>
  <si>
    <t xml:space="preserve">31230192660604015457550760000283271735193429 </t>
  </si>
  <si>
    <t xml:space="preserve">024031920470/9977  </t>
  </si>
  <si>
    <t>76213750-1</t>
  </si>
  <si>
    <t xml:space="preserve">35230166271883000263570020000290251685883643 </t>
  </si>
  <si>
    <t>06/01/23 13:32</t>
  </si>
  <si>
    <t>FAGNER SILVA SOUZA</t>
  </si>
  <si>
    <t>EOF8487</t>
  </si>
  <si>
    <t>DUE4H92 / GEA8J62</t>
  </si>
  <si>
    <t>030.580.886/98</t>
  </si>
  <si>
    <t>FLAVIO GERALDO DE OLIVEIRA</t>
  </si>
  <si>
    <t>RUA AGOSTINHO DE DEUS, 697 - LAGOINHA - CARMO DO PARANAIBA / MG - BRASIL - 38840000</t>
  </si>
  <si>
    <t xml:space="preserve">35230106225292000147550010007181951014820166 </t>
  </si>
  <si>
    <t xml:space="preserve"> 4417818899767705</t>
  </si>
  <si>
    <t xml:space="preserve">022031920956/9811  </t>
  </si>
  <si>
    <t>76214780-7</t>
  </si>
  <si>
    <t xml:space="preserve">35230166271883000263570020000290261056101159 </t>
  </si>
  <si>
    <t>06/01/23 15:10</t>
  </si>
  <si>
    <t>ITAMAR HENRIQUE NASCIMENTO</t>
  </si>
  <si>
    <t>RFW9I29</t>
  </si>
  <si>
    <t>RUZ5H46</t>
  </si>
  <si>
    <t>SCANIA/R450 A6X2</t>
  </si>
  <si>
    <t xml:space="preserve">35230172277254000162550010002717321683103709 </t>
  </si>
  <si>
    <t>Kgs x R$ 0.092 p/ Kg faltante</t>
  </si>
  <si>
    <t xml:space="preserve">35230166271883000263570020000290271660518997 </t>
  </si>
  <si>
    <t>06/01/23 23:40</t>
  </si>
  <si>
    <t>LUIZ CARLOS DE MELO TORRENTE</t>
  </si>
  <si>
    <t>RNT1F74</t>
  </si>
  <si>
    <t>RNW5A47 / RNW5A62</t>
  </si>
  <si>
    <t xml:space="preserve">31230192660604015457550760000283341928203919 </t>
  </si>
  <si>
    <t>EMBARQUE 89</t>
  </si>
  <si>
    <t xml:space="preserve">35230166271883000263570020000290281403638184 </t>
  </si>
  <si>
    <t>06/01/23 23:44</t>
  </si>
  <si>
    <t xml:space="preserve">31230192660604015457550760000283351924215189 </t>
  </si>
  <si>
    <t xml:space="preserve">35230166271883000263570020000290291659880160 </t>
  </si>
  <si>
    <t>07/01/23 00:23</t>
  </si>
  <si>
    <t>HEBERTON CARLOS DOS SANTOS</t>
  </si>
  <si>
    <t>RNG3A36</t>
  </si>
  <si>
    <t>GZV6I77</t>
  </si>
  <si>
    <t>13.941.198/0001-50</t>
  </si>
  <si>
    <t>EDUARDO PAULO DOS SANTOS ME</t>
  </si>
  <si>
    <t>RUA CELESTINO BONACCORSI, 92, CASA - CENTRO - CANDEIAS / MG - BRASIL - 37280000</t>
  </si>
  <si>
    <t>AXOR 2544 S</t>
  </si>
  <si>
    <t xml:space="preserve">31230192660604015457550760000283381813745084 </t>
  </si>
  <si>
    <t>Kgs x R$ 0.101 p/ Kg faltante</t>
  </si>
  <si>
    <t>CONECTCAR</t>
  </si>
  <si>
    <t xml:space="preserve">027031926946/9508  </t>
  </si>
  <si>
    <t>76229568-3</t>
  </si>
  <si>
    <t xml:space="preserve">35230166271883000263570020000290301620052917 </t>
  </si>
  <si>
    <t>07/01/23 08:36</t>
  </si>
  <si>
    <t>ALTAIR PIRES DE OLIVEIRA</t>
  </si>
  <si>
    <t>RMS0G16</t>
  </si>
  <si>
    <t>RMX0F89</t>
  </si>
  <si>
    <t xml:space="preserve">35230172277254000162550010002717601725170500 </t>
  </si>
  <si>
    <t xml:space="preserve">35230166271883000263570020000290311171160367 </t>
  </si>
  <si>
    <t>07/01/23 09:33</t>
  </si>
  <si>
    <t>ALEXANDRE RODRIGUES DOS SANTOS</t>
  </si>
  <si>
    <t>ANDRE LUIS RANGEL</t>
  </si>
  <si>
    <t>QQX9580</t>
  </si>
  <si>
    <t>RNC7C90</t>
  </si>
  <si>
    <t>DS CAR COMERCIO DE PECAS LTDA</t>
  </si>
  <si>
    <t>AVENIDA JOSE FERNANDES CARVALHO NOGUEIRA, 77 - MARINGA - FORMIGA / MG - BRASIL - 35577358</t>
  </si>
  <si>
    <t xml:space="preserve">35230172277254000162550010002717611235483178 </t>
  </si>
  <si>
    <t>Trajeto s/ Pedagio</t>
  </si>
  <si>
    <t xml:space="preserve">35230166271883000263570020000290351413315668 </t>
  </si>
  <si>
    <t>07/01/23 17:31</t>
  </si>
  <si>
    <t>TRES CORACOES</t>
  </si>
  <si>
    <t>FERTILIZANTES HERINGER S.A. EM RECUPERACAO JUDICIAL</t>
  </si>
  <si>
    <t>22.266.175/0022-02</t>
  </si>
  <si>
    <t>ROD. FERNAO DIAS BR 381, KM 755, SN - DISTRITO INDUSTRIAL</t>
  </si>
  <si>
    <t>NPK 19.09.19</t>
  </si>
  <si>
    <t xml:space="preserve">35230106225292000147550010007185261014826487 </t>
  </si>
  <si>
    <t>Kg x R$ 3.1678</t>
  </si>
  <si>
    <t>Não Cobrado</t>
  </si>
  <si>
    <t>PEDIDO - 138129</t>
  </si>
  <si>
    <t>SP / CUBATAO X MG / TRES CORACOES</t>
  </si>
  <si>
    <t xml:space="preserve">35230166271883000263570020000290361294861815 </t>
  </si>
  <si>
    <t>07/01/23 17:36</t>
  </si>
  <si>
    <t xml:space="preserve">35230106225292000147550010007185361014826599 </t>
  </si>
  <si>
    <t xml:space="preserve">35230166271883000263570020000290371447550826 </t>
  </si>
  <si>
    <t>07/01/23 17:39</t>
  </si>
  <si>
    <t xml:space="preserve">35230106225292000147550010007185321014826557 </t>
  </si>
  <si>
    <t xml:space="preserve">35230166271883000263570020000290381459912636 </t>
  </si>
  <si>
    <t>07/01/23 17:53</t>
  </si>
  <si>
    <t xml:space="preserve">35230106225292000147550010007185301014826536 </t>
  </si>
  <si>
    <t xml:space="preserve">35230166271883000263570020000290391297440367 </t>
  </si>
  <si>
    <t>07/01/23 18:01</t>
  </si>
  <si>
    <t xml:space="preserve">35230106225292000147550010007185491014827011 </t>
  </si>
  <si>
    <t>Kg x R$ 1.9986</t>
  </si>
  <si>
    <t>PEDIDO - 22752201</t>
  </si>
  <si>
    <t>SP / CUBATAO X MG / VARGINHA</t>
  </si>
  <si>
    <t xml:space="preserve">35230166271883000263570020000290401868531742 </t>
  </si>
  <si>
    <t>07/01/23 18:04</t>
  </si>
  <si>
    <t xml:space="preserve">35230106225292000147550010007185451014826806 </t>
  </si>
  <si>
    <t xml:space="preserve">35230166271883000263570020000290411189173670 </t>
  </si>
  <si>
    <t>07/01/23 19:33</t>
  </si>
  <si>
    <t xml:space="preserve">35230106225292000147550010007185651014827333 </t>
  </si>
  <si>
    <t xml:space="preserve">35230166271883000263570020000290421009325171 </t>
  </si>
  <si>
    <t>07/01/23 19:36</t>
  </si>
  <si>
    <t xml:space="preserve">35230106225292000147550010007185681014827416 </t>
  </si>
  <si>
    <t xml:space="preserve">35230166271883000263570020000290431753611567 </t>
  </si>
  <si>
    <t>07/01/23 19:40</t>
  </si>
  <si>
    <t xml:space="preserve">35230106225292000147550010007185731014827505 </t>
  </si>
  <si>
    <t xml:space="preserve">35230166271883000263570020000290441832321550 </t>
  </si>
  <si>
    <t>07/01/23 19:42</t>
  </si>
  <si>
    <t xml:space="preserve">35230106225292000147550010007185741014827529 </t>
  </si>
  <si>
    <t xml:space="preserve">35230166271883000263570020000290451670437254 </t>
  </si>
  <si>
    <t>08/01/23 22:20</t>
  </si>
  <si>
    <t>GUARUJA</t>
  </si>
  <si>
    <t>TERMAG - TERMINAL MARITIMO DO GUARUJA</t>
  </si>
  <si>
    <t>MARCOS JOSE DE OLIVEIRA</t>
  </si>
  <si>
    <t>RTX4J93</t>
  </si>
  <si>
    <t>RTZ7A95 / RTZ7C89</t>
  </si>
  <si>
    <t>SULFATO GRANULADO - SAGR</t>
  </si>
  <si>
    <t>IVECO</t>
  </si>
  <si>
    <t>STRALIS 800S48TZ</t>
  </si>
  <si>
    <t xml:space="preserve">31230192660604015457550730000103611146787033 </t>
  </si>
  <si>
    <t>Kg x R$ 1.5805</t>
  </si>
  <si>
    <t>Kgs x R$ 0.095 p/ Kg faltante</t>
  </si>
  <si>
    <t>DI: 22/1967443-5 /  NAVIO: CASSIOPEIA OCEAN / PEDIDO- 148722</t>
  </si>
  <si>
    <t>SP / GUARUJA X MG / CONGONHAL</t>
  </si>
  <si>
    <t xml:space="preserve">35230166271883000263570020000290461100432367 </t>
  </si>
  <si>
    <t>08/01/23 23:37</t>
  </si>
  <si>
    <t>MLU8F54 / MLU8G74</t>
  </si>
  <si>
    <t xml:space="preserve">31230192660604015457550730000103651848408341 </t>
  </si>
  <si>
    <t xml:space="preserve">35230166271883000263570020000290471644279226 </t>
  </si>
  <si>
    <t>08/01/23 23:59</t>
  </si>
  <si>
    <t>CARLOS ALESSANDRO DE ARRUDA</t>
  </si>
  <si>
    <t>RNI7G13</t>
  </si>
  <si>
    <t>RMX4J85 / RMX4J82</t>
  </si>
  <si>
    <t>14.784.331/0001-74</t>
  </si>
  <si>
    <t>MC CASTRO TRANSPORTES LTDA</t>
  </si>
  <si>
    <t>AVENIDA GOVERNADOR OZANAN LEVINDO COELHO, 1495 - PARMALAT - CANDEIAS / MG - BRASIL - 37280000</t>
  </si>
  <si>
    <t xml:space="preserve">31230192660604015457550730000103661801369762 </t>
  </si>
  <si>
    <t xml:space="preserve">35230166271883000263570020000290481540923355 </t>
  </si>
  <si>
    <t>09/01/23 00:09</t>
  </si>
  <si>
    <t>FABIO BASTOS MARTINS</t>
  </si>
  <si>
    <t>QXX0E85</t>
  </si>
  <si>
    <t>RMM5G69 / RMM5G62</t>
  </si>
  <si>
    <t xml:space="preserve">31230192660604015457550730000103681358780629 </t>
  </si>
  <si>
    <t xml:space="preserve">35230166271883000263570020000290491125912771 </t>
  </si>
  <si>
    <t>09/01/23 12:12</t>
  </si>
  <si>
    <t>FERNANDO CESAR DIAS PEDROSO</t>
  </si>
  <si>
    <t>RUT1G50</t>
  </si>
  <si>
    <t>RUT1G51 / RUT1G60</t>
  </si>
  <si>
    <t>13.952.183/0001-97</t>
  </si>
  <si>
    <t>ADRIANO DE PAIVA SILVA</t>
  </si>
  <si>
    <t>RUA VEREADOR ANTONIO FREIRE, 54 - TRIANGULO - CANDEIAS / MG - BRASIL - 37280000</t>
  </si>
  <si>
    <t>VOLVO/FH 540 6X4T</t>
  </si>
  <si>
    <t xml:space="preserve">35230106225292000147550010007188621014833982 </t>
  </si>
  <si>
    <t xml:space="preserve">35230166271883000263570020000290521818422673 </t>
  </si>
  <si>
    <t>09/01/23 12:59</t>
  </si>
  <si>
    <t>DIOGO ERNANE BARBOSA</t>
  </si>
  <si>
    <t>QXY1D97</t>
  </si>
  <si>
    <t>QXY4B08 / QXY4B11</t>
  </si>
  <si>
    <t>030.654.816/00</t>
  </si>
  <si>
    <t>ANTONIO GIL DE MACEDO</t>
  </si>
  <si>
    <t>HILDEBRANDO CLARK, 187 - ANTONIO LARA - PIMENTA / MG - BRASIL - 35585000</t>
  </si>
  <si>
    <t>ACTROS 2651S6X4</t>
  </si>
  <si>
    <t xml:space="preserve">35230106225292000147550010007188721014834560 </t>
  </si>
  <si>
    <t xml:space="preserve">024031936334/9956  </t>
  </si>
  <si>
    <t>76251909-3</t>
  </si>
  <si>
    <t xml:space="preserve">35230166271883000263570020000290531780328613 </t>
  </si>
  <si>
    <t>09/01/23 13:38</t>
  </si>
  <si>
    <t>DEVAIR FERREIRA DA SILVA</t>
  </si>
  <si>
    <t>RND2G53</t>
  </si>
  <si>
    <t>RLM6H16 / RLM6H96</t>
  </si>
  <si>
    <t xml:space="preserve">35230106225292000147550010007188841014834749 </t>
  </si>
  <si>
    <t xml:space="preserve">35230166271883000263570020000290561571977777 </t>
  </si>
  <si>
    <t>09/01/23 14:10</t>
  </si>
  <si>
    <t>CLEBER REIS LARA</t>
  </si>
  <si>
    <t>RTT7F78</t>
  </si>
  <si>
    <t>RTI1E78 / RTI1E85</t>
  </si>
  <si>
    <t xml:space="preserve">35230106225292000147550010007188471014833714 </t>
  </si>
  <si>
    <t xml:space="preserve">35230166271883000263570020000290581217865760 </t>
  </si>
  <si>
    <t>09/01/23 14:17</t>
  </si>
  <si>
    <t>SILVIO MOREIRA DE CAMARGOS</t>
  </si>
  <si>
    <t>MMM9A48</t>
  </si>
  <si>
    <t>QIM1D15 / QIM1E25</t>
  </si>
  <si>
    <t>366.070.536/53</t>
  </si>
  <si>
    <t>JOAO BOSCO DOS REIS</t>
  </si>
  <si>
    <t>RUA PATOS DE MINAS, 1737 - JK - CARMO DO PARANAIBA / MG - BRASIL - 38840000</t>
  </si>
  <si>
    <t xml:space="preserve">35230106225292000147550010007188771014834647 </t>
  </si>
  <si>
    <t xml:space="preserve"> 4417812007797647</t>
  </si>
  <si>
    <t xml:space="preserve">025031937267/9726  </t>
  </si>
  <si>
    <t>76254323-4</t>
  </si>
  <si>
    <t xml:space="preserve">35230166271883000263570020000290591413897634 </t>
  </si>
  <si>
    <t>09/01/23 14:24</t>
  </si>
  <si>
    <t>SEBASTIAO BORGES DE OLIVEIRA</t>
  </si>
  <si>
    <t>CUW0A06</t>
  </si>
  <si>
    <t>OOM5I83 / OOM5I81</t>
  </si>
  <si>
    <t>080.787.356/00</t>
  </si>
  <si>
    <t>ALAN HENRIQUE FONTES DOS REIS</t>
  </si>
  <si>
    <t xml:space="preserve">35230106225292000147550010007188681014834524 </t>
  </si>
  <si>
    <t xml:space="preserve"> 4417812003744791</t>
  </si>
  <si>
    <t xml:space="preserve">020031937383/9577  </t>
  </si>
  <si>
    <t>76254896-3</t>
  </si>
  <si>
    <t xml:space="preserve">35230166271883000263570020000290601362746880 </t>
  </si>
  <si>
    <t>09/01/23 14:36</t>
  </si>
  <si>
    <t>FABIO RAPOSO</t>
  </si>
  <si>
    <t>QUX5832</t>
  </si>
  <si>
    <t>QXY8I58 / QXY8I60</t>
  </si>
  <si>
    <t>24.043.613/0001-74</t>
  </si>
  <si>
    <t>TRANSPORTADORA PORTO MINEIRO</t>
  </si>
  <si>
    <t>AVENIDA JOAO PAULO II, 1, AREA B - DISTRITO INDUSTRIAL - FORMIGA / MG - BRASIL - 35577700</t>
  </si>
  <si>
    <t>MAN</t>
  </si>
  <si>
    <t>TGX 29480 6X4T</t>
  </si>
  <si>
    <t xml:space="preserve">35230106225292000147550010007188731014834575 </t>
  </si>
  <si>
    <t xml:space="preserve">35230166271883000263570020000290611272889396 </t>
  </si>
  <si>
    <t>09/01/23 14:44</t>
  </si>
  <si>
    <t>PAULO JUNIO FERREIRA DA SILVA</t>
  </si>
  <si>
    <t>RMR5E16</t>
  </si>
  <si>
    <t>RGC6I67 / RGA9E16</t>
  </si>
  <si>
    <t xml:space="preserve">35230106225292000147550010007188661014834180 </t>
  </si>
  <si>
    <t xml:space="preserve">35230166271883000263570020000290621296128848 </t>
  </si>
  <si>
    <t>09/01/23 15:14</t>
  </si>
  <si>
    <t>ALEX WASHINGTON ALVARENGA DA SILVA E SOU</t>
  </si>
  <si>
    <t>RNA0G78</t>
  </si>
  <si>
    <t>RNN5A02 / RNL7G62</t>
  </si>
  <si>
    <t>S540A6X4</t>
  </si>
  <si>
    <t xml:space="preserve">35230106225292000147550010007188911014834840 </t>
  </si>
  <si>
    <t xml:space="preserve">35230166271883000263570020000290631321564747 </t>
  </si>
  <si>
    <t>09/01/23 15:26</t>
  </si>
  <si>
    <t>ALISSON DOS SANTOS CELESTINO</t>
  </si>
  <si>
    <t>QWT8942</t>
  </si>
  <si>
    <t>BDN4G96 / BDN4G95</t>
  </si>
  <si>
    <t xml:space="preserve">35230106225292000147550010007188831014834733 </t>
  </si>
  <si>
    <t xml:space="preserve">35230166271883000263570020000290641462064497 </t>
  </si>
  <si>
    <t>09/01/23 16:11</t>
  </si>
  <si>
    <t>MARCOS VINICIUS EVANGELISTAS</t>
  </si>
  <si>
    <t>RUU7E01</t>
  </si>
  <si>
    <t>RUU8H17 / RUU8H01</t>
  </si>
  <si>
    <t xml:space="preserve">35230106225292000147550010007188741014834599 </t>
  </si>
  <si>
    <t xml:space="preserve">35230166271883000263570020000290651905638974 </t>
  </si>
  <si>
    <t>09/01/23 16:26</t>
  </si>
  <si>
    <t>JULIO CESAR CUSTODIO</t>
  </si>
  <si>
    <t>GJI8A87 / GEX5B82</t>
  </si>
  <si>
    <t xml:space="preserve">35230106225292000147550010007189171014835373 </t>
  </si>
  <si>
    <t xml:space="preserve">35230166271883000263570020000290661325702224 </t>
  </si>
  <si>
    <t>09/01/23 18:05</t>
  </si>
  <si>
    <t xml:space="preserve">35230106225292000147550010007189511014835928 </t>
  </si>
  <si>
    <t xml:space="preserve">35230166271883000263570020000290671245775109 </t>
  </si>
  <si>
    <t>09/01/23 20:29</t>
  </si>
  <si>
    <t>GUILHERME HENRIQUE OLIVEIRA</t>
  </si>
  <si>
    <t>OOE1345 / OOE1305</t>
  </si>
  <si>
    <t xml:space="preserve">35230106225292000147550010007189941014836581 </t>
  </si>
  <si>
    <t xml:space="preserve">35230166271883000263570020000290681566528308 </t>
  </si>
  <si>
    <t>10/01/23 00:53</t>
  </si>
  <si>
    <t xml:space="preserve">35230192660604017077550500000373491521633483 </t>
  </si>
  <si>
    <t xml:space="preserve">35230166271883000263570020000290691566746175 </t>
  </si>
  <si>
    <t>10/01/23 02:29</t>
  </si>
  <si>
    <t xml:space="preserve">35230192660604017077550500000373521328445765 </t>
  </si>
  <si>
    <t xml:space="preserve">35230166271883000263570020000290701576786405 </t>
  </si>
  <si>
    <t>10/01/23 02:47</t>
  </si>
  <si>
    <t xml:space="preserve">35230192660604017077550500000373541996723886 </t>
  </si>
  <si>
    <t xml:space="preserve">35230166271883000263570020000290711454505298 </t>
  </si>
  <si>
    <t>10/01/23 03:43</t>
  </si>
  <si>
    <t xml:space="preserve">35230106225292000147550010007191481014839120 </t>
  </si>
  <si>
    <t>Kgs x R$ 0.103 p/ Kg faltante</t>
  </si>
  <si>
    <t xml:space="preserve">025031943013/9275  </t>
  </si>
  <si>
    <t>76268585-9</t>
  </si>
  <si>
    <t xml:space="preserve">35230166271883000263570020000290721951303003 </t>
  </si>
  <si>
    <t>10/01/23 03:49</t>
  </si>
  <si>
    <t xml:space="preserve">35230106225292000147550010007191611014839327 </t>
  </si>
  <si>
    <t xml:space="preserve">35230166271883000263570020000290731694455656 </t>
  </si>
  <si>
    <t>10/01/23 04:02</t>
  </si>
  <si>
    <t xml:space="preserve">35230106225292000147550010007191821014839645 </t>
  </si>
  <si>
    <t xml:space="preserve">35230166271883000263570020000290741496349024 </t>
  </si>
  <si>
    <t>10/01/23 11:57</t>
  </si>
  <si>
    <t>NITRABOR</t>
  </si>
  <si>
    <t xml:space="preserve">31230117498890000106550010003056021008502350 </t>
  </si>
  <si>
    <t>Kg x R$ 2.0533</t>
  </si>
  <si>
    <t>Kgs x R$ 0.094 p/ Kg faltante</t>
  </si>
  <si>
    <t>ICMS ISENTO CONFORME ITEM 144, PARTE 1 DO ANEXO 1 DO RICMS/MG.</t>
  </si>
  <si>
    <t>MG / ALFENAS X MG / UBERABA</t>
  </si>
  <si>
    <t xml:space="preserve">31230166271883000182570010000297231575224187 </t>
  </si>
  <si>
    <t>10/01/23 13:15</t>
  </si>
  <si>
    <t xml:space="preserve">31230117498890000106550010003056031008502366 </t>
  </si>
  <si>
    <t xml:space="preserve">31230166271883000182570010000297241653031180 </t>
  </si>
  <si>
    <t xml:space="preserve">31230117498890000106550010003056011008502345 </t>
  </si>
  <si>
    <t xml:space="preserve">31230166271883000182570010000297251769012570 </t>
  </si>
  <si>
    <t>10/01/23 14:20</t>
  </si>
  <si>
    <t xml:space="preserve">31230117498890000106550010003056041008502371 </t>
  </si>
  <si>
    <t xml:space="preserve">31230166271883000182570010000297261740667924 </t>
  </si>
  <si>
    <t>10/01/23 14:32</t>
  </si>
  <si>
    <t xml:space="preserve">31230117498890000106550010003056051008502387 </t>
  </si>
  <si>
    <t xml:space="preserve">31230166271883000182570010000297271594985014 </t>
  </si>
  <si>
    <t>10/01/23 14:38</t>
  </si>
  <si>
    <t xml:space="preserve">31230117498890000106550010003056061008502392 </t>
  </si>
  <si>
    <t xml:space="preserve">31230166271883000182570010000297281807063159 </t>
  </si>
  <si>
    <t>10/01/23 16:16</t>
  </si>
  <si>
    <t xml:space="preserve">31230117498890000106550010003056071008502489 </t>
  </si>
  <si>
    <t>Kg x R$ 2.1136</t>
  </si>
  <si>
    <t xml:space="preserve">31230166271883000182570010000297291188597730 </t>
  </si>
  <si>
    <t>10/01/23 16:50</t>
  </si>
  <si>
    <t>DEIVID PAULO DE SOUSA</t>
  </si>
  <si>
    <t>RUW6C34</t>
  </si>
  <si>
    <t>RAG9B03 / RAG9A73</t>
  </si>
  <si>
    <t xml:space="preserve">31230117498890000106550010003056251008502827 </t>
  </si>
  <si>
    <t xml:space="preserve">31230166271883000182570010000297301482573860 </t>
  </si>
  <si>
    <t>11/01/23 01:39</t>
  </si>
  <si>
    <t xml:space="preserve">35230106225292000147550010007194621014845517 </t>
  </si>
  <si>
    <t xml:space="preserve">35230166271883000263570020000290751488224444 </t>
  </si>
  <si>
    <t>11/01/23 01:43</t>
  </si>
  <si>
    <t xml:space="preserve">35230106225292000147550010007194701014845675 </t>
  </si>
  <si>
    <t xml:space="preserve">35230166271883000263570020000290761739559783 </t>
  </si>
  <si>
    <t>11/01/23 01:48</t>
  </si>
  <si>
    <t xml:space="preserve">35230192660604017077550500000374101729260583 </t>
  </si>
  <si>
    <t xml:space="preserve">35230166271883000263570020000290771597095640 </t>
  </si>
  <si>
    <t>11/01/23 01:52</t>
  </si>
  <si>
    <t xml:space="preserve">35230106225292000147550010007194761014845768 </t>
  </si>
  <si>
    <t xml:space="preserve">35230166271883000263570020000290781172433142 </t>
  </si>
  <si>
    <t>11/01/23 01:57</t>
  </si>
  <si>
    <t xml:space="preserve">35230192660604017077550500000374131755307607 </t>
  </si>
  <si>
    <t xml:space="preserve">35230166271883000263570020000290791571297266 </t>
  </si>
  <si>
    <t>11/01/23 02:01</t>
  </si>
  <si>
    <t xml:space="preserve">35230192660604017077550500000374161093450550 </t>
  </si>
  <si>
    <t xml:space="preserve">35230166271883000263570020000290801176397637 </t>
  </si>
  <si>
    <t>11/01/23 02:12</t>
  </si>
  <si>
    <t xml:space="preserve">31230192660604015457550730000103731588360940 </t>
  </si>
  <si>
    <t xml:space="preserve">35230166271883000263570020000290811971035038 </t>
  </si>
  <si>
    <t>11/01/23 02:34</t>
  </si>
  <si>
    <t xml:space="preserve">35230106225292000147550010007194911014846094 </t>
  </si>
  <si>
    <t xml:space="preserve">35230166271883000263570020000290821469705984 </t>
  </si>
  <si>
    <t>11/01/23 02:55</t>
  </si>
  <si>
    <t xml:space="preserve">35230106225292000147550010007195091014846317 </t>
  </si>
  <si>
    <t xml:space="preserve">35230166271883000263570020000290831398300399 </t>
  </si>
  <si>
    <t>11/01/23 03:12</t>
  </si>
  <si>
    <t xml:space="preserve">35230192660604017077550500000374181348684181 </t>
  </si>
  <si>
    <t xml:space="preserve">35230166271883000263570020000290841424957660 </t>
  </si>
  <si>
    <t>11/01/23 04:02</t>
  </si>
  <si>
    <t xml:space="preserve">35230192660604017077550500000374201793971033 </t>
  </si>
  <si>
    <t xml:space="preserve">35230166271883000263570020000290851095999234 </t>
  </si>
  <si>
    <t>11/01/23 04:12</t>
  </si>
  <si>
    <t xml:space="preserve">35230106225292000147550010007195171014846653 </t>
  </si>
  <si>
    <t xml:space="preserve">35230166271883000263570020000290861633556108 </t>
  </si>
  <si>
    <t>11/01/23 04:19</t>
  </si>
  <si>
    <t xml:space="preserve">35230192660604017077550500000374221044371186 </t>
  </si>
  <si>
    <t xml:space="preserve">35230166271883000263570020000290871369551477 </t>
  </si>
  <si>
    <t>11/01/23 04:34</t>
  </si>
  <si>
    <t xml:space="preserve">35230192660604017077550500000374241224581710 </t>
  </si>
  <si>
    <t xml:space="preserve">35230166271883000263570020000290881327073124 </t>
  </si>
  <si>
    <t>11/01/23 15:08</t>
  </si>
  <si>
    <t>ELIZANDER ABADIO GONCALVES SILVA</t>
  </si>
  <si>
    <t>RHJ4J98</t>
  </si>
  <si>
    <t>RVW4D03 / RVW4C97</t>
  </si>
  <si>
    <t>48.046.741/0001-30</t>
  </si>
  <si>
    <t>BELG LOGISTICA LTDA</t>
  </si>
  <si>
    <t>RODOVIA MGT-354, SEM NUMERO - DISTRITO INDUSTRIAL II - PATOS DE MINAS / MG - BRASIL - 38706731</t>
  </si>
  <si>
    <t>R540 A6X4</t>
  </si>
  <si>
    <t xml:space="preserve">35230192660604017077550500000374501462786386 </t>
  </si>
  <si>
    <t>Kgs x R$ 0.083 p/ Kg faltante</t>
  </si>
  <si>
    <t xml:space="preserve">025031961568/9499  </t>
  </si>
  <si>
    <t>76316780-4</t>
  </si>
  <si>
    <t xml:space="preserve">35230166271883000263570020000290901164394677 </t>
  </si>
  <si>
    <t>11/01/23 15:19</t>
  </si>
  <si>
    <t xml:space="preserve">35230192660604017077550500000374511954972245 </t>
  </si>
  <si>
    <t>Kgs x R$ 0.084 p/ Kg faltante</t>
  </si>
  <si>
    <t xml:space="preserve">027031961794/9049  </t>
  </si>
  <si>
    <t>76317250-1</t>
  </si>
  <si>
    <t xml:space="preserve">35230166271883000263570020000290911587637058 </t>
  </si>
  <si>
    <t>11/01/23 21:26</t>
  </si>
  <si>
    <t xml:space="preserve">35230106225292000147550010007197171014853758 </t>
  </si>
  <si>
    <t xml:space="preserve">35230166271883000263570020000290921562309682 </t>
  </si>
  <si>
    <t>11/01/23 21:29</t>
  </si>
  <si>
    <t xml:space="preserve">35230106225292000147550010007197181014853763 </t>
  </si>
  <si>
    <t xml:space="preserve">35230166271883000263570020000290931475575721 </t>
  </si>
  <si>
    <t>12/01/23 02:44</t>
  </si>
  <si>
    <t xml:space="preserve">35230106225292000147550010007197491014854812 </t>
  </si>
  <si>
    <t xml:space="preserve">023031966878/9470  </t>
  </si>
  <si>
    <t>76328680-2</t>
  </si>
  <si>
    <t xml:space="preserve">35230166271883000263570020000290941268677534 </t>
  </si>
  <si>
    <t>12/01/23 07:43</t>
  </si>
  <si>
    <t xml:space="preserve">35230106225292000147550010007197991014855810 </t>
  </si>
  <si>
    <t xml:space="preserve">35230166271883000263570020000290951507750781 </t>
  </si>
  <si>
    <t>12/01/23 07:55</t>
  </si>
  <si>
    <t xml:space="preserve">35230106225292000147550010007198031014855939 </t>
  </si>
  <si>
    <t xml:space="preserve">35230166271883000263570020000290961689063995 </t>
  </si>
  <si>
    <t>12/01/23 08:11</t>
  </si>
  <si>
    <t xml:space="preserve">35230106225292000147550010007198071014856071 </t>
  </si>
  <si>
    <t xml:space="preserve">35230166271883000263570020000290971776059306 </t>
  </si>
  <si>
    <t>12/01/23 10:22</t>
  </si>
  <si>
    <t xml:space="preserve">35230106225292000147550010007198351014857315 </t>
  </si>
  <si>
    <t xml:space="preserve">35230166271883000263570020000290981847961861 </t>
  </si>
  <si>
    <t>12/01/23 12:21</t>
  </si>
  <si>
    <t xml:space="preserve">35230106225292000147550010007198621014858157 </t>
  </si>
  <si>
    <t xml:space="preserve">35230166271883000263570020000290991442608551 </t>
  </si>
  <si>
    <t>12/01/23 12:26</t>
  </si>
  <si>
    <t xml:space="preserve">35230106225292000147550010007198641014858208 </t>
  </si>
  <si>
    <t xml:space="preserve">35230166271883000263570020000291001777389234 </t>
  </si>
  <si>
    <t>12/01/23 13:14</t>
  </si>
  <si>
    <t xml:space="preserve">35230106225292000147550010007198841014858529 </t>
  </si>
  <si>
    <t xml:space="preserve">35230166271883000263570020000291011875422993 </t>
  </si>
  <si>
    <t>12/01/23 13:29</t>
  </si>
  <si>
    <t xml:space="preserve">35230106225292000147550010007198911014858647 </t>
  </si>
  <si>
    <t xml:space="preserve">35230166271883000263570020000291021536913339 </t>
  </si>
  <si>
    <t>12/01/23 13:40</t>
  </si>
  <si>
    <t xml:space="preserve">35230106225292000147550010007198931014858684 </t>
  </si>
  <si>
    <t xml:space="preserve">35230166271883000263570020000291031689400254 </t>
  </si>
  <si>
    <t>12/01/23 14:16</t>
  </si>
  <si>
    <t xml:space="preserve">35230106225292000147550010007199031014858968 </t>
  </si>
  <si>
    <t xml:space="preserve">35230166271883000263570020000291041740239858 </t>
  </si>
  <si>
    <t>12/01/23 16:13</t>
  </si>
  <si>
    <t xml:space="preserve">35230106225292000147550010007199311014859888 </t>
  </si>
  <si>
    <t xml:space="preserve">35230166271883000263570020000291051387121349 </t>
  </si>
  <si>
    <t>12/01/23 17:34</t>
  </si>
  <si>
    <t xml:space="preserve">35230106225292000147550010007199601014860438 </t>
  </si>
  <si>
    <t xml:space="preserve">35230166271883000263570020000291061209803807 </t>
  </si>
  <si>
    <t>12/01/23 22:11</t>
  </si>
  <si>
    <t>ANGELO WARLEI DE SOUZA</t>
  </si>
  <si>
    <t>OOX3E90</t>
  </si>
  <si>
    <t>QIW8J07 / QIW8I47</t>
  </si>
  <si>
    <t>36.339.768/0001-31</t>
  </si>
  <si>
    <t>TIAGO V SILVA TRANSPORTES</t>
  </si>
  <si>
    <t>RUA CAMPO GRANDE, 96 - VILA SOUZA E SILVA - FORMIGA / MG - BRASIL - 35577260</t>
  </si>
  <si>
    <t>FH 460 6X4T</t>
  </si>
  <si>
    <t xml:space="preserve">35230106225292000147550010007199651014860515 </t>
  </si>
  <si>
    <t xml:space="preserve">026031978101/xxxx  </t>
  </si>
  <si>
    <t>76353217-6</t>
  </si>
  <si>
    <t xml:space="preserve">35230166271883000263570020000291081901495531 </t>
  </si>
  <si>
    <t>12/01/23 18:41</t>
  </si>
  <si>
    <t>IGUATAMA</t>
  </si>
  <si>
    <t>22.266.175/0039-50</t>
  </si>
  <si>
    <t>AV ELOY CARLOS HERINGER, 530 - ENGENHEIRO ADELMAR</t>
  </si>
  <si>
    <t>CLORETO DE POTASSIO</t>
  </si>
  <si>
    <t xml:space="preserve">31230122266175003950550010002085441114808890 </t>
  </si>
  <si>
    <t>Quebra Integral</t>
  </si>
  <si>
    <t>Kg x R$ 7.2417</t>
  </si>
  <si>
    <t>MG / IGUATAMA X MG / TRES CORACOES</t>
  </si>
  <si>
    <t xml:space="preserve">31230166271883000182570010000297311498130723 </t>
  </si>
  <si>
    <t>12/01/23 19:00</t>
  </si>
  <si>
    <t xml:space="preserve">31230166271883000182570010000297321182452213 </t>
  </si>
  <si>
    <t>13/01/23 15:06</t>
  </si>
  <si>
    <t xml:space="preserve">35230106225292000147550010007202401014867116 </t>
  </si>
  <si>
    <t xml:space="preserve">35230166271883000263570020000291091136335541 </t>
  </si>
  <si>
    <t>13/01/23 15:41</t>
  </si>
  <si>
    <t xml:space="preserve">35230106225292000147550010007202411014867121 </t>
  </si>
  <si>
    <t xml:space="preserve">35230166271883000263570020000291101472570640 </t>
  </si>
  <si>
    <t>13/01/23 16:21</t>
  </si>
  <si>
    <t xml:space="preserve">35230106225292000147550010007202541014867405 </t>
  </si>
  <si>
    <t xml:space="preserve">35230166271883000263570020000291111372809550 </t>
  </si>
  <si>
    <t>13/01/23 16:29</t>
  </si>
  <si>
    <t xml:space="preserve">35230106225292000147550010007202571014867458 </t>
  </si>
  <si>
    <t xml:space="preserve">35230166271883000263570020000291121203709938 </t>
  </si>
  <si>
    <t>16/01/23 14:43</t>
  </si>
  <si>
    <t>PATOS DE MINAS</t>
  </si>
  <si>
    <t>MOSAIC FERTILIZANTES DO BRASIL LTDA</t>
  </si>
  <si>
    <t>61.156.501/0099-60</t>
  </si>
  <si>
    <t>ROD CONEGO DOMENICO RANGONI KM264, s/n - JARDIM DAS INDUSTRIAS</t>
  </si>
  <si>
    <t>TERA FERTILIZANTES LTDA</t>
  </si>
  <si>
    <t>42.706.082/0001-34</t>
  </si>
  <si>
    <t>AREA RURAL, 0 - AREA RURAL DE PATOS DE MINAS</t>
  </si>
  <si>
    <t xml:space="preserve">35230161156501009960550090002911241060255657 </t>
  </si>
  <si>
    <t>Kg x R$ 2.7500</t>
  </si>
  <si>
    <t>PEDIDO- 6600019055</t>
  </si>
  <si>
    <t>SP / CUBATAO X MG / PATOS DE MINAS</t>
  </si>
  <si>
    <t xml:space="preserve">35230166271883000263570020000291131062359895 </t>
  </si>
  <si>
    <t>16/01/23 14:47</t>
  </si>
  <si>
    <t xml:space="preserve">35230161156501009960550090002911251063326927 </t>
  </si>
  <si>
    <t xml:space="preserve">35230166271883000263570020000291141038481527 </t>
  </si>
  <si>
    <t>16/01/23 14:50</t>
  </si>
  <si>
    <t xml:space="preserve">35230161156501009960550090002911261066398187 </t>
  </si>
  <si>
    <t xml:space="preserve">35230166271883000263570020000291151868407599 </t>
  </si>
  <si>
    <t>16/01/23 14:54</t>
  </si>
  <si>
    <t xml:space="preserve">35230161156501009960550090002911271070205930 </t>
  </si>
  <si>
    <t xml:space="preserve">35230166271883000263570020000291161577844876 </t>
  </si>
  <si>
    <t>16/01/23 16:11</t>
  </si>
  <si>
    <t xml:space="preserve">35230106225292000147550010007208901014879720 </t>
  </si>
  <si>
    <t xml:space="preserve">35230166271883000263570020000291171229867502 </t>
  </si>
  <si>
    <t>16/01/23 17:11</t>
  </si>
  <si>
    <t xml:space="preserve">35230106225292000147550010007209261014880251 </t>
  </si>
  <si>
    <t xml:space="preserve">35230166271883000263570020000291181036970929 </t>
  </si>
  <si>
    <t>16/01/23 18:10</t>
  </si>
  <si>
    <t xml:space="preserve">35230106225292000147550010007209251014880246 </t>
  </si>
  <si>
    <t xml:space="preserve">35230166271883000263570020000291191213527868 </t>
  </si>
  <si>
    <t>16/01/23 20:58</t>
  </si>
  <si>
    <t xml:space="preserve">35230106225292000147550010007209881014881285 </t>
  </si>
  <si>
    <t xml:space="preserve">35230166271883000263570020000291201108074663 </t>
  </si>
  <si>
    <t>16/01/23 21:03</t>
  </si>
  <si>
    <t xml:space="preserve">35230106225292000147550010007209871014881237 </t>
  </si>
  <si>
    <t xml:space="preserve">35230166271883000263570020000291211128444056 </t>
  </si>
  <si>
    <t>16/01/23 13:08</t>
  </si>
  <si>
    <t>ALEXSANDRO RAIMUNDO OLIVEIRA</t>
  </si>
  <si>
    <t xml:space="preserve">31230122266175003950550010002086511188183371 </t>
  </si>
  <si>
    <t>Kg x R$ 3.0667</t>
  </si>
  <si>
    <t xml:space="preserve">31230166271883000182570010000297331052557870 </t>
  </si>
  <si>
    <t>17/01/23 15:36</t>
  </si>
  <si>
    <t xml:space="preserve">35230106225292000147550010007212711014887509 </t>
  </si>
  <si>
    <t xml:space="preserve">35230166271883000263570020000291221536028974 </t>
  </si>
  <si>
    <t>17/01/23 15:48</t>
  </si>
  <si>
    <t xml:space="preserve">35230106225292000147550010007213011014887909 </t>
  </si>
  <si>
    <t xml:space="preserve">35230166271883000263570020000291231123266910 </t>
  </si>
  <si>
    <t>17/01/23 16:12</t>
  </si>
  <si>
    <t xml:space="preserve">35230106225292000147550010007212811014887629 </t>
  </si>
  <si>
    <t xml:space="preserve">35230166271883000263570020000291241721698640 </t>
  </si>
  <si>
    <t>17/01/23 17:32</t>
  </si>
  <si>
    <t xml:space="preserve">35230192660604017077550500000377001538751396 </t>
  </si>
  <si>
    <t xml:space="preserve">35230166271883000263570020000291251075357501 </t>
  </si>
  <si>
    <t>18/01/23 01:50</t>
  </si>
  <si>
    <t xml:space="preserve">35230192660604017077550500000377241221207368 </t>
  </si>
  <si>
    <t xml:space="preserve">35230166271883000263570020000291261107336960 </t>
  </si>
  <si>
    <t>18/01/23 02:00</t>
  </si>
  <si>
    <t xml:space="preserve">35230192660604017077550500000377261697679297 </t>
  </si>
  <si>
    <t>Kg x R$ 3.8881</t>
  </si>
  <si>
    <t xml:space="preserve">35230166271883000263570020000291271185862973 </t>
  </si>
  <si>
    <t>18/01/23 07:39</t>
  </si>
  <si>
    <t>JONES HENRIQUE SILVA</t>
  </si>
  <si>
    <t>RNG5H90</t>
  </si>
  <si>
    <t>RNE6F71</t>
  </si>
  <si>
    <t xml:space="preserve">35230172277254000162550010002724221058364724 </t>
  </si>
  <si>
    <t xml:space="preserve">35230166271883000263570020000291281710874336 </t>
  </si>
  <si>
    <t>18/01/23 08:07</t>
  </si>
  <si>
    <t>IDERALDO JOSE DA SILVEIRA</t>
  </si>
  <si>
    <t>RNA5D16</t>
  </si>
  <si>
    <t>RMT1D98</t>
  </si>
  <si>
    <t xml:space="preserve">35230172277254000162550010002724241463063356 </t>
  </si>
  <si>
    <t xml:space="preserve">35230166271883000263570020000291291088219861 </t>
  </si>
  <si>
    <t>18/01/23 08:25</t>
  </si>
  <si>
    <t>RAYAN GUIMARAES DE OLIVEIRA</t>
  </si>
  <si>
    <t>RVD3D04</t>
  </si>
  <si>
    <t>RGA4G46</t>
  </si>
  <si>
    <t xml:space="preserve">35230172277254000162550010002724281275885165 </t>
  </si>
  <si>
    <t xml:space="preserve">35230166271883000263570020000291301309947920 </t>
  </si>
  <si>
    <t>18/01/23 08:34</t>
  </si>
  <si>
    <t>NEI FERREIRA ALVES</t>
  </si>
  <si>
    <t>RFU2I55</t>
  </si>
  <si>
    <t>PZD9B98</t>
  </si>
  <si>
    <t xml:space="preserve">35230172277254000162550010002724231833166513 </t>
  </si>
  <si>
    <t xml:space="preserve">35230166271883000263570020000291311666196027 </t>
  </si>
  <si>
    <t>18/01/23 23:02</t>
  </si>
  <si>
    <t>10 14 14</t>
  </si>
  <si>
    <t xml:space="preserve">35230192660604017077550500000377891991117853 </t>
  </si>
  <si>
    <t>PEDIDO - 4500916265 - A ENTREGA DA MERCADORIA SER FEITA DIRETAMENTE NO ESTABELECIMENTO DO INDUSTRIALIZADOR FERTIMAN INDUSTRIA E COMERCIO DE PRODUTOS QUIMICOS LTDA LOCALIZADA  RODOVIA J K OLIVEIRA BAIRRO INSUTRIAL KM 83,5 CONGONHAL MG CNPJ 66.197.963;0001-35 E IE 1797599620090</t>
  </si>
  <si>
    <t xml:space="preserve">35230166271883000263570020000291321085700726 </t>
  </si>
  <si>
    <t>18/01/23 23:11</t>
  </si>
  <si>
    <t xml:space="preserve">35230106225292000147550010007217401014898544 </t>
  </si>
  <si>
    <t xml:space="preserve">35230166271883000263570020000291331239173620 </t>
  </si>
  <si>
    <t>18/01/23 16:13</t>
  </si>
  <si>
    <t xml:space="preserve">31230166197963000135550010002450721700040971 </t>
  </si>
  <si>
    <t>MG / CONGONHAL X MG / ALFENAS</t>
  </si>
  <si>
    <t xml:space="preserve">31230166271883000182570010000297341679908264 </t>
  </si>
  <si>
    <t>CE</t>
  </si>
  <si>
    <t>19/01/23 23:59</t>
  </si>
  <si>
    <t>FLAVIO LOPES TRINDADE</t>
  </si>
  <si>
    <t>013.883.836/40</t>
  </si>
  <si>
    <t>CAMPO DAS FLORES, SN - ZONA RURAL</t>
  </si>
  <si>
    <t>244875, 244874</t>
  </si>
  <si>
    <t xml:space="preserve">31230192660604015457550500002448751447238419, 31230192660604015457550500002448741966621690 </t>
  </si>
  <si>
    <t>Kg x R$ 3.4805</t>
  </si>
  <si>
    <t>MG / CONGONHAL X MG / CANDEIAS</t>
  </si>
  <si>
    <t>19/01/23 02:55</t>
  </si>
  <si>
    <t xml:space="preserve">35230106225292000147550010007217931014899609 </t>
  </si>
  <si>
    <t xml:space="preserve">35230166271883000263570020000291341193807328 </t>
  </si>
  <si>
    <t>19/01/23 21:26</t>
  </si>
  <si>
    <t xml:space="preserve">35230192660604017077550500000378391768037890 </t>
  </si>
  <si>
    <t xml:space="preserve">35230166271883000263570020000291351668321014 </t>
  </si>
  <si>
    <t>19/01/23 08:28</t>
  </si>
  <si>
    <t>ITAPETININGA</t>
  </si>
  <si>
    <t>TAGUI BRASIL CEREAIS LTDA</t>
  </si>
  <si>
    <t>23.499.753/0001-99</t>
  </si>
  <si>
    <t>AVENIDA SERAFINO FILLEPO, 165 - VILA ITAPETININGA</t>
  </si>
  <si>
    <t>TRANSERTAO SULNOROESTE TRANSPORTES E LOGISTICA LTDA</t>
  </si>
  <si>
    <t>12.240.256/0005-89</t>
  </si>
  <si>
    <t>SOJA EM GRAOS</t>
  </si>
  <si>
    <t xml:space="preserve">35230123499753000199554000000247001498015669 </t>
  </si>
  <si>
    <t>Kg x R$ 2.8333</t>
  </si>
  <si>
    <t>SP / ITAPETININGA X SP / SANTOS</t>
  </si>
  <si>
    <t xml:space="preserve">31230166271883000182570010000297351300393469 </t>
  </si>
  <si>
    <t>19/01/23 11:04</t>
  </si>
  <si>
    <t xml:space="preserve">31230166197963000135550010002451361000000070 </t>
  </si>
  <si>
    <t xml:space="preserve">31230166271883000182570010000297361329245627 </t>
  </si>
  <si>
    <t>19/01/23 14:06</t>
  </si>
  <si>
    <t xml:space="preserve">31230166197963000135550010002451941008000235 </t>
  </si>
  <si>
    <t xml:space="preserve">31230166271883000182570010000297371106584186 </t>
  </si>
  <si>
    <t>19/01/23 16:36</t>
  </si>
  <si>
    <t xml:space="preserve">35230123499753000199554000000247021677867559 </t>
  </si>
  <si>
    <t xml:space="preserve">31230166271883000182570010000297381288357390 </t>
  </si>
  <si>
    <t>20/01/23 08:17</t>
  </si>
  <si>
    <t>TRANSPORTE REALIZADO POR VEICULO MARCA DAF, PLACA GFR0D47, UF SP, MOTORISTA ELI RICARDO ROSA, CPF 014.083.366/85, CONJUNTO RTT2E40/RTT2E47/RTT2E42.##ICMS ISENTO CONFORME ITEM 199, PARTE 1 DO ANEXO 1 DO RICMS/MG.</t>
  </si>
  <si>
    <t>Complemento de Valores</t>
  </si>
  <si>
    <t xml:space="preserve">31230166271883000182570010000297391733214276 </t>
  </si>
  <si>
    <t>20/01/23 14:16</t>
  </si>
  <si>
    <t>TRANSPANORAMA TRANSPORTES S.A.</t>
  </si>
  <si>
    <t>01.937.440/0005-66</t>
  </si>
  <si>
    <t>UBERLANDIA</t>
  </si>
  <si>
    <t xml:space="preserve">31230107191228002603550010000442031927498164 </t>
  </si>
  <si>
    <t>Kg x R$ 3.0186</t>
  </si>
  <si>
    <t>MG / PLANURA X SP / SANTOS</t>
  </si>
  <si>
    <t xml:space="preserve">31230166271883000182570010000297401964008370 </t>
  </si>
  <si>
    <t>20/01/23 14:29</t>
  </si>
  <si>
    <t xml:space="preserve">31230107191228002603550010000442041785279899 </t>
  </si>
  <si>
    <t>Kg x R$ 3.0250</t>
  </si>
  <si>
    <t xml:space="preserve">31230166271883000182570010000297411435684540 </t>
  </si>
  <si>
    <t>21/01/23 00:20</t>
  </si>
  <si>
    <t>EUROCHEM TRADING GMBH</t>
  </si>
  <si>
    <t>SWITZERLAND, 00, SUICA - EXT</t>
  </si>
  <si>
    <t>EX</t>
  </si>
  <si>
    <t>EXTERIOR</t>
  </si>
  <si>
    <t>HIDROVIAS DO BRASIL ADMINISTRACAO PORTUARIA SANTOS S.A.</t>
  </si>
  <si>
    <t>UREIA</t>
  </si>
  <si>
    <t xml:space="preserve">31230122266175002202550080000041731877057875 </t>
  </si>
  <si>
    <t>Kg x R$ 3.2695</t>
  </si>
  <si>
    <t>D.I.: 23/0026594-9 / NAVIO: VIDEN / PEDIDO: 4501411725</t>
  </si>
  <si>
    <t>SP / SANTOS X MG / TRES CORACOES</t>
  </si>
  <si>
    <t xml:space="preserve">35230166271883000263570020000291361349993888 </t>
  </si>
  <si>
    <t>21/01/23 01:08</t>
  </si>
  <si>
    <t xml:space="preserve">31230122266175002202550080000041741043808650 </t>
  </si>
  <si>
    <t xml:space="preserve">35230166271883000263570020000291371759760511 </t>
  </si>
  <si>
    <t>21/01/23 07:39</t>
  </si>
  <si>
    <t xml:space="preserve">31230122266175002202550080000041751341584528 </t>
  </si>
  <si>
    <t xml:space="preserve">35230166271883000263570020000291381087843250 </t>
  </si>
  <si>
    <t>21/01/23 07:43</t>
  </si>
  <si>
    <t xml:space="preserve">31230122266175002202550080000041761749518251 </t>
  </si>
  <si>
    <t xml:space="preserve">35230166271883000263570020000291391069435097 </t>
  </si>
  <si>
    <t>24/01/23 05:48</t>
  </si>
  <si>
    <t xml:space="preserve">31230122266175002202550080000041851602558750 </t>
  </si>
  <si>
    <t xml:space="preserve">35230166271883000263570020000291401791310505 </t>
  </si>
  <si>
    <t>24/01/23 07:45</t>
  </si>
  <si>
    <t>FERTCOM L.L.C.-FZ</t>
  </si>
  <si>
    <t>.., .. - EXTERIOR</t>
  </si>
  <si>
    <t xml:space="preserve">31230122266175002202550170000058601602993336 </t>
  </si>
  <si>
    <t>Kg x R$ 2.9323</t>
  </si>
  <si>
    <t>D.I.: 23/0106726-1 / NAVIO: SIKINOS / PEDIDO: 4501411977</t>
  </si>
  <si>
    <t xml:space="preserve">35230166271883000263570020000291411258571824 </t>
  </si>
  <si>
    <t>24/01/23 07:50</t>
  </si>
  <si>
    <t xml:space="preserve">31230122266175002202550170000058611749178549 </t>
  </si>
  <si>
    <t xml:space="preserve">35230166271883000263570020000291421400357537 </t>
  </si>
  <si>
    <t>24/01/23 08:00</t>
  </si>
  <si>
    <t xml:space="preserve">31230122266175002202550080000041861050566195 </t>
  </si>
  <si>
    <t xml:space="preserve">35230166271883000263570020000291431665398913 </t>
  </si>
  <si>
    <t>24/01/23 10:27</t>
  </si>
  <si>
    <t>WILLIAM ALVES</t>
  </si>
  <si>
    <t>RUB5G59</t>
  </si>
  <si>
    <t>RUA2A87</t>
  </si>
  <si>
    <t xml:space="preserve">35230172277254000162550010002728381556440351 </t>
  </si>
  <si>
    <t xml:space="preserve">35230166271883000263570020000291441889266937 </t>
  </si>
  <si>
    <t>24/01/23 10:32</t>
  </si>
  <si>
    <t>PAULO MARCIO TEIXEIRA</t>
  </si>
  <si>
    <t xml:space="preserve">35230172277254000162550010002728461460653275 </t>
  </si>
  <si>
    <t xml:space="preserve">35230166271883000263570020000291451251566999 </t>
  </si>
  <si>
    <t>24/01/23 14:40</t>
  </si>
  <si>
    <t xml:space="preserve">31230122266175003950550170000012171277897208 </t>
  </si>
  <si>
    <t>D.I.: 23/0106671-0 / NAVIO: SIKINOS / PEDIDO: 4501411978</t>
  </si>
  <si>
    <t>SP / SANTOS X MG / IGUATAMA</t>
  </si>
  <si>
    <t xml:space="preserve">35230166271883000263570020000291461283645441 </t>
  </si>
  <si>
    <t>24/01/23 14:45</t>
  </si>
  <si>
    <t xml:space="preserve">31230122266175003950550170000012181993021311 </t>
  </si>
  <si>
    <t xml:space="preserve">35230166271883000263570020000291471386589959 </t>
  </si>
  <si>
    <t>24/01/23 18:32</t>
  </si>
  <si>
    <t>SET PORT LOGISTICA LTDA</t>
  </si>
  <si>
    <t xml:space="preserve">31230102614911000215550150000202861492156463 </t>
  </si>
  <si>
    <t>Kg x R$ 2.5170</t>
  </si>
  <si>
    <t>D.I.: 23/0124637-9/ NAVIO: SIKINOS / PEDIDO: 228623</t>
  </si>
  <si>
    <t>SP / SANTOS X MG / VARGINHA</t>
  </si>
  <si>
    <t xml:space="preserve">35230166271883000263570020000291481388077421 </t>
  </si>
  <si>
    <t>24/01/23 19:18</t>
  </si>
  <si>
    <t xml:space="preserve">35230192660604017077550500000380861768646358 </t>
  </si>
  <si>
    <t xml:space="preserve">35230166271883000263570020000291491319757700 </t>
  </si>
  <si>
    <t>24/01/23 19:47</t>
  </si>
  <si>
    <t xml:space="preserve">35230192660604017077550500000380881667884770 </t>
  </si>
  <si>
    <t xml:space="preserve">35230166271883000263570020000291501799465016 </t>
  </si>
  <si>
    <t>24/01/23 19:52</t>
  </si>
  <si>
    <t xml:space="preserve">35230192660604017077550500000380891312973994 </t>
  </si>
  <si>
    <t xml:space="preserve">35230166271883000263570020000291511803995972 </t>
  </si>
  <si>
    <t>24/01/23 20:17</t>
  </si>
  <si>
    <t>EDSON TOMAZ FARIAS FAGUNDES</t>
  </si>
  <si>
    <t>NRH3999</t>
  </si>
  <si>
    <t>EKH1728 / EKH1727</t>
  </si>
  <si>
    <t>23.148.201/0001-36</t>
  </si>
  <si>
    <t>M. S. IZIDORO CONSULTORIA E ASSESSORIA EIRELI</t>
  </si>
  <si>
    <t>AVENIDA IBIRAPITANGA, 410 - VILA PIRES - SANTO ANDRE / SP - BRASIL - 09195450</t>
  </si>
  <si>
    <t>FH 440 6X2T</t>
  </si>
  <si>
    <t xml:space="preserve">31230102614911000215550150000202881123407168 </t>
  </si>
  <si>
    <t>Kgs x R$ 0.126 p/ Kg faltante</t>
  </si>
  <si>
    <t xml:space="preserve"> 4417811977962017</t>
  </si>
  <si>
    <t xml:space="preserve">020032085551/9511  </t>
  </si>
  <si>
    <t>76612796-6</t>
  </si>
  <si>
    <t xml:space="preserve">35230166271883000263570020000291521601237764 </t>
  </si>
  <si>
    <t>24/01/23 20:39</t>
  </si>
  <si>
    <t xml:space="preserve">35230192660604017077550500000380931462414047 </t>
  </si>
  <si>
    <t xml:space="preserve">35230166271883000263570020000291531825942205 </t>
  </si>
  <si>
    <t>24/01/23 22:54</t>
  </si>
  <si>
    <t xml:space="preserve">31230122266175003950550170000012191134553410 </t>
  </si>
  <si>
    <t xml:space="preserve">35230166271883000263570020000291541508616950 </t>
  </si>
  <si>
    <t>24/01/23 22:57</t>
  </si>
  <si>
    <t xml:space="preserve">31230122266175003950550170000012201565385330 </t>
  </si>
  <si>
    <t xml:space="preserve">35230166271883000263570020000291551603567720 </t>
  </si>
  <si>
    <t>24/01/23 17:35</t>
  </si>
  <si>
    <t>CORREGO FUNDO</t>
  </si>
  <si>
    <t>MARTINS SOARES</t>
  </si>
  <si>
    <t>MINASGRAN IND. E COM. DE FERTILIZANTES LTDA</t>
  </si>
  <si>
    <t>13.479.150/0001-71</t>
  </si>
  <si>
    <t>RODOVIA MG 050 KM 215, S/N - ZONA RURAL</t>
  </si>
  <si>
    <t>FERTIPAR SUDESTE ADUBOS E CORRETIVOS AGRICOLAS LTDA - 2028</t>
  </si>
  <si>
    <t>02.614.911/0008-00</t>
  </si>
  <si>
    <t>ROD BR 262, KM 13, S/N, SENTIDO VITORIA- ES - ESPRAIADO 1</t>
  </si>
  <si>
    <t>LUIZ HENRIQUE SIMOES BATISTA</t>
  </si>
  <si>
    <t>RVB2E18</t>
  </si>
  <si>
    <t>RVC6G35 / RVC6G29</t>
  </si>
  <si>
    <t>13.391.858/0001-76</t>
  </si>
  <si>
    <t>JOSE LUIZ TEIXEIRA BATISTA</t>
  </si>
  <si>
    <t>AVENIDA ALVINO FERREIRA, 219 - FERNANDES - CANDEIAS / MG - BRASIL - 37280000</t>
  </si>
  <si>
    <t>FERTILIZANTE MINERAL MISTO</t>
  </si>
  <si>
    <t xml:space="preserve">31230113479150000171550010000351961927948150 </t>
  </si>
  <si>
    <t>Kg x R$ 0.3800</t>
  </si>
  <si>
    <t>Kgs x R$ 0.088 p/ Kg faltante</t>
  </si>
  <si>
    <t xml:space="preserve">026032084266/9994  </t>
  </si>
  <si>
    <t>76610154-6</t>
  </si>
  <si>
    <t>MG / CORREGO FUNDO X MG / MARTINS SOARES</t>
  </si>
  <si>
    <t xml:space="preserve">31230166271883000182570010000297431800228442 </t>
  </si>
  <si>
    <t>25/01/23 02:19</t>
  </si>
  <si>
    <t>VALTER MENDES CAETANO</t>
  </si>
  <si>
    <t>RFA0C11</t>
  </si>
  <si>
    <t>RAE4I33 / RAE4J13</t>
  </si>
  <si>
    <t>17.133.733/0001-05</t>
  </si>
  <si>
    <t>ADRIANO BOAVENTURA VELOSO</t>
  </si>
  <si>
    <t>FRANCISCO ALBINO DE MOURA, 210 - CENTRO - ARAPUA / MG - BRASIL - 38860000</t>
  </si>
  <si>
    <t xml:space="preserve">35230192660604017077550500000381101166078103 </t>
  </si>
  <si>
    <t xml:space="preserve">023032086747/9370  </t>
  </si>
  <si>
    <t>76615472-6</t>
  </si>
  <si>
    <t xml:space="preserve">35230166271883000263570020000291561898026731 </t>
  </si>
  <si>
    <t>25/01/23 02:48</t>
  </si>
  <si>
    <t xml:space="preserve">31230122266175002202550080000041931886975965 </t>
  </si>
  <si>
    <t xml:space="preserve">35230166271883000263570020000291571652566133 </t>
  </si>
  <si>
    <t>25/01/23 03:34</t>
  </si>
  <si>
    <t xml:space="preserve">31230122266175003950550170000012261140089628 </t>
  </si>
  <si>
    <t xml:space="preserve">35230166271883000263570020000291581253588742 </t>
  </si>
  <si>
    <t>25/01/23 03:38</t>
  </si>
  <si>
    <t xml:space="preserve">31230122266175003950550170000012251945602819 </t>
  </si>
  <si>
    <t xml:space="preserve">35230166271883000263570020000291591867961244 </t>
  </si>
  <si>
    <t>25/01/23 03:44</t>
  </si>
  <si>
    <t xml:space="preserve">31230122266175002202550080000041941057360357 </t>
  </si>
  <si>
    <t xml:space="preserve">35230166271883000263570020000291601038836077 </t>
  </si>
  <si>
    <t>25/01/23 03:52</t>
  </si>
  <si>
    <t xml:space="preserve">31230122266175002202550080000041951732427199 </t>
  </si>
  <si>
    <t xml:space="preserve">35230166271883000263570020000291611724037630 </t>
  </si>
  <si>
    <t>25/01/23 05:38</t>
  </si>
  <si>
    <t xml:space="preserve">31230122266175002202550080000041961331102997 </t>
  </si>
  <si>
    <t xml:space="preserve">35230166271883000263570020000291621309828223 </t>
  </si>
  <si>
    <t>25/01/23 08:56</t>
  </si>
  <si>
    <t xml:space="preserve">31230122266175003950550170000012271887803688 </t>
  </si>
  <si>
    <t xml:space="preserve">35230166271883000263570020000291631003376462 </t>
  </si>
  <si>
    <t>25/01/23 09:01</t>
  </si>
  <si>
    <t xml:space="preserve">31230122266175003950550170000012281448794347 </t>
  </si>
  <si>
    <t xml:space="preserve">35230166271883000263570020000291641827320884 </t>
  </si>
  <si>
    <t>25/01/23 09:38</t>
  </si>
  <si>
    <t xml:space="preserve">31230122266175003950550170000012311762331198 </t>
  </si>
  <si>
    <t xml:space="preserve">35230166271883000263570020000291651819401169 </t>
  </si>
  <si>
    <t>25/01/23 09:43</t>
  </si>
  <si>
    <t xml:space="preserve">31230122266175003950550170000012321261639200 </t>
  </si>
  <si>
    <t xml:space="preserve">35230166271883000263570020000291661345182779 </t>
  </si>
  <si>
    <t>25/01/23 21:25</t>
  </si>
  <si>
    <t>KAYO HENRIQUE VIEIRA NASCIMENTO</t>
  </si>
  <si>
    <t>KGQ7895</t>
  </si>
  <si>
    <t>MKP5562 / MKP5482</t>
  </si>
  <si>
    <t>089.019.316/99</t>
  </si>
  <si>
    <t>RUA ALVARO BORGES, 467 - ELDORADO - PATOS DE MINAS / MG - BRASIL - 38705014</t>
  </si>
  <si>
    <t>AXOR 2644S6X4</t>
  </si>
  <si>
    <t xml:space="preserve">35230192660604017077550500000382021274937980 </t>
  </si>
  <si>
    <t xml:space="preserve">027032098178/9140  </t>
  </si>
  <si>
    <t>76640632-0</t>
  </si>
  <si>
    <t xml:space="preserve">35230166271883000263570020000291671747534740 </t>
  </si>
  <si>
    <t>25/01/23 21:32</t>
  </si>
  <si>
    <t xml:space="preserve">31230122266175002202550170000058631233087455 </t>
  </si>
  <si>
    <t>Kgs x R$ 0.127 p/ Kg faltante</t>
  </si>
  <si>
    <t xml:space="preserve">027032098220/9678  </t>
  </si>
  <si>
    <t>76640721-1</t>
  </si>
  <si>
    <t xml:space="preserve">35230166271883000263570020000291681022360807 </t>
  </si>
  <si>
    <t>25/01/23 16:12</t>
  </si>
  <si>
    <t>27 00 00 YARABELA</t>
  </si>
  <si>
    <t xml:space="preserve">31230166197963000135550010002455421200050607 </t>
  </si>
  <si>
    <t>Kg x R$ 2.3947</t>
  </si>
  <si>
    <t>Kgs x R$ 0.030 p/ Kg faltante</t>
  </si>
  <si>
    <t xml:space="preserve">029032095094/9779  </t>
  </si>
  <si>
    <t>76633692-4</t>
  </si>
  <si>
    <t xml:space="preserve">31230166271883000182570010000297441728377847 </t>
  </si>
  <si>
    <t>26/01/23 03:09</t>
  </si>
  <si>
    <t>DEMERSON MARCELINO SOUZA</t>
  </si>
  <si>
    <t>PUK3352</t>
  </si>
  <si>
    <t>FSB4G39 / FSB7C37</t>
  </si>
  <si>
    <t>14.237.365/0001-49</t>
  </si>
  <si>
    <t>FERREIRA &amp; LOPES TRANSPORTES LTDA</t>
  </si>
  <si>
    <t>RUA PRINCESA ISABEL, 1038 - SAO GERALDO - CANDEIAS / MG - BRASIL - 37280000</t>
  </si>
  <si>
    <t>SCANIA/R 440 A6X2</t>
  </si>
  <si>
    <t xml:space="preserve">31230122266175002202550080000042071896203083 </t>
  </si>
  <si>
    <t xml:space="preserve">021032099171/9582  </t>
  </si>
  <si>
    <t>76643111-7</t>
  </si>
  <si>
    <t xml:space="preserve">35230166271883000263570020000291691954186784 </t>
  </si>
  <si>
    <t>26/01/23 03:31</t>
  </si>
  <si>
    <t xml:space="preserve">31230102614911000215550150000204311032900510 </t>
  </si>
  <si>
    <t xml:space="preserve">35230166271883000263570020000291701485824296 </t>
  </si>
  <si>
    <t>26/01/23 03:43</t>
  </si>
  <si>
    <t xml:space="preserve">31230102614911000215550150000204361517867790 </t>
  </si>
  <si>
    <t xml:space="preserve">35230166271883000263570020000291711515339533 </t>
  </si>
  <si>
    <t>26/01/23 05:28</t>
  </si>
  <si>
    <t xml:space="preserve">31230122266175002202550080000042081314286271 </t>
  </si>
  <si>
    <t xml:space="preserve">35230166271883000263570020000291721037133243 </t>
  </si>
  <si>
    <t>26/01/23 05:46</t>
  </si>
  <si>
    <t xml:space="preserve">31230122266175002202550080000042091324010950 </t>
  </si>
  <si>
    <t xml:space="preserve">028032099460/9888  </t>
  </si>
  <si>
    <t>76644091-1</t>
  </si>
  <si>
    <t xml:space="preserve">35230166271883000263570020000291731712495494 </t>
  </si>
  <si>
    <t>26/01/23 05:52</t>
  </si>
  <si>
    <t xml:space="preserve">31230102614911000215550150000204531062736863 </t>
  </si>
  <si>
    <t xml:space="preserve">35230166271883000263570020000291741978553680 </t>
  </si>
  <si>
    <t>26/01/23 05:57</t>
  </si>
  <si>
    <t xml:space="preserve">31230122266175002202550080000042101543588150 </t>
  </si>
  <si>
    <t xml:space="preserve">029032099493/9788  </t>
  </si>
  <si>
    <t>76644153-6</t>
  </si>
  <si>
    <t xml:space="preserve">35230166271883000263570020000291751205351828 </t>
  </si>
  <si>
    <t>26/01/23 06:58</t>
  </si>
  <si>
    <t xml:space="preserve">31230122266175002202550080000042111266951512 </t>
  </si>
  <si>
    <t xml:space="preserve">35230166271883000263570020000291761874725616 </t>
  </si>
  <si>
    <t>26/01/23 09:28</t>
  </si>
  <si>
    <t xml:space="preserve">31230122266175002202550170000058681398877165 </t>
  </si>
  <si>
    <t xml:space="preserve">35230166271883000263570020000291771829827364 </t>
  </si>
  <si>
    <t>26/01/23 09:32</t>
  </si>
  <si>
    <t xml:space="preserve">31230122266175002202550170000058691480510455 </t>
  </si>
  <si>
    <t xml:space="preserve">35230166271883000263570020000291781899765519 </t>
  </si>
  <si>
    <t>26/01/23 09:37</t>
  </si>
  <si>
    <t xml:space="preserve">31230122266175002202550170000058701050755372 </t>
  </si>
  <si>
    <t xml:space="preserve">35230166271883000263570020000291791539030050 </t>
  </si>
  <si>
    <t>26/01/23 09:40</t>
  </si>
  <si>
    <t xml:space="preserve">31230122266175002202550170000058711064525940 </t>
  </si>
  <si>
    <t xml:space="preserve">35230166271883000263570020000291801321631181 </t>
  </si>
  <si>
    <t>26/01/23 12:16</t>
  </si>
  <si>
    <t>92.660.604/0157-08</t>
  </si>
  <si>
    <t>AV ENGENHEIRO PLINIO DE QUEIROZ, 1100 C5, 00 - JD SAO MARCOS</t>
  </si>
  <si>
    <t>WALISON CAIXETA SILVA</t>
  </si>
  <si>
    <t>RLD6G99</t>
  </si>
  <si>
    <t>RLK6G86 / RLK6H66</t>
  </si>
  <si>
    <t>01.912.543/0001-48</t>
  </si>
  <si>
    <t>CPP TRANSPORTES LTDA</t>
  </si>
  <si>
    <t>RUA PRINCESA ISABEL, 12 - CONDE D EU - ORLEANS / SC - BRASIL - 88870000</t>
  </si>
  <si>
    <t xml:space="preserve">35230192660604015708550500001667861287045301 </t>
  </si>
  <si>
    <t>Kg x R$ 2.9398</t>
  </si>
  <si>
    <t xml:space="preserve"> 4417812013332876</t>
  </si>
  <si>
    <t xml:space="preserve">025032103623/9512  </t>
  </si>
  <si>
    <t>76653572-3</t>
  </si>
  <si>
    <t>PEDIDO - 4500923461 - A ENTREGA DA MERCADORIA SER FEITA DIRETAMENTE NO ESTABELECIMENTO DO INDUSTRIALIZADOR FERTIMAN INDUSTRIA E COMERCIO DE PRODUTOS QUIMICOS LTDA LOCALIZADA  RODOVIA J K OLIVEIRA BAIRRO INSUTRIAL KM 83,5 CONGONHAL MG CNPJ 66.197.963;0001-35 E IE 1797599620090</t>
  </si>
  <si>
    <t xml:space="preserve">35230166271883000263570020000291821351018237 </t>
  </si>
  <si>
    <t>3802125 A,3802128</t>
  </si>
  <si>
    <t>26/01/23 19:19</t>
  </si>
  <si>
    <t xml:space="preserve">35230192660604015708550500001668181289534585 </t>
  </si>
  <si>
    <t xml:space="preserve">027032109426/9250  </t>
  </si>
  <si>
    <t>76665856-9</t>
  </si>
  <si>
    <t xml:space="preserve">35230166271883000263570020000291831577925518 </t>
  </si>
  <si>
    <t>3802119,38022122</t>
  </si>
  <si>
    <t>26/01/23 20:16</t>
  </si>
  <si>
    <t xml:space="preserve">31230102614911000215550150000206761385446188 </t>
  </si>
  <si>
    <t>Kgs x R$ 0.118 p/ Kg faltante</t>
  </si>
  <si>
    <t xml:space="preserve">020032109806/9273  </t>
  </si>
  <si>
    <t>76666656-4</t>
  </si>
  <si>
    <t xml:space="preserve">35230166271883000263570020000291841621702016 </t>
  </si>
  <si>
    <t>26/01/23 22:26</t>
  </si>
  <si>
    <t xml:space="preserve">31230122266175002202550080000042161616738673 </t>
  </si>
  <si>
    <t xml:space="preserve">35230166271883000263570020000291851922168342 </t>
  </si>
  <si>
    <t>27/01/23 01:12</t>
  </si>
  <si>
    <t>HONGKONG JH I CO., L</t>
  </si>
  <si>
    <t>CHINA, .. - EXTERIOR</t>
  </si>
  <si>
    <t>RENATO MENDES DE SOUZA RIBEIRO</t>
  </si>
  <si>
    <t>QUU7308</t>
  </si>
  <si>
    <t>RFM7D19 / RFM7D02</t>
  </si>
  <si>
    <t>082.350.546/47</t>
  </si>
  <si>
    <t>RUA JACARANDA, 252 - NOVA FLORESTA - CARMO DO PARANAIBA / MG - BRASIL - 38840000</t>
  </si>
  <si>
    <t>ODILON DE SOUZA RIBEIRO</t>
  </si>
  <si>
    <t>FAZENDAS 4 IRMAOS, 0 - ZONA RURAL - CARMO DO PARANAIBA / MG - BRASIL - 38840000</t>
  </si>
  <si>
    <t>AXOR 2544S</t>
  </si>
  <si>
    <t xml:space="preserve">31230122266175003950550080000012121403259052 </t>
  </si>
  <si>
    <t>Kg x R$ 1.6714</t>
  </si>
  <si>
    <t>Kgs x R$ 0.154 p/ Kg faltante</t>
  </si>
  <si>
    <t xml:space="preserve"> 4417812003753628</t>
  </si>
  <si>
    <t xml:space="preserve">027032111066/9170  </t>
  </si>
  <si>
    <t>76669401-7</t>
  </si>
  <si>
    <t>DI-23/0121202-4 NV-IKAN PELATA PEDIDO-4501406746</t>
  </si>
  <si>
    <t xml:space="preserve">35230166271883000263570020000291861191746824 </t>
  </si>
  <si>
    <t>27/01/23 02:15</t>
  </si>
  <si>
    <t xml:space="preserve">31230102614911000215550150000207061590149247 </t>
  </si>
  <si>
    <t xml:space="preserve">35230166271883000263570020000291881359185047 </t>
  </si>
  <si>
    <t>27/01/23 02:19</t>
  </si>
  <si>
    <t xml:space="preserve">31230102614911000215550150000207131423984680 </t>
  </si>
  <si>
    <t xml:space="preserve">35230166271883000263570020000291891712013465 </t>
  </si>
  <si>
    <t>27/01/23 02:23</t>
  </si>
  <si>
    <t>ROGERIO APARECIDO DE SOUZA</t>
  </si>
  <si>
    <t>RTZ7J26</t>
  </si>
  <si>
    <t>RTZ8A34 / RTZ8A36</t>
  </si>
  <si>
    <t xml:space="preserve">31230122266175003950550170000012331666820803 </t>
  </si>
  <si>
    <t>EMBARQUE 91</t>
  </si>
  <si>
    <t xml:space="preserve">35230166271883000263570020000291901752153714 </t>
  </si>
  <si>
    <t>27/01/23 02:25</t>
  </si>
  <si>
    <t xml:space="preserve">31230122266175003950550170000012341190491766 </t>
  </si>
  <si>
    <t>Kgs x R$ 0.172 p/ Kg faltante</t>
  </si>
  <si>
    <t xml:space="preserve">35230166271883000263570020000291911091417535 </t>
  </si>
  <si>
    <t>27/01/23 05:18</t>
  </si>
  <si>
    <t xml:space="preserve">31230122266175002202550170000058761200055897 </t>
  </si>
  <si>
    <t xml:space="preserve">35230166271883000263570020000291931173670930 </t>
  </si>
  <si>
    <t>27/01/23 05:20</t>
  </si>
  <si>
    <t xml:space="preserve">31230122266175002202550170000058771147805847 </t>
  </si>
  <si>
    <t xml:space="preserve">35230166271883000263570020000291941415879174 </t>
  </si>
  <si>
    <t>27/01/23 05:26</t>
  </si>
  <si>
    <t xml:space="preserve">31230102614911000215550150000207371439896183 </t>
  </si>
  <si>
    <t xml:space="preserve">35230166271883000263570020000291951913191848 </t>
  </si>
  <si>
    <t>27/01/23 05:31</t>
  </si>
  <si>
    <t xml:space="preserve">31230122266175003950550170000012351053367181 </t>
  </si>
  <si>
    <t xml:space="preserve">35230166271883000263570020000291961996334150 </t>
  </si>
  <si>
    <t>27/01/23 05:34</t>
  </si>
  <si>
    <t xml:space="preserve">31230122266175003950550170000012361150056010 </t>
  </si>
  <si>
    <t xml:space="preserve">35230166271883000263570020000291971402706758 </t>
  </si>
  <si>
    <t>27/01/23 05:38</t>
  </si>
  <si>
    <t xml:space="preserve">31230122266175003950550170000012371216377746 </t>
  </si>
  <si>
    <t xml:space="preserve">35230166271883000263570020000291981854037290 </t>
  </si>
  <si>
    <t>27/01/23 05:41</t>
  </si>
  <si>
    <t xml:space="preserve">31230122266175003950550170000012381578385001 </t>
  </si>
  <si>
    <t xml:space="preserve">35230166271883000263570020000291991889573587 </t>
  </si>
  <si>
    <t>27/01/23 05:57</t>
  </si>
  <si>
    <t xml:space="preserve">31230122266175002202550170000058781525691851 </t>
  </si>
  <si>
    <t xml:space="preserve">35230166271883000263570020000292001549402045 </t>
  </si>
  <si>
    <t>27/01/23 05:59</t>
  </si>
  <si>
    <t xml:space="preserve">31230122266175002202550170000058791841127470 </t>
  </si>
  <si>
    <t xml:space="preserve">35230166271883000263570020000292011998680236 </t>
  </si>
  <si>
    <t>27/01/23 06:11</t>
  </si>
  <si>
    <t xml:space="preserve">31230122266175002202550170000058801903747710 </t>
  </si>
  <si>
    <t xml:space="preserve">35230166271883000263570020000292021125222419 </t>
  </si>
  <si>
    <t>27/01/23 06:14</t>
  </si>
  <si>
    <t xml:space="preserve">31230122266175002202550170000058811140914112 </t>
  </si>
  <si>
    <t xml:space="preserve">35230166271883000263570020000292031444497951 </t>
  </si>
  <si>
    <t>27/01/23 13:05</t>
  </si>
  <si>
    <t>BRUNO SOARES DOS REIS</t>
  </si>
  <si>
    <t>QXF1H88 / QXF1777</t>
  </si>
  <si>
    <t xml:space="preserve">35230192660604015708550500001668621380569793 </t>
  </si>
  <si>
    <t xml:space="preserve">35230166271883000263570020000292061829198638 </t>
  </si>
  <si>
    <t>27/01/23 14:10</t>
  </si>
  <si>
    <t>QPY5103</t>
  </si>
  <si>
    <t>QQB3A82 / QQB3A86</t>
  </si>
  <si>
    <t xml:space="preserve">35230192660604015708550500001668651687779405 </t>
  </si>
  <si>
    <t xml:space="preserve">35230166271883000263570020000292071500293081 </t>
  </si>
  <si>
    <t>3802149 A,3802156</t>
  </si>
  <si>
    <t>27/01/23 14:31</t>
  </si>
  <si>
    <t>DOUGLAS DE ABREU SOUSA</t>
  </si>
  <si>
    <t>QTK2F40</t>
  </si>
  <si>
    <t>FQK8H53 / FGX9G23</t>
  </si>
  <si>
    <t>31.343.409/0001-34</t>
  </si>
  <si>
    <t>RODOSOUSA TRANSPORTES LTDA</t>
  </si>
  <si>
    <t>AVENIDA BRASIL, 210 - BOA VISTA - PATOS DE MINAS / MG - BRASIL - 38705166</t>
  </si>
  <si>
    <t xml:space="preserve">35230192660604015708550500001668691606811027 </t>
  </si>
  <si>
    <t xml:space="preserve"> 4417812012015415</t>
  </si>
  <si>
    <t xml:space="preserve">022032117382/9617  </t>
  </si>
  <si>
    <t>76684019-3</t>
  </si>
  <si>
    <t>PEDIDO - 4500923461 - A ENTREGA DA MERCADORIA SER FEITA DIRETAMENTE NO ESTABELECIMENTO DO INDUSTRIALIZADOR  FERTIMAN INDUSTRIA E COMERCIO DE PRODUTOS QUIMICOS LTDA LOCALIZADA  RODOVIA J K OLIVEIRA BAIRRO  INSUTRIAL KM 83,5 CONGONHAL MG CNPJ 66.197.963;0001-35 E IE 1797599620090</t>
  </si>
  <si>
    <t xml:space="preserve">35230166271883000263570020000292081805761604 </t>
  </si>
  <si>
    <t>3802273 A,3802178</t>
  </si>
  <si>
    <t>27/01/23 17:08</t>
  </si>
  <si>
    <t>CLAUDIO ANGELO DE OLIVEIRA</t>
  </si>
  <si>
    <t>RAE3030</t>
  </si>
  <si>
    <t>QIS6C19 / QIS6D49</t>
  </si>
  <si>
    <t>04.608.500/0001-61</t>
  </si>
  <si>
    <t>SA TRANSPORTES RODOVIARIOS EIRELI</t>
  </si>
  <si>
    <t>RUA EXPEDICIONARIO WENCESLAU SPANCERSKI, 1300 - BARRO VERMELHO - ORLEANS / SC - BRASIL - 88870000</t>
  </si>
  <si>
    <t xml:space="preserve">35230192660604015708550500001668761324655529 </t>
  </si>
  <si>
    <t xml:space="preserve"> 4417812012016413</t>
  </si>
  <si>
    <t xml:space="preserve">020032120328/9975  </t>
  </si>
  <si>
    <t>76691398-9</t>
  </si>
  <si>
    <t xml:space="preserve">35230166271883000263570020000292091037820978 </t>
  </si>
  <si>
    <t>3802179 A 80,3802123 A 24</t>
  </si>
  <si>
    <t>27/01/23 21:41</t>
  </si>
  <si>
    <t xml:space="preserve">31230102614911000215550150000207461657378582 </t>
  </si>
  <si>
    <t xml:space="preserve">023032122590/9173  </t>
  </si>
  <si>
    <t>76696658-9</t>
  </si>
  <si>
    <t xml:space="preserve">35230166271883000263570020000292101205931299 </t>
  </si>
  <si>
    <t>27/01/23 10:01</t>
  </si>
  <si>
    <t xml:space="preserve">31230166197963000135550010002456471010384085 </t>
  </si>
  <si>
    <t>Kgs x R$ 0.032 p/ Kg faltante</t>
  </si>
  <si>
    <t xml:space="preserve">026032113626/9615  </t>
  </si>
  <si>
    <t>76675636-4</t>
  </si>
  <si>
    <t xml:space="preserve">31230166271883000182570010000297451233792154 </t>
  </si>
  <si>
    <t>27/01/23 11:01</t>
  </si>
  <si>
    <t xml:space="preserve">31230166197963000135550010002456491750100603 </t>
  </si>
  <si>
    <t xml:space="preserve">026032114758/9850  </t>
  </si>
  <si>
    <t>76678294-3</t>
  </si>
  <si>
    <t xml:space="preserve">31230166271883000182570010000297461467475004 </t>
  </si>
  <si>
    <t>28/01/23 00:30</t>
  </si>
  <si>
    <t>MARCELO DE SOUZA CANDEIA</t>
  </si>
  <si>
    <t>GIB7C05</t>
  </si>
  <si>
    <t>GKI1337 / GKI1339</t>
  </si>
  <si>
    <t>07.009.997/0001-90</t>
  </si>
  <si>
    <t>M B TRANSPORTES PIRANGI LTDA</t>
  </si>
  <si>
    <t>AVENIDA ALMERIO, 2 - DISTRITO INDUSTRIAL - PIRANGI / SP - BRASIL - 15820000</t>
  </si>
  <si>
    <t xml:space="preserve">31230102614911000215550150000207631261034411 </t>
  </si>
  <si>
    <t xml:space="preserve">026032123135/9921  </t>
  </si>
  <si>
    <t>76697846-9</t>
  </si>
  <si>
    <t xml:space="preserve">35230166271883000263570020000292121228435624 </t>
  </si>
  <si>
    <t>28/01/23 00:41</t>
  </si>
  <si>
    <t xml:space="preserve">31230102614911000215550150000207691253187550 </t>
  </si>
  <si>
    <t xml:space="preserve">35230166271883000263570020000292131107258842 </t>
  </si>
  <si>
    <t>28/01/23 02:04</t>
  </si>
  <si>
    <t xml:space="preserve">31230102614911000215550150000207771806313360 </t>
  </si>
  <si>
    <t xml:space="preserve">35230166271883000263570020000292141138031421 </t>
  </si>
  <si>
    <t>28/01/23 04:09</t>
  </si>
  <si>
    <t>TIAGO ADRIANO REIS</t>
  </si>
  <si>
    <t>RGC9F01</t>
  </si>
  <si>
    <t>RNU4B29 / RNU4B33</t>
  </si>
  <si>
    <t>17.736.960/0001-17</t>
  </si>
  <si>
    <t>TRANSPORTES SILVA SA LTDA</t>
  </si>
  <si>
    <t>RUA PRINCESA ISABEL, 265 - CENTRO - CANDEIAS / MG - BRASIL - 37280000</t>
  </si>
  <si>
    <t xml:space="preserve">31230122266175003950550080000012271044639475 </t>
  </si>
  <si>
    <t>Kgs x R$ 0.152 p/ Kg faltante</t>
  </si>
  <si>
    <t xml:space="preserve">024032123513/9029  </t>
  </si>
  <si>
    <t>76698715-7</t>
  </si>
  <si>
    <t xml:space="preserve">35230166271883000263570020000292151424673283 </t>
  </si>
  <si>
    <t>28/01/23 04:29</t>
  </si>
  <si>
    <t xml:space="preserve">31230122266175003950550080000012281041233203 </t>
  </si>
  <si>
    <t xml:space="preserve">35230166271883000263570020000292161939058667 </t>
  </si>
  <si>
    <t>28/01/23 07:42</t>
  </si>
  <si>
    <t>NOEL DA SILVA MAXIMIANO</t>
  </si>
  <si>
    <t>RVA6E53</t>
  </si>
  <si>
    <t>RVA6E57 / RVA6E56</t>
  </si>
  <si>
    <t xml:space="preserve">31230122266175003950550080000012291837043162 </t>
  </si>
  <si>
    <t xml:space="preserve">35230166271883000263570020000292171680321778 </t>
  </si>
  <si>
    <t>28/01/23 07:54</t>
  </si>
  <si>
    <t xml:space="preserve">31230122266175003950550170000012391619203961 </t>
  </si>
  <si>
    <t xml:space="preserve">35230166271883000263570020000292181543084720 </t>
  </si>
  <si>
    <t>28/01/23 07:58</t>
  </si>
  <si>
    <t xml:space="preserve">31230122266175003950550170000012401896535919 </t>
  </si>
  <si>
    <t xml:space="preserve">35230166271883000263570020000292191223032379 </t>
  </si>
  <si>
    <t>28/01/23 08:02</t>
  </si>
  <si>
    <t xml:space="preserve">31230122266175003950550170000012411388248955 </t>
  </si>
  <si>
    <t xml:space="preserve">35230166271883000263570020000292201773855018 </t>
  </si>
  <si>
    <t>28/01/23 08:08</t>
  </si>
  <si>
    <t xml:space="preserve">31230122266175003950550170000012421646934454 </t>
  </si>
  <si>
    <t xml:space="preserve">35230166271883000263570020000292211088582734 </t>
  </si>
  <si>
    <t>28/01/23 21:25</t>
  </si>
  <si>
    <t xml:space="preserve">31230122266175003950550170000012431537063352 </t>
  </si>
  <si>
    <t xml:space="preserve">35230166271883000263570020000292221213706704 </t>
  </si>
  <si>
    <t>28/01/23 21:29</t>
  </si>
  <si>
    <t xml:space="preserve">31230122266175003950550170000012441253098140 </t>
  </si>
  <si>
    <t xml:space="preserve">35230166271883000263570020000292231304454136 </t>
  </si>
  <si>
    <t>28/01/23 22:02</t>
  </si>
  <si>
    <t>GERSON GERALDO DO NASCIMENTO</t>
  </si>
  <si>
    <t>QUX5I26</t>
  </si>
  <si>
    <t>QUP7663 / QUP7608</t>
  </si>
  <si>
    <t>TGX 29.480 6X4 T</t>
  </si>
  <si>
    <t xml:space="preserve">31230122266175003950550080000012361422910377 </t>
  </si>
  <si>
    <t>Kgs x R$ 0.115 p/ Kg faltante</t>
  </si>
  <si>
    <t>DI-23/0121202-4 / NV. IKAN PELATA / PEDIDO 4501413837</t>
  </si>
  <si>
    <t xml:space="preserve">35230166271883000263570020000292241226828000 </t>
  </si>
  <si>
    <t>28/01/23 22:14</t>
  </si>
  <si>
    <t>EZEQUIEL ROBERTO DE ABREU</t>
  </si>
  <si>
    <t>PVC2599</t>
  </si>
  <si>
    <t>QNT1420 / QNR8641</t>
  </si>
  <si>
    <t>R440 A6X2</t>
  </si>
  <si>
    <t xml:space="preserve">31230122266175003950550080000012371424332386 </t>
  </si>
  <si>
    <t>Kgs x R$ 0.113 p/ Kg faltante</t>
  </si>
  <si>
    <t xml:space="preserve">35230166271883000263570020000292251232579234 </t>
  </si>
  <si>
    <t>29/01/23 03:41</t>
  </si>
  <si>
    <t>GILMAR BERNARDES DOMINGUES</t>
  </si>
  <si>
    <t>BYW1G22</t>
  </si>
  <si>
    <t>EST6J08 / ECU1G28</t>
  </si>
  <si>
    <t xml:space="preserve">31230122266175003950550080000012391511518474 </t>
  </si>
  <si>
    <t xml:space="preserve"> 4417818899769701</t>
  </si>
  <si>
    <t xml:space="preserve">029032129070/9929  </t>
  </si>
  <si>
    <t>76710295-5</t>
  </si>
  <si>
    <t xml:space="preserve">35230166271883000263570020000292261098919150 </t>
  </si>
  <si>
    <t>30/01/23 08:45</t>
  </si>
  <si>
    <t>PAULO HENRIQUE DE SOUZA SILVA</t>
  </si>
  <si>
    <t>OQO9049</t>
  </si>
  <si>
    <t>OOM4I23 / OOM4I22</t>
  </si>
  <si>
    <t xml:space="preserve">31230122266175003950550080000012131835327759 </t>
  </si>
  <si>
    <t xml:space="preserve"> 4417818899757714</t>
  </si>
  <si>
    <t xml:space="preserve">027032131366/9179  </t>
  </si>
  <si>
    <t>76716041-2</t>
  </si>
  <si>
    <t xml:space="preserve">35230166271883000263570020000292301591220137 </t>
  </si>
  <si>
    <t>30/01/23 10:39</t>
  </si>
  <si>
    <t xml:space="preserve">35230192660604015708550500001669651694752172 </t>
  </si>
  <si>
    <t xml:space="preserve">35230166271883000263570020000292311254509015 </t>
  </si>
  <si>
    <t>3802161,A 3802164</t>
  </si>
  <si>
    <t>30/01/23 10:53</t>
  </si>
  <si>
    <t xml:space="preserve">35230192660604015708550500001669661515699546 </t>
  </si>
  <si>
    <t xml:space="preserve">35230166271883000263570020000292321233044517 </t>
  </si>
  <si>
    <t>3802765,A 3802768</t>
  </si>
  <si>
    <t>30/01/23 14:13</t>
  </si>
  <si>
    <t xml:space="preserve">35230106225292000147550010007252651014968763 </t>
  </si>
  <si>
    <t xml:space="preserve">35230166271883000263570020000292331622038175 </t>
  </si>
  <si>
    <t>30/01/23 14:19</t>
  </si>
  <si>
    <t xml:space="preserve">35230106225292000147550010007252751014968956 </t>
  </si>
  <si>
    <t xml:space="preserve">35230166271883000263570020000292341023385061 </t>
  </si>
  <si>
    <t>30/01/23 14:48</t>
  </si>
  <si>
    <t>WESLEY ANTONIO CANDIDO</t>
  </si>
  <si>
    <t>RMF5J77</t>
  </si>
  <si>
    <t>RGA9E24 / RGC6I31</t>
  </si>
  <si>
    <t xml:space="preserve">31230122266175003950550080000012431969392392 </t>
  </si>
  <si>
    <t xml:space="preserve">35230166271883000263570020000292351797944480 </t>
  </si>
  <si>
    <t>30/01/23 14:53</t>
  </si>
  <si>
    <t xml:space="preserve">31230122266175003950550080000012441498379445 </t>
  </si>
  <si>
    <t xml:space="preserve">023032129153/9857  </t>
  </si>
  <si>
    <t>76710499-7</t>
  </si>
  <si>
    <t xml:space="preserve">35230166271883000263570020000292361663768129 </t>
  </si>
  <si>
    <t>30/01/23 14:57</t>
  </si>
  <si>
    <t>JOSE WILSON DE OLIVEIRA</t>
  </si>
  <si>
    <t>NYZ6013</t>
  </si>
  <si>
    <t>EJV6806 / EJV6816</t>
  </si>
  <si>
    <t>706.202.706/59</t>
  </si>
  <si>
    <t>RUA PADRE ANTONIO DE OLIVEIRA, 990 - AURELIO CAIXETA - PATOS DE MINAS / MG - BRASIL - 38702088</t>
  </si>
  <si>
    <t xml:space="preserve">31230122266175003950550080000012451626334012 </t>
  </si>
  <si>
    <t xml:space="preserve">025032129147/9169  </t>
  </si>
  <si>
    <t>76710494-2</t>
  </si>
  <si>
    <t xml:space="preserve">35230166271883000263570020000292371553640796 </t>
  </si>
  <si>
    <t>30/01/23 22:23</t>
  </si>
  <si>
    <t>LAZARO CLEITON CAMPOS</t>
  </si>
  <si>
    <t>PUU0718</t>
  </si>
  <si>
    <t>QUA3779 / QUA3776</t>
  </si>
  <si>
    <t>18.175.388/0001-27</t>
  </si>
  <si>
    <t>TRANSPORTADORA 20 LTDA</t>
  </si>
  <si>
    <t>RUA DOS CARIJOS, 399 - CARAMURU - PATOS DE MINAS / MG - BRASIL - 38701396</t>
  </si>
  <si>
    <t>SULFATO AMONIO FARELADO</t>
  </si>
  <si>
    <t>R440 A6X4</t>
  </si>
  <si>
    <t xml:space="preserve">31230122266175002202550080000042231614551988 </t>
  </si>
  <si>
    <t>Kg x R$ 1.2937</t>
  </si>
  <si>
    <t xml:space="preserve">022032141122/9619  </t>
  </si>
  <si>
    <t>76740575-9</t>
  </si>
  <si>
    <t>DI-23/0121276-8 / NV IKAN PELATA / PEDIDO 4501413835</t>
  </si>
  <si>
    <t xml:space="preserve">35230166271883000263570020000292381154223609 </t>
  </si>
  <si>
    <t>30/01/23 22:51</t>
  </si>
  <si>
    <t>RONE PAULO MOTA DE AZEVEDO</t>
  </si>
  <si>
    <t>FAU4E75</t>
  </si>
  <si>
    <t>FYV7I65 / FOO5H85</t>
  </si>
  <si>
    <t>10.647.438/0001-10</t>
  </si>
  <si>
    <t>CID ANDRADE VINHAL</t>
  </si>
  <si>
    <t>R JOSE ROMUALDO, 511 - QUINTINOS - CARMO DO PARANAIBA / MG - BRASIL - 38840000</t>
  </si>
  <si>
    <t xml:space="preserve">31230122266175002202550080000042241438471031 </t>
  </si>
  <si>
    <t xml:space="preserve">027032141252/9076  </t>
  </si>
  <si>
    <t>76740831-6</t>
  </si>
  <si>
    <t xml:space="preserve">35230166271883000263570020000292391457162875 </t>
  </si>
  <si>
    <t>31/01/23 00:54</t>
  </si>
  <si>
    <t>JULIANO ALVES DA CUNHA</t>
  </si>
  <si>
    <t>RFD6D92</t>
  </si>
  <si>
    <t>RFK4D61 / RFK4D63</t>
  </si>
  <si>
    <t>40.128.824/0001-66</t>
  </si>
  <si>
    <t>TRANSPORTADORA MACEDO LTDA</t>
  </si>
  <si>
    <t>AV SABINO GUALBERTO MACEDO, 63 - ANTONIO LARA - PIMENTA / MG - BRASIL - 35585000</t>
  </si>
  <si>
    <t>ABRAAO TOME MACEDO</t>
  </si>
  <si>
    <t>FAZENDA ENGENHO DA SERRA, 16 - ZONA RURAL - PAINS / MG - BRASIL - 35582000</t>
  </si>
  <si>
    <t xml:space="preserve">31230122266175002202550080000042261029749232 </t>
  </si>
  <si>
    <t xml:space="preserve">35230166271883000263570020000292401580147170 </t>
  </si>
  <si>
    <t>31/01/23 01:18</t>
  </si>
  <si>
    <t xml:space="preserve">35230106225292000147550010007255131014974771 </t>
  </si>
  <si>
    <t xml:space="preserve">35230166271883000263570020000292411724600427 </t>
  </si>
  <si>
    <t>31/01/23 01:24</t>
  </si>
  <si>
    <t xml:space="preserve">31230122266175002202550170000059291818523325 </t>
  </si>
  <si>
    <t xml:space="preserve">35230166271883000263570020000292421856514282 </t>
  </si>
  <si>
    <t>31/01/23 01:28</t>
  </si>
  <si>
    <t xml:space="preserve">31230122266175002202550170000059281260780499 </t>
  </si>
  <si>
    <t xml:space="preserve">35230166271883000263570020000292431314387744 </t>
  </si>
  <si>
    <t>31/01/23 01:34</t>
  </si>
  <si>
    <t xml:space="preserve">35230106225292000147550010007255151014974814 </t>
  </si>
  <si>
    <t xml:space="preserve">35230166271883000263570020000292441111672190 </t>
  </si>
  <si>
    <t>31/01/23 08:00</t>
  </si>
  <si>
    <t xml:space="preserve">31230122266175002202550080000042271073629180 </t>
  </si>
  <si>
    <t xml:space="preserve">025032142846/9878  </t>
  </si>
  <si>
    <t>76745066-7</t>
  </si>
  <si>
    <t xml:space="preserve">35230166271883000263570020000292451543210405 </t>
  </si>
  <si>
    <t>31/01/23 08:30</t>
  </si>
  <si>
    <t xml:space="preserve">31230122266175002202550170000059421465525309 </t>
  </si>
  <si>
    <t xml:space="preserve">35230166271883000263570020000292461282939862 </t>
  </si>
  <si>
    <t>31/01/23 08:40</t>
  </si>
  <si>
    <t xml:space="preserve">31230122266175002202550170000059431601059723 </t>
  </si>
  <si>
    <t xml:space="preserve">35230166271883000263570020000292471400350895 </t>
  </si>
  <si>
    <t>31/01/23 08:49</t>
  </si>
  <si>
    <t xml:space="preserve">31230122266175003950550170000012521913158279 </t>
  </si>
  <si>
    <t xml:space="preserve">35230166271883000263570020000292481745208322 </t>
  </si>
  <si>
    <t>31/01/23 08:53</t>
  </si>
  <si>
    <t xml:space="preserve">31230122266175003950550170000012531516852591 </t>
  </si>
  <si>
    <t xml:space="preserve">35230166271883000263570020000292491446515000 </t>
  </si>
  <si>
    <t>31/01/23 08:31</t>
  </si>
  <si>
    <t>LUZ</t>
  </si>
  <si>
    <t>COFCO INTERNATIONAL BRASIL S.A.</t>
  </si>
  <si>
    <t>06.315.338/0177-80</t>
  </si>
  <si>
    <t>AV. NICOMEDES ALVES DOS SANTOS, 1205 - VIGILATO PEREIRA</t>
  </si>
  <si>
    <t>RODOSAFRA TRANSPORTES RODOVIARIOS</t>
  </si>
  <si>
    <t>26.549.889/0001-54</t>
  </si>
  <si>
    <t>CAMPO BELO</t>
  </si>
  <si>
    <t xml:space="preserve">31230107191228002603550010000449221492330854 </t>
  </si>
  <si>
    <t>Kg x R$ 3.0500</t>
  </si>
  <si>
    <t>MG / LUZ X SP / SANTOS</t>
  </si>
  <si>
    <t xml:space="preserve">31230166271883000182570010000297481581577443 </t>
  </si>
  <si>
    <t>Rejeitado</t>
  </si>
  <si>
    <t>31/01/23 08:32</t>
  </si>
  <si>
    <t xml:space="preserve">31230107191228002603550010000447981349660061 </t>
  </si>
  <si>
    <t xml:space="preserve">31230166271883000182570010000297491665922882 </t>
  </si>
  <si>
    <t>31/01/23 08:55</t>
  </si>
  <si>
    <t xml:space="preserve">31230107191228002603550010000449151278926968 </t>
  </si>
  <si>
    <t xml:space="preserve">31230166271883000182570010000297501242410935 </t>
  </si>
  <si>
    <t>31/01/23 09:10</t>
  </si>
  <si>
    <t xml:space="preserve">31230122266175002202550170000059441655116501 </t>
  </si>
  <si>
    <t xml:space="preserve">35230166271883000263570020000292501081504640 </t>
  </si>
  <si>
    <t>31/01/23 09:14</t>
  </si>
  <si>
    <t xml:space="preserve">31230122266175002202550170000059451347169350 </t>
  </si>
  <si>
    <t xml:space="preserve">35230166271883000263570020000292511611882911 </t>
  </si>
  <si>
    <t>31/01/23 09:22</t>
  </si>
  <si>
    <t>JOSE CARLOS RIBEIRO</t>
  </si>
  <si>
    <t>OPO2D57</t>
  </si>
  <si>
    <t>PUD1B23 / PUD1B18</t>
  </si>
  <si>
    <t>15.144.887/0001-69</t>
  </si>
  <si>
    <t>JOSE CARLOS RIBEIRO ME</t>
  </si>
  <si>
    <t>RUA GABRIEL RESENDE SILVA, 824 - AMAZONAS - CARMO DO PARANAIBA / MG - BRASIL - 38840000</t>
  </si>
  <si>
    <t xml:space="preserve">31230122266175003950550080000012481964382247 </t>
  </si>
  <si>
    <t>Kgs x R$ 0.153 p/ Kg faltante</t>
  </si>
  <si>
    <t xml:space="preserve">023032143979/9587  </t>
  </si>
  <si>
    <t>76747544-8</t>
  </si>
  <si>
    <t xml:space="preserve">35230166271883000263570020000292521146269572 </t>
  </si>
  <si>
    <t>31/01/23 18:05</t>
  </si>
  <si>
    <t xml:space="preserve">35230106225292000147550010007257901014979455 </t>
  </si>
  <si>
    <t xml:space="preserve">35230166271883000263570020000292531534503430 </t>
  </si>
  <si>
    <t>31/01/23 18:09</t>
  </si>
  <si>
    <t xml:space="preserve">35230106225292000147550010007257951014979516 </t>
  </si>
  <si>
    <t xml:space="preserve">35230166271883000263570020000292541783716248 </t>
  </si>
  <si>
    <t>31/01/23 20:32</t>
  </si>
  <si>
    <t xml:space="preserve">35230106225292000147550010007258231014979792 </t>
  </si>
  <si>
    <t>PEDIDO - 138967</t>
  </si>
  <si>
    <t xml:space="preserve">35230166271883000263570020000292551883951475 </t>
  </si>
  <si>
    <t>31/01/23 14:48</t>
  </si>
  <si>
    <t xml:space="preserve">31230166197963000135550010002458481933900700 </t>
  </si>
  <si>
    <t xml:space="preserve">31230166271883000182570010000297521966727561 </t>
  </si>
  <si>
    <t>31/01/23 16:51</t>
  </si>
  <si>
    <t>FORMIGA</t>
  </si>
  <si>
    <t>ARMAZENS GERAIS DO PRODUTOR LTDA - ME</t>
  </si>
  <si>
    <t>86.396.991/0001-99</t>
  </si>
  <si>
    <t>RODOVIA BR 354, SN - KM 491</t>
  </si>
  <si>
    <t>T-GRAO CARGO TERMINAL DE GRANEIS S/A</t>
  </si>
  <si>
    <t>02.933.023/0002-65</t>
  </si>
  <si>
    <t>VITERRA BRASIL S.A.</t>
  </si>
  <si>
    <t>32.441.636/0005-99</t>
  </si>
  <si>
    <t>RUA MARTIM AFONSO - ANDAR 6 CONJ 64, 101 - CENTRO</t>
  </si>
  <si>
    <t>ERNESTINO EUSTAQUIO DA SILVA</t>
  </si>
  <si>
    <t xml:space="preserve">31230186396991000199550010000351571861183996 </t>
  </si>
  <si>
    <t>Kg x R$ 3.0833</t>
  </si>
  <si>
    <t>Exportação</t>
  </si>
  <si>
    <t>TRANSPORTE DE MERCADORIA DESTINADA AO EXTERIOR - ISENTA DO ICMS - ITEM 126 DA PARTE 1 DO ANEXO I DO RICMS.</t>
  </si>
  <si>
    <t>MG / FORMIGA X SP / SANTOS</t>
  </si>
  <si>
    <t xml:space="preserve">31230166271883000182570010000297551333163406 </t>
  </si>
  <si>
    <t>31/01/23 16:54</t>
  </si>
  <si>
    <t xml:space="preserve">31230186396991000199550010000351581981104195 </t>
  </si>
  <si>
    <t xml:space="preserve">31230166271883000182570010000297561056885639 </t>
  </si>
  <si>
    <t xml:space="preserve">ABASTECEU no 22 NORTE DESCARREGOU em TRES CORACOES-MG CARREGOU em FORMIGA-MG ABASTECEU no CANDEIAS-MG        </t>
  </si>
  <si>
    <t>PMG ARCOS</t>
  </si>
  <si>
    <t xml:space="preserve">ABASTECEU no 22 NORTE DESCARREGOU em IGUATAMA-MG ABASTECEU no PMG ARCOS          </t>
  </si>
  <si>
    <t>Abaixo</t>
  </si>
  <si>
    <t>OK</t>
  </si>
  <si>
    <t>RANKING FATURAMENTO</t>
  </si>
  <si>
    <t>PERÍODO 01/01/2023 Á 31/01/2023</t>
  </si>
  <si>
    <t xml:space="preserve">ABASTECEU no CANDEIAS-MG PASSOU em ARUJÁ-SP DESCARREGOU em SANTOS-SP CARREGOU em CUBATAO-SP PASSOU em ARUJÁ-SP ABASTECEU no 22 NORTE    </t>
  </si>
  <si>
    <t xml:space="preserve">ABASTECEU no 22 NORTE DESCARREGOU em CONGONHAL-MG PASSOU em ARUJÁ-SP CARREGOU em CUBATAO-SP PASSOU em ARUJÁ-SP ABASTECEU no DP ATIBAIA NORTE    </t>
  </si>
  <si>
    <t xml:space="preserve">ABASTECEU no CANDEIAS-MG PASSOU em ARUJÁ-SP DESCARREGOU em SANTOS-SP CARREGOU em CUBATAO-SP PASSOU em SÃO PAULO-SP ABASTECEU no 22 NORTE    </t>
  </si>
  <si>
    <t xml:space="preserve">ABASTECEU no CANDEIAS-MG DESCARREGOU em IGUATAMA-MG CARREGOU em PASSOS-MG ABASTECEU no 22 SUL        </t>
  </si>
  <si>
    <t xml:space="preserve">ABASTECEU no PMG ARCOS CARREGOU em PASSOS-MG ABASTECEU no 22 SUL          </t>
  </si>
  <si>
    <t>SE(CONT.SES($F$3:F569;F570;$E$3:E569;"&gt;="&amp;"01/02/2023 00:00";$E$3:E569;"&lt;="&amp;"28/02/2023 23:59")&gt;=1;DATA.VALOR("01/02/2023");DATA.VALOR("01/01/2023"))</t>
  </si>
  <si>
    <t>SE O ABASTECIMENTO FOR O PRIMEIRO DO MÊS DE FEVEREIRO, LANÇA NO MÊS ANTERIOR, SE NÃO LANÇA EM FEVEREIRO</t>
  </si>
  <si>
    <t>IBIA-MG</t>
  </si>
  <si>
    <t xml:space="preserve">ABASTECEU no PICA PAU NORTE PASSOU em OSASCO-SP DESCARREGOU em SANTOS-SP CARREGOU em SANTOS-SP PASSOU em SÃO PAULO-SP DESCARREGOU em TRES CORACOES-MG PASSOU em FORMIGA-MG  </t>
  </si>
  <si>
    <t xml:space="preserve">ABASTECEU no PICA PAU NORTE DESCARREGOU em IGUATAMA-MG CARREGOU em IBIA-MG ABASTECEU no CANDEIAS-MG        </t>
  </si>
  <si>
    <t xml:space="preserve">ABASTECEU no CANDEIAS-MG CARREGOU em FORMIGA-MG ABASTECEU no CANDEIAS-MG          </t>
  </si>
  <si>
    <t xml:space="preserve">ABASTECEU no DP ATIBAIA NORTE DESCARREGOU em ALFENAS-MG CARREGOU em PASSOS-MG ABASTECEU no DP JK SUL        </t>
  </si>
  <si>
    <t xml:space="preserve">ABASTECEU no CANDEIAS-MG CARREGOU em FORMIGA-MG PASSOU em SÃO PAULO-SP DESCARREGOU em SANTOS-SP CARREGOU em CUBATAO-SP PASSOU em ARUJÁ-SP ABASTECEU no 22 NORTE  </t>
  </si>
  <si>
    <t>ABASTECEU no 22 NORTE DESCARREGOU em CONGONHAL-MG CARREGOU em CONGONHAL-MG DESCARREGOU em ALFENAS-MG PASSOU em ARUJÁ-SP CARREGOU em CUBATAO-SP PASSOU em ARUJÁ-SP ABASTECEU no 22 NORTE</t>
  </si>
  <si>
    <t xml:space="preserve">ABASTECEU no CANDEIAS-MG ABASTECEU no DP ESTIVA            </t>
  </si>
  <si>
    <t xml:space="preserve">ABASTECEU no 22 NORTE DESCARREGOU em TRES CORACOES-MG CARREGOU em FORMIGA-MG ABASTECEU no DP ESTIVA        </t>
  </si>
  <si>
    <t xml:space="preserve">ABASTECEU no 22 SUL PASSOU em ARUJÁ-SP DESCARREGOU em GUARUJA-SP CARREGOU em CUBATAO-SP PASSOU em SÃO PAULO-SP ABASTECEU no 22 NORTE    </t>
  </si>
  <si>
    <t>ABASTECEU no DP ATIBAIA NORTE DESCARREGOU em CONGONHAL-MG CARREGOU em CONGONHAL-MG DESCARREGOU em ALFENAS-MG PASSOU em ARUJÁ-SP CARREGOU em CUBATAO-SP PASSOU em ARUJÁ-SP ABASTECEU no 22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</si>
</sst>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  <numFmt numFmtId="165" formatCode="dd/mm/"/>
    <numFmt numFmtId="166" formatCode="0.000"/>
    <numFmt numFmtId="167" formatCode="0.0%"/>
    <numFmt numFmtId="168" formatCode="000,000"/>
    <numFmt numFmtId="169" formatCode="#,##0.00_ ;\-#,##0.00\ "/>
    <numFmt numFmtId="170" formatCode="dd/mm/yyyy\ hh:mm;@"/>
    <numFmt numFmtId="171" formatCode="dd/mm/yy\ hh:mm;@"/>
    <numFmt numFmtId="172" formatCode="00"/>
    <numFmt numFmtId="173" formatCode="[$-416]mmm\-yyyy;@"/>
    <numFmt numFmtId="174" formatCode="mm/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i/>
      <sz val="20"/>
      <color theme="1" tint="0.249977111117893"/>
      <name val="Calibri"/>
      <family val="2"/>
      <scheme val="minor"/>
    </font>
    <font>
      <i/>
      <sz val="9"/>
      <color theme="1" tint="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9"/>
      <color theme="1" tint="0.249977111117893"/>
      <name val="Calibri"/>
      <family val="2"/>
      <scheme val="minor"/>
    </font>
    <font>
      <b/>
      <i/>
      <sz val="8"/>
      <color theme="0" tint="-0.1499984740745262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EEDD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2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2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2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70" fontId="0" fillId="0" borderId="0" xfId="0" applyNumberFormat="1"/>
    <xf numFmtId="170" fontId="0" fillId="0" borderId="1" xfId="0" applyNumberFormat="1" applyBorder="1"/>
    <xf numFmtId="1" fontId="0" fillId="0" borderId="0" xfId="0" applyNumberFormat="1"/>
    <xf numFmtId="164" fontId="0" fillId="0" borderId="0" xfId="1" applyFont="1"/>
    <xf numFmtId="170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2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2" borderId="0" xfId="0" applyFont="1" applyFill="1"/>
    <xf numFmtId="0" fontId="2" fillId="5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wrapText="1"/>
    </xf>
    <xf numFmtId="170" fontId="11" fillId="2" borderId="0" xfId="0" applyNumberFormat="1" applyFont="1" applyFill="1"/>
    <xf numFmtId="0" fontId="11" fillId="0" borderId="0" xfId="0" applyFont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14" fontId="5" fillId="2" borderId="0" xfId="0" applyNumberFormat="1" applyFont="1" applyFill="1"/>
    <xf numFmtId="0" fontId="5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67" fontId="5" fillId="2" borderId="0" xfId="2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172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164" fontId="5" fillId="2" borderId="0" xfId="0" applyNumberFormat="1" applyFont="1" applyFill="1"/>
    <xf numFmtId="0" fontId="0" fillId="0" borderId="5" xfId="0" applyBorder="1"/>
    <xf numFmtId="170" fontId="0" fillId="0" borderId="5" xfId="0" applyNumberFormat="1" applyBorder="1"/>
    <xf numFmtId="9" fontId="5" fillId="2" borderId="0" xfId="2" applyFont="1" applyFill="1" applyProtection="1"/>
    <xf numFmtId="0" fontId="0" fillId="2" borderId="5" xfId="0" applyFill="1" applyBorder="1"/>
    <xf numFmtId="164" fontId="0" fillId="0" borderId="1" xfId="1" applyFont="1" applyBorder="1"/>
    <xf numFmtId="0" fontId="16" fillId="0" borderId="1" xfId="0" applyFont="1" applyBorder="1"/>
    <xf numFmtId="0" fontId="16" fillId="0" borderId="0" xfId="0" applyFont="1"/>
    <xf numFmtId="172" fontId="11" fillId="2" borderId="0" xfId="0" applyNumberFormat="1" applyFont="1" applyFill="1" applyAlignment="1" applyProtection="1">
      <alignment horizontal="center" vertical="center"/>
      <protection locked="0"/>
    </xf>
    <xf numFmtId="164" fontId="0" fillId="0" borderId="1" xfId="1" applyFont="1" applyFill="1" applyBorder="1"/>
    <xf numFmtId="0" fontId="11" fillId="0" borderId="0" xfId="0" applyFont="1" applyAlignment="1" applyProtection="1">
      <alignment horizontal="center"/>
      <protection locked="0"/>
    </xf>
    <xf numFmtId="0" fontId="16" fillId="15" borderId="1" xfId="0" applyFont="1" applyFill="1" applyBorder="1"/>
    <xf numFmtId="22" fontId="16" fillId="0" borderId="1" xfId="0" applyNumberFormat="1" applyFont="1" applyBorder="1"/>
    <xf numFmtId="22" fontId="16" fillId="0" borderId="0" xfId="0" applyNumberFormat="1" applyFont="1"/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15" fillId="0" borderId="3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22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68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2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8" fillId="3" borderId="1" xfId="1" applyFont="1" applyFill="1" applyBorder="1" applyAlignment="1" applyProtection="1">
      <alignment horizontal="center" vertical="center" wrapText="1"/>
      <protection locked="0"/>
    </xf>
    <xf numFmtId="1" fontId="8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1" applyFont="1" applyFill="1" applyBorder="1" applyAlignment="1" applyProtection="1">
      <alignment horizontal="center" vertical="center" wrapText="1"/>
    </xf>
    <xf numFmtId="1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171" fontId="5" fillId="0" borderId="1" xfId="0" applyNumberFormat="1" applyFont="1" applyBorder="1" applyAlignment="1" applyProtection="1">
      <alignment horizontal="center" vertical="center"/>
      <protection locked="0"/>
    </xf>
    <xf numFmtId="168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1" xfId="1" applyFont="1" applyBorder="1" applyAlignment="1" applyProtection="1">
      <alignment horizontal="center" vertical="center"/>
      <protection locked="0"/>
    </xf>
    <xf numFmtId="1" fontId="5" fillId="0" borderId="1" xfId="1" applyNumberFormat="1" applyFont="1" applyBorder="1" applyAlignment="1" applyProtection="1">
      <alignment horizontal="center" vertical="center"/>
      <protection locked="0"/>
    </xf>
    <xf numFmtId="164" fontId="5" fillId="0" borderId="1" xfId="1" applyFont="1" applyFill="1" applyBorder="1" applyAlignment="1" applyProtection="1">
      <alignment horizontal="center" vertical="center"/>
    </xf>
    <xf numFmtId="9" fontId="5" fillId="0" borderId="1" xfId="2" applyFont="1" applyBorder="1" applyAlignment="1" applyProtection="1">
      <alignment horizontal="center" vertical="center"/>
    </xf>
    <xf numFmtId="9" fontId="10" fillId="0" borderId="1" xfId="2" applyFont="1" applyBorder="1" applyAlignment="1" applyProtection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71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8" fontId="5" fillId="0" borderId="0" xfId="0" applyNumberFormat="1" applyFont="1" applyAlignment="1" applyProtection="1">
      <alignment horizontal="center" vertical="center"/>
      <protection locked="0"/>
    </xf>
    <xf numFmtId="2" fontId="5" fillId="0" borderId="0" xfId="0" applyNumberFormat="1" applyFont="1" applyAlignment="1" applyProtection="1">
      <alignment horizontal="center" vertical="center"/>
      <protection locked="0"/>
    </xf>
    <xf numFmtId="164" fontId="5" fillId="0" borderId="0" xfId="1" applyFont="1" applyAlignment="1" applyProtection="1">
      <alignment horizontal="center" vertical="center"/>
      <protection locked="0"/>
    </xf>
    <xf numFmtId="1" fontId="5" fillId="0" borderId="0" xfId="1" applyNumberFormat="1" applyFont="1" applyAlignment="1" applyProtection="1">
      <alignment horizontal="center" vertical="center"/>
      <protection locked="0"/>
    </xf>
    <xf numFmtId="164" fontId="5" fillId="0" borderId="0" xfId="1" applyFont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1" fontId="5" fillId="0" borderId="0" xfId="0" applyNumberFormat="1" applyFont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/>
      <protection locked="0"/>
    </xf>
    <xf numFmtId="0" fontId="18" fillId="4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 applyProtection="1">
      <alignment horizontal="center" vertical="center"/>
      <protection locked="0"/>
    </xf>
    <xf numFmtId="9" fontId="20" fillId="0" borderId="1" xfId="2" applyFont="1" applyBorder="1" applyAlignment="1" applyProtection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" fontId="5" fillId="0" borderId="1" xfId="2" applyNumberFormat="1" applyFont="1" applyBorder="1" applyAlignment="1" applyProtection="1">
      <alignment horizontal="center" vertical="center"/>
    </xf>
    <xf numFmtId="173" fontId="16" fillId="0" borderId="0" xfId="0" applyNumberFormat="1" applyFont="1"/>
    <xf numFmtId="2" fontId="16" fillId="0" borderId="1" xfId="0" applyNumberFormat="1" applyFont="1" applyBorder="1" applyAlignment="1">
      <alignment horizontal="center" vertical="center"/>
    </xf>
    <xf numFmtId="0" fontId="21" fillId="0" borderId="0" xfId="0" applyFont="1"/>
    <xf numFmtId="0" fontId="21" fillId="0" borderId="1" xfId="0" applyFont="1" applyBorder="1" applyAlignment="1">
      <alignment horizontal="right"/>
    </xf>
    <xf numFmtId="0" fontId="21" fillId="16" borderId="1" xfId="0" applyFont="1" applyFill="1" applyBorder="1" applyAlignment="1">
      <alignment horizontal="right"/>
    </xf>
    <xf numFmtId="2" fontId="16" fillId="16" borderId="1" xfId="0" applyNumberFormat="1" applyFont="1" applyFill="1" applyBorder="1" applyAlignment="1">
      <alignment horizontal="center" vertical="center"/>
    </xf>
    <xf numFmtId="173" fontId="22" fillId="7" borderId="1" xfId="0" applyNumberFormat="1" applyFont="1" applyFill="1" applyBorder="1"/>
    <xf numFmtId="22" fontId="16" fillId="17" borderId="1" xfId="0" applyNumberFormat="1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18" borderId="1" xfId="0" applyFont="1" applyFill="1" applyBorder="1"/>
    <xf numFmtId="0" fontId="16" fillId="16" borderId="1" xfId="0" applyFont="1" applyFill="1" applyBorder="1"/>
    <xf numFmtId="0" fontId="5" fillId="0" borderId="1" xfId="2" applyNumberFormat="1" applyFont="1" applyBorder="1" applyAlignment="1" applyProtection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9" fontId="10" fillId="15" borderId="1" xfId="2" applyFont="1" applyFill="1" applyBorder="1" applyAlignment="1" applyProtection="1">
      <alignment horizontal="center" vertical="center"/>
    </xf>
    <xf numFmtId="9" fontId="20" fillId="15" borderId="1" xfId="2" applyFont="1" applyFill="1" applyBorder="1" applyAlignment="1" applyProtection="1">
      <alignment horizontal="center" vertical="center"/>
    </xf>
    <xf numFmtId="9" fontId="10" fillId="2" borderId="1" xfId="2" applyFont="1" applyFill="1" applyBorder="1" applyAlignment="1">
      <alignment horizontal="center" vertical="center"/>
    </xf>
    <xf numFmtId="9" fontId="10" fillId="2" borderId="1" xfId="2" applyFont="1" applyFill="1" applyBorder="1" applyAlignment="1" applyProtection="1">
      <alignment horizontal="center" vertical="center"/>
    </xf>
    <xf numFmtId="0" fontId="10" fillId="2" borderId="0" xfId="0" applyFont="1" applyFill="1" applyAlignment="1">
      <alignment horizontal="center" vertical="center"/>
    </xf>
    <xf numFmtId="9" fontId="20" fillId="2" borderId="1" xfId="2" applyFont="1" applyFill="1" applyBorder="1" applyAlignment="1" applyProtection="1">
      <alignment horizontal="center" vertical="center"/>
    </xf>
    <xf numFmtId="9" fontId="20" fillId="0" borderId="1" xfId="2" applyFont="1" applyBorder="1" applyAlignment="1">
      <alignment horizontal="center" vertical="center"/>
    </xf>
    <xf numFmtId="0" fontId="16" fillId="0" borderId="5" xfId="0" applyFont="1" applyBorder="1"/>
    <xf numFmtId="9" fontId="10" fillId="0" borderId="1" xfId="2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1" fillId="0" borderId="0" xfId="0" applyFont="1" applyAlignment="1">
      <alignment horizontal="center" vertical="top" wrapText="1"/>
    </xf>
    <xf numFmtId="0" fontId="16" fillId="0" borderId="6" xfId="0" applyFont="1" applyBorder="1"/>
    <xf numFmtId="0" fontId="3" fillId="6" borderId="1" xfId="0" applyFont="1" applyFill="1" applyBorder="1" applyAlignment="1">
      <alignment horizontal="center" vertical="top" wrapText="1"/>
    </xf>
    <xf numFmtId="0" fontId="21" fillId="6" borderId="1" xfId="0" applyFont="1" applyFill="1" applyBorder="1" applyAlignment="1">
      <alignment horizontal="center" vertical="top" wrapText="1"/>
    </xf>
    <xf numFmtId="0" fontId="16" fillId="0" borderId="1" xfId="0" applyFont="1" applyBorder="1" applyAlignment="1">
      <alignment vertical="top"/>
    </xf>
    <xf numFmtId="0" fontId="16" fillId="0" borderId="0" xfId="0" applyFont="1" applyAlignment="1">
      <alignment vertical="top"/>
    </xf>
    <xf numFmtId="2" fontId="21" fillId="6" borderId="1" xfId="0" applyNumberFormat="1" applyFont="1" applyFill="1" applyBorder="1" applyAlignment="1">
      <alignment horizontal="center" vertical="center" wrapText="1"/>
    </xf>
    <xf numFmtId="2" fontId="16" fillId="0" borderId="1" xfId="0" applyNumberFormat="1" applyFont="1" applyBorder="1" applyAlignment="1">
      <alignment vertical="center"/>
    </xf>
    <xf numFmtId="2" fontId="16" fillId="0" borderId="0" xfId="0" applyNumberFormat="1" applyFont="1" applyAlignment="1">
      <alignment vertical="center"/>
    </xf>
    <xf numFmtId="0" fontId="16" fillId="11" borderId="1" xfId="0" applyFont="1" applyFill="1" applyBorder="1"/>
    <xf numFmtId="0" fontId="16" fillId="0" borderId="0" xfId="0" applyFont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2" fontId="16" fillId="0" borderId="0" xfId="0" applyNumberFormat="1" applyFont="1"/>
    <xf numFmtId="9" fontId="16" fillId="0" borderId="1" xfId="2" applyFont="1" applyBorder="1" applyAlignment="1">
      <alignment horizontal="center" vertical="center"/>
    </xf>
    <xf numFmtId="0" fontId="21" fillId="0" borderId="1" xfId="0" applyFont="1" applyBorder="1"/>
    <xf numFmtId="0" fontId="21" fillId="0" borderId="1" xfId="0" applyFont="1" applyBorder="1" applyAlignment="1">
      <alignment horizontal="center" vertical="center"/>
    </xf>
    <xf numFmtId="171" fontId="19" fillId="0" borderId="3" xfId="0" applyNumberFormat="1" applyFont="1" applyBorder="1" applyAlignment="1" applyProtection="1">
      <alignment horizontal="center" vertical="center"/>
      <protection locked="0"/>
    </xf>
    <xf numFmtId="0" fontId="16" fillId="19" borderId="0" xfId="0" applyFont="1" applyFill="1"/>
    <xf numFmtId="0" fontId="16" fillId="20" borderId="0" xfId="0" applyFont="1" applyFill="1"/>
    <xf numFmtId="174" fontId="5" fillId="0" borderId="1" xfId="2" applyNumberFormat="1" applyFont="1" applyBorder="1" applyAlignment="1" applyProtection="1">
      <alignment horizontal="center" vertical="center"/>
    </xf>
    <xf numFmtId="170" fontId="5" fillId="2" borderId="0" xfId="0" applyNumberFormat="1" applyFont="1" applyFill="1"/>
    <xf numFmtId="1" fontId="5" fillId="0" borderId="0" xfId="0" applyNumberFormat="1" applyFont="1" applyAlignment="1">
      <alignment vertical="center"/>
    </xf>
    <xf numFmtId="1" fontId="5" fillId="0" borderId="0" xfId="1" applyNumberFormat="1" applyFont="1" applyAlignment="1">
      <alignment vertical="center"/>
    </xf>
    <xf numFmtId="1" fontId="5" fillId="0" borderId="1" xfId="1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1" fontId="6" fillId="6" borderId="0" xfId="0" applyNumberFormat="1" applyFont="1" applyFill="1" applyAlignment="1" applyProtection="1">
      <alignment vertical="center" wrapText="1"/>
      <protection locked="0"/>
    </xf>
    <xf numFmtId="0" fontId="6" fillId="0" borderId="6" xfId="0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164" fontId="5" fillId="0" borderId="6" xfId="1" applyFont="1" applyBorder="1" applyAlignment="1" applyProtection="1">
      <alignment horizontal="center" vertical="center"/>
    </xf>
    <xf numFmtId="164" fontId="12" fillId="0" borderId="6" xfId="1" applyFont="1" applyBorder="1" applyAlignment="1" applyProtection="1">
      <alignment horizontal="center" vertical="center"/>
    </xf>
    <xf numFmtId="169" fontId="12" fillId="0" borderId="6" xfId="1" applyNumberFormat="1" applyFont="1" applyBorder="1" applyAlignment="1" applyProtection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166" fontId="5" fillId="0" borderId="6" xfId="1" applyNumberFormat="1" applyFont="1" applyBorder="1" applyAlignment="1" applyProtection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9" fontId="5" fillId="2" borderId="0" xfId="2" applyFont="1" applyFill="1" applyBorder="1" applyAlignment="1" applyProtection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center" vertical="center"/>
    </xf>
    <xf numFmtId="164" fontId="5" fillId="2" borderId="0" xfId="1" applyFont="1" applyFill="1" applyBorder="1" applyAlignment="1" applyProtection="1">
      <alignment horizontal="center" vertical="center"/>
    </xf>
    <xf numFmtId="164" fontId="12" fillId="2" borderId="0" xfId="1" applyFont="1" applyFill="1" applyBorder="1" applyAlignment="1" applyProtection="1">
      <alignment horizontal="center" vertical="center"/>
    </xf>
    <xf numFmtId="169" fontId="12" fillId="2" borderId="0" xfId="1" applyNumberFormat="1" applyFont="1" applyFill="1" applyBorder="1" applyAlignment="1" applyProtection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166" fontId="5" fillId="2" borderId="0" xfId="1" applyNumberFormat="1" applyFont="1" applyFill="1" applyBorder="1" applyAlignment="1" applyProtection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0" fontId="24" fillId="0" borderId="3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vertical="center"/>
      <protection locked="0"/>
    </xf>
    <xf numFmtId="9" fontId="5" fillId="2" borderId="0" xfId="2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173" fontId="22" fillId="7" borderId="1" xfId="0" applyNumberFormat="1" applyFont="1" applyFill="1" applyBorder="1" applyAlignment="1">
      <alignment horizontal="center" vertical="center"/>
    </xf>
    <xf numFmtId="164" fontId="16" fillId="0" borderId="0" xfId="1" applyFont="1"/>
    <xf numFmtId="0" fontId="21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/>
    </xf>
    <xf numFmtId="14" fontId="21" fillId="2" borderId="0" xfId="0" applyNumberFormat="1" applyFont="1" applyFill="1" applyAlignment="1">
      <alignment horizontal="center" vertical="center"/>
    </xf>
    <xf numFmtId="1" fontId="21" fillId="2" borderId="0" xfId="0" applyNumberFormat="1" applyFont="1" applyFill="1" applyAlignment="1">
      <alignment horizontal="center" vertical="center"/>
    </xf>
    <xf numFmtId="2" fontId="16" fillId="2" borderId="0" xfId="0" applyNumberFormat="1" applyFont="1" applyFill="1" applyAlignment="1">
      <alignment horizontal="center" vertical="center"/>
    </xf>
    <xf numFmtId="166" fontId="16" fillId="2" borderId="0" xfId="0" applyNumberFormat="1" applyFont="1" applyFill="1" applyAlignment="1">
      <alignment horizontal="center" vertical="center"/>
    </xf>
    <xf numFmtId="9" fontId="16" fillId="2" borderId="0" xfId="2" applyFont="1" applyFill="1" applyAlignment="1">
      <alignment horizontal="center" vertical="center"/>
    </xf>
    <xf numFmtId="167" fontId="16" fillId="2" borderId="0" xfId="2" applyNumberFormat="1" applyFont="1" applyFill="1" applyBorder="1" applyAlignment="1" applyProtection="1">
      <alignment horizontal="center" vertical="center" wrapText="1"/>
    </xf>
    <xf numFmtId="164" fontId="16" fillId="2" borderId="0" xfId="1" applyFont="1" applyFill="1" applyBorder="1" applyAlignment="1" applyProtection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6" fillId="21" borderId="1" xfId="0" applyFont="1" applyFill="1" applyBorder="1"/>
    <xf numFmtId="44" fontId="16" fillId="21" borderId="1" xfId="3" applyFont="1" applyFill="1" applyBorder="1"/>
    <xf numFmtId="0" fontId="16" fillId="2" borderId="1" xfId="0" applyFont="1" applyFill="1" applyBorder="1"/>
    <xf numFmtId="44" fontId="16" fillId="2" borderId="1" xfId="3" applyFont="1" applyFill="1" applyBorder="1"/>
    <xf numFmtId="44" fontId="16" fillId="0" borderId="1" xfId="3" applyFont="1" applyBorder="1"/>
    <xf numFmtId="44" fontId="21" fillId="6" borderId="1" xfId="3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4" fontId="21" fillId="0" borderId="0" xfId="3" applyFont="1" applyAlignment="1">
      <alignment horizontal="center" vertical="center"/>
    </xf>
    <xf numFmtId="0" fontId="21" fillId="0" borderId="6" xfId="0" applyFont="1" applyBorder="1"/>
    <xf numFmtId="44" fontId="16" fillId="0" borderId="6" xfId="3" applyFont="1" applyBorder="1"/>
    <xf numFmtId="167" fontId="16" fillId="0" borderId="6" xfId="2" applyNumberFormat="1" applyFont="1" applyBorder="1"/>
    <xf numFmtId="167" fontId="16" fillId="0" borderId="1" xfId="2" applyNumberFormat="1" applyFont="1" applyBorder="1"/>
    <xf numFmtId="44" fontId="16" fillId="0" borderId="0" xfId="3" applyFont="1"/>
    <xf numFmtId="174" fontId="5" fillId="19" borderId="1" xfId="2" applyNumberFormat="1" applyFont="1" applyFill="1" applyBorder="1" applyAlignment="1" applyProtection="1">
      <alignment horizontal="center" vertical="center"/>
    </xf>
    <xf numFmtId="22" fontId="5" fillId="2" borderId="0" xfId="0" applyNumberFormat="1" applyFont="1" applyFill="1"/>
    <xf numFmtId="164" fontId="21" fillId="0" borderId="1" xfId="1" applyFont="1" applyBorder="1"/>
    <xf numFmtId="164" fontId="16" fillId="0" borderId="1" xfId="1" applyFont="1" applyBorder="1"/>
    <xf numFmtId="174" fontId="5" fillId="2" borderId="1" xfId="2" applyNumberFormat="1" applyFont="1" applyFill="1" applyBorder="1" applyAlignment="1" applyProtection="1">
      <alignment horizontal="center" vertical="center"/>
    </xf>
    <xf numFmtId="2" fontId="16" fillId="2" borderId="0" xfId="1" applyNumberFormat="1" applyFont="1" applyFill="1" applyBorder="1" applyAlignment="1" applyProtection="1">
      <alignment horizontal="center" vertical="center"/>
    </xf>
    <xf numFmtId="1" fontId="16" fillId="2" borderId="0" xfId="1" applyNumberFormat="1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6" fillId="6" borderId="6" xfId="0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1" fillId="0" borderId="1" xfId="0" applyFont="1" applyBorder="1" applyAlignment="1" applyProtection="1">
      <alignment horizontal="center"/>
      <protection locked="0"/>
    </xf>
    <xf numFmtId="164" fontId="5" fillId="0" borderId="1" xfId="1" applyFont="1" applyBorder="1" applyAlignment="1" applyProtection="1">
      <alignment horizontal="center" vertical="center"/>
    </xf>
    <xf numFmtId="0" fontId="21" fillId="6" borderId="8" xfId="0" applyFont="1" applyFill="1" applyBorder="1" applyAlignment="1">
      <alignment horizontal="center" wrapText="1"/>
    </xf>
    <xf numFmtId="0" fontId="21" fillId="6" borderId="9" xfId="0" applyFont="1" applyFill="1" applyBorder="1" applyAlignment="1">
      <alignment horizontal="center" wrapText="1"/>
    </xf>
    <xf numFmtId="0" fontId="21" fillId="6" borderId="10" xfId="0" applyFont="1" applyFill="1" applyBorder="1" applyAlignment="1">
      <alignment horizontal="center" wrapText="1"/>
    </xf>
    <xf numFmtId="0" fontId="21" fillId="6" borderId="11" xfId="0" applyFont="1" applyFill="1" applyBorder="1" applyAlignment="1">
      <alignment horizontal="center" wrapText="1"/>
    </xf>
    <xf numFmtId="0" fontId="21" fillId="6" borderId="7" xfId="0" applyFont="1" applyFill="1" applyBorder="1" applyAlignment="1">
      <alignment horizontal="center" wrapText="1"/>
    </xf>
    <xf numFmtId="0" fontId="21" fillId="6" borderId="12" xfId="0" applyFont="1" applyFill="1" applyBorder="1" applyAlignment="1">
      <alignment horizontal="center" wrapText="1"/>
    </xf>
  </cellXfs>
  <cellStyles count="5">
    <cellStyle name="Hyperlink" xfId="4" xr:uid="{00000000-000B-0000-0000-000008000000}"/>
    <cellStyle name="Moeda" xfId="1" builtinId="4"/>
    <cellStyle name="Moeda 2" xfId="3" xr:uid="{65563CD0-0CEA-4BA0-B6FC-6A1BA9A55BD3}"/>
    <cellStyle name="Normal" xfId="0" builtinId="0"/>
    <cellStyle name="Porcentagem" xfId="2" builtinId="5"/>
  </cellStyles>
  <dxfs count="55">
    <dxf>
      <font>
        <color theme="0"/>
      </font>
      <fill>
        <patternFill>
          <bgColor theme="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95B1E"/>
      </font>
      <fill>
        <patternFill>
          <bgColor theme="9" tint="0.59996337778862885"/>
        </patternFill>
      </fill>
    </dxf>
    <dxf>
      <font>
        <color rgb="FF680000"/>
      </font>
      <fill>
        <patternFill>
          <fgColor rgb="FFFF9999"/>
          <bgColor rgb="FFFFCCCC"/>
        </patternFill>
      </fill>
    </dxf>
    <dxf>
      <font>
        <color rgb="FF680000"/>
      </font>
      <fill>
        <patternFill>
          <fgColor rgb="FFFF9999"/>
          <bgColor rgb="FFFFCCCC"/>
        </patternFill>
      </fill>
    </dxf>
    <dxf>
      <font>
        <color rgb="FF095B1E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24994659260841701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 tint="0.24994659260841701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D892D"/>
      </font>
      <fill>
        <patternFill>
          <bgColor theme="0"/>
        </patternFill>
      </fill>
    </dxf>
    <dxf>
      <font>
        <b/>
        <i val="0"/>
        <color rgb="FF68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471D"/>
      <color rgb="FFFFD1D1"/>
      <color rgb="FFFFBDBD"/>
      <color rgb="FFFFE1E1"/>
      <color rgb="FFFFD3D3"/>
      <color rgb="FFA1C688"/>
      <color rgb="FFF4F4C8"/>
      <color rgb="FFF4F1C4"/>
      <color rgb="FFE9EDC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52C5-B5AC-4244-B444-C909DFB3053B}">
  <dimension ref="A1:I34"/>
  <sheetViews>
    <sheetView workbookViewId="0">
      <selection activeCell="A2" sqref="A2:G14"/>
    </sheetView>
  </sheetViews>
  <sheetFormatPr defaultRowHeight="11.25" x14ac:dyDescent="0.2"/>
  <cols>
    <col min="1" max="1" width="13.28515625" style="56" bestFit="1" customWidth="1"/>
    <col min="2" max="2" width="7.28515625" style="56" bestFit="1" customWidth="1"/>
    <col min="3" max="3" width="7.28515625" style="56" hidden="1" customWidth="1"/>
    <col min="4" max="4" width="6.5703125" style="56" hidden="1" customWidth="1"/>
    <col min="5" max="5" width="7.5703125" style="56" bestFit="1" customWidth="1"/>
    <col min="6" max="6" width="7" style="56" bestFit="1" customWidth="1"/>
    <col min="7" max="7" width="9.85546875" style="183" bestFit="1" customWidth="1"/>
    <col min="8" max="16384" width="9.140625" style="56"/>
  </cols>
  <sheetData>
    <row r="1" spans="1:9" s="104" customFormat="1" x14ac:dyDescent="0.2">
      <c r="A1" s="139" t="s">
        <v>101</v>
      </c>
      <c r="B1" s="139" t="s">
        <v>3</v>
      </c>
      <c r="C1" s="139"/>
      <c r="D1" s="139" t="s">
        <v>125</v>
      </c>
      <c r="E1" s="139" t="s">
        <v>102</v>
      </c>
      <c r="F1" s="139" t="s">
        <v>103</v>
      </c>
      <c r="G1" s="209" t="s">
        <v>104</v>
      </c>
    </row>
    <row r="2" spans="1:9" x14ac:dyDescent="0.2">
      <c r="A2" s="61">
        <v>44959.79583333333</v>
      </c>
      <c r="B2" s="55" t="s">
        <v>26</v>
      </c>
      <c r="C2" s="55"/>
      <c r="D2" s="55"/>
      <c r="E2" s="55">
        <v>407276</v>
      </c>
      <c r="F2" s="55">
        <v>545</v>
      </c>
      <c r="G2" s="210">
        <v>3264.55</v>
      </c>
      <c r="I2" s="183">
        <f>IFERROR(G2/F2,"")</f>
        <v>5.99</v>
      </c>
    </row>
    <row r="3" spans="1:9" x14ac:dyDescent="0.2">
      <c r="A3" s="61">
        <v>44959.901388888888</v>
      </c>
      <c r="B3" s="55" t="s">
        <v>128</v>
      </c>
      <c r="C3" s="55"/>
      <c r="D3" s="55"/>
      <c r="E3" s="55">
        <v>101312</v>
      </c>
      <c r="F3" s="55">
        <v>478</v>
      </c>
      <c r="G3" s="210">
        <v>2911.02</v>
      </c>
      <c r="I3" s="183">
        <f t="shared" ref="I3:I34" si="0">IFERROR(G3/F3,"")</f>
        <v>6.09</v>
      </c>
    </row>
    <row r="4" spans="1:9" x14ac:dyDescent="0.2">
      <c r="A4" s="61">
        <v>44959.88958333333</v>
      </c>
      <c r="B4" s="55" t="s">
        <v>124</v>
      </c>
      <c r="C4" s="55"/>
      <c r="D4" s="55"/>
      <c r="E4" s="55">
        <v>148199</v>
      </c>
      <c r="F4" s="55">
        <v>401.59100000000001</v>
      </c>
      <c r="G4" s="210">
        <v>2445.6799999999998</v>
      </c>
      <c r="I4" s="183">
        <f t="shared" si="0"/>
        <v>6.0899771160210259</v>
      </c>
    </row>
    <row r="5" spans="1:9" x14ac:dyDescent="0.2">
      <c r="A5" s="61">
        <v>44959.902083333334</v>
      </c>
      <c r="B5" s="55" t="s">
        <v>33</v>
      </c>
      <c r="C5" s="55"/>
      <c r="D5" s="55"/>
      <c r="E5" s="55">
        <v>173541</v>
      </c>
      <c r="F5" s="55">
        <v>505.01100000000002</v>
      </c>
      <c r="G5" s="210">
        <v>3075.51</v>
      </c>
      <c r="I5" s="183">
        <f t="shared" si="0"/>
        <v>6.089986158717335</v>
      </c>
    </row>
    <row r="6" spans="1:9" x14ac:dyDescent="0.2">
      <c r="A6" s="61">
        <v>44959.90902777778</v>
      </c>
      <c r="B6" s="55" t="s">
        <v>127</v>
      </c>
      <c r="C6" s="55"/>
      <c r="D6" s="55"/>
      <c r="E6" s="55">
        <v>240132</v>
      </c>
      <c r="F6" s="55">
        <v>512.54</v>
      </c>
      <c r="G6" s="210">
        <v>3121.37</v>
      </c>
      <c r="I6" s="183">
        <f t="shared" si="0"/>
        <v>6.0900027314941276</v>
      </c>
    </row>
    <row r="7" spans="1:9" x14ac:dyDescent="0.2">
      <c r="A7" s="61">
        <v>44959.913888888892</v>
      </c>
      <c r="B7" s="55" t="s">
        <v>131</v>
      </c>
      <c r="C7" s="55"/>
      <c r="D7" s="55"/>
      <c r="E7" s="55">
        <v>57611</v>
      </c>
      <c r="F7" s="55">
        <v>454.17</v>
      </c>
      <c r="G7" s="210">
        <v>2765.9</v>
      </c>
      <c r="I7" s="183">
        <f t="shared" si="0"/>
        <v>6.0900103485479002</v>
      </c>
    </row>
    <row r="8" spans="1:9" x14ac:dyDescent="0.2">
      <c r="A8" s="61">
        <v>44959.917361111111</v>
      </c>
      <c r="B8" s="55" t="s">
        <v>32</v>
      </c>
      <c r="C8" s="55"/>
      <c r="D8" s="55"/>
      <c r="E8" s="55">
        <v>212361</v>
      </c>
      <c r="F8" s="55">
        <v>532</v>
      </c>
      <c r="G8" s="210">
        <v>3239.88</v>
      </c>
      <c r="I8" s="183">
        <f t="shared" si="0"/>
        <v>6.09</v>
      </c>
    </row>
    <row r="9" spans="1:9" x14ac:dyDescent="0.2">
      <c r="A9" s="61">
        <v>44959.924305555556</v>
      </c>
      <c r="B9" s="55" t="s">
        <v>30</v>
      </c>
      <c r="C9" s="55"/>
      <c r="D9" s="55"/>
      <c r="E9" s="55">
        <v>229215</v>
      </c>
      <c r="F9" s="55">
        <v>548</v>
      </c>
      <c r="G9" s="210">
        <v>3337.32</v>
      </c>
      <c r="I9" s="183">
        <f t="shared" si="0"/>
        <v>6.09</v>
      </c>
    </row>
    <row r="10" spans="1:9" x14ac:dyDescent="0.2">
      <c r="A10" s="61">
        <v>44959.949305555558</v>
      </c>
      <c r="B10" s="55" t="s">
        <v>31</v>
      </c>
      <c r="C10" s="55"/>
      <c r="D10" s="55"/>
      <c r="E10" s="55">
        <v>211286</v>
      </c>
      <c r="F10" s="55">
        <v>620</v>
      </c>
      <c r="G10" s="210">
        <v>3775.8</v>
      </c>
      <c r="I10" s="183">
        <f t="shared" si="0"/>
        <v>6.09</v>
      </c>
    </row>
    <row r="11" spans="1:9" x14ac:dyDescent="0.2">
      <c r="A11" s="61">
        <v>44959.958333333336</v>
      </c>
      <c r="B11" s="55" t="s">
        <v>27</v>
      </c>
      <c r="C11" s="55"/>
      <c r="D11" s="55"/>
      <c r="E11" s="55">
        <v>258063</v>
      </c>
      <c r="F11" s="55">
        <v>506</v>
      </c>
      <c r="G11" s="210">
        <v>3081.54</v>
      </c>
      <c r="I11" s="183">
        <f t="shared" si="0"/>
        <v>6.09</v>
      </c>
    </row>
    <row r="12" spans="1:9" x14ac:dyDescent="0.2">
      <c r="A12" s="61">
        <v>44960.09652777778</v>
      </c>
      <c r="B12" s="55" t="s">
        <v>24</v>
      </c>
      <c r="C12" s="55"/>
      <c r="D12" s="55"/>
      <c r="E12" s="55">
        <v>957106</v>
      </c>
      <c r="F12" s="55">
        <v>274</v>
      </c>
      <c r="G12" s="210">
        <v>1668.66</v>
      </c>
      <c r="I12" s="183">
        <f t="shared" si="0"/>
        <v>6.09</v>
      </c>
    </row>
    <row r="13" spans="1:9" x14ac:dyDescent="0.2">
      <c r="A13" s="61">
        <v>44960.097916666666</v>
      </c>
      <c r="B13" s="55" t="s">
        <v>23</v>
      </c>
      <c r="C13" s="55"/>
      <c r="D13" s="55"/>
      <c r="E13" s="55">
        <v>1215456</v>
      </c>
      <c r="F13" s="55">
        <v>279</v>
      </c>
      <c r="G13" s="210">
        <v>1699.11</v>
      </c>
      <c r="I13" s="183">
        <f t="shared" si="0"/>
        <v>6.09</v>
      </c>
    </row>
    <row r="14" spans="1:9" x14ac:dyDescent="0.2">
      <c r="A14" s="61">
        <v>44960.168749999997</v>
      </c>
      <c r="B14" s="55" t="s">
        <v>29</v>
      </c>
      <c r="C14" s="55"/>
      <c r="D14" s="55"/>
      <c r="E14" s="55">
        <v>249698</v>
      </c>
      <c r="F14" s="55">
        <v>515</v>
      </c>
      <c r="G14" s="210">
        <v>3136.35</v>
      </c>
      <c r="I14" s="183">
        <f t="shared" si="0"/>
        <v>6.09</v>
      </c>
    </row>
    <row r="15" spans="1:9" x14ac:dyDescent="0.2">
      <c r="A15" s="61"/>
      <c r="B15" s="55"/>
      <c r="C15" s="55"/>
      <c r="D15" s="55"/>
      <c r="E15" s="55"/>
      <c r="F15" s="55"/>
      <c r="G15" s="210"/>
      <c r="I15" s="183" t="str">
        <f t="shared" si="0"/>
        <v/>
      </c>
    </row>
    <row r="16" spans="1:9" x14ac:dyDescent="0.2">
      <c r="A16" s="55"/>
      <c r="B16" s="55"/>
      <c r="C16" s="55"/>
      <c r="D16" s="55"/>
      <c r="E16" s="55"/>
      <c r="F16" s="55"/>
      <c r="G16" s="210"/>
      <c r="I16" s="183" t="str">
        <f t="shared" si="0"/>
        <v/>
      </c>
    </row>
    <row r="17" spans="1:9" x14ac:dyDescent="0.2">
      <c r="A17" s="55"/>
      <c r="B17" s="55"/>
      <c r="C17" s="55"/>
      <c r="D17" s="55"/>
      <c r="E17" s="55"/>
      <c r="F17" s="55"/>
      <c r="G17" s="210"/>
      <c r="I17" s="183" t="str">
        <f t="shared" si="0"/>
        <v/>
      </c>
    </row>
    <row r="18" spans="1:9" x14ac:dyDescent="0.2">
      <c r="A18" s="55"/>
      <c r="B18" s="55"/>
      <c r="C18" s="55"/>
      <c r="D18" s="55"/>
      <c r="E18" s="55"/>
      <c r="F18" s="55"/>
      <c r="G18" s="210"/>
      <c r="I18" s="183" t="str">
        <f t="shared" si="0"/>
        <v/>
      </c>
    </row>
    <row r="19" spans="1:9" x14ac:dyDescent="0.2">
      <c r="A19" s="55"/>
      <c r="B19" s="55"/>
      <c r="C19" s="55"/>
      <c r="D19" s="55"/>
      <c r="E19" s="55"/>
      <c r="F19" s="55"/>
      <c r="G19" s="210"/>
      <c r="I19" s="183" t="str">
        <f t="shared" si="0"/>
        <v/>
      </c>
    </row>
    <row r="20" spans="1:9" x14ac:dyDescent="0.2">
      <c r="A20" s="55"/>
      <c r="B20" s="55"/>
      <c r="C20" s="55"/>
      <c r="D20" s="55"/>
      <c r="E20" s="55"/>
      <c r="F20" s="55"/>
      <c r="G20" s="210"/>
      <c r="I20" s="183" t="str">
        <f t="shared" si="0"/>
        <v/>
      </c>
    </row>
    <row r="21" spans="1:9" x14ac:dyDescent="0.2">
      <c r="A21" s="55"/>
      <c r="B21" s="55"/>
      <c r="C21" s="55"/>
      <c r="D21" s="55"/>
      <c r="E21" s="55"/>
      <c r="F21" s="55"/>
      <c r="G21" s="210"/>
      <c r="I21" s="183" t="str">
        <f t="shared" si="0"/>
        <v/>
      </c>
    </row>
    <row r="22" spans="1:9" x14ac:dyDescent="0.2">
      <c r="A22" s="55"/>
      <c r="B22" s="55"/>
      <c r="C22" s="55"/>
      <c r="D22" s="55"/>
      <c r="E22" s="55"/>
      <c r="F22" s="55"/>
      <c r="G22" s="210"/>
      <c r="I22" s="183" t="str">
        <f t="shared" si="0"/>
        <v/>
      </c>
    </row>
    <row r="23" spans="1:9" x14ac:dyDescent="0.2">
      <c r="A23" s="55"/>
      <c r="B23" s="55"/>
      <c r="C23" s="55"/>
      <c r="D23" s="55"/>
      <c r="E23" s="55"/>
      <c r="F23" s="55"/>
      <c r="G23" s="210"/>
      <c r="I23" s="183" t="str">
        <f t="shared" si="0"/>
        <v/>
      </c>
    </row>
    <row r="24" spans="1:9" x14ac:dyDescent="0.2">
      <c r="A24" s="55"/>
      <c r="B24" s="55"/>
      <c r="C24" s="55"/>
      <c r="D24" s="55"/>
      <c r="E24" s="55"/>
      <c r="F24" s="55"/>
      <c r="G24" s="210"/>
      <c r="I24" s="183" t="str">
        <f t="shared" si="0"/>
        <v/>
      </c>
    </row>
    <row r="25" spans="1:9" x14ac:dyDescent="0.2">
      <c r="A25" s="55"/>
      <c r="B25" s="55"/>
      <c r="C25" s="55"/>
      <c r="D25" s="55"/>
      <c r="E25" s="55"/>
      <c r="F25" s="55"/>
      <c r="G25" s="210"/>
      <c r="I25" s="183" t="str">
        <f t="shared" si="0"/>
        <v/>
      </c>
    </row>
    <row r="26" spans="1:9" x14ac:dyDescent="0.2">
      <c r="A26" s="55"/>
      <c r="B26" s="55"/>
      <c r="C26" s="55"/>
      <c r="D26" s="55"/>
      <c r="E26" s="55"/>
      <c r="F26" s="55"/>
      <c r="G26" s="210"/>
      <c r="I26" s="183" t="str">
        <f t="shared" si="0"/>
        <v/>
      </c>
    </row>
    <row r="27" spans="1:9" x14ac:dyDescent="0.2">
      <c r="A27" s="55"/>
      <c r="B27" s="55"/>
      <c r="C27" s="55"/>
      <c r="D27" s="55"/>
      <c r="E27" s="55"/>
      <c r="F27" s="55"/>
      <c r="G27" s="210"/>
      <c r="I27" s="183" t="str">
        <f t="shared" si="0"/>
        <v/>
      </c>
    </row>
    <row r="28" spans="1:9" x14ac:dyDescent="0.2">
      <c r="A28" s="55"/>
      <c r="B28" s="55"/>
      <c r="C28" s="55"/>
      <c r="D28" s="55"/>
      <c r="E28" s="55"/>
      <c r="F28" s="55"/>
      <c r="G28" s="210"/>
      <c r="I28" s="183" t="str">
        <f t="shared" si="0"/>
        <v/>
      </c>
    </row>
    <row r="29" spans="1:9" x14ac:dyDescent="0.2">
      <c r="A29" s="55"/>
      <c r="B29" s="55"/>
      <c r="C29" s="55"/>
      <c r="D29" s="55"/>
      <c r="E29" s="55"/>
      <c r="F29" s="55"/>
      <c r="G29" s="210"/>
      <c r="I29" s="183" t="str">
        <f t="shared" si="0"/>
        <v/>
      </c>
    </row>
    <row r="30" spans="1:9" x14ac:dyDescent="0.2">
      <c r="A30" s="55"/>
      <c r="B30" s="55"/>
      <c r="C30" s="55"/>
      <c r="D30" s="55"/>
      <c r="E30" s="55"/>
      <c r="F30" s="55"/>
      <c r="G30" s="210"/>
      <c r="I30" s="183" t="str">
        <f t="shared" si="0"/>
        <v/>
      </c>
    </row>
    <row r="31" spans="1:9" x14ac:dyDescent="0.2">
      <c r="A31" s="55"/>
      <c r="B31" s="55"/>
      <c r="C31" s="55"/>
      <c r="D31" s="55"/>
      <c r="E31" s="55"/>
      <c r="F31" s="55"/>
      <c r="G31" s="210"/>
      <c r="I31" s="183" t="str">
        <f t="shared" si="0"/>
        <v/>
      </c>
    </row>
    <row r="32" spans="1:9" x14ac:dyDescent="0.2">
      <c r="A32" s="55"/>
      <c r="B32" s="55"/>
      <c r="C32" s="55"/>
      <c r="D32" s="55"/>
      <c r="E32" s="55"/>
      <c r="F32" s="55"/>
      <c r="G32" s="210"/>
      <c r="I32" s="183" t="str">
        <f t="shared" si="0"/>
        <v/>
      </c>
    </row>
    <row r="33" spans="1:9" x14ac:dyDescent="0.2">
      <c r="A33" s="55"/>
      <c r="B33" s="55"/>
      <c r="C33" s="55"/>
      <c r="D33" s="55"/>
      <c r="E33" s="55"/>
      <c r="F33" s="55"/>
      <c r="G33" s="210"/>
      <c r="I33" s="183" t="str">
        <f t="shared" si="0"/>
        <v/>
      </c>
    </row>
    <row r="34" spans="1:9" x14ac:dyDescent="0.2">
      <c r="I34" s="183" t="str">
        <f t="shared" si="0"/>
        <v/>
      </c>
    </row>
  </sheetData>
  <sortState xmlns:xlrd2="http://schemas.microsoft.com/office/spreadsheetml/2017/richdata2" ref="P12:P29">
    <sortCondition ref="P12:P29"/>
  </sortState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5B4-7785-4F91-965C-4215D5B96A3C}">
  <sheetPr codeName="Planilha5"/>
  <dimension ref="A1:I714"/>
  <sheetViews>
    <sheetView topLeftCell="A679" zoomScaleNormal="100" workbookViewId="0">
      <selection activeCell="I690" sqref="I690"/>
    </sheetView>
  </sheetViews>
  <sheetFormatPr defaultColWidth="9.140625" defaultRowHeight="12" x14ac:dyDescent="0.2"/>
  <cols>
    <col min="1" max="1" width="2.7109375" style="3" bestFit="1" customWidth="1"/>
    <col min="2" max="2" width="13.7109375" style="17" bestFit="1" customWidth="1"/>
    <col min="3" max="3" width="2.7109375" style="17" bestFit="1" customWidth="1"/>
    <col min="4" max="4" width="4.42578125" style="17" bestFit="1" customWidth="1"/>
    <col min="5" max="5" width="13.7109375" style="17" customWidth="1"/>
    <col min="6" max="6" width="7.85546875" style="4" bestFit="1" customWidth="1"/>
    <col min="7" max="7" width="10.28515625" style="3" bestFit="1" customWidth="1"/>
    <col min="8" max="8" width="4" style="3" bestFit="1" customWidth="1"/>
    <col min="9" max="9" width="2.7109375" style="146" bestFit="1" customWidth="1"/>
    <col min="10" max="16384" width="9.140625" style="3"/>
  </cols>
  <sheetData>
    <row r="1" spans="1:9" x14ac:dyDescent="0.2">
      <c r="F1" s="214" t="s">
        <v>39</v>
      </c>
      <c r="G1" s="214"/>
      <c r="H1" s="214"/>
      <c r="I1" s="150"/>
    </row>
    <row r="2" spans="1:9" x14ac:dyDescent="0.2">
      <c r="A2" s="3">
        <f>VLOOKUP(F2,CODIGOSPLACAS!$A$1:$B$38,2,FALSE)</f>
        <v>1</v>
      </c>
      <c r="B2" s="17">
        <v>43831</v>
      </c>
      <c r="C2" s="18">
        <f t="shared" ref="C2:C16" si="0">MONTH(B2)</f>
        <v>1</v>
      </c>
      <c r="D2" s="18">
        <f t="shared" ref="D2:D16" si="1">YEAR(B2)</f>
        <v>2020</v>
      </c>
      <c r="E2" s="18" t="str">
        <f>IFERROR(VLOOKUP(F2,#REF!,3,FALSE),"")</f>
        <v/>
      </c>
      <c r="F2" s="6" t="s">
        <v>26</v>
      </c>
      <c r="G2" s="6">
        <v>4</v>
      </c>
      <c r="H2" s="7">
        <v>1.7</v>
      </c>
    </row>
    <row r="3" spans="1:9" x14ac:dyDescent="0.2">
      <c r="A3" s="3">
        <f>VLOOKUP(F3,CODIGOSPLACAS!$A$1:$B$38,2,FALSE)</f>
        <v>2</v>
      </c>
      <c r="B3" s="17">
        <v>43831</v>
      </c>
      <c r="C3" s="18">
        <f t="shared" si="0"/>
        <v>1</v>
      </c>
      <c r="D3" s="18">
        <f t="shared" si="1"/>
        <v>2020</v>
      </c>
      <c r="E3" s="18" t="str">
        <f>IFERROR(VLOOKUP(F3,#REF!,3,FALSE),"")</f>
        <v/>
      </c>
      <c r="F3" s="6" t="s">
        <v>24</v>
      </c>
      <c r="G3" s="6">
        <v>4</v>
      </c>
      <c r="H3" s="7">
        <v>1.7</v>
      </c>
    </row>
    <row r="4" spans="1:9" x14ac:dyDescent="0.2">
      <c r="A4" s="3">
        <f>VLOOKUP(F4,CODIGOSPLACAS!$A$1:$B$38,2,FALSE)</f>
        <v>9</v>
      </c>
      <c r="B4" s="17">
        <v>43831</v>
      </c>
      <c r="C4" s="18">
        <f t="shared" si="0"/>
        <v>1</v>
      </c>
      <c r="D4" s="18">
        <f t="shared" si="1"/>
        <v>2020</v>
      </c>
      <c r="E4" s="18" t="str">
        <f>IFERROR(VLOOKUP(F4,#REF!,3,FALSE),"")</f>
        <v/>
      </c>
      <c r="F4" s="6" t="s">
        <v>126</v>
      </c>
      <c r="G4" s="6">
        <v>4</v>
      </c>
      <c r="H4" s="7">
        <v>1.7</v>
      </c>
    </row>
    <row r="5" spans="1:9" x14ac:dyDescent="0.2">
      <c r="A5" s="3">
        <f>VLOOKUP(F5,CODIGOSPLACAS!$A$1:$B$38,2,FALSE)</f>
        <v>12</v>
      </c>
      <c r="B5" s="17">
        <v>43831</v>
      </c>
      <c r="C5" s="18">
        <f t="shared" si="0"/>
        <v>1</v>
      </c>
      <c r="D5" s="18">
        <f t="shared" si="1"/>
        <v>2020</v>
      </c>
      <c r="E5" s="18" t="str">
        <f>IFERROR(VLOOKUP(F5,#REF!,3,FALSE),"")</f>
        <v/>
      </c>
      <c r="F5" s="6" t="s">
        <v>40</v>
      </c>
      <c r="G5" s="6">
        <v>3</v>
      </c>
      <c r="H5" s="7">
        <v>1.9</v>
      </c>
    </row>
    <row r="6" spans="1:9" x14ac:dyDescent="0.2">
      <c r="A6" s="3">
        <f>VLOOKUP(F6,CODIGOSPLACAS!$A$1:$B$38,2,FALSE)</f>
        <v>13</v>
      </c>
      <c r="B6" s="17">
        <v>43831</v>
      </c>
      <c r="C6" s="18">
        <f t="shared" si="0"/>
        <v>1</v>
      </c>
      <c r="D6" s="18">
        <f t="shared" si="1"/>
        <v>2020</v>
      </c>
      <c r="E6" s="18" t="str">
        <f>IFERROR(VLOOKUP(F6,#REF!,3,FALSE),"")</f>
        <v/>
      </c>
      <c r="F6" s="6" t="s">
        <v>41</v>
      </c>
      <c r="G6" s="6">
        <v>2</v>
      </c>
      <c r="H6" s="7">
        <v>1.95</v>
      </c>
    </row>
    <row r="7" spans="1:9" x14ac:dyDescent="0.2">
      <c r="A7" s="3">
        <f>VLOOKUP(F7,CODIGOSPLACAS!$A$1:$B$38,2,FALSE)</f>
        <v>16</v>
      </c>
      <c r="B7" s="17">
        <v>43831</v>
      </c>
      <c r="C7" s="18">
        <f t="shared" si="0"/>
        <v>1</v>
      </c>
      <c r="D7" s="18">
        <f t="shared" si="1"/>
        <v>2020</v>
      </c>
      <c r="E7" s="18" t="str">
        <f>IFERROR(VLOOKUP(F7,#REF!,3,FALSE),"")</f>
        <v/>
      </c>
      <c r="F7" s="6" t="s">
        <v>130</v>
      </c>
      <c r="G7" s="6">
        <v>4</v>
      </c>
      <c r="H7" s="7">
        <v>1.7</v>
      </c>
    </row>
    <row r="8" spans="1:9" x14ac:dyDescent="0.2">
      <c r="A8" s="3">
        <f>VLOOKUP(F8,CODIGOSPLACAS!$A$1:$B$38,2,FALSE)</f>
        <v>19</v>
      </c>
      <c r="B8" s="17">
        <v>43831</v>
      </c>
      <c r="C8" s="18">
        <f t="shared" si="0"/>
        <v>1</v>
      </c>
      <c r="D8" s="18">
        <f t="shared" si="1"/>
        <v>2020</v>
      </c>
      <c r="E8" s="18" t="str">
        <f>IFERROR(VLOOKUP(F8,#REF!,3,FALSE),"")</f>
        <v/>
      </c>
      <c r="F8" s="6" t="s">
        <v>42</v>
      </c>
      <c r="G8" s="6">
        <v>1</v>
      </c>
      <c r="H8" s="7">
        <v>2.1</v>
      </c>
    </row>
    <row r="9" spans="1:9" x14ac:dyDescent="0.2">
      <c r="A9" s="3">
        <f>VLOOKUP(F9,CODIGOSPLACAS!$A$1:$B$38,2,FALSE)</f>
        <v>23</v>
      </c>
      <c r="B9" s="17">
        <v>43831</v>
      </c>
      <c r="C9" s="18">
        <f t="shared" si="0"/>
        <v>1</v>
      </c>
      <c r="D9" s="18">
        <f t="shared" si="1"/>
        <v>2020</v>
      </c>
      <c r="E9" s="18" t="str">
        <f>IFERROR(VLOOKUP(F9,#REF!,3,FALSE),"")</f>
        <v/>
      </c>
      <c r="F9" s="6" t="s">
        <v>23</v>
      </c>
      <c r="G9" s="6">
        <v>4</v>
      </c>
      <c r="H9" s="7">
        <v>1.7</v>
      </c>
    </row>
    <row r="10" spans="1:9" x14ac:dyDescent="0.2">
      <c r="A10" s="3">
        <f>VLOOKUP(F10,CODIGOSPLACAS!$A$1:$B$38,2,FALSE)</f>
        <v>33</v>
      </c>
      <c r="B10" s="17">
        <v>43831</v>
      </c>
      <c r="C10" s="18">
        <f t="shared" si="0"/>
        <v>1</v>
      </c>
      <c r="D10" s="18">
        <f t="shared" si="1"/>
        <v>2020</v>
      </c>
      <c r="E10" s="18" t="str">
        <f>IFERROR(VLOOKUP(F10,#REF!,3,FALSE),"")</f>
        <v/>
      </c>
      <c r="F10" s="6" t="s">
        <v>127</v>
      </c>
      <c r="G10" s="6">
        <v>3</v>
      </c>
      <c r="H10" s="7">
        <v>1.9</v>
      </c>
    </row>
    <row r="11" spans="1:9" x14ac:dyDescent="0.2">
      <c r="A11" s="3">
        <f>VLOOKUP(F11,CODIGOSPLACAS!$A$1:$B$38,2,FALSE)</f>
        <v>34</v>
      </c>
      <c r="B11" s="17">
        <v>43831</v>
      </c>
      <c r="C11" s="18">
        <f t="shared" si="0"/>
        <v>1</v>
      </c>
      <c r="D11" s="18">
        <f t="shared" si="1"/>
        <v>2020</v>
      </c>
      <c r="E11" s="18" t="str">
        <f>IFERROR(VLOOKUP(F11,#REF!,3,FALSE),"")</f>
        <v/>
      </c>
      <c r="F11" s="6" t="s">
        <v>22</v>
      </c>
      <c r="G11" s="6">
        <v>3</v>
      </c>
      <c r="H11" s="7">
        <v>1.9</v>
      </c>
    </row>
    <row r="12" spans="1:9" x14ac:dyDescent="0.2">
      <c r="A12" s="3">
        <f>VLOOKUP(F12,CODIGOSPLACAS!$A$1:$B$38,2,FALSE)</f>
        <v>26</v>
      </c>
      <c r="B12" s="17">
        <v>43831</v>
      </c>
      <c r="C12" s="18">
        <f t="shared" si="0"/>
        <v>1</v>
      </c>
      <c r="D12" s="18">
        <f t="shared" si="1"/>
        <v>2020</v>
      </c>
      <c r="E12" s="18" t="str">
        <f>IFERROR(VLOOKUP(F12,#REF!,3,FALSE),"")</f>
        <v/>
      </c>
      <c r="F12" s="9" t="s">
        <v>43</v>
      </c>
      <c r="G12" s="9">
        <v>2</v>
      </c>
      <c r="H12" s="10">
        <v>1.9</v>
      </c>
    </row>
    <row r="13" spans="1:9" x14ac:dyDescent="0.2">
      <c r="A13" s="3">
        <f>VLOOKUP(F13,CODIGOSPLACAS!$A$1:$B$38,2,FALSE)</f>
        <v>27</v>
      </c>
      <c r="B13" s="17">
        <v>43831</v>
      </c>
      <c r="C13" s="18">
        <f t="shared" si="0"/>
        <v>1</v>
      </c>
      <c r="D13" s="18">
        <f t="shared" si="1"/>
        <v>2020</v>
      </c>
      <c r="E13" s="18" t="str">
        <f>IFERROR(VLOOKUP(F13,#REF!,3,FALSE),"")</f>
        <v/>
      </c>
      <c r="F13" s="9" t="s">
        <v>44</v>
      </c>
      <c r="G13" s="9">
        <v>3</v>
      </c>
      <c r="H13" s="10">
        <v>1.9</v>
      </c>
    </row>
    <row r="14" spans="1:9" x14ac:dyDescent="0.2">
      <c r="A14" s="3">
        <f>VLOOKUP(F14,CODIGOSPLACAS!$A$1:$B$38,2,FALSE)</f>
        <v>28</v>
      </c>
      <c r="B14" s="17">
        <v>43831</v>
      </c>
      <c r="C14" s="18">
        <f t="shared" si="0"/>
        <v>1</v>
      </c>
      <c r="D14" s="18">
        <f t="shared" si="1"/>
        <v>2020</v>
      </c>
      <c r="E14" s="18" t="str">
        <f>IFERROR(VLOOKUP(F14,#REF!,3,FALSE),"")</f>
        <v/>
      </c>
      <c r="F14" s="11" t="s">
        <v>45</v>
      </c>
      <c r="G14" s="9">
        <v>3</v>
      </c>
      <c r="H14" s="10">
        <v>1.9</v>
      </c>
    </row>
    <row r="15" spans="1:9" x14ac:dyDescent="0.2">
      <c r="A15" s="3">
        <f>VLOOKUP(F15,CODIGOSPLACAS!$A$1:$B$38,2,FALSE)</f>
        <v>30</v>
      </c>
      <c r="B15" s="17">
        <v>43831</v>
      </c>
      <c r="C15" s="18">
        <f t="shared" si="0"/>
        <v>1</v>
      </c>
      <c r="D15" s="18">
        <f t="shared" si="1"/>
        <v>2020</v>
      </c>
      <c r="E15" s="18" t="str">
        <f>IFERROR(VLOOKUP(F15,#REF!,3,FALSE),"")</f>
        <v/>
      </c>
      <c r="F15" s="11" t="s">
        <v>25</v>
      </c>
      <c r="G15" s="9">
        <v>4</v>
      </c>
      <c r="H15" s="10">
        <v>1.7</v>
      </c>
    </row>
    <row r="16" spans="1:9" x14ac:dyDescent="0.2">
      <c r="A16" s="3">
        <f>VLOOKUP(F16,CODIGOSPLACAS!$A$1:$B$38,2,FALSE)</f>
        <v>35</v>
      </c>
      <c r="B16" s="17">
        <v>43831</v>
      </c>
      <c r="C16" s="18">
        <f t="shared" si="0"/>
        <v>1</v>
      </c>
      <c r="D16" s="18">
        <f t="shared" si="1"/>
        <v>2020</v>
      </c>
      <c r="E16" s="18" t="str">
        <f>IFERROR(VLOOKUP(F16,#REF!,3,FALSE),"")</f>
        <v/>
      </c>
      <c r="F16" s="11" t="s">
        <v>34</v>
      </c>
      <c r="G16" s="9">
        <v>5</v>
      </c>
      <c r="H16" s="10">
        <v>2.5</v>
      </c>
    </row>
    <row r="17" spans="1:9" x14ac:dyDescent="0.2">
      <c r="C17" s="18"/>
      <c r="D17" s="18"/>
      <c r="E17" s="18" t="str">
        <f>IFERROR(VLOOKUP(F17,#REF!,3,FALSE),"")</f>
        <v/>
      </c>
      <c r="F17" s="214" t="s">
        <v>39</v>
      </c>
      <c r="G17" s="214"/>
      <c r="H17" s="214"/>
      <c r="I17" s="150"/>
    </row>
    <row r="18" spans="1:9" x14ac:dyDescent="0.2">
      <c r="A18" s="3">
        <f>VLOOKUP(F18,CODIGOSPLACAS!$A$1:$B$38,2,FALSE)</f>
        <v>1</v>
      </c>
      <c r="B18" s="17">
        <v>43862</v>
      </c>
      <c r="C18" s="18">
        <f t="shared" ref="C18:C32" si="2">MONTH(B18)</f>
        <v>2</v>
      </c>
      <c r="D18" s="18">
        <f t="shared" ref="D18:D32" si="3">YEAR(B18)</f>
        <v>2020</v>
      </c>
      <c r="E18" s="18" t="str">
        <f>IFERROR(VLOOKUP(F18,#REF!,3,FALSE),"")</f>
        <v/>
      </c>
      <c r="F18" s="6" t="s">
        <v>26</v>
      </c>
      <c r="G18" s="6">
        <v>4</v>
      </c>
      <c r="H18" s="7">
        <v>1.7</v>
      </c>
    </row>
    <row r="19" spans="1:9" x14ac:dyDescent="0.2">
      <c r="A19" s="3">
        <f>VLOOKUP(F19,CODIGOSPLACAS!$A$1:$B$38,2,FALSE)</f>
        <v>2</v>
      </c>
      <c r="B19" s="17">
        <v>43862</v>
      </c>
      <c r="C19" s="18">
        <f t="shared" si="2"/>
        <v>2</v>
      </c>
      <c r="D19" s="18">
        <f t="shared" si="3"/>
        <v>2020</v>
      </c>
      <c r="E19" s="18" t="str">
        <f>IFERROR(VLOOKUP(F19,#REF!,3,FALSE),"")</f>
        <v/>
      </c>
      <c r="F19" s="6" t="s">
        <v>24</v>
      </c>
      <c r="G19" s="6">
        <v>4</v>
      </c>
      <c r="H19" s="7">
        <v>1.7</v>
      </c>
    </row>
    <row r="20" spans="1:9" x14ac:dyDescent="0.2">
      <c r="A20" s="3">
        <f>VLOOKUP(F20,CODIGOSPLACAS!$A$1:$B$38,2,FALSE)</f>
        <v>9</v>
      </c>
      <c r="B20" s="17">
        <v>43862</v>
      </c>
      <c r="C20" s="18">
        <f t="shared" si="2"/>
        <v>2</v>
      </c>
      <c r="D20" s="18">
        <f t="shared" si="3"/>
        <v>2020</v>
      </c>
      <c r="E20" s="18" t="str">
        <f>IFERROR(VLOOKUP(F20,#REF!,3,FALSE),"")</f>
        <v/>
      </c>
      <c r="F20" s="6" t="s">
        <v>126</v>
      </c>
      <c r="G20" s="6">
        <v>4</v>
      </c>
      <c r="H20" s="7">
        <v>1.7</v>
      </c>
    </row>
    <row r="21" spans="1:9" x14ac:dyDescent="0.2">
      <c r="A21" s="3">
        <f>VLOOKUP(F21,CODIGOSPLACAS!$A$1:$B$38,2,FALSE)</f>
        <v>12</v>
      </c>
      <c r="B21" s="17">
        <v>43862</v>
      </c>
      <c r="C21" s="18">
        <f t="shared" si="2"/>
        <v>2</v>
      </c>
      <c r="D21" s="18">
        <f t="shared" si="3"/>
        <v>2020</v>
      </c>
      <c r="E21" s="18" t="str">
        <f>IFERROR(VLOOKUP(F21,#REF!,3,FALSE),"")</f>
        <v/>
      </c>
      <c r="F21" s="6" t="s">
        <v>40</v>
      </c>
      <c r="G21" s="6">
        <v>3</v>
      </c>
      <c r="H21" s="7">
        <v>1.9</v>
      </c>
    </row>
    <row r="22" spans="1:9" x14ac:dyDescent="0.2">
      <c r="A22" s="3">
        <f>VLOOKUP(F22,CODIGOSPLACAS!$A$1:$B$38,2,FALSE)</f>
        <v>13</v>
      </c>
      <c r="B22" s="17">
        <v>43862</v>
      </c>
      <c r="C22" s="18">
        <f t="shared" si="2"/>
        <v>2</v>
      </c>
      <c r="D22" s="18">
        <f t="shared" si="3"/>
        <v>2020</v>
      </c>
      <c r="E22" s="18" t="str">
        <f>IFERROR(VLOOKUP(F22,#REF!,3,FALSE),"")</f>
        <v/>
      </c>
      <c r="F22" s="6" t="s">
        <v>41</v>
      </c>
      <c r="G22" s="6">
        <v>2</v>
      </c>
      <c r="H22" s="7">
        <v>1.95</v>
      </c>
    </row>
    <row r="23" spans="1:9" x14ac:dyDescent="0.2">
      <c r="A23" s="3">
        <f>VLOOKUP(F23,CODIGOSPLACAS!$A$1:$B$38,2,FALSE)</f>
        <v>16</v>
      </c>
      <c r="B23" s="17">
        <v>43862</v>
      </c>
      <c r="C23" s="18">
        <f t="shared" si="2"/>
        <v>2</v>
      </c>
      <c r="D23" s="18">
        <f t="shared" si="3"/>
        <v>2020</v>
      </c>
      <c r="E23" s="18" t="str">
        <f>IFERROR(VLOOKUP(F23,#REF!,3,FALSE),"")</f>
        <v/>
      </c>
      <c r="F23" s="6" t="s">
        <v>130</v>
      </c>
      <c r="G23" s="6">
        <v>4</v>
      </c>
      <c r="H23" s="7">
        <v>1.7</v>
      </c>
    </row>
    <row r="24" spans="1:9" x14ac:dyDescent="0.2">
      <c r="A24" s="3">
        <f>VLOOKUP(F24,CODIGOSPLACAS!$A$1:$B$38,2,FALSE)</f>
        <v>19</v>
      </c>
      <c r="B24" s="17">
        <v>43862</v>
      </c>
      <c r="C24" s="18">
        <f t="shared" si="2"/>
        <v>2</v>
      </c>
      <c r="D24" s="18">
        <f t="shared" si="3"/>
        <v>2020</v>
      </c>
      <c r="E24" s="18" t="str">
        <f>IFERROR(VLOOKUP(F24,#REF!,3,FALSE),"")</f>
        <v/>
      </c>
      <c r="F24" s="6" t="s">
        <v>42</v>
      </c>
      <c r="G24" s="6">
        <v>1</v>
      </c>
      <c r="H24" s="7">
        <v>2.1</v>
      </c>
    </row>
    <row r="25" spans="1:9" x14ac:dyDescent="0.2">
      <c r="A25" s="3">
        <f>VLOOKUP(F25,CODIGOSPLACAS!$A$1:$B$38,2,FALSE)</f>
        <v>23</v>
      </c>
      <c r="B25" s="17">
        <v>43862</v>
      </c>
      <c r="C25" s="18">
        <f t="shared" si="2"/>
        <v>2</v>
      </c>
      <c r="D25" s="18">
        <f t="shared" si="3"/>
        <v>2020</v>
      </c>
      <c r="E25" s="18" t="str">
        <f>IFERROR(VLOOKUP(F25,#REF!,3,FALSE),"")</f>
        <v/>
      </c>
      <c r="F25" s="6" t="s">
        <v>23</v>
      </c>
      <c r="G25" s="6">
        <v>4</v>
      </c>
      <c r="H25" s="7">
        <v>1.7</v>
      </c>
    </row>
    <row r="26" spans="1:9" x14ac:dyDescent="0.2">
      <c r="A26" s="3">
        <f>VLOOKUP(F26,CODIGOSPLACAS!$A$1:$B$38,2,FALSE)</f>
        <v>33</v>
      </c>
      <c r="B26" s="17">
        <v>43862</v>
      </c>
      <c r="C26" s="18">
        <f t="shared" si="2"/>
        <v>2</v>
      </c>
      <c r="D26" s="18">
        <f t="shared" si="3"/>
        <v>2020</v>
      </c>
      <c r="E26" s="18" t="str">
        <f>IFERROR(VLOOKUP(F26,#REF!,3,FALSE),"")</f>
        <v/>
      </c>
      <c r="F26" s="6" t="s">
        <v>127</v>
      </c>
      <c r="G26" s="6">
        <v>3</v>
      </c>
      <c r="H26" s="7">
        <v>1.9</v>
      </c>
    </row>
    <row r="27" spans="1:9" x14ac:dyDescent="0.2">
      <c r="A27" s="3">
        <f>VLOOKUP(F27,CODIGOSPLACAS!$A$1:$B$38,2,FALSE)</f>
        <v>34</v>
      </c>
      <c r="B27" s="17">
        <v>43862</v>
      </c>
      <c r="C27" s="18">
        <f t="shared" si="2"/>
        <v>2</v>
      </c>
      <c r="D27" s="18">
        <f t="shared" si="3"/>
        <v>2020</v>
      </c>
      <c r="E27" s="18" t="str">
        <f>IFERROR(VLOOKUP(F27,#REF!,3,FALSE),"")</f>
        <v/>
      </c>
      <c r="F27" s="6" t="s">
        <v>22</v>
      </c>
      <c r="G27" s="6">
        <v>3</v>
      </c>
      <c r="H27" s="7">
        <v>1.9</v>
      </c>
    </row>
    <row r="28" spans="1:9" x14ac:dyDescent="0.2">
      <c r="A28" s="3">
        <f>VLOOKUP(F28,CODIGOSPLACAS!$A$1:$B$38,2,FALSE)</f>
        <v>26</v>
      </c>
      <c r="B28" s="17">
        <v>43862</v>
      </c>
      <c r="C28" s="18">
        <f t="shared" si="2"/>
        <v>2</v>
      </c>
      <c r="D28" s="18">
        <f t="shared" si="3"/>
        <v>2020</v>
      </c>
      <c r="E28" s="18" t="str">
        <f>IFERROR(VLOOKUP(F28,#REF!,3,FALSE),"")</f>
        <v/>
      </c>
      <c r="F28" s="9" t="s">
        <v>43</v>
      </c>
      <c r="G28" s="9">
        <v>2</v>
      </c>
      <c r="H28" s="10">
        <v>1.9</v>
      </c>
    </row>
    <row r="29" spans="1:9" x14ac:dyDescent="0.2">
      <c r="A29" s="3">
        <f>VLOOKUP(F29,CODIGOSPLACAS!$A$1:$B$38,2,FALSE)</f>
        <v>27</v>
      </c>
      <c r="B29" s="17">
        <v>43862</v>
      </c>
      <c r="C29" s="18">
        <f t="shared" si="2"/>
        <v>2</v>
      </c>
      <c r="D29" s="18">
        <f t="shared" si="3"/>
        <v>2020</v>
      </c>
      <c r="E29" s="18" t="str">
        <f>IFERROR(VLOOKUP(F29,#REF!,3,FALSE),"")</f>
        <v/>
      </c>
      <c r="F29" s="9" t="s">
        <v>44</v>
      </c>
      <c r="G29" s="9">
        <v>3</v>
      </c>
      <c r="H29" s="10">
        <v>1.9</v>
      </c>
    </row>
    <row r="30" spans="1:9" x14ac:dyDescent="0.2">
      <c r="A30" s="3">
        <f>VLOOKUP(F30,CODIGOSPLACAS!$A$1:$B$38,2,FALSE)</f>
        <v>28</v>
      </c>
      <c r="B30" s="17">
        <v>43862</v>
      </c>
      <c r="C30" s="18">
        <f t="shared" si="2"/>
        <v>2</v>
      </c>
      <c r="D30" s="18">
        <f t="shared" si="3"/>
        <v>2020</v>
      </c>
      <c r="E30" s="18" t="str">
        <f>IFERROR(VLOOKUP(F30,#REF!,3,FALSE),"")</f>
        <v/>
      </c>
      <c r="F30" s="11" t="s">
        <v>45</v>
      </c>
      <c r="G30" s="9">
        <v>3</v>
      </c>
      <c r="H30" s="10">
        <v>1.9</v>
      </c>
    </row>
    <row r="31" spans="1:9" x14ac:dyDescent="0.2">
      <c r="A31" s="3">
        <f>VLOOKUP(F31,CODIGOSPLACAS!$A$1:$B$38,2,FALSE)</f>
        <v>30</v>
      </c>
      <c r="B31" s="17">
        <v>43862</v>
      </c>
      <c r="C31" s="18">
        <f t="shared" si="2"/>
        <v>2</v>
      </c>
      <c r="D31" s="18">
        <f t="shared" si="3"/>
        <v>2020</v>
      </c>
      <c r="E31" s="18" t="str">
        <f>IFERROR(VLOOKUP(F31,#REF!,3,FALSE),"")</f>
        <v/>
      </c>
      <c r="F31" s="11" t="s">
        <v>25</v>
      </c>
      <c r="G31" s="9">
        <v>4</v>
      </c>
      <c r="H31" s="10">
        <v>1.7</v>
      </c>
    </row>
    <row r="32" spans="1:9" x14ac:dyDescent="0.2">
      <c r="A32" s="3">
        <f>VLOOKUP(F32,CODIGOSPLACAS!$A$1:$B$38,2,FALSE)</f>
        <v>35</v>
      </c>
      <c r="B32" s="17">
        <v>43862</v>
      </c>
      <c r="C32" s="18">
        <f t="shared" si="2"/>
        <v>2</v>
      </c>
      <c r="D32" s="18">
        <f t="shared" si="3"/>
        <v>2020</v>
      </c>
      <c r="E32" s="18" t="str">
        <f>IFERROR(VLOOKUP(F32,#REF!,3,FALSE),"")</f>
        <v/>
      </c>
      <c r="F32" s="11" t="s">
        <v>34</v>
      </c>
      <c r="G32" s="9">
        <v>5</v>
      </c>
      <c r="H32" s="10">
        <v>2.5</v>
      </c>
    </row>
    <row r="33" spans="1:9" x14ac:dyDescent="0.2">
      <c r="C33" s="18"/>
      <c r="D33" s="18"/>
      <c r="E33" s="18" t="str">
        <f>IFERROR(VLOOKUP(F33,#REF!,3,FALSE),"")</f>
        <v/>
      </c>
      <c r="F33" s="214" t="s">
        <v>39</v>
      </c>
      <c r="G33" s="214"/>
      <c r="H33" s="214"/>
      <c r="I33" s="150"/>
    </row>
    <row r="34" spans="1:9" x14ac:dyDescent="0.2">
      <c r="A34" s="3">
        <f>VLOOKUP(F34,CODIGOSPLACAS!$A$1:$B$38,2,FALSE)</f>
        <v>1</v>
      </c>
      <c r="B34" s="17">
        <v>43891</v>
      </c>
      <c r="C34" s="18">
        <f t="shared" ref="C34:C48" si="4">MONTH(B34)</f>
        <v>3</v>
      </c>
      <c r="D34" s="18">
        <f t="shared" ref="D34:D48" si="5">YEAR(B34)</f>
        <v>2020</v>
      </c>
      <c r="E34" s="18" t="str">
        <f>IFERROR(VLOOKUP(F34,#REF!,3,FALSE),"")</f>
        <v/>
      </c>
      <c r="F34" s="6" t="s">
        <v>26</v>
      </c>
      <c r="G34" s="6">
        <v>4</v>
      </c>
      <c r="H34" s="7">
        <v>1.7</v>
      </c>
    </row>
    <row r="35" spans="1:9" x14ac:dyDescent="0.2">
      <c r="A35" s="3">
        <f>VLOOKUP(F35,CODIGOSPLACAS!$A$1:$B$38,2,FALSE)</f>
        <v>2</v>
      </c>
      <c r="B35" s="17">
        <v>43891</v>
      </c>
      <c r="C35" s="18">
        <f t="shared" si="4"/>
        <v>3</v>
      </c>
      <c r="D35" s="18">
        <f t="shared" si="5"/>
        <v>2020</v>
      </c>
      <c r="E35" s="18" t="str">
        <f>IFERROR(VLOOKUP(F35,#REF!,3,FALSE),"")</f>
        <v/>
      </c>
      <c r="F35" s="6" t="s">
        <v>24</v>
      </c>
      <c r="G35" s="6">
        <v>4</v>
      </c>
      <c r="H35" s="7">
        <v>1.7</v>
      </c>
    </row>
    <row r="36" spans="1:9" x14ac:dyDescent="0.2">
      <c r="A36" s="3">
        <f>VLOOKUP(F36,CODIGOSPLACAS!$A$1:$B$38,2,FALSE)</f>
        <v>9</v>
      </c>
      <c r="B36" s="17">
        <v>43891</v>
      </c>
      <c r="C36" s="18">
        <f t="shared" si="4"/>
        <v>3</v>
      </c>
      <c r="D36" s="18">
        <f t="shared" si="5"/>
        <v>2020</v>
      </c>
      <c r="E36" s="18" t="str">
        <f>IFERROR(VLOOKUP(F36,#REF!,3,FALSE),"")</f>
        <v/>
      </c>
      <c r="F36" s="6" t="s">
        <v>126</v>
      </c>
      <c r="G36" s="6">
        <v>4</v>
      </c>
      <c r="H36" s="7">
        <v>1.7</v>
      </c>
    </row>
    <row r="37" spans="1:9" x14ac:dyDescent="0.2">
      <c r="A37" s="3">
        <f>VLOOKUP(F37,CODIGOSPLACAS!$A$1:$B$38,2,FALSE)</f>
        <v>12</v>
      </c>
      <c r="B37" s="17">
        <v>43891</v>
      </c>
      <c r="C37" s="18">
        <f t="shared" si="4"/>
        <v>3</v>
      </c>
      <c r="D37" s="18">
        <f t="shared" si="5"/>
        <v>2020</v>
      </c>
      <c r="E37" s="18" t="str">
        <f>IFERROR(VLOOKUP(F37,#REF!,3,FALSE),"")</f>
        <v/>
      </c>
      <c r="F37" s="6" t="s">
        <v>40</v>
      </c>
      <c r="G37" s="6">
        <v>3</v>
      </c>
      <c r="H37" s="7">
        <v>1.9</v>
      </c>
    </row>
    <row r="38" spans="1:9" x14ac:dyDescent="0.2">
      <c r="A38" s="3">
        <f>VLOOKUP(F38,CODIGOSPLACAS!$A$1:$B$38,2,FALSE)</f>
        <v>13</v>
      </c>
      <c r="B38" s="17">
        <v>43891</v>
      </c>
      <c r="C38" s="18">
        <f t="shared" si="4"/>
        <v>3</v>
      </c>
      <c r="D38" s="18">
        <f t="shared" si="5"/>
        <v>2020</v>
      </c>
      <c r="E38" s="18" t="str">
        <f>IFERROR(VLOOKUP(F38,#REF!,3,FALSE),"")</f>
        <v/>
      </c>
      <c r="F38" s="6" t="s">
        <v>41</v>
      </c>
      <c r="G38" s="6">
        <v>2</v>
      </c>
      <c r="H38" s="7">
        <v>1.95</v>
      </c>
    </row>
    <row r="39" spans="1:9" x14ac:dyDescent="0.2">
      <c r="A39" s="3">
        <f>VLOOKUP(F39,CODIGOSPLACAS!$A$1:$B$38,2,FALSE)</f>
        <v>16</v>
      </c>
      <c r="B39" s="17">
        <v>43891</v>
      </c>
      <c r="C39" s="18">
        <f t="shared" si="4"/>
        <v>3</v>
      </c>
      <c r="D39" s="18">
        <f t="shared" si="5"/>
        <v>2020</v>
      </c>
      <c r="E39" s="18" t="str">
        <f>IFERROR(VLOOKUP(F39,#REF!,3,FALSE),"")</f>
        <v/>
      </c>
      <c r="F39" s="6" t="s">
        <v>130</v>
      </c>
      <c r="G39" s="6">
        <v>4</v>
      </c>
      <c r="H39" s="7">
        <v>1.7</v>
      </c>
    </row>
    <row r="40" spans="1:9" x14ac:dyDescent="0.2">
      <c r="A40" s="3">
        <f>VLOOKUP(F40,CODIGOSPLACAS!$A$1:$B$38,2,FALSE)</f>
        <v>19</v>
      </c>
      <c r="B40" s="17">
        <v>43891</v>
      </c>
      <c r="C40" s="18">
        <f t="shared" si="4"/>
        <v>3</v>
      </c>
      <c r="D40" s="18">
        <f t="shared" si="5"/>
        <v>2020</v>
      </c>
      <c r="E40" s="18" t="str">
        <f>IFERROR(VLOOKUP(F40,#REF!,3,FALSE),"")</f>
        <v/>
      </c>
      <c r="F40" s="6" t="s">
        <v>42</v>
      </c>
      <c r="G40" s="6">
        <v>1</v>
      </c>
      <c r="H40" s="7">
        <v>2.1</v>
      </c>
    </row>
    <row r="41" spans="1:9" x14ac:dyDescent="0.2">
      <c r="A41" s="3">
        <f>VLOOKUP(F41,CODIGOSPLACAS!$A$1:$B$38,2,FALSE)</f>
        <v>23</v>
      </c>
      <c r="B41" s="17">
        <v>43891</v>
      </c>
      <c r="C41" s="18">
        <f t="shared" si="4"/>
        <v>3</v>
      </c>
      <c r="D41" s="18">
        <f t="shared" si="5"/>
        <v>2020</v>
      </c>
      <c r="E41" s="18" t="str">
        <f>IFERROR(VLOOKUP(F41,#REF!,3,FALSE),"")</f>
        <v/>
      </c>
      <c r="F41" s="6" t="s">
        <v>23</v>
      </c>
      <c r="G41" s="6">
        <v>4</v>
      </c>
      <c r="H41" s="7">
        <v>1.7</v>
      </c>
    </row>
    <row r="42" spans="1:9" x14ac:dyDescent="0.2">
      <c r="A42" s="3">
        <f>VLOOKUP(F42,CODIGOSPLACAS!$A$1:$B$38,2,FALSE)</f>
        <v>33</v>
      </c>
      <c r="B42" s="17">
        <v>43891</v>
      </c>
      <c r="C42" s="18">
        <f t="shared" si="4"/>
        <v>3</v>
      </c>
      <c r="D42" s="18">
        <f t="shared" si="5"/>
        <v>2020</v>
      </c>
      <c r="E42" s="18" t="str">
        <f>IFERROR(VLOOKUP(F42,#REF!,3,FALSE),"")</f>
        <v/>
      </c>
      <c r="F42" s="6" t="s">
        <v>127</v>
      </c>
      <c r="G42" s="6">
        <v>3</v>
      </c>
      <c r="H42" s="7">
        <v>1.9</v>
      </c>
    </row>
    <row r="43" spans="1:9" x14ac:dyDescent="0.2">
      <c r="A43" s="3">
        <f>VLOOKUP(F43,CODIGOSPLACAS!$A$1:$B$38,2,FALSE)</f>
        <v>34</v>
      </c>
      <c r="B43" s="17">
        <v>43891</v>
      </c>
      <c r="C43" s="18">
        <f t="shared" si="4"/>
        <v>3</v>
      </c>
      <c r="D43" s="18">
        <f t="shared" si="5"/>
        <v>2020</v>
      </c>
      <c r="E43" s="18" t="str">
        <f>IFERROR(VLOOKUP(F43,#REF!,3,FALSE),"")</f>
        <v/>
      </c>
      <c r="F43" s="6" t="s">
        <v>22</v>
      </c>
      <c r="G43" s="6">
        <v>3</v>
      </c>
      <c r="H43" s="7">
        <v>1.9</v>
      </c>
    </row>
    <row r="44" spans="1:9" x14ac:dyDescent="0.2">
      <c r="A44" s="3">
        <f>VLOOKUP(F44,CODIGOSPLACAS!$A$1:$B$38,2,FALSE)</f>
        <v>26</v>
      </c>
      <c r="B44" s="17">
        <v>43891</v>
      </c>
      <c r="C44" s="18">
        <f t="shared" si="4"/>
        <v>3</v>
      </c>
      <c r="D44" s="18">
        <f t="shared" si="5"/>
        <v>2020</v>
      </c>
      <c r="E44" s="18" t="str">
        <f>IFERROR(VLOOKUP(F44,#REF!,3,FALSE),"")</f>
        <v/>
      </c>
      <c r="F44" s="9" t="s">
        <v>43</v>
      </c>
      <c r="G44" s="9">
        <v>2</v>
      </c>
      <c r="H44" s="10">
        <v>1.9</v>
      </c>
    </row>
    <row r="45" spans="1:9" x14ac:dyDescent="0.2">
      <c r="A45" s="3">
        <f>VLOOKUP(F45,CODIGOSPLACAS!$A$1:$B$38,2,FALSE)</f>
        <v>27</v>
      </c>
      <c r="B45" s="17">
        <v>43891</v>
      </c>
      <c r="C45" s="18">
        <f t="shared" si="4"/>
        <v>3</v>
      </c>
      <c r="D45" s="18">
        <f t="shared" si="5"/>
        <v>2020</v>
      </c>
      <c r="E45" s="18" t="str">
        <f>IFERROR(VLOOKUP(F45,#REF!,3,FALSE),"")</f>
        <v/>
      </c>
      <c r="F45" s="9" t="s">
        <v>44</v>
      </c>
      <c r="G45" s="9">
        <v>3</v>
      </c>
      <c r="H45" s="10">
        <v>1.9</v>
      </c>
    </row>
    <row r="46" spans="1:9" x14ac:dyDescent="0.2">
      <c r="A46" s="3">
        <f>VLOOKUP(F46,CODIGOSPLACAS!$A$1:$B$38,2,FALSE)</f>
        <v>28</v>
      </c>
      <c r="B46" s="17">
        <v>43891</v>
      </c>
      <c r="C46" s="18">
        <f t="shared" si="4"/>
        <v>3</v>
      </c>
      <c r="D46" s="18">
        <f t="shared" si="5"/>
        <v>2020</v>
      </c>
      <c r="E46" s="18" t="str">
        <f>IFERROR(VLOOKUP(F46,#REF!,3,FALSE),"")</f>
        <v/>
      </c>
      <c r="F46" s="11" t="s">
        <v>45</v>
      </c>
      <c r="G46" s="9">
        <v>3</v>
      </c>
      <c r="H46" s="10">
        <v>1.9</v>
      </c>
    </row>
    <row r="47" spans="1:9" x14ac:dyDescent="0.2">
      <c r="A47" s="3">
        <f>VLOOKUP(F47,CODIGOSPLACAS!$A$1:$B$38,2,FALSE)</f>
        <v>30</v>
      </c>
      <c r="B47" s="17">
        <v>43891</v>
      </c>
      <c r="C47" s="18">
        <f t="shared" si="4"/>
        <v>3</v>
      </c>
      <c r="D47" s="18">
        <f t="shared" si="5"/>
        <v>2020</v>
      </c>
      <c r="E47" s="18" t="str">
        <f>IFERROR(VLOOKUP(F47,#REF!,3,FALSE),"")</f>
        <v/>
      </c>
      <c r="F47" s="11" t="s">
        <v>25</v>
      </c>
      <c r="G47" s="9">
        <v>4</v>
      </c>
      <c r="H47" s="10">
        <v>1.7</v>
      </c>
    </row>
    <row r="48" spans="1:9" x14ac:dyDescent="0.2">
      <c r="A48" s="3">
        <f>VLOOKUP(F48,CODIGOSPLACAS!$A$1:$B$38,2,FALSE)</f>
        <v>35</v>
      </c>
      <c r="B48" s="17">
        <v>43891</v>
      </c>
      <c r="C48" s="18">
        <f t="shared" si="4"/>
        <v>3</v>
      </c>
      <c r="D48" s="18">
        <f t="shared" si="5"/>
        <v>2020</v>
      </c>
      <c r="E48" s="18" t="str">
        <f>IFERROR(VLOOKUP(F48,#REF!,3,FALSE),"")</f>
        <v/>
      </c>
      <c r="F48" s="11" t="s">
        <v>34</v>
      </c>
      <c r="G48" s="9">
        <v>5</v>
      </c>
      <c r="H48" s="10">
        <v>2.5</v>
      </c>
    </row>
    <row r="49" spans="1:9" x14ac:dyDescent="0.2">
      <c r="C49" s="18"/>
      <c r="D49" s="18"/>
      <c r="E49" s="18" t="str">
        <f>IFERROR(VLOOKUP(F49,#REF!,3,FALSE),"")</f>
        <v/>
      </c>
      <c r="F49" s="214" t="s">
        <v>39</v>
      </c>
      <c r="G49" s="214"/>
      <c r="H49" s="214"/>
      <c r="I49" s="150"/>
    </row>
    <row r="50" spans="1:9" x14ac:dyDescent="0.2">
      <c r="A50" s="3">
        <f>VLOOKUP(F50,CODIGOSPLACAS!$A$1:$B$38,2,FALSE)</f>
        <v>1</v>
      </c>
      <c r="B50" s="17">
        <v>43922</v>
      </c>
      <c r="C50" s="18">
        <f t="shared" ref="C50:C64" si="6">MONTH(B50)</f>
        <v>4</v>
      </c>
      <c r="D50" s="18">
        <f t="shared" ref="D50:D64" si="7">YEAR(B50)</f>
        <v>2020</v>
      </c>
      <c r="E50" s="18" t="str">
        <f>IFERROR(VLOOKUP(F50,#REF!,3,FALSE),"")</f>
        <v/>
      </c>
      <c r="F50" s="6" t="s">
        <v>26</v>
      </c>
      <c r="G50" s="6">
        <v>4</v>
      </c>
      <c r="H50" s="7">
        <v>1.7</v>
      </c>
    </row>
    <row r="51" spans="1:9" x14ac:dyDescent="0.2">
      <c r="A51" s="3">
        <f>VLOOKUP(F51,CODIGOSPLACAS!$A$1:$B$38,2,FALSE)</f>
        <v>2</v>
      </c>
      <c r="B51" s="17">
        <v>43922</v>
      </c>
      <c r="C51" s="18">
        <f t="shared" si="6"/>
        <v>4</v>
      </c>
      <c r="D51" s="18">
        <f t="shared" si="7"/>
        <v>2020</v>
      </c>
      <c r="E51" s="18" t="str">
        <f>IFERROR(VLOOKUP(F51,#REF!,3,FALSE),"")</f>
        <v/>
      </c>
      <c r="F51" s="6" t="s">
        <v>24</v>
      </c>
      <c r="G51" s="6">
        <v>4</v>
      </c>
      <c r="H51" s="7">
        <v>1.7</v>
      </c>
    </row>
    <row r="52" spans="1:9" x14ac:dyDescent="0.2">
      <c r="A52" s="3">
        <f>VLOOKUP(F52,CODIGOSPLACAS!$A$1:$B$38,2,FALSE)</f>
        <v>9</v>
      </c>
      <c r="B52" s="17">
        <v>43922</v>
      </c>
      <c r="C52" s="18">
        <f t="shared" si="6"/>
        <v>4</v>
      </c>
      <c r="D52" s="18">
        <f t="shared" si="7"/>
        <v>2020</v>
      </c>
      <c r="E52" s="18" t="str">
        <f>IFERROR(VLOOKUP(F52,#REF!,3,FALSE),"")</f>
        <v/>
      </c>
      <c r="F52" s="6" t="s">
        <v>126</v>
      </c>
      <c r="G52" s="6">
        <v>4</v>
      </c>
      <c r="H52" s="7">
        <v>1.7</v>
      </c>
    </row>
    <row r="53" spans="1:9" x14ac:dyDescent="0.2">
      <c r="A53" s="3">
        <f>VLOOKUP(F53,CODIGOSPLACAS!$A$1:$B$38,2,FALSE)</f>
        <v>12</v>
      </c>
      <c r="B53" s="17">
        <v>43922</v>
      </c>
      <c r="C53" s="18">
        <f t="shared" si="6"/>
        <v>4</v>
      </c>
      <c r="D53" s="18">
        <f t="shared" si="7"/>
        <v>2020</v>
      </c>
      <c r="E53" s="18" t="str">
        <f>IFERROR(VLOOKUP(F53,#REF!,3,FALSE),"")</f>
        <v/>
      </c>
      <c r="F53" s="6" t="s">
        <v>40</v>
      </c>
      <c r="G53" s="6">
        <v>3</v>
      </c>
      <c r="H53" s="7">
        <v>1.9</v>
      </c>
    </row>
    <row r="54" spans="1:9" x14ac:dyDescent="0.2">
      <c r="A54" s="3">
        <f>VLOOKUP(F54,CODIGOSPLACAS!$A$1:$B$38,2,FALSE)</f>
        <v>13</v>
      </c>
      <c r="B54" s="17">
        <v>43922</v>
      </c>
      <c r="C54" s="18">
        <f t="shared" si="6"/>
        <v>4</v>
      </c>
      <c r="D54" s="18">
        <f t="shared" si="7"/>
        <v>2020</v>
      </c>
      <c r="E54" s="18" t="str">
        <f>IFERROR(VLOOKUP(F54,#REF!,3,FALSE),"")</f>
        <v/>
      </c>
      <c r="F54" s="6" t="s">
        <v>41</v>
      </c>
      <c r="G54" s="6">
        <v>2</v>
      </c>
      <c r="H54" s="7">
        <v>1.95</v>
      </c>
    </row>
    <row r="55" spans="1:9" x14ac:dyDescent="0.2">
      <c r="A55" s="3">
        <f>VLOOKUP(F55,CODIGOSPLACAS!$A$1:$B$38,2,FALSE)</f>
        <v>16</v>
      </c>
      <c r="B55" s="17">
        <v>43922</v>
      </c>
      <c r="C55" s="18">
        <f t="shared" si="6"/>
        <v>4</v>
      </c>
      <c r="D55" s="18">
        <f t="shared" si="7"/>
        <v>2020</v>
      </c>
      <c r="E55" s="18" t="str">
        <f>IFERROR(VLOOKUP(F55,#REF!,3,FALSE),"")</f>
        <v/>
      </c>
      <c r="F55" s="6" t="s">
        <v>130</v>
      </c>
      <c r="G55" s="6">
        <v>4</v>
      </c>
      <c r="H55" s="7">
        <v>1.7</v>
      </c>
    </row>
    <row r="56" spans="1:9" x14ac:dyDescent="0.2">
      <c r="A56" s="3">
        <f>VLOOKUP(F56,CODIGOSPLACAS!$A$1:$B$38,2,FALSE)</f>
        <v>19</v>
      </c>
      <c r="B56" s="17">
        <v>43922</v>
      </c>
      <c r="C56" s="18">
        <f t="shared" si="6"/>
        <v>4</v>
      </c>
      <c r="D56" s="18">
        <f t="shared" si="7"/>
        <v>2020</v>
      </c>
      <c r="E56" s="18" t="str">
        <f>IFERROR(VLOOKUP(F56,#REF!,3,FALSE),"")</f>
        <v/>
      </c>
      <c r="F56" s="6" t="s">
        <v>42</v>
      </c>
      <c r="G56" s="6">
        <v>1</v>
      </c>
      <c r="H56" s="7">
        <v>2.1</v>
      </c>
    </row>
    <row r="57" spans="1:9" x14ac:dyDescent="0.2">
      <c r="A57" s="3">
        <f>VLOOKUP(F57,CODIGOSPLACAS!$A$1:$B$38,2,FALSE)</f>
        <v>23</v>
      </c>
      <c r="B57" s="17">
        <v>43922</v>
      </c>
      <c r="C57" s="18">
        <f t="shared" si="6"/>
        <v>4</v>
      </c>
      <c r="D57" s="18">
        <f t="shared" si="7"/>
        <v>2020</v>
      </c>
      <c r="E57" s="18" t="str">
        <f>IFERROR(VLOOKUP(F57,#REF!,3,FALSE),"")</f>
        <v/>
      </c>
      <c r="F57" s="6" t="s">
        <v>23</v>
      </c>
      <c r="G57" s="6">
        <v>4</v>
      </c>
      <c r="H57" s="7">
        <v>1.7</v>
      </c>
    </row>
    <row r="58" spans="1:9" x14ac:dyDescent="0.2">
      <c r="A58" s="3">
        <f>VLOOKUP(F58,CODIGOSPLACAS!$A$1:$B$38,2,FALSE)</f>
        <v>33</v>
      </c>
      <c r="B58" s="17">
        <v>43922</v>
      </c>
      <c r="C58" s="18">
        <f t="shared" si="6"/>
        <v>4</v>
      </c>
      <c r="D58" s="18">
        <f t="shared" si="7"/>
        <v>2020</v>
      </c>
      <c r="E58" s="18" t="str">
        <f>IFERROR(VLOOKUP(F58,#REF!,3,FALSE),"")</f>
        <v/>
      </c>
      <c r="F58" s="6" t="s">
        <v>127</v>
      </c>
      <c r="G58" s="6">
        <v>3</v>
      </c>
      <c r="H58" s="7">
        <v>1.9</v>
      </c>
    </row>
    <row r="59" spans="1:9" x14ac:dyDescent="0.2">
      <c r="A59" s="3">
        <f>VLOOKUP(F59,CODIGOSPLACAS!$A$1:$B$38,2,FALSE)</f>
        <v>34</v>
      </c>
      <c r="B59" s="17">
        <v>43922</v>
      </c>
      <c r="C59" s="18">
        <f t="shared" si="6"/>
        <v>4</v>
      </c>
      <c r="D59" s="18">
        <f t="shared" si="7"/>
        <v>2020</v>
      </c>
      <c r="E59" s="18" t="str">
        <f>IFERROR(VLOOKUP(F59,#REF!,3,FALSE),"")</f>
        <v/>
      </c>
      <c r="F59" s="6" t="s">
        <v>22</v>
      </c>
      <c r="G59" s="6">
        <v>3</v>
      </c>
      <c r="H59" s="7">
        <v>1.9</v>
      </c>
    </row>
    <row r="60" spans="1:9" x14ac:dyDescent="0.2">
      <c r="A60" s="3">
        <f>VLOOKUP(F60,CODIGOSPLACAS!$A$1:$B$38,2,FALSE)</f>
        <v>26</v>
      </c>
      <c r="B60" s="17">
        <v>43922</v>
      </c>
      <c r="C60" s="18">
        <f t="shared" si="6"/>
        <v>4</v>
      </c>
      <c r="D60" s="18">
        <f t="shared" si="7"/>
        <v>2020</v>
      </c>
      <c r="E60" s="18" t="str">
        <f>IFERROR(VLOOKUP(F60,#REF!,3,FALSE),"")</f>
        <v/>
      </c>
      <c r="F60" s="9" t="s">
        <v>43</v>
      </c>
      <c r="G60" s="9">
        <v>2</v>
      </c>
      <c r="H60" s="10">
        <v>1.9</v>
      </c>
    </row>
    <row r="61" spans="1:9" x14ac:dyDescent="0.2">
      <c r="A61" s="3">
        <f>VLOOKUP(F61,CODIGOSPLACAS!$A$1:$B$38,2,FALSE)</f>
        <v>27</v>
      </c>
      <c r="B61" s="17">
        <v>43922</v>
      </c>
      <c r="C61" s="18">
        <f t="shared" si="6"/>
        <v>4</v>
      </c>
      <c r="D61" s="18">
        <f t="shared" si="7"/>
        <v>2020</v>
      </c>
      <c r="E61" s="18" t="str">
        <f>IFERROR(VLOOKUP(F61,#REF!,3,FALSE),"")</f>
        <v/>
      </c>
      <c r="F61" s="9" t="s">
        <v>44</v>
      </c>
      <c r="G61" s="9">
        <v>3</v>
      </c>
      <c r="H61" s="10">
        <v>1.9</v>
      </c>
    </row>
    <row r="62" spans="1:9" x14ac:dyDescent="0.2">
      <c r="A62" s="3">
        <f>VLOOKUP(F62,CODIGOSPLACAS!$A$1:$B$38,2,FALSE)</f>
        <v>28</v>
      </c>
      <c r="B62" s="17">
        <v>43922</v>
      </c>
      <c r="C62" s="18">
        <f t="shared" si="6"/>
        <v>4</v>
      </c>
      <c r="D62" s="18">
        <f t="shared" si="7"/>
        <v>2020</v>
      </c>
      <c r="E62" s="18" t="str">
        <f>IFERROR(VLOOKUP(F62,#REF!,3,FALSE),"")</f>
        <v/>
      </c>
      <c r="F62" s="11" t="s">
        <v>45</v>
      </c>
      <c r="G62" s="9">
        <v>3</v>
      </c>
      <c r="H62" s="10">
        <v>1.9</v>
      </c>
    </row>
    <row r="63" spans="1:9" x14ac:dyDescent="0.2">
      <c r="A63" s="3">
        <f>VLOOKUP(F63,CODIGOSPLACAS!$A$1:$B$38,2,FALSE)</f>
        <v>30</v>
      </c>
      <c r="B63" s="17">
        <v>43922</v>
      </c>
      <c r="C63" s="18">
        <f t="shared" si="6"/>
        <v>4</v>
      </c>
      <c r="D63" s="18">
        <f t="shared" si="7"/>
        <v>2020</v>
      </c>
      <c r="E63" s="18" t="str">
        <f>IFERROR(VLOOKUP(F63,#REF!,3,FALSE),"")</f>
        <v/>
      </c>
      <c r="F63" s="11" t="s">
        <v>25</v>
      </c>
      <c r="G63" s="9">
        <v>4</v>
      </c>
      <c r="H63" s="10">
        <v>1.7</v>
      </c>
    </row>
    <row r="64" spans="1:9" x14ac:dyDescent="0.2">
      <c r="A64" s="3">
        <f>VLOOKUP(F64,CODIGOSPLACAS!$A$1:$B$38,2,FALSE)</f>
        <v>35</v>
      </c>
      <c r="B64" s="17">
        <v>43922</v>
      </c>
      <c r="C64" s="18">
        <f t="shared" si="6"/>
        <v>4</v>
      </c>
      <c r="D64" s="18">
        <f t="shared" si="7"/>
        <v>2020</v>
      </c>
      <c r="E64" s="18" t="str">
        <f>IFERROR(VLOOKUP(F64,#REF!,3,FALSE),"")</f>
        <v/>
      </c>
      <c r="F64" s="11" t="s">
        <v>34</v>
      </c>
      <c r="G64" s="9">
        <v>5</v>
      </c>
      <c r="H64" s="10">
        <v>2.5</v>
      </c>
    </row>
    <row r="65" spans="1:9" x14ac:dyDescent="0.2">
      <c r="C65" s="18"/>
      <c r="D65" s="18"/>
      <c r="E65" s="18" t="str">
        <f>IFERROR(VLOOKUP(F65,#REF!,3,FALSE),"")</f>
        <v/>
      </c>
      <c r="F65" s="214" t="s">
        <v>39</v>
      </c>
      <c r="G65" s="214"/>
      <c r="H65" s="214"/>
      <c r="I65" s="150"/>
    </row>
    <row r="66" spans="1:9" x14ac:dyDescent="0.2">
      <c r="A66" s="3">
        <f>VLOOKUP(F66,CODIGOSPLACAS!$A$1:$B$38,2,FALSE)</f>
        <v>1</v>
      </c>
      <c r="B66" s="17">
        <v>43952</v>
      </c>
      <c r="C66" s="18">
        <f t="shared" ref="C66:C80" si="8">MONTH(B66)</f>
        <v>5</v>
      </c>
      <c r="D66" s="18">
        <f t="shared" ref="D66:D80" si="9">YEAR(B66)</f>
        <v>2020</v>
      </c>
      <c r="E66" s="18" t="str">
        <f>IFERROR(VLOOKUP(F66,#REF!,3,FALSE),"")</f>
        <v/>
      </c>
      <c r="F66" s="6" t="s">
        <v>26</v>
      </c>
      <c r="G66" s="6">
        <v>4</v>
      </c>
      <c r="H66" s="7">
        <v>1.7</v>
      </c>
    </row>
    <row r="67" spans="1:9" x14ac:dyDescent="0.2">
      <c r="A67" s="3">
        <f>VLOOKUP(F67,CODIGOSPLACAS!$A$1:$B$38,2,FALSE)</f>
        <v>2</v>
      </c>
      <c r="B67" s="17">
        <v>43952</v>
      </c>
      <c r="C67" s="18">
        <f t="shared" si="8"/>
        <v>5</v>
      </c>
      <c r="D67" s="18">
        <f t="shared" si="9"/>
        <v>2020</v>
      </c>
      <c r="E67" s="18" t="str">
        <f>IFERROR(VLOOKUP(F67,#REF!,3,FALSE),"")</f>
        <v/>
      </c>
      <c r="F67" s="6" t="s">
        <v>24</v>
      </c>
      <c r="G67" s="6">
        <v>4</v>
      </c>
      <c r="H67" s="7">
        <v>1.7</v>
      </c>
    </row>
    <row r="68" spans="1:9" x14ac:dyDescent="0.2">
      <c r="A68" s="3">
        <f>VLOOKUP(F68,CODIGOSPLACAS!$A$1:$B$38,2,FALSE)</f>
        <v>9</v>
      </c>
      <c r="B68" s="17">
        <v>43952</v>
      </c>
      <c r="C68" s="18">
        <f t="shared" si="8"/>
        <v>5</v>
      </c>
      <c r="D68" s="18">
        <f t="shared" si="9"/>
        <v>2020</v>
      </c>
      <c r="E68" s="18" t="str">
        <f>IFERROR(VLOOKUP(F68,#REF!,3,FALSE),"")</f>
        <v/>
      </c>
      <c r="F68" s="6" t="s">
        <v>126</v>
      </c>
      <c r="G68" s="6">
        <v>4</v>
      </c>
      <c r="H68" s="7">
        <v>1.7</v>
      </c>
    </row>
    <row r="69" spans="1:9" x14ac:dyDescent="0.2">
      <c r="A69" s="3">
        <f>VLOOKUP(F69,CODIGOSPLACAS!$A$1:$B$38,2,FALSE)</f>
        <v>12</v>
      </c>
      <c r="B69" s="17">
        <v>43952</v>
      </c>
      <c r="C69" s="18">
        <f t="shared" si="8"/>
        <v>5</v>
      </c>
      <c r="D69" s="18">
        <f t="shared" si="9"/>
        <v>2020</v>
      </c>
      <c r="E69" s="18" t="str">
        <f>IFERROR(VLOOKUP(F69,#REF!,3,FALSE),"")</f>
        <v/>
      </c>
      <c r="F69" s="6" t="s">
        <v>40</v>
      </c>
      <c r="G69" s="6">
        <v>3</v>
      </c>
      <c r="H69" s="7">
        <v>1.9</v>
      </c>
    </row>
    <row r="70" spans="1:9" x14ac:dyDescent="0.2">
      <c r="A70" s="3">
        <f>VLOOKUP(F70,CODIGOSPLACAS!$A$1:$B$38,2,FALSE)</f>
        <v>13</v>
      </c>
      <c r="B70" s="17">
        <v>43952</v>
      </c>
      <c r="C70" s="18">
        <f t="shared" si="8"/>
        <v>5</v>
      </c>
      <c r="D70" s="18">
        <f t="shared" si="9"/>
        <v>2020</v>
      </c>
      <c r="E70" s="18" t="str">
        <f>IFERROR(VLOOKUP(F70,#REF!,3,FALSE),"")</f>
        <v/>
      </c>
      <c r="F70" s="6" t="s">
        <v>41</v>
      </c>
      <c r="G70" s="6">
        <v>1</v>
      </c>
      <c r="H70" s="7">
        <v>2.1</v>
      </c>
    </row>
    <row r="71" spans="1:9" x14ac:dyDescent="0.2">
      <c r="A71" s="3">
        <f>VLOOKUP(F71,CODIGOSPLACAS!$A$1:$B$38,2,FALSE)</f>
        <v>16</v>
      </c>
      <c r="B71" s="17">
        <v>43952</v>
      </c>
      <c r="C71" s="18">
        <f t="shared" si="8"/>
        <v>5</v>
      </c>
      <c r="D71" s="18">
        <f t="shared" si="9"/>
        <v>2020</v>
      </c>
      <c r="E71" s="18" t="str">
        <f>IFERROR(VLOOKUP(F71,#REF!,3,FALSE),"")</f>
        <v/>
      </c>
      <c r="F71" s="6" t="s">
        <v>130</v>
      </c>
      <c r="G71" s="6">
        <v>4</v>
      </c>
      <c r="H71" s="7">
        <v>1.7</v>
      </c>
    </row>
    <row r="72" spans="1:9" x14ac:dyDescent="0.2">
      <c r="A72" s="3">
        <f>VLOOKUP(F72,CODIGOSPLACAS!$A$1:$B$38,2,FALSE)</f>
        <v>19</v>
      </c>
      <c r="B72" s="17">
        <v>43952</v>
      </c>
      <c r="C72" s="18">
        <f t="shared" si="8"/>
        <v>5</v>
      </c>
      <c r="D72" s="18">
        <f t="shared" si="9"/>
        <v>2020</v>
      </c>
      <c r="E72" s="18" t="str">
        <f>IFERROR(VLOOKUP(F72,#REF!,3,FALSE),"")</f>
        <v/>
      </c>
      <c r="F72" s="6" t="s">
        <v>42</v>
      </c>
      <c r="G72" s="6">
        <v>1</v>
      </c>
      <c r="H72" s="7">
        <v>2.1</v>
      </c>
    </row>
    <row r="73" spans="1:9" x14ac:dyDescent="0.2">
      <c r="A73" s="3">
        <f>VLOOKUP(F73,CODIGOSPLACAS!$A$1:$B$38,2,FALSE)</f>
        <v>23</v>
      </c>
      <c r="B73" s="17">
        <v>43952</v>
      </c>
      <c r="C73" s="18">
        <f t="shared" si="8"/>
        <v>5</v>
      </c>
      <c r="D73" s="18">
        <f t="shared" si="9"/>
        <v>2020</v>
      </c>
      <c r="E73" s="18" t="str">
        <f>IFERROR(VLOOKUP(F73,#REF!,3,FALSE),"")</f>
        <v/>
      </c>
      <c r="F73" s="6" t="s">
        <v>23</v>
      </c>
      <c r="G73" s="6">
        <v>4</v>
      </c>
      <c r="H73" s="7">
        <v>1.7</v>
      </c>
    </row>
    <row r="74" spans="1:9" x14ac:dyDescent="0.2">
      <c r="A74" s="3">
        <f>VLOOKUP(F74,CODIGOSPLACAS!$A$1:$B$38,2,FALSE)</f>
        <v>33</v>
      </c>
      <c r="B74" s="17">
        <v>43952</v>
      </c>
      <c r="C74" s="18">
        <f t="shared" si="8"/>
        <v>5</v>
      </c>
      <c r="D74" s="18">
        <f t="shared" si="9"/>
        <v>2020</v>
      </c>
      <c r="E74" s="18" t="str">
        <f>IFERROR(VLOOKUP(F74,#REF!,3,FALSE),"")</f>
        <v/>
      </c>
      <c r="F74" s="6" t="s">
        <v>127</v>
      </c>
      <c r="G74" s="6">
        <v>3</v>
      </c>
      <c r="H74" s="7">
        <v>1.9</v>
      </c>
    </row>
    <row r="75" spans="1:9" x14ac:dyDescent="0.2">
      <c r="A75" s="3">
        <f>VLOOKUP(F75,CODIGOSPLACAS!$A$1:$B$38,2,FALSE)</f>
        <v>34</v>
      </c>
      <c r="B75" s="17">
        <v>43952</v>
      </c>
      <c r="C75" s="18">
        <f t="shared" si="8"/>
        <v>5</v>
      </c>
      <c r="D75" s="18">
        <f t="shared" si="9"/>
        <v>2020</v>
      </c>
      <c r="E75" s="18" t="str">
        <f>IFERROR(VLOOKUP(F75,#REF!,3,FALSE),"")</f>
        <v/>
      </c>
      <c r="F75" s="6" t="s">
        <v>22</v>
      </c>
      <c r="G75" s="6">
        <v>3</v>
      </c>
      <c r="H75" s="7">
        <v>1.9</v>
      </c>
    </row>
    <row r="76" spans="1:9" x14ac:dyDescent="0.2">
      <c r="A76" s="3">
        <f>VLOOKUP(F76,CODIGOSPLACAS!$A$1:$B$38,2,FALSE)</f>
        <v>26</v>
      </c>
      <c r="B76" s="17">
        <v>43952</v>
      </c>
      <c r="C76" s="18">
        <f t="shared" si="8"/>
        <v>5</v>
      </c>
      <c r="D76" s="18">
        <f t="shared" si="9"/>
        <v>2020</v>
      </c>
      <c r="E76" s="18" t="str">
        <f>IFERROR(VLOOKUP(F76,#REF!,3,FALSE),"")</f>
        <v/>
      </c>
      <c r="F76" s="9" t="s">
        <v>43</v>
      </c>
      <c r="G76" s="9">
        <v>2</v>
      </c>
      <c r="H76" s="10">
        <v>1.9</v>
      </c>
    </row>
    <row r="77" spans="1:9" x14ac:dyDescent="0.2">
      <c r="A77" s="3">
        <f>VLOOKUP(F77,CODIGOSPLACAS!$A$1:$B$38,2,FALSE)</f>
        <v>27</v>
      </c>
      <c r="B77" s="17">
        <v>43952</v>
      </c>
      <c r="C77" s="18">
        <f t="shared" si="8"/>
        <v>5</v>
      </c>
      <c r="D77" s="18">
        <f t="shared" si="9"/>
        <v>2020</v>
      </c>
      <c r="E77" s="18" t="str">
        <f>IFERROR(VLOOKUP(F77,#REF!,3,FALSE),"")</f>
        <v/>
      </c>
      <c r="F77" s="9" t="s">
        <v>44</v>
      </c>
      <c r="G77" s="9">
        <v>3</v>
      </c>
      <c r="H77" s="10">
        <v>1.9</v>
      </c>
    </row>
    <row r="78" spans="1:9" x14ac:dyDescent="0.2">
      <c r="A78" s="3">
        <f>VLOOKUP(F78,CODIGOSPLACAS!$A$1:$B$38,2,FALSE)</f>
        <v>28</v>
      </c>
      <c r="B78" s="17">
        <v>43952</v>
      </c>
      <c r="C78" s="18">
        <f t="shared" si="8"/>
        <v>5</v>
      </c>
      <c r="D78" s="18">
        <f t="shared" si="9"/>
        <v>2020</v>
      </c>
      <c r="E78" s="18" t="str">
        <f>IFERROR(VLOOKUP(F78,#REF!,3,FALSE),"")</f>
        <v/>
      </c>
      <c r="F78" s="11" t="s">
        <v>45</v>
      </c>
      <c r="G78" s="9">
        <v>3</v>
      </c>
      <c r="H78" s="10">
        <v>1.9</v>
      </c>
    </row>
    <row r="79" spans="1:9" x14ac:dyDescent="0.2">
      <c r="A79" s="3">
        <f>VLOOKUP(F79,CODIGOSPLACAS!$A$1:$B$38,2,FALSE)</f>
        <v>30</v>
      </c>
      <c r="B79" s="17">
        <v>43952</v>
      </c>
      <c r="C79" s="18">
        <f t="shared" si="8"/>
        <v>5</v>
      </c>
      <c r="D79" s="18">
        <f t="shared" si="9"/>
        <v>2020</v>
      </c>
      <c r="E79" s="18" t="str">
        <f>IFERROR(VLOOKUP(F79,#REF!,3,FALSE),"")</f>
        <v/>
      </c>
      <c r="F79" s="11" t="s">
        <v>25</v>
      </c>
      <c r="G79" s="9">
        <v>4</v>
      </c>
      <c r="H79" s="10">
        <v>1.7</v>
      </c>
    </row>
    <row r="80" spans="1:9" x14ac:dyDescent="0.2">
      <c r="A80" s="3">
        <f>VLOOKUP(F80,CODIGOSPLACAS!$A$1:$B$38,2,FALSE)</f>
        <v>35</v>
      </c>
      <c r="B80" s="17">
        <v>43952</v>
      </c>
      <c r="C80" s="18">
        <f t="shared" si="8"/>
        <v>5</v>
      </c>
      <c r="D80" s="18">
        <f t="shared" si="9"/>
        <v>2020</v>
      </c>
      <c r="E80" s="18" t="str">
        <f>IFERROR(VLOOKUP(F80,#REF!,3,FALSE),"")</f>
        <v/>
      </c>
      <c r="F80" s="11" t="s">
        <v>34</v>
      </c>
      <c r="G80" s="9">
        <v>5</v>
      </c>
      <c r="H80" s="10">
        <v>2.5</v>
      </c>
    </row>
    <row r="81" spans="1:9" x14ac:dyDescent="0.2">
      <c r="C81" s="18"/>
      <c r="D81" s="18"/>
      <c r="E81" s="18" t="str">
        <f>IFERROR(VLOOKUP(F81,#REF!,3,FALSE),"")</f>
        <v/>
      </c>
      <c r="F81" s="214" t="s">
        <v>39</v>
      </c>
      <c r="G81" s="214"/>
      <c r="H81" s="214"/>
      <c r="I81" s="150"/>
    </row>
    <row r="82" spans="1:9" x14ac:dyDescent="0.2">
      <c r="A82" s="3">
        <f>VLOOKUP(F82,CODIGOSPLACAS!$A$1:$B$38,2,FALSE)</f>
        <v>1</v>
      </c>
      <c r="B82" s="17">
        <v>43983</v>
      </c>
      <c r="C82" s="18">
        <f t="shared" ref="C82:C96" si="10">MONTH(B82)</f>
        <v>6</v>
      </c>
      <c r="D82" s="18">
        <f t="shared" ref="D82:D96" si="11">YEAR(B82)</f>
        <v>2020</v>
      </c>
      <c r="E82" s="18" t="str">
        <f>IFERROR(VLOOKUP(F82,#REF!,3,FALSE),"")</f>
        <v/>
      </c>
      <c r="F82" s="6" t="s">
        <v>26</v>
      </c>
      <c r="G82" s="6">
        <v>4</v>
      </c>
      <c r="H82" s="7">
        <v>1.7</v>
      </c>
    </row>
    <row r="83" spans="1:9" x14ac:dyDescent="0.2">
      <c r="A83" s="3">
        <f>VLOOKUP(F83,CODIGOSPLACAS!$A$1:$B$38,2,FALSE)</f>
        <v>2</v>
      </c>
      <c r="B83" s="17">
        <v>43983</v>
      </c>
      <c r="C83" s="18">
        <f t="shared" si="10"/>
        <v>6</v>
      </c>
      <c r="D83" s="18">
        <f t="shared" si="11"/>
        <v>2020</v>
      </c>
      <c r="E83" s="18" t="str">
        <f>IFERROR(VLOOKUP(F83,#REF!,3,FALSE),"")</f>
        <v/>
      </c>
      <c r="F83" s="6" t="s">
        <v>24</v>
      </c>
      <c r="G83" s="6">
        <v>4</v>
      </c>
      <c r="H83" s="7">
        <v>1.7</v>
      </c>
    </row>
    <row r="84" spans="1:9" x14ac:dyDescent="0.2">
      <c r="A84" s="3">
        <f>VLOOKUP(F84,CODIGOSPLACAS!$A$1:$B$38,2,FALSE)</f>
        <v>9</v>
      </c>
      <c r="B84" s="17">
        <v>43983</v>
      </c>
      <c r="C84" s="18">
        <f t="shared" si="10"/>
        <v>6</v>
      </c>
      <c r="D84" s="18">
        <f t="shared" si="11"/>
        <v>2020</v>
      </c>
      <c r="E84" s="18" t="str">
        <f>IFERROR(VLOOKUP(F84,#REF!,3,FALSE),"")</f>
        <v/>
      </c>
      <c r="F84" s="6" t="s">
        <v>126</v>
      </c>
      <c r="G84" s="6">
        <v>4</v>
      </c>
      <c r="H84" s="7">
        <v>1.7</v>
      </c>
    </row>
    <row r="85" spans="1:9" x14ac:dyDescent="0.2">
      <c r="A85" s="3">
        <f>VLOOKUP(F85,CODIGOSPLACAS!$A$1:$B$38,2,FALSE)</f>
        <v>12</v>
      </c>
      <c r="B85" s="17">
        <v>43983</v>
      </c>
      <c r="C85" s="18">
        <f t="shared" si="10"/>
        <v>6</v>
      </c>
      <c r="D85" s="18">
        <f t="shared" si="11"/>
        <v>2020</v>
      </c>
      <c r="E85" s="18" t="str">
        <f>IFERROR(VLOOKUP(F85,#REF!,3,FALSE),"")</f>
        <v/>
      </c>
      <c r="F85" s="6" t="s">
        <v>40</v>
      </c>
      <c r="G85" s="6">
        <v>3</v>
      </c>
      <c r="H85" s="7">
        <v>1.9</v>
      </c>
    </row>
    <row r="86" spans="1:9" x14ac:dyDescent="0.2">
      <c r="A86" s="3">
        <f>VLOOKUP(F86,CODIGOSPLACAS!$A$1:$B$38,2,FALSE)</f>
        <v>13</v>
      </c>
      <c r="B86" s="17">
        <v>43983</v>
      </c>
      <c r="C86" s="18">
        <f t="shared" si="10"/>
        <v>6</v>
      </c>
      <c r="D86" s="18">
        <f t="shared" si="11"/>
        <v>2020</v>
      </c>
      <c r="E86" s="18" t="str">
        <f>IFERROR(VLOOKUP(F86,#REF!,3,FALSE),"")</f>
        <v/>
      </c>
      <c r="F86" s="6" t="s">
        <v>41</v>
      </c>
      <c r="G86" s="6">
        <v>2</v>
      </c>
      <c r="H86" s="7">
        <v>1.9</v>
      </c>
    </row>
    <row r="87" spans="1:9" x14ac:dyDescent="0.2">
      <c r="A87" s="3">
        <f>VLOOKUP(F87,CODIGOSPLACAS!$A$1:$B$38,2,FALSE)</f>
        <v>16</v>
      </c>
      <c r="B87" s="17">
        <v>43983</v>
      </c>
      <c r="C87" s="18">
        <f t="shared" si="10"/>
        <v>6</v>
      </c>
      <c r="D87" s="18">
        <f t="shared" si="11"/>
        <v>2020</v>
      </c>
      <c r="E87" s="18" t="str">
        <f>IFERROR(VLOOKUP(F87,#REF!,3,FALSE),"")</f>
        <v/>
      </c>
      <c r="F87" s="6" t="s">
        <v>130</v>
      </c>
      <c r="G87" s="6">
        <v>4</v>
      </c>
      <c r="H87" s="7">
        <v>1.7</v>
      </c>
    </row>
    <row r="88" spans="1:9" x14ac:dyDescent="0.2">
      <c r="A88" s="3">
        <f>VLOOKUP(F88,CODIGOSPLACAS!$A$1:$B$38,2,FALSE)</f>
        <v>19</v>
      </c>
      <c r="B88" s="17">
        <v>43983</v>
      </c>
      <c r="C88" s="18">
        <f t="shared" si="10"/>
        <v>6</v>
      </c>
      <c r="D88" s="18">
        <f t="shared" si="11"/>
        <v>2020</v>
      </c>
      <c r="E88" s="18" t="str">
        <f>IFERROR(VLOOKUP(F88,#REF!,3,FALSE),"")</f>
        <v/>
      </c>
      <c r="F88" s="6" t="s">
        <v>42</v>
      </c>
      <c r="G88" s="6">
        <v>1</v>
      </c>
      <c r="H88" s="7">
        <v>2.1</v>
      </c>
    </row>
    <row r="89" spans="1:9" x14ac:dyDescent="0.2">
      <c r="A89" s="3">
        <f>VLOOKUP(F89,CODIGOSPLACAS!$A$1:$B$38,2,FALSE)</f>
        <v>23</v>
      </c>
      <c r="B89" s="17">
        <v>43983</v>
      </c>
      <c r="C89" s="18">
        <f t="shared" si="10"/>
        <v>6</v>
      </c>
      <c r="D89" s="18">
        <f t="shared" si="11"/>
        <v>2020</v>
      </c>
      <c r="E89" s="18" t="str">
        <f>IFERROR(VLOOKUP(F89,#REF!,3,FALSE),"")</f>
        <v/>
      </c>
      <c r="F89" s="6" t="s">
        <v>23</v>
      </c>
      <c r="G89" s="6">
        <v>4</v>
      </c>
      <c r="H89" s="7">
        <v>1.7</v>
      </c>
    </row>
    <row r="90" spans="1:9" x14ac:dyDescent="0.2">
      <c r="A90" s="3">
        <f>VLOOKUP(F90,CODIGOSPLACAS!$A$1:$B$38,2,FALSE)</f>
        <v>33</v>
      </c>
      <c r="B90" s="17">
        <v>43983</v>
      </c>
      <c r="C90" s="18">
        <f t="shared" si="10"/>
        <v>6</v>
      </c>
      <c r="D90" s="18">
        <f t="shared" si="11"/>
        <v>2020</v>
      </c>
      <c r="E90" s="18" t="str">
        <f>IFERROR(VLOOKUP(F90,#REF!,3,FALSE),"")</f>
        <v/>
      </c>
      <c r="F90" s="6" t="s">
        <v>127</v>
      </c>
      <c r="G90" s="6">
        <v>3</v>
      </c>
      <c r="H90" s="7">
        <v>1.9</v>
      </c>
    </row>
    <row r="91" spans="1:9" x14ac:dyDescent="0.2">
      <c r="A91" s="3">
        <f>VLOOKUP(F91,CODIGOSPLACAS!$A$1:$B$38,2,FALSE)</f>
        <v>34</v>
      </c>
      <c r="B91" s="17">
        <v>43983</v>
      </c>
      <c r="C91" s="18">
        <f t="shared" si="10"/>
        <v>6</v>
      </c>
      <c r="D91" s="18">
        <f t="shared" si="11"/>
        <v>2020</v>
      </c>
      <c r="E91" s="18" t="str">
        <f>IFERROR(VLOOKUP(F91,#REF!,3,FALSE),"")</f>
        <v/>
      </c>
      <c r="F91" s="6" t="s">
        <v>22</v>
      </c>
      <c r="G91" s="6">
        <v>3</v>
      </c>
      <c r="H91" s="7">
        <v>1.9</v>
      </c>
    </row>
    <row r="92" spans="1:9" x14ac:dyDescent="0.2">
      <c r="A92" s="3">
        <f>VLOOKUP(F92,CODIGOSPLACAS!$A$1:$B$38,2,FALSE)</f>
        <v>26</v>
      </c>
      <c r="B92" s="17">
        <v>43983</v>
      </c>
      <c r="C92" s="18">
        <f t="shared" si="10"/>
        <v>6</v>
      </c>
      <c r="D92" s="18">
        <f t="shared" si="11"/>
        <v>2020</v>
      </c>
      <c r="E92" s="18" t="str">
        <f>IFERROR(VLOOKUP(F92,#REF!,3,FALSE),"")</f>
        <v/>
      </c>
      <c r="F92" s="9" t="s">
        <v>43</v>
      </c>
      <c r="G92" s="9">
        <v>2</v>
      </c>
      <c r="H92" s="10">
        <v>1.9</v>
      </c>
    </row>
    <row r="93" spans="1:9" x14ac:dyDescent="0.2">
      <c r="A93" s="3">
        <f>VLOOKUP(F93,CODIGOSPLACAS!$A$1:$B$38,2,FALSE)</f>
        <v>27</v>
      </c>
      <c r="B93" s="17">
        <v>43983</v>
      </c>
      <c r="C93" s="18">
        <f t="shared" si="10"/>
        <v>6</v>
      </c>
      <c r="D93" s="18">
        <f t="shared" si="11"/>
        <v>2020</v>
      </c>
      <c r="E93" s="18" t="str">
        <f>IFERROR(VLOOKUP(F93,#REF!,3,FALSE),"")</f>
        <v/>
      </c>
      <c r="F93" s="9" t="s">
        <v>44</v>
      </c>
      <c r="G93" s="9">
        <v>3</v>
      </c>
      <c r="H93" s="10">
        <v>1.9</v>
      </c>
    </row>
    <row r="94" spans="1:9" x14ac:dyDescent="0.2">
      <c r="A94" s="3">
        <f>VLOOKUP(F94,CODIGOSPLACAS!$A$1:$B$38,2,FALSE)</f>
        <v>28</v>
      </c>
      <c r="B94" s="17">
        <v>43983</v>
      </c>
      <c r="C94" s="18">
        <f t="shared" si="10"/>
        <v>6</v>
      </c>
      <c r="D94" s="18">
        <f t="shared" si="11"/>
        <v>2020</v>
      </c>
      <c r="E94" s="18" t="str">
        <f>IFERROR(VLOOKUP(F94,#REF!,3,FALSE),"")</f>
        <v/>
      </c>
      <c r="F94" s="11" t="s">
        <v>45</v>
      </c>
      <c r="G94" s="9">
        <v>3</v>
      </c>
      <c r="H94" s="10">
        <v>1.9</v>
      </c>
    </row>
    <row r="95" spans="1:9" x14ac:dyDescent="0.2">
      <c r="A95" s="3">
        <f>VLOOKUP(F95,CODIGOSPLACAS!$A$1:$B$38,2,FALSE)</f>
        <v>30</v>
      </c>
      <c r="B95" s="17">
        <v>43983</v>
      </c>
      <c r="C95" s="18">
        <f t="shared" si="10"/>
        <v>6</v>
      </c>
      <c r="D95" s="18">
        <f t="shared" si="11"/>
        <v>2020</v>
      </c>
      <c r="E95" s="18" t="str">
        <f>IFERROR(VLOOKUP(F95,#REF!,3,FALSE),"")</f>
        <v/>
      </c>
      <c r="F95" s="11" t="s">
        <v>25</v>
      </c>
      <c r="G95" s="9">
        <v>4</v>
      </c>
      <c r="H95" s="10">
        <v>1.7</v>
      </c>
    </row>
    <row r="96" spans="1:9" x14ac:dyDescent="0.2">
      <c r="A96" s="3">
        <f>VLOOKUP(F96,CODIGOSPLACAS!$A$1:$B$38,2,FALSE)</f>
        <v>35</v>
      </c>
      <c r="B96" s="17">
        <v>43983</v>
      </c>
      <c r="C96" s="18">
        <f t="shared" si="10"/>
        <v>6</v>
      </c>
      <c r="D96" s="18">
        <f t="shared" si="11"/>
        <v>2020</v>
      </c>
      <c r="E96" s="18" t="str">
        <f>IFERROR(VLOOKUP(F96,#REF!,3,FALSE),"")</f>
        <v/>
      </c>
      <c r="F96" s="11" t="s">
        <v>34</v>
      </c>
      <c r="G96" s="9">
        <v>5</v>
      </c>
      <c r="H96" s="10">
        <v>2.5</v>
      </c>
    </row>
    <row r="97" spans="1:9" x14ac:dyDescent="0.2">
      <c r="C97" s="18"/>
      <c r="D97" s="18"/>
      <c r="E97" s="18" t="str">
        <f>IFERROR(VLOOKUP(F97,#REF!,3,FALSE),"")</f>
        <v/>
      </c>
      <c r="F97" s="214" t="s">
        <v>39</v>
      </c>
      <c r="G97" s="214"/>
      <c r="H97" s="214"/>
      <c r="I97" s="150"/>
    </row>
    <row r="98" spans="1:9" x14ac:dyDescent="0.2">
      <c r="A98" s="3">
        <f>VLOOKUP(F98,CODIGOSPLACAS!$A$1:$B$38,2,FALSE)</f>
        <v>1</v>
      </c>
      <c r="B98" s="17">
        <v>44013</v>
      </c>
      <c r="C98" s="18">
        <f t="shared" ref="C98:C112" si="12">MONTH(B98)</f>
        <v>7</v>
      </c>
      <c r="D98" s="18">
        <f t="shared" ref="D98:D112" si="13">YEAR(B98)</f>
        <v>2020</v>
      </c>
      <c r="E98" s="18" t="str">
        <f>IFERROR(VLOOKUP(F98,#REF!,3,FALSE),"")</f>
        <v/>
      </c>
      <c r="F98" s="6" t="s">
        <v>26</v>
      </c>
      <c r="G98" s="6">
        <v>4</v>
      </c>
      <c r="H98" s="7">
        <v>1.7</v>
      </c>
    </row>
    <row r="99" spans="1:9" x14ac:dyDescent="0.2">
      <c r="A99" s="3">
        <f>VLOOKUP(F99,CODIGOSPLACAS!$A$1:$B$38,2,FALSE)</f>
        <v>2</v>
      </c>
      <c r="B99" s="17">
        <v>44013</v>
      </c>
      <c r="C99" s="18">
        <f t="shared" si="12"/>
        <v>7</v>
      </c>
      <c r="D99" s="18">
        <f t="shared" si="13"/>
        <v>2020</v>
      </c>
      <c r="E99" s="18" t="str">
        <f>IFERROR(VLOOKUP(F99,#REF!,3,FALSE),"")</f>
        <v/>
      </c>
      <c r="F99" s="6" t="s">
        <v>24</v>
      </c>
      <c r="G99" s="6">
        <v>4</v>
      </c>
      <c r="H99" s="7">
        <v>1.7</v>
      </c>
    </row>
    <row r="100" spans="1:9" x14ac:dyDescent="0.2">
      <c r="A100" s="3">
        <f>VLOOKUP(F100,CODIGOSPLACAS!$A$1:$B$38,2,FALSE)</f>
        <v>9</v>
      </c>
      <c r="B100" s="17">
        <v>44013</v>
      </c>
      <c r="C100" s="18">
        <f t="shared" si="12"/>
        <v>7</v>
      </c>
      <c r="D100" s="18">
        <f t="shared" si="13"/>
        <v>2020</v>
      </c>
      <c r="E100" s="18" t="str">
        <f>IFERROR(VLOOKUP(F100,#REF!,3,FALSE),"")</f>
        <v/>
      </c>
      <c r="F100" s="6" t="s">
        <v>126</v>
      </c>
      <c r="G100" s="6">
        <v>4</v>
      </c>
      <c r="H100" s="7">
        <v>1.7</v>
      </c>
    </row>
    <row r="101" spans="1:9" x14ac:dyDescent="0.2">
      <c r="A101" s="3">
        <f>VLOOKUP(F101,CODIGOSPLACAS!$A$1:$B$38,2,FALSE)</f>
        <v>12</v>
      </c>
      <c r="B101" s="17">
        <v>44013</v>
      </c>
      <c r="C101" s="18">
        <f t="shared" si="12"/>
        <v>7</v>
      </c>
      <c r="D101" s="18">
        <f t="shared" si="13"/>
        <v>2020</v>
      </c>
      <c r="E101" s="18" t="str">
        <f>IFERROR(VLOOKUP(F101,#REF!,3,FALSE),"")</f>
        <v/>
      </c>
      <c r="F101" s="6" t="s">
        <v>40</v>
      </c>
      <c r="G101" s="6">
        <v>3</v>
      </c>
      <c r="H101" s="7">
        <v>1.9</v>
      </c>
    </row>
    <row r="102" spans="1:9" x14ac:dyDescent="0.2">
      <c r="A102" s="3">
        <f>VLOOKUP(F102,CODIGOSPLACAS!$A$1:$B$38,2,FALSE)</f>
        <v>13</v>
      </c>
      <c r="B102" s="17">
        <v>44013</v>
      </c>
      <c r="C102" s="18">
        <f t="shared" si="12"/>
        <v>7</v>
      </c>
      <c r="D102" s="18">
        <f t="shared" si="13"/>
        <v>2020</v>
      </c>
      <c r="E102" s="18" t="str">
        <f>IFERROR(VLOOKUP(F102,#REF!,3,FALSE),"")</f>
        <v/>
      </c>
      <c r="F102" s="6" t="s">
        <v>41</v>
      </c>
      <c r="G102" s="6">
        <v>2</v>
      </c>
      <c r="H102" s="7">
        <v>1.9</v>
      </c>
    </row>
    <row r="103" spans="1:9" x14ac:dyDescent="0.2">
      <c r="A103" s="3">
        <f>VLOOKUP(F103,CODIGOSPLACAS!$A$1:$B$38,2,FALSE)</f>
        <v>16</v>
      </c>
      <c r="B103" s="17">
        <v>44013</v>
      </c>
      <c r="C103" s="18">
        <f t="shared" si="12"/>
        <v>7</v>
      </c>
      <c r="D103" s="18">
        <f t="shared" si="13"/>
        <v>2020</v>
      </c>
      <c r="E103" s="18" t="str">
        <f>IFERROR(VLOOKUP(F103,#REF!,3,FALSE),"")</f>
        <v/>
      </c>
      <c r="F103" s="6" t="s">
        <v>130</v>
      </c>
      <c r="G103" s="6">
        <v>4</v>
      </c>
      <c r="H103" s="7">
        <v>1.7</v>
      </c>
    </row>
    <row r="104" spans="1:9" x14ac:dyDescent="0.2">
      <c r="A104" s="3">
        <f>VLOOKUP(F104,CODIGOSPLACAS!$A$1:$B$38,2,FALSE)</f>
        <v>19</v>
      </c>
      <c r="B104" s="17">
        <v>44013</v>
      </c>
      <c r="C104" s="18">
        <f t="shared" si="12"/>
        <v>7</v>
      </c>
      <c r="D104" s="18">
        <f t="shared" si="13"/>
        <v>2020</v>
      </c>
      <c r="E104" s="18" t="str">
        <f>IFERROR(VLOOKUP(F104,#REF!,3,FALSE),"")</f>
        <v/>
      </c>
      <c r="F104" s="6" t="s">
        <v>42</v>
      </c>
      <c r="G104" s="6">
        <v>3</v>
      </c>
      <c r="H104" s="7">
        <v>1.9</v>
      </c>
    </row>
    <row r="105" spans="1:9" x14ac:dyDescent="0.2">
      <c r="A105" s="3">
        <f>VLOOKUP(F105,CODIGOSPLACAS!$A$1:$B$38,2,FALSE)</f>
        <v>23</v>
      </c>
      <c r="B105" s="17">
        <v>44013</v>
      </c>
      <c r="C105" s="18">
        <f t="shared" si="12"/>
        <v>7</v>
      </c>
      <c r="D105" s="18">
        <f t="shared" si="13"/>
        <v>2020</v>
      </c>
      <c r="E105" s="18" t="str">
        <f>IFERROR(VLOOKUP(F105,#REF!,3,FALSE),"")</f>
        <v/>
      </c>
      <c r="F105" s="6" t="s">
        <v>23</v>
      </c>
      <c r="G105" s="6">
        <v>4</v>
      </c>
      <c r="H105" s="7">
        <v>1.7</v>
      </c>
    </row>
    <row r="106" spans="1:9" x14ac:dyDescent="0.2">
      <c r="A106" s="3">
        <f>VLOOKUP(F106,CODIGOSPLACAS!$A$1:$B$38,2,FALSE)</f>
        <v>33</v>
      </c>
      <c r="B106" s="17">
        <v>44013</v>
      </c>
      <c r="C106" s="18">
        <f t="shared" si="12"/>
        <v>7</v>
      </c>
      <c r="D106" s="18">
        <f t="shared" si="13"/>
        <v>2020</v>
      </c>
      <c r="E106" s="18" t="str">
        <f>IFERROR(VLOOKUP(F106,#REF!,3,FALSE),"")</f>
        <v/>
      </c>
      <c r="F106" s="6" t="s">
        <v>127</v>
      </c>
      <c r="G106" s="6">
        <v>3</v>
      </c>
      <c r="H106" s="7">
        <v>1.9</v>
      </c>
    </row>
    <row r="107" spans="1:9" x14ac:dyDescent="0.2">
      <c r="A107" s="3">
        <f>VLOOKUP(F107,CODIGOSPLACAS!$A$1:$B$38,2,FALSE)</f>
        <v>34</v>
      </c>
      <c r="B107" s="17">
        <v>44013</v>
      </c>
      <c r="C107" s="18">
        <f t="shared" si="12"/>
        <v>7</v>
      </c>
      <c r="D107" s="18">
        <f t="shared" si="13"/>
        <v>2020</v>
      </c>
      <c r="E107" s="18" t="str">
        <f>IFERROR(VLOOKUP(F107,#REF!,3,FALSE),"")</f>
        <v/>
      </c>
      <c r="F107" s="6" t="s">
        <v>22</v>
      </c>
      <c r="G107" s="6">
        <v>3</v>
      </c>
      <c r="H107" s="7">
        <v>1.9</v>
      </c>
    </row>
    <row r="108" spans="1:9" x14ac:dyDescent="0.2">
      <c r="A108" s="3">
        <f>VLOOKUP(F108,CODIGOSPLACAS!$A$1:$B$38,2,FALSE)</f>
        <v>26</v>
      </c>
      <c r="B108" s="17">
        <v>44013</v>
      </c>
      <c r="C108" s="18">
        <f t="shared" si="12"/>
        <v>7</v>
      </c>
      <c r="D108" s="18">
        <f t="shared" si="13"/>
        <v>2020</v>
      </c>
      <c r="E108" s="18" t="str">
        <f>IFERROR(VLOOKUP(F108,#REF!,3,FALSE),"")</f>
        <v/>
      </c>
      <c r="F108" s="9" t="s">
        <v>43</v>
      </c>
      <c r="G108" s="9">
        <v>2</v>
      </c>
      <c r="H108" s="10">
        <v>1.9</v>
      </c>
    </row>
    <row r="109" spans="1:9" x14ac:dyDescent="0.2">
      <c r="A109" s="3">
        <f>VLOOKUP(F109,CODIGOSPLACAS!$A$1:$B$38,2,FALSE)</f>
        <v>27</v>
      </c>
      <c r="B109" s="17">
        <v>44013</v>
      </c>
      <c r="C109" s="18">
        <f t="shared" si="12"/>
        <v>7</v>
      </c>
      <c r="D109" s="18">
        <f t="shared" si="13"/>
        <v>2020</v>
      </c>
      <c r="E109" s="18" t="str">
        <f>IFERROR(VLOOKUP(F109,#REF!,3,FALSE),"")</f>
        <v/>
      </c>
      <c r="F109" s="9" t="s">
        <v>44</v>
      </c>
      <c r="G109" s="9">
        <v>3</v>
      </c>
      <c r="H109" s="10">
        <v>1.9</v>
      </c>
    </row>
    <row r="110" spans="1:9" x14ac:dyDescent="0.2">
      <c r="A110" s="3">
        <f>VLOOKUP(F110,CODIGOSPLACAS!$A$1:$B$38,2,FALSE)</f>
        <v>28</v>
      </c>
      <c r="B110" s="17">
        <v>44013</v>
      </c>
      <c r="C110" s="18">
        <f t="shared" si="12"/>
        <v>7</v>
      </c>
      <c r="D110" s="18">
        <f t="shared" si="13"/>
        <v>2020</v>
      </c>
      <c r="E110" s="18" t="str">
        <f>IFERROR(VLOOKUP(F110,#REF!,3,FALSE),"")</f>
        <v/>
      </c>
      <c r="F110" s="11" t="s">
        <v>45</v>
      </c>
      <c r="G110" s="9">
        <v>3</v>
      </c>
      <c r="H110" s="10">
        <v>1.9</v>
      </c>
    </row>
    <row r="111" spans="1:9" x14ac:dyDescent="0.2">
      <c r="A111" s="3">
        <f>VLOOKUP(F111,CODIGOSPLACAS!$A$1:$B$38,2,FALSE)</f>
        <v>30</v>
      </c>
      <c r="B111" s="17">
        <v>44013</v>
      </c>
      <c r="C111" s="18">
        <f t="shared" si="12"/>
        <v>7</v>
      </c>
      <c r="D111" s="18">
        <f t="shared" si="13"/>
        <v>2020</v>
      </c>
      <c r="E111" s="18" t="str">
        <f>IFERROR(VLOOKUP(F111,#REF!,3,FALSE),"")</f>
        <v/>
      </c>
      <c r="F111" s="11" t="s">
        <v>25</v>
      </c>
      <c r="G111" s="9">
        <v>4</v>
      </c>
      <c r="H111" s="10">
        <v>1.7</v>
      </c>
    </row>
    <row r="112" spans="1:9" x14ac:dyDescent="0.2">
      <c r="A112" s="3">
        <f>VLOOKUP(F112,CODIGOSPLACAS!$A$1:$B$38,2,FALSE)</f>
        <v>35</v>
      </c>
      <c r="B112" s="17">
        <v>44013</v>
      </c>
      <c r="C112" s="18">
        <f t="shared" si="12"/>
        <v>7</v>
      </c>
      <c r="D112" s="18">
        <f t="shared" si="13"/>
        <v>2020</v>
      </c>
      <c r="E112" s="18" t="str">
        <f>IFERROR(VLOOKUP(F112,#REF!,3,FALSE),"")</f>
        <v/>
      </c>
      <c r="F112" s="11" t="s">
        <v>34</v>
      </c>
      <c r="G112" s="9">
        <v>5</v>
      </c>
      <c r="H112" s="10">
        <v>2.5</v>
      </c>
    </row>
    <row r="113" spans="1:9" x14ac:dyDescent="0.2">
      <c r="C113" s="18"/>
      <c r="D113" s="18"/>
      <c r="E113" s="18" t="str">
        <f>IFERROR(VLOOKUP(F113,#REF!,3,FALSE),"")</f>
        <v/>
      </c>
      <c r="F113" s="214" t="s">
        <v>39</v>
      </c>
      <c r="G113" s="214"/>
      <c r="H113" s="214"/>
      <c r="I113" s="150"/>
    </row>
    <row r="114" spans="1:9" x14ac:dyDescent="0.2">
      <c r="A114" s="3">
        <f>VLOOKUP(F114,CODIGOSPLACAS!$A$1:$B$38,2,FALSE)</f>
        <v>1</v>
      </c>
      <c r="B114" s="17">
        <v>44044</v>
      </c>
      <c r="C114" s="18">
        <f t="shared" ref="C114:C129" si="14">MONTH(B114)</f>
        <v>8</v>
      </c>
      <c r="D114" s="18">
        <f t="shared" ref="D114:D129" si="15">YEAR(B114)</f>
        <v>2020</v>
      </c>
      <c r="E114" s="18" t="str">
        <f>IFERROR(VLOOKUP(F114,#REF!,3,FALSE),"")</f>
        <v/>
      </c>
      <c r="F114" s="6" t="s">
        <v>26</v>
      </c>
      <c r="G114" s="6">
        <v>4</v>
      </c>
      <c r="H114" s="7">
        <v>1.7</v>
      </c>
    </row>
    <row r="115" spans="1:9" x14ac:dyDescent="0.2">
      <c r="A115" s="3">
        <f>VLOOKUP(F115,CODIGOSPLACAS!$A$1:$B$38,2,FALSE)</f>
        <v>2</v>
      </c>
      <c r="B115" s="17">
        <v>44044</v>
      </c>
      <c r="C115" s="18">
        <f t="shared" si="14"/>
        <v>8</v>
      </c>
      <c r="D115" s="18">
        <f t="shared" si="15"/>
        <v>2020</v>
      </c>
      <c r="E115" s="18" t="str">
        <f>IFERROR(VLOOKUP(F115,#REF!,3,FALSE),"")</f>
        <v/>
      </c>
      <c r="F115" s="6" t="s">
        <v>24</v>
      </c>
      <c r="G115" s="6">
        <v>4</v>
      </c>
      <c r="H115" s="7">
        <v>1.7</v>
      </c>
    </row>
    <row r="116" spans="1:9" x14ac:dyDescent="0.2">
      <c r="A116" s="3">
        <f>VLOOKUP(F116,CODIGOSPLACAS!$A$1:$B$38,2,FALSE)</f>
        <v>9</v>
      </c>
      <c r="B116" s="17">
        <v>44044</v>
      </c>
      <c r="C116" s="18">
        <f t="shared" si="14"/>
        <v>8</v>
      </c>
      <c r="D116" s="18">
        <f t="shared" si="15"/>
        <v>2020</v>
      </c>
      <c r="E116" s="18" t="str">
        <f>IFERROR(VLOOKUP(F116,#REF!,3,FALSE),"")</f>
        <v/>
      </c>
      <c r="F116" s="6" t="s">
        <v>126</v>
      </c>
      <c r="G116" s="6">
        <v>4</v>
      </c>
      <c r="H116" s="7">
        <v>1.7</v>
      </c>
    </row>
    <row r="117" spans="1:9" x14ac:dyDescent="0.2">
      <c r="A117" s="3">
        <f>VLOOKUP(F117,CODIGOSPLACAS!$A$1:$B$38,2,FALSE)</f>
        <v>12</v>
      </c>
      <c r="B117" s="17">
        <v>44044</v>
      </c>
      <c r="C117" s="18">
        <f t="shared" si="14"/>
        <v>8</v>
      </c>
      <c r="D117" s="18">
        <f t="shared" si="15"/>
        <v>2020</v>
      </c>
      <c r="E117" s="18" t="str">
        <f>IFERROR(VLOOKUP(F117,#REF!,3,FALSE),"")</f>
        <v/>
      </c>
      <c r="F117" s="6" t="s">
        <v>40</v>
      </c>
      <c r="G117" s="6">
        <v>3</v>
      </c>
      <c r="H117" s="7">
        <v>1.9</v>
      </c>
    </row>
    <row r="118" spans="1:9" x14ac:dyDescent="0.2">
      <c r="A118" s="3">
        <f>VLOOKUP(F118,CODIGOSPLACAS!$A$1:$B$38,2,FALSE)</f>
        <v>13</v>
      </c>
      <c r="B118" s="17">
        <v>44044</v>
      </c>
      <c r="C118" s="18">
        <f t="shared" si="14"/>
        <v>8</v>
      </c>
      <c r="D118" s="18">
        <f t="shared" si="15"/>
        <v>2020</v>
      </c>
      <c r="E118" s="18" t="str">
        <f>IFERROR(VLOOKUP(F118,#REF!,3,FALSE),"")</f>
        <v/>
      </c>
      <c r="F118" s="6" t="s">
        <v>41</v>
      </c>
      <c r="G118" s="6">
        <v>2</v>
      </c>
      <c r="H118" s="7">
        <v>1.9</v>
      </c>
    </row>
    <row r="119" spans="1:9" x14ac:dyDescent="0.2">
      <c r="A119" s="3">
        <f>VLOOKUP(F119,CODIGOSPLACAS!$A$1:$B$38,2,FALSE)</f>
        <v>16</v>
      </c>
      <c r="B119" s="17">
        <v>44044</v>
      </c>
      <c r="C119" s="18">
        <f t="shared" si="14"/>
        <v>8</v>
      </c>
      <c r="D119" s="18">
        <f t="shared" si="15"/>
        <v>2020</v>
      </c>
      <c r="E119" s="18" t="str">
        <f>IFERROR(VLOOKUP(F119,#REF!,3,FALSE),"")</f>
        <v/>
      </c>
      <c r="F119" s="6" t="s">
        <v>130</v>
      </c>
      <c r="G119" s="6">
        <v>4</v>
      </c>
      <c r="H119" s="7">
        <v>1.7</v>
      </c>
    </row>
    <row r="120" spans="1:9" x14ac:dyDescent="0.2">
      <c r="A120" s="3">
        <f>VLOOKUP(F120,CODIGOSPLACAS!$A$1:$B$38,2,FALSE)</f>
        <v>19</v>
      </c>
      <c r="B120" s="17">
        <v>44044</v>
      </c>
      <c r="C120" s="18">
        <f t="shared" si="14"/>
        <v>8</v>
      </c>
      <c r="D120" s="18">
        <f t="shared" si="15"/>
        <v>2020</v>
      </c>
      <c r="E120" s="18" t="str">
        <f>IFERROR(VLOOKUP(F120,#REF!,3,FALSE),"")</f>
        <v/>
      </c>
      <c r="F120" s="6" t="s">
        <v>42</v>
      </c>
      <c r="G120" s="6">
        <v>3</v>
      </c>
      <c r="H120" s="7">
        <v>1.9</v>
      </c>
    </row>
    <row r="121" spans="1:9" x14ac:dyDescent="0.2">
      <c r="A121" s="3">
        <f>VLOOKUP(F121,CODIGOSPLACAS!$A$1:$B$38,2,FALSE)</f>
        <v>23</v>
      </c>
      <c r="B121" s="17">
        <v>44044</v>
      </c>
      <c r="C121" s="18">
        <f t="shared" si="14"/>
        <v>8</v>
      </c>
      <c r="D121" s="18">
        <f t="shared" si="15"/>
        <v>2020</v>
      </c>
      <c r="E121" s="18" t="str">
        <f>IFERROR(VLOOKUP(F121,#REF!,3,FALSE),"")</f>
        <v/>
      </c>
      <c r="F121" s="6" t="s">
        <v>23</v>
      </c>
      <c r="G121" s="6">
        <v>4</v>
      </c>
      <c r="H121" s="7">
        <v>1.7</v>
      </c>
    </row>
    <row r="122" spans="1:9" x14ac:dyDescent="0.2">
      <c r="A122" s="3">
        <f>VLOOKUP(F122,CODIGOSPLACAS!$A$1:$B$38,2,FALSE)</f>
        <v>33</v>
      </c>
      <c r="B122" s="17">
        <v>44044</v>
      </c>
      <c r="C122" s="18">
        <f t="shared" si="14"/>
        <v>8</v>
      </c>
      <c r="D122" s="18">
        <f t="shared" si="15"/>
        <v>2020</v>
      </c>
      <c r="E122" s="18" t="str">
        <f>IFERROR(VLOOKUP(F122,#REF!,3,FALSE),"")</f>
        <v/>
      </c>
      <c r="F122" s="6" t="s">
        <v>127</v>
      </c>
      <c r="G122" s="6">
        <v>3</v>
      </c>
      <c r="H122" s="7">
        <v>1.9</v>
      </c>
    </row>
    <row r="123" spans="1:9" x14ac:dyDescent="0.2">
      <c r="A123" s="3">
        <f>VLOOKUP(F123,CODIGOSPLACAS!$A$1:$B$38,2,FALSE)</f>
        <v>34</v>
      </c>
      <c r="B123" s="17">
        <v>44044</v>
      </c>
      <c r="C123" s="18">
        <f t="shared" si="14"/>
        <v>8</v>
      </c>
      <c r="D123" s="18">
        <f t="shared" si="15"/>
        <v>2020</v>
      </c>
      <c r="E123" s="18" t="str">
        <f>IFERROR(VLOOKUP(F123,#REF!,3,FALSE),"")</f>
        <v/>
      </c>
      <c r="F123" s="6" t="s">
        <v>22</v>
      </c>
      <c r="G123" s="6">
        <v>3</v>
      </c>
      <c r="H123" s="7">
        <v>1.9</v>
      </c>
    </row>
    <row r="124" spans="1:9" x14ac:dyDescent="0.2">
      <c r="A124" s="3">
        <f>VLOOKUP(F124,CODIGOSPLACAS!$A$1:$B$38,2,FALSE)</f>
        <v>26</v>
      </c>
      <c r="B124" s="17">
        <v>44044</v>
      </c>
      <c r="C124" s="18">
        <f t="shared" si="14"/>
        <v>8</v>
      </c>
      <c r="D124" s="18">
        <f t="shared" si="15"/>
        <v>2020</v>
      </c>
      <c r="E124" s="18" t="str">
        <f>IFERROR(VLOOKUP(F124,#REF!,3,FALSE),"")</f>
        <v/>
      </c>
      <c r="F124" s="9" t="s">
        <v>43</v>
      </c>
      <c r="G124" s="9">
        <v>2</v>
      </c>
      <c r="H124" s="10">
        <v>1.9</v>
      </c>
    </row>
    <row r="125" spans="1:9" x14ac:dyDescent="0.2">
      <c r="A125" s="3">
        <f>VLOOKUP(F125,CODIGOSPLACAS!$A$1:$B$38,2,FALSE)</f>
        <v>27</v>
      </c>
      <c r="B125" s="17">
        <v>44044</v>
      </c>
      <c r="C125" s="18">
        <f t="shared" si="14"/>
        <v>8</v>
      </c>
      <c r="D125" s="18">
        <f t="shared" si="15"/>
        <v>2020</v>
      </c>
      <c r="E125" s="18" t="str">
        <f>IFERROR(VLOOKUP(F125,#REF!,3,FALSE),"")</f>
        <v/>
      </c>
      <c r="F125" s="9" t="s">
        <v>44</v>
      </c>
      <c r="G125" s="9">
        <v>3</v>
      </c>
      <c r="H125" s="10">
        <v>1.9</v>
      </c>
    </row>
    <row r="126" spans="1:9" x14ac:dyDescent="0.2">
      <c r="A126" s="3">
        <f>VLOOKUP(F126,CODIGOSPLACAS!$A$1:$B$38,2,FALSE)</f>
        <v>28</v>
      </c>
      <c r="B126" s="17">
        <v>44044</v>
      </c>
      <c r="C126" s="18">
        <f t="shared" si="14"/>
        <v>8</v>
      </c>
      <c r="D126" s="18">
        <f t="shared" si="15"/>
        <v>2020</v>
      </c>
      <c r="E126" s="18" t="str">
        <f>IFERROR(VLOOKUP(F126,#REF!,3,FALSE),"")</f>
        <v/>
      </c>
      <c r="F126" s="11" t="s">
        <v>45</v>
      </c>
      <c r="G126" s="9">
        <v>3</v>
      </c>
      <c r="H126" s="10">
        <v>1.9</v>
      </c>
    </row>
    <row r="127" spans="1:9" x14ac:dyDescent="0.2">
      <c r="A127" s="3">
        <f>VLOOKUP(F127,CODIGOSPLACAS!$A$1:$B$38,2,FALSE)</f>
        <v>30</v>
      </c>
      <c r="B127" s="17">
        <v>44044</v>
      </c>
      <c r="C127" s="18">
        <f t="shared" si="14"/>
        <v>8</v>
      </c>
      <c r="D127" s="18">
        <f t="shared" si="15"/>
        <v>2020</v>
      </c>
      <c r="E127" s="18" t="str">
        <f>IFERROR(VLOOKUP(F127,#REF!,3,FALSE),"")</f>
        <v/>
      </c>
      <c r="F127" s="11" t="s">
        <v>25</v>
      </c>
      <c r="G127" s="9">
        <v>4</v>
      </c>
      <c r="H127" s="10">
        <v>1.7</v>
      </c>
    </row>
    <row r="128" spans="1:9" x14ac:dyDescent="0.2">
      <c r="A128" s="3">
        <f>VLOOKUP(F128,CODIGOSPLACAS!$A$1:$B$38,2,FALSE)</f>
        <v>36</v>
      </c>
      <c r="B128" s="17">
        <v>44044</v>
      </c>
      <c r="C128" s="18">
        <f t="shared" si="14"/>
        <v>8</v>
      </c>
      <c r="D128" s="18">
        <f t="shared" si="15"/>
        <v>2020</v>
      </c>
      <c r="E128" s="18" t="str">
        <f>IFERROR(VLOOKUP(F128,#REF!,3,FALSE),"")</f>
        <v/>
      </c>
      <c r="F128" s="11" t="s">
        <v>35</v>
      </c>
      <c r="G128" s="9">
        <v>5</v>
      </c>
      <c r="H128" s="10">
        <v>2.5</v>
      </c>
    </row>
    <row r="129" spans="1:9" x14ac:dyDescent="0.2">
      <c r="A129" s="3">
        <f>VLOOKUP(F129,CODIGOSPLACAS!$A$1:$B$38,2,FALSE)</f>
        <v>35</v>
      </c>
      <c r="B129" s="17">
        <v>44044</v>
      </c>
      <c r="C129" s="18">
        <f t="shared" si="14"/>
        <v>8</v>
      </c>
      <c r="D129" s="18">
        <f t="shared" si="15"/>
        <v>2020</v>
      </c>
      <c r="E129" s="18" t="str">
        <f>IFERROR(VLOOKUP(F129,#REF!,3,FALSE),"")</f>
        <v/>
      </c>
      <c r="F129" s="11" t="s">
        <v>34</v>
      </c>
      <c r="G129" s="9">
        <v>5</v>
      </c>
      <c r="H129" s="10">
        <v>2.5</v>
      </c>
    </row>
    <row r="130" spans="1:9" x14ac:dyDescent="0.2">
      <c r="C130" s="18"/>
      <c r="D130" s="18"/>
      <c r="E130" s="18" t="str">
        <f>IFERROR(VLOOKUP(F130,#REF!,3,FALSE),"")</f>
        <v/>
      </c>
      <c r="F130" s="214" t="s">
        <v>39</v>
      </c>
      <c r="G130" s="214"/>
      <c r="H130" s="214"/>
      <c r="I130" s="150"/>
    </row>
    <row r="131" spans="1:9" x14ac:dyDescent="0.2">
      <c r="A131" s="3">
        <f>VLOOKUP(F131,CODIGOSPLACAS!$A$1:$B$38,2,FALSE)</f>
        <v>1</v>
      </c>
      <c r="B131" s="17">
        <v>44075</v>
      </c>
      <c r="C131" s="18">
        <f t="shared" ref="C131:C146" si="16">MONTH(B131)</f>
        <v>9</v>
      </c>
      <c r="D131" s="18">
        <f t="shared" ref="D131:D146" si="17">YEAR(B131)</f>
        <v>2020</v>
      </c>
      <c r="E131" s="18" t="str">
        <f>IFERROR(VLOOKUP(F131,#REF!,3,FALSE),"")</f>
        <v/>
      </c>
      <c r="F131" s="6" t="s">
        <v>26</v>
      </c>
      <c r="G131" s="6">
        <v>4</v>
      </c>
      <c r="H131" s="7">
        <v>1.7</v>
      </c>
    </row>
    <row r="132" spans="1:9" x14ac:dyDescent="0.2">
      <c r="A132" s="3">
        <f>VLOOKUP(F132,CODIGOSPLACAS!$A$1:$B$38,2,FALSE)</f>
        <v>2</v>
      </c>
      <c r="B132" s="17">
        <v>44075</v>
      </c>
      <c r="C132" s="18">
        <f t="shared" si="16"/>
        <v>9</v>
      </c>
      <c r="D132" s="18">
        <f t="shared" si="17"/>
        <v>2020</v>
      </c>
      <c r="E132" s="18" t="str">
        <f>IFERROR(VLOOKUP(F132,#REF!,3,FALSE),"")</f>
        <v/>
      </c>
      <c r="F132" s="6" t="s">
        <v>24</v>
      </c>
      <c r="G132" s="6">
        <v>4</v>
      </c>
      <c r="H132" s="7">
        <v>1.7</v>
      </c>
    </row>
    <row r="133" spans="1:9" x14ac:dyDescent="0.2">
      <c r="A133" s="3">
        <f>VLOOKUP(F133,CODIGOSPLACAS!$A$1:$B$38,2,FALSE)</f>
        <v>9</v>
      </c>
      <c r="B133" s="17">
        <v>44075</v>
      </c>
      <c r="C133" s="18">
        <f t="shared" si="16"/>
        <v>9</v>
      </c>
      <c r="D133" s="18">
        <f t="shared" si="17"/>
        <v>2020</v>
      </c>
      <c r="E133" s="18" t="str">
        <f>IFERROR(VLOOKUP(F133,#REF!,3,FALSE),"")</f>
        <v/>
      </c>
      <c r="F133" s="6" t="s">
        <v>126</v>
      </c>
      <c r="G133" s="6">
        <v>4</v>
      </c>
      <c r="H133" s="7">
        <v>1.7</v>
      </c>
    </row>
    <row r="134" spans="1:9" x14ac:dyDescent="0.2">
      <c r="A134" s="3">
        <f>VLOOKUP(F134,CODIGOSPLACAS!$A$1:$B$38,2,FALSE)</f>
        <v>12</v>
      </c>
      <c r="B134" s="17">
        <v>44075</v>
      </c>
      <c r="C134" s="18">
        <f t="shared" si="16"/>
        <v>9</v>
      </c>
      <c r="D134" s="18">
        <f t="shared" si="17"/>
        <v>2020</v>
      </c>
      <c r="E134" s="18" t="str">
        <f>IFERROR(VLOOKUP(F134,#REF!,3,FALSE),"")</f>
        <v/>
      </c>
      <c r="F134" s="6" t="s">
        <v>40</v>
      </c>
      <c r="G134" s="6">
        <v>3</v>
      </c>
      <c r="H134" s="7">
        <v>1.9</v>
      </c>
    </row>
    <row r="135" spans="1:9" x14ac:dyDescent="0.2">
      <c r="A135" s="3">
        <f>VLOOKUP(F135,CODIGOSPLACAS!$A$1:$B$38,2,FALSE)</f>
        <v>13</v>
      </c>
      <c r="B135" s="17">
        <v>44075</v>
      </c>
      <c r="C135" s="18">
        <f t="shared" si="16"/>
        <v>9</v>
      </c>
      <c r="D135" s="18">
        <f t="shared" si="17"/>
        <v>2020</v>
      </c>
      <c r="E135" s="18" t="str">
        <f>IFERROR(VLOOKUP(F135,#REF!,3,FALSE),"")</f>
        <v/>
      </c>
      <c r="F135" s="6" t="s">
        <v>41</v>
      </c>
      <c r="G135" s="6">
        <v>2</v>
      </c>
      <c r="H135" s="7">
        <v>1.9</v>
      </c>
    </row>
    <row r="136" spans="1:9" x14ac:dyDescent="0.2">
      <c r="A136" s="3">
        <f>VLOOKUP(F136,CODIGOSPLACAS!$A$1:$B$38,2,FALSE)</f>
        <v>16</v>
      </c>
      <c r="B136" s="17">
        <v>44075</v>
      </c>
      <c r="C136" s="18">
        <f t="shared" si="16"/>
        <v>9</v>
      </c>
      <c r="D136" s="18">
        <f t="shared" si="17"/>
        <v>2020</v>
      </c>
      <c r="E136" s="18" t="str">
        <f>IFERROR(VLOOKUP(F136,#REF!,3,FALSE),"")</f>
        <v/>
      </c>
      <c r="F136" s="6" t="s">
        <v>130</v>
      </c>
      <c r="G136" s="6">
        <v>4</v>
      </c>
      <c r="H136" s="7">
        <v>1.7</v>
      </c>
    </row>
    <row r="137" spans="1:9" x14ac:dyDescent="0.2">
      <c r="A137" s="3">
        <f>VLOOKUP(F137,CODIGOSPLACAS!$A$1:$B$38,2,FALSE)</f>
        <v>19</v>
      </c>
      <c r="B137" s="17">
        <v>44075</v>
      </c>
      <c r="C137" s="18">
        <f t="shared" si="16"/>
        <v>9</v>
      </c>
      <c r="D137" s="18">
        <f t="shared" si="17"/>
        <v>2020</v>
      </c>
      <c r="E137" s="18" t="str">
        <f>IFERROR(VLOOKUP(F137,#REF!,3,FALSE),"")</f>
        <v/>
      </c>
      <c r="F137" s="6" t="s">
        <v>42</v>
      </c>
      <c r="G137" s="6">
        <v>1</v>
      </c>
      <c r="H137" s="7">
        <v>2.1</v>
      </c>
    </row>
    <row r="138" spans="1:9" x14ac:dyDescent="0.2">
      <c r="A138" s="3">
        <f>VLOOKUP(F138,CODIGOSPLACAS!$A$1:$B$38,2,FALSE)</f>
        <v>23</v>
      </c>
      <c r="B138" s="17">
        <v>44075</v>
      </c>
      <c r="C138" s="18">
        <f t="shared" si="16"/>
        <v>9</v>
      </c>
      <c r="D138" s="18">
        <f t="shared" si="17"/>
        <v>2020</v>
      </c>
      <c r="E138" s="18" t="str">
        <f>IFERROR(VLOOKUP(F138,#REF!,3,FALSE),"")</f>
        <v/>
      </c>
      <c r="F138" s="6" t="s">
        <v>23</v>
      </c>
      <c r="G138" s="6">
        <v>4</v>
      </c>
      <c r="H138" s="7">
        <v>1.7</v>
      </c>
    </row>
    <row r="139" spans="1:9" x14ac:dyDescent="0.2">
      <c r="A139" s="3">
        <f>VLOOKUP(F139,CODIGOSPLACAS!$A$1:$B$38,2,FALSE)</f>
        <v>33</v>
      </c>
      <c r="B139" s="17">
        <v>44075</v>
      </c>
      <c r="C139" s="18">
        <f t="shared" si="16"/>
        <v>9</v>
      </c>
      <c r="D139" s="18">
        <f t="shared" si="17"/>
        <v>2020</v>
      </c>
      <c r="E139" s="18" t="str">
        <f>IFERROR(VLOOKUP(F139,#REF!,3,FALSE),"")</f>
        <v/>
      </c>
      <c r="F139" s="6" t="s">
        <v>127</v>
      </c>
      <c r="G139" s="6">
        <v>3</v>
      </c>
      <c r="H139" s="7">
        <v>1.9</v>
      </c>
    </row>
    <row r="140" spans="1:9" x14ac:dyDescent="0.2">
      <c r="A140" s="3">
        <f>VLOOKUP(F140,CODIGOSPLACAS!$A$1:$B$38,2,FALSE)</f>
        <v>34</v>
      </c>
      <c r="B140" s="17">
        <v>44075</v>
      </c>
      <c r="C140" s="18">
        <f t="shared" si="16"/>
        <v>9</v>
      </c>
      <c r="D140" s="18">
        <f t="shared" si="17"/>
        <v>2020</v>
      </c>
      <c r="E140" s="18" t="str">
        <f>IFERROR(VLOOKUP(F140,#REF!,3,FALSE),"")</f>
        <v/>
      </c>
      <c r="F140" s="6" t="s">
        <v>22</v>
      </c>
      <c r="G140" s="6">
        <v>3</v>
      </c>
      <c r="H140" s="7">
        <v>1.9</v>
      </c>
    </row>
    <row r="141" spans="1:9" x14ac:dyDescent="0.2">
      <c r="A141" s="3">
        <f>VLOOKUP(F141,CODIGOSPLACAS!$A$1:$B$38,2,FALSE)</f>
        <v>26</v>
      </c>
      <c r="B141" s="17">
        <v>44075</v>
      </c>
      <c r="C141" s="18">
        <f t="shared" si="16"/>
        <v>9</v>
      </c>
      <c r="D141" s="18">
        <f t="shared" si="17"/>
        <v>2020</v>
      </c>
      <c r="E141" s="18" t="str">
        <f>IFERROR(VLOOKUP(F141,#REF!,3,FALSE),"")</f>
        <v/>
      </c>
      <c r="F141" s="9" t="s">
        <v>43</v>
      </c>
      <c r="G141" s="9">
        <v>2</v>
      </c>
      <c r="H141" s="10">
        <v>1.9</v>
      </c>
    </row>
    <row r="142" spans="1:9" x14ac:dyDescent="0.2">
      <c r="A142" s="3">
        <f>VLOOKUP(F142,CODIGOSPLACAS!$A$1:$B$38,2,FALSE)</f>
        <v>27</v>
      </c>
      <c r="B142" s="17">
        <v>44075</v>
      </c>
      <c r="C142" s="18">
        <f t="shared" si="16"/>
        <v>9</v>
      </c>
      <c r="D142" s="18">
        <f t="shared" si="17"/>
        <v>2020</v>
      </c>
      <c r="E142" s="18" t="str">
        <f>IFERROR(VLOOKUP(F142,#REF!,3,FALSE),"")</f>
        <v/>
      </c>
      <c r="F142" s="9" t="s">
        <v>44</v>
      </c>
      <c r="G142" s="9">
        <v>3</v>
      </c>
      <c r="H142" s="10">
        <v>1.9</v>
      </c>
    </row>
    <row r="143" spans="1:9" x14ac:dyDescent="0.2">
      <c r="A143" s="3">
        <f>VLOOKUP(F143,CODIGOSPLACAS!$A$1:$B$38,2,FALSE)</f>
        <v>28</v>
      </c>
      <c r="B143" s="17">
        <v>44075</v>
      </c>
      <c r="C143" s="18">
        <f t="shared" si="16"/>
        <v>9</v>
      </c>
      <c r="D143" s="18">
        <f t="shared" si="17"/>
        <v>2020</v>
      </c>
      <c r="E143" s="18" t="str">
        <f>IFERROR(VLOOKUP(F143,#REF!,3,FALSE),"")</f>
        <v/>
      </c>
      <c r="F143" s="11" t="s">
        <v>45</v>
      </c>
      <c r="G143" s="9">
        <v>3</v>
      </c>
      <c r="H143" s="10">
        <v>1.9</v>
      </c>
    </row>
    <row r="144" spans="1:9" x14ac:dyDescent="0.2">
      <c r="A144" s="3">
        <f>VLOOKUP(F144,CODIGOSPLACAS!$A$1:$B$38,2,FALSE)</f>
        <v>30</v>
      </c>
      <c r="B144" s="17">
        <v>44075</v>
      </c>
      <c r="C144" s="18">
        <f t="shared" si="16"/>
        <v>9</v>
      </c>
      <c r="D144" s="18">
        <f t="shared" si="17"/>
        <v>2020</v>
      </c>
      <c r="E144" s="18" t="str">
        <f>IFERROR(VLOOKUP(F144,#REF!,3,FALSE),"")</f>
        <v/>
      </c>
      <c r="F144" s="11" t="s">
        <v>25</v>
      </c>
      <c r="G144" s="9">
        <v>4</v>
      </c>
      <c r="H144" s="10">
        <v>1.7</v>
      </c>
    </row>
    <row r="145" spans="1:9" x14ac:dyDescent="0.2">
      <c r="A145" s="3">
        <f>VLOOKUP(F145,CODIGOSPLACAS!$A$1:$B$38,2,FALSE)</f>
        <v>36</v>
      </c>
      <c r="B145" s="17">
        <v>44075</v>
      </c>
      <c r="C145" s="18">
        <f>MONTH(B145)</f>
        <v>9</v>
      </c>
      <c r="D145" s="18">
        <f>YEAR(B145)</f>
        <v>2020</v>
      </c>
      <c r="E145" s="18" t="str">
        <f>IFERROR(VLOOKUP(F145,#REF!,3,FALSE),"")</f>
        <v/>
      </c>
      <c r="F145" s="11" t="s">
        <v>35</v>
      </c>
      <c r="G145" s="9">
        <v>5</v>
      </c>
      <c r="H145" s="10">
        <v>2.5</v>
      </c>
    </row>
    <row r="146" spans="1:9" x14ac:dyDescent="0.2">
      <c r="A146" s="3">
        <f>VLOOKUP(F146,CODIGOSPLACAS!$A$1:$B$38,2,FALSE)</f>
        <v>35</v>
      </c>
      <c r="B146" s="17">
        <v>44075</v>
      </c>
      <c r="C146" s="18">
        <f t="shared" si="16"/>
        <v>9</v>
      </c>
      <c r="D146" s="18">
        <f t="shared" si="17"/>
        <v>2020</v>
      </c>
      <c r="E146" s="18" t="str">
        <f>IFERROR(VLOOKUP(F146,#REF!,3,FALSE),"")</f>
        <v/>
      </c>
      <c r="F146" s="11" t="s">
        <v>34</v>
      </c>
      <c r="G146" s="9">
        <v>5</v>
      </c>
      <c r="H146" s="10">
        <v>2.5</v>
      </c>
    </row>
    <row r="147" spans="1:9" x14ac:dyDescent="0.2">
      <c r="C147" s="18"/>
      <c r="D147" s="18"/>
      <c r="E147" s="18" t="str">
        <f>IFERROR(VLOOKUP(F147,#REF!,3,FALSE),"")</f>
        <v/>
      </c>
      <c r="F147" s="214" t="s">
        <v>39</v>
      </c>
      <c r="G147" s="214"/>
      <c r="H147" s="214"/>
      <c r="I147" s="150"/>
    </row>
    <row r="148" spans="1:9" x14ac:dyDescent="0.2">
      <c r="A148" s="3">
        <f>VLOOKUP(F148,CODIGOSPLACAS!$A$1:$B$38,2,FALSE)</f>
        <v>1</v>
      </c>
      <c r="B148" s="17">
        <v>44105</v>
      </c>
      <c r="C148" s="18">
        <f t="shared" ref="C148:C163" si="18">MONTH(B148)</f>
        <v>10</v>
      </c>
      <c r="D148" s="18">
        <f t="shared" ref="D148:D163" si="19">YEAR(B148)</f>
        <v>2020</v>
      </c>
      <c r="E148" s="18" t="str">
        <f>IFERROR(VLOOKUP(F148,#REF!,3,FALSE),"")</f>
        <v/>
      </c>
      <c r="F148" s="6" t="s">
        <v>26</v>
      </c>
      <c r="G148" s="6">
        <v>4</v>
      </c>
      <c r="H148" s="7">
        <v>1.7</v>
      </c>
    </row>
    <row r="149" spans="1:9" x14ac:dyDescent="0.2">
      <c r="A149" s="3">
        <f>VLOOKUP(F149,CODIGOSPLACAS!$A$1:$B$38,2,FALSE)</f>
        <v>2</v>
      </c>
      <c r="B149" s="17">
        <v>44105</v>
      </c>
      <c r="C149" s="18">
        <f t="shared" si="18"/>
        <v>10</v>
      </c>
      <c r="D149" s="18">
        <f t="shared" si="19"/>
        <v>2020</v>
      </c>
      <c r="E149" s="18" t="str">
        <f>IFERROR(VLOOKUP(F149,#REF!,3,FALSE),"")</f>
        <v/>
      </c>
      <c r="F149" s="6" t="s">
        <v>24</v>
      </c>
      <c r="G149" s="6">
        <v>4</v>
      </c>
      <c r="H149" s="7">
        <v>1.7</v>
      </c>
    </row>
    <row r="150" spans="1:9" x14ac:dyDescent="0.2">
      <c r="A150" s="3">
        <f>VLOOKUP(F150,CODIGOSPLACAS!$A$1:$B$38,2,FALSE)</f>
        <v>9</v>
      </c>
      <c r="B150" s="17">
        <v>44105</v>
      </c>
      <c r="C150" s="18">
        <f t="shared" si="18"/>
        <v>10</v>
      </c>
      <c r="D150" s="18">
        <f t="shared" si="19"/>
        <v>2020</v>
      </c>
      <c r="E150" s="18" t="str">
        <f>IFERROR(VLOOKUP(F150,#REF!,3,FALSE),"")</f>
        <v/>
      </c>
      <c r="F150" s="6" t="s">
        <v>126</v>
      </c>
      <c r="G150" s="6">
        <v>4</v>
      </c>
      <c r="H150" s="7">
        <v>1.7</v>
      </c>
    </row>
    <row r="151" spans="1:9" x14ac:dyDescent="0.2">
      <c r="A151" s="3">
        <f>VLOOKUP(F151,CODIGOSPLACAS!$A$1:$B$38,2,FALSE)</f>
        <v>12</v>
      </c>
      <c r="B151" s="17">
        <v>44105</v>
      </c>
      <c r="C151" s="18">
        <f t="shared" si="18"/>
        <v>10</v>
      </c>
      <c r="D151" s="18">
        <f t="shared" si="19"/>
        <v>2020</v>
      </c>
      <c r="E151" s="18" t="str">
        <f>IFERROR(VLOOKUP(F151,#REF!,3,FALSE),"")</f>
        <v/>
      </c>
      <c r="F151" s="6" t="s">
        <v>40</v>
      </c>
      <c r="G151" s="6">
        <v>3</v>
      </c>
      <c r="H151" s="7">
        <v>1.9</v>
      </c>
    </row>
    <row r="152" spans="1:9" x14ac:dyDescent="0.2">
      <c r="A152" s="3">
        <f>VLOOKUP(F152,CODIGOSPLACAS!$A$1:$B$38,2,FALSE)</f>
        <v>13</v>
      </c>
      <c r="B152" s="17">
        <v>44105</v>
      </c>
      <c r="C152" s="18">
        <f t="shared" si="18"/>
        <v>10</v>
      </c>
      <c r="D152" s="18">
        <f t="shared" si="19"/>
        <v>2020</v>
      </c>
      <c r="E152" s="18" t="str">
        <f>IFERROR(VLOOKUP(F152,#REF!,3,FALSE),"")</f>
        <v/>
      </c>
      <c r="F152" s="6" t="s">
        <v>41</v>
      </c>
      <c r="G152" s="6">
        <v>2</v>
      </c>
      <c r="H152" s="7">
        <v>1.9</v>
      </c>
    </row>
    <row r="153" spans="1:9" x14ac:dyDescent="0.2">
      <c r="A153" s="3">
        <f>VLOOKUP(F153,CODIGOSPLACAS!$A$1:$B$38,2,FALSE)</f>
        <v>16</v>
      </c>
      <c r="B153" s="17">
        <v>44105</v>
      </c>
      <c r="C153" s="18">
        <f t="shared" si="18"/>
        <v>10</v>
      </c>
      <c r="D153" s="18">
        <f t="shared" si="19"/>
        <v>2020</v>
      </c>
      <c r="E153" s="18" t="str">
        <f>IFERROR(VLOOKUP(F153,#REF!,3,FALSE),"")</f>
        <v/>
      </c>
      <c r="F153" s="6" t="s">
        <v>130</v>
      </c>
      <c r="G153" s="6">
        <v>4</v>
      </c>
      <c r="H153" s="7">
        <v>1.7</v>
      </c>
    </row>
    <row r="154" spans="1:9" x14ac:dyDescent="0.2">
      <c r="A154" s="3">
        <f>VLOOKUP(F154,CODIGOSPLACAS!$A$1:$B$38,2,FALSE)</f>
        <v>19</v>
      </c>
      <c r="B154" s="17">
        <v>44105</v>
      </c>
      <c r="C154" s="18">
        <f t="shared" si="18"/>
        <v>10</v>
      </c>
      <c r="D154" s="18">
        <f t="shared" si="19"/>
        <v>2020</v>
      </c>
      <c r="E154" s="18" t="str">
        <f>IFERROR(VLOOKUP(F154,#REF!,3,FALSE),"")</f>
        <v/>
      </c>
      <c r="F154" s="6" t="s">
        <v>42</v>
      </c>
      <c r="G154" s="6">
        <v>1</v>
      </c>
      <c r="H154" s="7">
        <v>2.1</v>
      </c>
    </row>
    <row r="155" spans="1:9" x14ac:dyDescent="0.2">
      <c r="A155" s="3">
        <f>VLOOKUP(F155,CODIGOSPLACAS!$A$1:$B$38,2,FALSE)</f>
        <v>23</v>
      </c>
      <c r="B155" s="17">
        <v>44105</v>
      </c>
      <c r="C155" s="18">
        <f t="shared" si="18"/>
        <v>10</v>
      </c>
      <c r="D155" s="18">
        <f t="shared" si="19"/>
        <v>2020</v>
      </c>
      <c r="E155" s="18" t="str">
        <f>IFERROR(VLOOKUP(F155,#REF!,3,FALSE),"")</f>
        <v/>
      </c>
      <c r="F155" s="6" t="s">
        <v>23</v>
      </c>
      <c r="G155" s="6">
        <v>4</v>
      </c>
      <c r="H155" s="7">
        <v>1.7</v>
      </c>
    </row>
    <row r="156" spans="1:9" x14ac:dyDescent="0.2">
      <c r="A156" s="3">
        <f>VLOOKUP(F156,CODIGOSPLACAS!$A$1:$B$38,2,FALSE)</f>
        <v>33</v>
      </c>
      <c r="B156" s="17">
        <v>44105</v>
      </c>
      <c r="C156" s="18">
        <f t="shared" si="18"/>
        <v>10</v>
      </c>
      <c r="D156" s="18">
        <f t="shared" si="19"/>
        <v>2020</v>
      </c>
      <c r="E156" s="18" t="str">
        <f>IFERROR(VLOOKUP(F156,#REF!,3,FALSE),"")</f>
        <v/>
      </c>
      <c r="F156" s="6" t="s">
        <v>127</v>
      </c>
      <c r="G156" s="6">
        <v>3</v>
      </c>
      <c r="H156" s="7">
        <v>1.9</v>
      </c>
    </row>
    <row r="157" spans="1:9" x14ac:dyDescent="0.2">
      <c r="A157" s="3">
        <f>VLOOKUP(F157,CODIGOSPLACAS!$A$1:$B$38,2,FALSE)</f>
        <v>34</v>
      </c>
      <c r="B157" s="17">
        <v>44105</v>
      </c>
      <c r="C157" s="18">
        <f t="shared" si="18"/>
        <v>10</v>
      </c>
      <c r="D157" s="18">
        <f t="shared" si="19"/>
        <v>2020</v>
      </c>
      <c r="E157" s="18" t="str">
        <f>IFERROR(VLOOKUP(F157,#REF!,3,FALSE),"")</f>
        <v/>
      </c>
      <c r="F157" s="6" t="s">
        <v>22</v>
      </c>
      <c r="G157" s="6">
        <v>3</v>
      </c>
      <c r="H157" s="7">
        <v>1.9</v>
      </c>
    </row>
    <row r="158" spans="1:9" x14ac:dyDescent="0.2">
      <c r="A158" s="3">
        <f>VLOOKUP(F158,CODIGOSPLACAS!$A$1:$B$38,2,FALSE)</f>
        <v>26</v>
      </c>
      <c r="B158" s="17">
        <v>44105</v>
      </c>
      <c r="C158" s="18">
        <f t="shared" si="18"/>
        <v>10</v>
      </c>
      <c r="D158" s="18">
        <f t="shared" si="19"/>
        <v>2020</v>
      </c>
      <c r="E158" s="18" t="str">
        <f>IFERROR(VLOOKUP(F158,#REF!,3,FALSE),"")</f>
        <v/>
      </c>
      <c r="F158" s="9" t="s">
        <v>43</v>
      </c>
      <c r="G158" s="9">
        <v>2</v>
      </c>
      <c r="H158" s="10">
        <v>1.9</v>
      </c>
    </row>
    <row r="159" spans="1:9" x14ac:dyDescent="0.2">
      <c r="A159" s="3">
        <f>VLOOKUP(F159,CODIGOSPLACAS!$A$1:$B$38,2,FALSE)</f>
        <v>27</v>
      </c>
      <c r="B159" s="17">
        <v>44105</v>
      </c>
      <c r="C159" s="18">
        <f t="shared" si="18"/>
        <v>10</v>
      </c>
      <c r="D159" s="18">
        <f t="shared" si="19"/>
        <v>2020</v>
      </c>
      <c r="E159" s="18" t="str">
        <f>IFERROR(VLOOKUP(F159,#REF!,3,FALSE),"")</f>
        <v/>
      </c>
      <c r="F159" s="9" t="s">
        <v>44</v>
      </c>
      <c r="G159" s="9">
        <v>3</v>
      </c>
      <c r="H159" s="10">
        <v>1.9</v>
      </c>
    </row>
    <row r="160" spans="1:9" x14ac:dyDescent="0.2">
      <c r="A160" s="3">
        <f>VLOOKUP(F160,CODIGOSPLACAS!$A$1:$B$38,2,FALSE)</f>
        <v>28</v>
      </c>
      <c r="B160" s="17">
        <v>44105</v>
      </c>
      <c r="C160" s="18">
        <f t="shared" si="18"/>
        <v>10</v>
      </c>
      <c r="D160" s="18">
        <f t="shared" si="19"/>
        <v>2020</v>
      </c>
      <c r="E160" s="18" t="str">
        <f>IFERROR(VLOOKUP(F160,#REF!,3,FALSE),"")</f>
        <v/>
      </c>
      <c r="F160" s="11" t="s">
        <v>45</v>
      </c>
      <c r="G160" s="9">
        <v>3</v>
      </c>
      <c r="H160" s="10">
        <v>1.9</v>
      </c>
    </row>
    <row r="161" spans="1:9" x14ac:dyDescent="0.2">
      <c r="A161" s="3">
        <f>VLOOKUP(F161,CODIGOSPLACAS!$A$1:$B$38,2,FALSE)</f>
        <v>30</v>
      </c>
      <c r="B161" s="17">
        <v>44105</v>
      </c>
      <c r="C161" s="18">
        <f t="shared" si="18"/>
        <v>10</v>
      </c>
      <c r="D161" s="18">
        <f t="shared" si="19"/>
        <v>2020</v>
      </c>
      <c r="E161" s="18" t="str">
        <f>IFERROR(VLOOKUP(F161,#REF!,3,FALSE),"")</f>
        <v/>
      </c>
      <c r="F161" s="11" t="s">
        <v>25</v>
      </c>
      <c r="G161" s="9">
        <v>4</v>
      </c>
      <c r="H161" s="10">
        <v>1.7</v>
      </c>
    </row>
    <row r="162" spans="1:9" x14ac:dyDescent="0.2">
      <c r="A162" s="3">
        <f>VLOOKUP(F162,CODIGOSPLACAS!$A$1:$B$38,2,FALSE)</f>
        <v>36</v>
      </c>
      <c r="B162" s="17">
        <v>44105</v>
      </c>
      <c r="C162" s="18">
        <f>MONTH(B162)</f>
        <v>10</v>
      </c>
      <c r="D162" s="18">
        <f>YEAR(B162)</f>
        <v>2020</v>
      </c>
      <c r="E162" s="18" t="str">
        <f>IFERROR(VLOOKUP(F162,#REF!,3,FALSE),"")</f>
        <v/>
      </c>
      <c r="F162" s="11" t="s">
        <v>35</v>
      </c>
      <c r="G162" s="9">
        <v>5</v>
      </c>
      <c r="H162" s="10">
        <v>2.5</v>
      </c>
    </row>
    <row r="163" spans="1:9" x14ac:dyDescent="0.2">
      <c r="A163" s="3">
        <f>VLOOKUP(F163,CODIGOSPLACAS!$A$1:$B$38,2,FALSE)</f>
        <v>35</v>
      </c>
      <c r="B163" s="17">
        <v>44105</v>
      </c>
      <c r="C163" s="18">
        <f t="shared" si="18"/>
        <v>10</v>
      </c>
      <c r="D163" s="18">
        <f t="shared" si="19"/>
        <v>2020</v>
      </c>
      <c r="E163" s="18" t="str">
        <f>IFERROR(VLOOKUP(F163,#REF!,3,FALSE),"")</f>
        <v/>
      </c>
      <c r="F163" s="11" t="s">
        <v>34</v>
      </c>
      <c r="G163" s="9">
        <v>5</v>
      </c>
      <c r="H163" s="10">
        <v>2.5</v>
      </c>
    </row>
    <row r="164" spans="1:9" x14ac:dyDescent="0.2">
      <c r="C164" s="18"/>
      <c r="D164" s="18"/>
      <c r="E164" s="18" t="str">
        <f>IFERROR(VLOOKUP(F164,#REF!,3,FALSE),"")</f>
        <v/>
      </c>
      <c r="F164" s="214" t="s">
        <v>39</v>
      </c>
      <c r="G164" s="214"/>
      <c r="H164" s="214"/>
      <c r="I164" s="150"/>
    </row>
    <row r="165" spans="1:9" x14ac:dyDescent="0.2">
      <c r="A165" s="3">
        <f>VLOOKUP(F165,CODIGOSPLACAS!$A$1:$B$38,2,FALSE)</f>
        <v>1</v>
      </c>
      <c r="B165" s="17">
        <v>44136</v>
      </c>
      <c r="C165" s="18">
        <f t="shared" ref="C165:C181" si="20">MONTH(B165)</f>
        <v>11</v>
      </c>
      <c r="D165" s="18">
        <f t="shared" ref="D165:D181" si="21">YEAR(B165)</f>
        <v>2020</v>
      </c>
      <c r="E165" s="18" t="str">
        <f>IFERROR(VLOOKUP(F165,#REF!,3,FALSE),"")</f>
        <v/>
      </c>
      <c r="F165" s="6" t="s">
        <v>26</v>
      </c>
      <c r="G165" s="6">
        <v>4</v>
      </c>
      <c r="H165" s="7">
        <v>1.7</v>
      </c>
    </row>
    <row r="166" spans="1:9" ht="12" customHeight="1" x14ac:dyDescent="0.2">
      <c r="A166" s="3">
        <f>VLOOKUP(F166,CODIGOSPLACAS!$A$1:$B$38,2,FALSE)</f>
        <v>2</v>
      </c>
      <c r="B166" s="17">
        <v>44136</v>
      </c>
      <c r="C166" s="18">
        <f t="shared" si="20"/>
        <v>11</v>
      </c>
      <c r="D166" s="18">
        <f t="shared" si="21"/>
        <v>2020</v>
      </c>
      <c r="E166" s="18" t="str">
        <f>IFERROR(VLOOKUP(F166,#REF!,3,FALSE),"")</f>
        <v/>
      </c>
      <c r="F166" s="6" t="s">
        <v>24</v>
      </c>
      <c r="G166" s="6">
        <v>3</v>
      </c>
      <c r="H166" s="7">
        <v>1.9</v>
      </c>
    </row>
    <row r="167" spans="1:9" x14ac:dyDescent="0.2">
      <c r="A167" s="3">
        <f>VLOOKUP(F167,CODIGOSPLACAS!$A$1:$B$38,2,FALSE)</f>
        <v>9</v>
      </c>
      <c r="B167" s="17">
        <v>44136</v>
      </c>
      <c r="C167" s="18">
        <f t="shared" si="20"/>
        <v>11</v>
      </c>
      <c r="D167" s="18">
        <f t="shared" si="21"/>
        <v>2020</v>
      </c>
      <c r="E167" s="18" t="str">
        <f>IFERROR(VLOOKUP(F167,#REF!,3,FALSE),"")</f>
        <v/>
      </c>
      <c r="F167" s="6" t="s">
        <v>126</v>
      </c>
      <c r="G167" s="6">
        <v>4</v>
      </c>
      <c r="H167" s="7">
        <v>1.7</v>
      </c>
    </row>
    <row r="168" spans="1:9" x14ac:dyDescent="0.2">
      <c r="A168" s="3">
        <f>VLOOKUP(F168,CODIGOSPLACAS!$A$1:$B$38,2,FALSE)</f>
        <v>12</v>
      </c>
      <c r="B168" s="17">
        <v>44136</v>
      </c>
      <c r="C168" s="18">
        <f t="shared" si="20"/>
        <v>11</v>
      </c>
      <c r="D168" s="18">
        <f t="shared" si="21"/>
        <v>2020</v>
      </c>
      <c r="E168" s="18" t="str">
        <f>IFERROR(VLOOKUP(F168,#REF!,3,FALSE),"")</f>
        <v/>
      </c>
      <c r="F168" s="6" t="s">
        <v>40</v>
      </c>
      <c r="G168" s="6">
        <v>3</v>
      </c>
      <c r="H168" s="7">
        <v>1.9</v>
      </c>
    </row>
    <row r="169" spans="1:9" x14ac:dyDescent="0.2">
      <c r="A169" s="3">
        <f>VLOOKUP(F169,CODIGOSPLACAS!$A$1:$B$38,2,FALSE)</f>
        <v>13</v>
      </c>
      <c r="B169" s="17">
        <v>44136</v>
      </c>
      <c r="C169" s="18">
        <f t="shared" si="20"/>
        <v>11</v>
      </c>
      <c r="D169" s="18">
        <f t="shared" si="21"/>
        <v>2020</v>
      </c>
      <c r="E169" s="18" t="str">
        <f>IFERROR(VLOOKUP(F169,#REF!,3,FALSE),"")</f>
        <v/>
      </c>
      <c r="F169" s="6" t="s">
        <v>41</v>
      </c>
      <c r="G169" s="6">
        <v>2</v>
      </c>
      <c r="H169" s="7">
        <v>1.9</v>
      </c>
    </row>
    <row r="170" spans="1:9" x14ac:dyDescent="0.2">
      <c r="A170" s="3">
        <f>VLOOKUP(F170,CODIGOSPLACAS!$A$1:$B$38,2,FALSE)</f>
        <v>16</v>
      </c>
      <c r="B170" s="17">
        <v>44136</v>
      </c>
      <c r="C170" s="18">
        <f t="shared" si="20"/>
        <v>11</v>
      </c>
      <c r="D170" s="18">
        <f t="shared" si="21"/>
        <v>2020</v>
      </c>
      <c r="E170" s="18" t="str">
        <f>IFERROR(VLOOKUP(F170,#REF!,3,FALSE),"")</f>
        <v/>
      </c>
      <c r="F170" s="6" t="s">
        <v>130</v>
      </c>
      <c r="G170" s="6">
        <v>4</v>
      </c>
      <c r="H170" s="7">
        <v>1.7</v>
      </c>
    </row>
    <row r="171" spans="1:9" x14ac:dyDescent="0.2">
      <c r="A171" s="3">
        <f>VLOOKUP(F171,CODIGOSPLACAS!$A$1:$B$38,2,FALSE)</f>
        <v>19</v>
      </c>
      <c r="B171" s="17">
        <v>44136</v>
      </c>
      <c r="C171" s="18">
        <f t="shared" si="20"/>
        <v>11</v>
      </c>
      <c r="D171" s="18">
        <f t="shared" si="21"/>
        <v>2020</v>
      </c>
      <c r="E171" s="18" t="str">
        <f>IFERROR(VLOOKUP(F171,#REF!,3,FALSE),"")</f>
        <v/>
      </c>
      <c r="F171" s="6" t="s">
        <v>42</v>
      </c>
      <c r="G171" s="6">
        <v>1</v>
      </c>
      <c r="H171" s="7">
        <v>2.1</v>
      </c>
    </row>
    <row r="172" spans="1:9" x14ac:dyDescent="0.2">
      <c r="A172" s="3">
        <f>VLOOKUP(F172,CODIGOSPLACAS!$A$1:$B$38,2,FALSE)</f>
        <v>23</v>
      </c>
      <c r="B172" s="17">
        <v>44136</v>
      </c>
      <c r="C172" s="18">
        <f t="shared" si="20"/>
        <v>11</v>
      </c>
      <c r="D172" s="18">
        <f t="shared" si="21"/>
        <v>2020</v>
      </c>
      <c r="E172" s="18" t="str">
        <f>IFERROR(VLOOKUP(F172,#REF!,3,FALSE),"")</f>
        <v/>
      </c>
      <c r="F172" s="6" t="s">
        <v>23</v>
      </c>
      <c r="G172" s="6">
        <v>4</v>
      </c>
      <c r="H172" s="7">
        <v>1.7</v>
      </c>
    </row>
    <row r="173" spans="1:9" x14ac:dyDescent="0.2">
      <c r="A173" s="3">
        <f>VLOOKUP(F173,CODIGOSPLACAS!$A$1:$B$38,2,FALSE)</f>
        <v>33</v>
      </c>
      <c r="B173" s="17">
        <v>44136</v>
      </c>
      <c r="C173" s="18">
        <f t="shared" si="20"/>
        <v>11</v>
      </c>
      <c r="D173" s="18">
        <f t="shared" si="21"/>
        <v>2020</v>
      </c>
      <c r="E173" s="18" t="str">
        <f>IFERROR(VLOOKUP(F173,#REF!,3,FALSE),"")</f>
        <v/>
      </c>
      <c r="F173" s="6" t="s">
        <v>127</v>
      </c>
      <c r="G173" s="6">
        <v>3</v>
      </c>
      <c r="H173" s="7">
        <v>1.9</v>
      </c>
    </row>
    <row r="174" spans="1:9" x14ac:dyDescent="0.2">
      <c r="A174" s="3">
        <f>VLOOKUP(F174,CODIGOSPLACAS!$A$1:$B$38,2,FALSE)</f>
        <v>34</v>
      </c>
      <c r="B174" s="17">
        <v>44136</v>
      </c>
      <c r="C174" s="18">
        <f t="shared" si="20"/>
        <v>11</v>
      </c>
      <c r="D174" s="18">
        <f t="shared" si="21"/>
        <v>2020</v>
      </c>
      <c r="E174" s="18" t="str">
        <f>IFERROR(VLOOKUP(F174,#REF!,3,FALSE),"")</f>
        <v/>
      </c>
      <c r="F174" s="6" t="s">
        <v>22</v>
      </c>
      <c r="G174" s="6">
        <v>3</v>
      </c>
      <c r="H174" s="7">
        <v>1.9</v>
      </c>
    </row>
    <row r="175" spans="1:9" x14ac:dyDescent="0.2">
      <c r="A175" s="3">
        <f>VLOOKUP(F175,CODIGOSPLACAS!$A$1:$B$38,2,FALSE)</f>
        <v>26</v>
      </c>
      <c r="B175" s="17">
        <v>44136</v>
      </c>
      <c r="C175" s="18">
        <f t="shared" si="20"/>
        <v>11</v>
      </c>
      <c r="D175" s="18">
        <f t="shared" si="21"/>
        <v>2020</v>
      </c>
      <c r="E175" s="18" t="str">
        <f>IFERROR(VLOOKUP(F175,#REF!,3,FALSE),"")</f>
        <v/>
      </c>
      <c r="F175" s="9" t="s">
        <v>43</v>
      </c>
      <c r="G175" s="9">
        <v>2</v>
      </c>
      <c r="H175" s="10">
        <v>1.9</v>
      </c>
    </row>
    <row r="176" spans="1:9" x14ac:dyDescent="0.2">
      <c r="A176" s="3">
        <f>VLOOKUP(F176,CODIGOSPLACAS!$A$1:$B$38,2,FALSE)</f>
        <v>27</v>
      </c>
      <c r="B176" s="17">
        <v>44136</v>
      </c>
      <c r="C176" s="18">
        <f t="shared" si="20"/>
        <v>11</v>
      </c>
      <c r="D176" s="18">
        <f t="shared" si="21"/>
        <v>2020</v>
      </c>
      <c r="E176" s="18" t="str">
        <f>IFERROR(VLOOKUP(F176,#REF!,3,FALSE),"")</f>
        <v/>
      </c>
      <c r="F176" s="9" t="s">
        <v>44</v>
      </c>
      <c r="G176" s="9">
        <v>3</v>
      </c>
      <c r="H176" s="10">
        <v>1.9</v>
      </c>
    </row>
    <row r="177" spans="1:9" x14ac:dyDescent="0.2">
      <c r="A177" s="3">
        <f>VLOOKUP(F177,CODIGOSPLACAS!$A$1:$B$38,2,FALSE)</f>
        <v>28</v>
      </c>
      <c r="B177" s="17">
        <v>44136</v>
      </c>
      <c r="C177" s="18">
        <f t="shared" si="20"/>
        <v>11</v>
      </c>
      <c r="D177" s="18">
        <f t="shared" si="21"/>
        <v>2020</v>
      </c>
      <c r="E177" s="18" t="str">
        <f>IFERROR(VLOOKUP(F177,#REF!,3,FALSE),"")</f>
        <v/>
      </c>
      <c r="F177" s="11" t="s">
        <v>45</v>
      </c>
      <c r="G177" s="9">
        <v>3</v>
      </c>
      <c r="H177" s="10">
        <v>1.9</v>
      </c>
    </row>
    <row r="178" spans="1:9" x14ac:dyDescent="0.2">
      <c r="A178" s="3">
        <f>VLOOKUP(F178,CODIGOSPLACAS!$A$1:$B$38,2,FALSE)</f>
        <v>30</v>
      </c>
      <c r="B178" s="17">
        <v>44136</v>
      </c>
      <c r="C178" s="18">
        <f t="shared" si="20"/>
        <v>11</v>
      </c>
      <c r="D178" s="18">
        <f t="shared" si="21"/>
        <v>2020</v>
      </c>
      <c r="E178" s="18" t="str">
        <f>IFERROR(VLOOKUP(F178,#REF!,3,FALSE),"")</f>
        <v/>
      </c>
      <c r="F178" s="11" t="s">
        <v>25</v>
      </c>
      <c r="G178" s="9">
        <v>4</v>
      </c>
      <c r="H178" s="10">
        <v>1.7</v>
      </c>
    </row>
    <row r="179" spans="1:9" x14ac:dyDescent="0.2">
      <c r="A179" s="3">
        <f>VLOOKUP(F179,CODIGOSPLACAS!$A$1:$B$38,2,FALSE)</f>
        <v>36</v>
      </c>
      <c r="B179" s="17">
        <v>44136</v>
      </c>
      <c r="C179" s="18">
        <v>11</v>
      </c>
      <c r="D179" s="18">
        <v>2020</v>
      </c>
      <c r="E179" s="18" t="str">
        <f>IFERROR(VLOOKUP(F179,#REF!,3,FALSE),"")</f>
        <v/>
      </c>
      <c r="F179" s="11" t="s">
        <v>35</v>
      </c>
      <c r="G179" s="9">
        <v>5</v>
      </c>
      <c r="H179" s="10">
        <v>2.5</v>
      </c>
    </row>
    <row r="180" spans="1:9" x14ac:dyDescent="0.2">
      <c r="A180" s="3">
        <f>VLOOKUP(F180,CODIGOSPLACAS!$A$1:$B$38,2,FALSE)</f>
        <v>8</v>
      </c>
      <c r="B180" s="17">
        <v>44136</v>
      </c>
      <c r="C180" s="18">
        <v>11</v>
      </c>
      <c r="D180" s="18">
        <v>2020</v>
      </c>
      <c r="E180" s="18" t="str">
        <f>IFERROR(VLOOKUP(F180,#REF!,3,FALSE),"")</f>
        <v/>
      </c>
      <c r="F180" s="6" t="s">
        <v>27</v>
      </c>
      <c r="G180" s="6">
        <v>4</v>
      </c>
      <c r="H180" s="7">
        <v>1.7</v>
      </c>
    </row>
    <row r="181" spans="1:9" x14ac:dyDescent="0.2">
      <c r="A181" s="3">
        <f>VLOOKUP(F181,CODIGOSPLACAS!$A$1:$B$38,2,FALSE)</f>
        <v>35</v>
      </c>
      <c r="B181" s="17">
        <v>44136</v>
      </c>
      <c r="C181" s="18">
        <f t="shared" si="20"/>
        <v>11</v>
      </c>
      <c r="D181" s="18">
        <f t="shared" si="21"/>
        <v>2020</v>
      </c>
      <c r="E181" s="18" t="str">
        <f>IFERROR(VLOOKUP(F181,#REF!,3,FALSE),"")</f>
        <v/>
      </c>
      <c r="F181" s="11" t="s">
        <v>34</v>
      </c>
      <c r="G181" s="9">
        <v>5</v>
      </c>
      <c r="H181" s="10">
        <v>2.5</v>
      </c>
    </row>
    <row r="182" spans="1:9" ht="36" customHeight="1" x14ac:dyDescent="0.2">
      <c r="C182" s="18"/>
      <c r="D182" s="18"/>
      <c r="E182" s="18" t="str">
        <f>IFERROR(VLOOKUP(F182,#REF!,3,FALSE),"")</f>
        <v/>
      </c>
      <c r="F182" s="214" t="s">
        <v>39</v>
      </c>
      <c r="G182" s="214"/>
      <c r="H182" s="214"/>
      <c r="I182" s="150"/>
    </row>
    <row r="183" spans="1:9" x14ac:dyDescent="0.2">
      <c r="A183" s="3">
        <f>VLOOKUP(F183,CODIGOSPLACAS!$A$1:$B$38,2,FALSE)</f>
        <v>1</v>
      </c>
      <c r="B183" s="17">
        <v>44166</v>
      </c>
      <c r="C183" s="18">
        <f t="shared" ref="C183:C196" si="22">MONTH(B183)</f>
        <v>12</v>
      </c>
      <c r="D183" s="18">
        <f t="shared" ref="D183:D196" si="23">YEAR(B183)</f>
        <v>2020</v>
      </c>
      <c r="E183" s="18" t="str">
        <f>IFERROR(VLOOKUP(F183,#REF!,3,FALSE),"")</f>
        <v/>
      </c>
      <c r="F183" s="6" t="s">
        <v>26</v>
      </c>
      <c r="G183" s="6">
        <v>4</v>
      </c>
      <c r="H183" s="7">
        <v>1.7</v>
      </c>
    </row>
    <row r="184" spans="1:9" x14ac:dyDescent="0.2">
      <c r="A184" s="3">
        <f>VLOOKUP(F184,CODIGOSPLACAS!$A$1:$B$38,2,FALSE)</f>
        <v>2</v>
      </c>
      <c r="B184" s="17">
        <v>44166</v>
      </c>
      <c r="C184" s="18">
        <f t="shared" si="22"/>
        <v>12</v>
      </c>
      <c r="D184" s="18">
        <f t="shared" si="23"/>
        <v>2020</v>
      </c>
      <c r="E184" s="18" t="str">
        <f>IFERROR(VLOOKUP(F184,#REF!,3,FALSE),"")</f>
        <v/>
      </c>
      <c r="F184" s="6" t="s">
        <v>24</v>
      </c>
      <c r="G184" s="6">
        <v>3</v>
      </c>
      <c r="H184" s="7">
        <v>1.9</v>
      </c>
    </row>
    <row r="185" spans="1:9" x14ac:dyDescent="0.2">
      <c r="A185" s="3">
        <f>VLOOKUP(F185,CODIGOSPLACAS!$A$1:$B$38,2,FALSE)</f>
        <v>9</v>
      </c>
      <c r="B185" s="17">
        <v>44166</v>
      </c>
      <c r="C185" s="18">
        <f t="shared" si="22"/>
        <v>12</v>
      </c>
      <c r="D185" s="18">
        <f t="shared" si="23"/>
        <v>2020</v>
      </c>
      <c r="E185" s="18" t="str">
        <f>IFERROR(VLOOKUP(F185,#REF!,3,FALSE),"")</f>
        <v/>
      </c>
      <c r="F185" s="6" t="s">
        <v>126</v>
      </c>
      <c r="G185" s="6">
        <v>4</v>
      </c>
      <c r="H185" s="7">
        <v>1.7</v>
      </c>
    </row>
    <row r="186" spans="1:9" x14ac:dyDescent="0.2">
      <c r="A186" s="3">
        <f>VLOOKUP(F186,CODIGOSPLACAS!$A$1:$B$38,2,FALSE)</f>
        <v>12</v>
      </c>
      <c r="B186" s="17">
        <v>44166</v>
      </c>
      <c r="C186" s="18">
        <f t="shared" si="22"/>
        <v>12</v>
      </c>
      <c r="D186" s="18">
        <f t="shared" si="23"/>
        <v>2020</v>
      </c>
      <c r="E186" s="18" t="str">
        <f>IFERROR(VLOOKUP(F186,#REF!,3,FALSE),"")</f>
        <v/>
      </c>
      <c r="F186" s="6" t="s">
        <v>40</v>
      </c>
      <c r="G186" s="6">
        <v>3</v>
      </c>
      <c r="H186" s="7">
        <v>1.9</v>
      </c>
    </row>
    <row r="187" spans="1:9" x14ac:dyDescent="0.2">
      <c r="A187" s="3">
        <f>VLOOKUP(F187,CODIGOSPLACAS!$A$1:$B$38,2,FALSE)</f>
        <v>13</v>
      </c>
      <c r="B187" s="17">
        <v>44166</v>
      </c>
      <c r="C187" s="18">
        <f t="shared" si="22"/>
        <v>12</v>
      </c>
      <c r="D187" s="18">
        <f t="shared" si="23"/>
        <v>2020</v>
      </c>
      <c r="E187" s="18" t="str">
        <f>IFERROR(VLOOKUP(F187,#REF!,3,FALSE),"")</f>
        <v/>
      </c>
      <c r="F187" s="6" t="s">
        <v>41</v>
      </c>
      <c r="G187" s="9">
        <v>2</v>
      </c>
      <c r="H187" s="10">
        <v>1.95</v>
      </c>
    </row>
    <row r="188" spans="1:9" x14ac:dyDescent="0.2">
      <c r="A188" s="3">
        <f>VLOOKUP(F188,CODIGOSPLACAS!$A$1:$B$38,2,FALSE)</f>
        <v>16</v>
      </c>
      <c r="B188" s="17">
        <v>44166</v>
      </c>
      <c r="C188" s="18">
        <f t="shared" si="22"/>
        <v>12</v>
      </c>
      <c r="D188" s="18">
        <f t="shared" si="23"/>
        <v>2020</v>
      </c>
      <c r="E188" s="18" t="str">
        <f>IFERROR(VLOOKUP(F188,#REF!,3,FALSE),"")</f>
        <v/>
      </c>
      <c r="F188" s="6" t="s">
        <v>130</v>
      </c>
      <c r="G188" s="6">
        <v>4</v>
      </c>
      <c r="H188" s="7">
        <v>1.7</v>
      </c>
    </row>
    <row r="189" spans="1:9" x14ac:dyDescent="0.2">
      <c r="A189" s="3">
        <f>VLOOKUP(F189,CODIGOSPLACAS!$A$1:$B$38,2,FALSE)</f>
        <v>19</v>
      </c>
      <c r="B189" s="17">
        <v>44166</v>
      </c>
      <c r="C189" s="18">
        <f t="shared" si="22"/>
        <v>12</v>
      </c>
      <c r="D189" s="18">
        <f t="shared" si="23"/>
        <v>2020</v>
      </c>
      <c r="E189" s="18" t="str">
        <f>IFERROR(VLOOKUP(F189,#REF!,3,FALSE),"")</f>
        <v/>
      </c>
      <c r="F189" s="6" t="s">
        <v>42</v>
      </c>
      <c r="G189" s="6">
        <v>1</v>
      </c>
      <c r="H189" s="7">
        <v>2.1</v>
      </c>
    </row>
    <row r="190" spans="1:9" x14ac:dyDescent="0.2">
      <c r="A190" s="3">
        <f>VLOOKUP(F190,CODIGOSPLACAS!$A$1:$B$38,2,FALSE)</f>
        <v>23</v>
      </c>
      <c r="B190" s="17">
        <v>44166</v>
      </c>
      <c r="C190" s="18">
        <f t="shared" si="22"/>
        <v>12</v>
      </c>
      <c r="D190" s="18">
        <f t="shared" si="23"/>
        <v>2020</v>
      </c>
      <c r="E190" s="18" t="str">
        <f>IFERROR(VLOOKUP(F190,#REF!,3,FALSE),"")</f>
        <v/>
      </c>
      <c r="F190" s="6" t="s">
        <v>23</v>
      </c>
      <c r="G190" s="6">
        <v>4</v>
      </c>
      <c r="H190" s="7">
        <v>1.7</v>
      </c>
    </row>
    <row r="191" spans="1:9" x14ac:dyDescent="0.2">
      <c r="A191" s="3">
        <f>VLOOKUP(F191,CODIGOSPLACAS!$A$1:$B$38,2,FALSE)</f>
        <v>33</v>
      </c>
      <c r="B191" s="17">
        <v>44166</v>
      </c>
      <c r="C191" s="18">
        <f t="shared" si="22"/>
        <v>12</v>
      </c>
      <c r="D191" s="18">
        <f t="shared" si="23"/>
        <v>2020</v>
      </c>
      <c r="E191" s="18" t="str">
        <f>IFERROR(VLOOKUP(F191,#REF!,3,FALSE),"")</f>
        <v/>
      </c>
      <c r="F191" s="6" t="s">
        <v>127</v>
      </c>
      <c r="G191" s="6">
        <v>3</v>
      </c>
      <c r="H191" s="7">
        <v>1.9</v>
      </c>
    </row>
    <row r="192" spans="1:9" x14ac:dyDescent="0.2">
      <c r="A192" s="3">
        <f>VLOOKUP(F192,CODIGOSPLACAS!$A$1:$B$38,2,FALSE)</f>
        <v>34</v>
      </c>
      <c r="B192" s="17">
        <v>44166</v>
      </c>
      <c r="C192" s="18">
        <f t="shared" si="22"/>
        <v>12</v>
      </c>
      <c r="D192" s="18">
        <f t="shared" si="23"/>
        <v>2020</v>
      </c>
      <c r="E192" s="18" t="str">
        <f>IFERROR(VLOOKUP(F192,#REF!,3,FALSE),"")</f>
        <v/>
      </c>
      <c r="F192" s="6" t="s">
        <v>22</v>
      </c>
      <c r="G192" s="6">
        <v>3</v>
      </c>
      <c r="H192" s="7">
        <v>1.9</v>
      </c>
    </row>
    <row r="193" spans="1:9" x14ac:dyDescent="0.2">
      <c r="A193" s="3">
        <f>VLOOKUP(F193,CODIGOSPLACAS!$A$1:$B$38,2,FALSE)</f>
        <v>26</v>
      </c>
      <c r="B193" s="17">
        <v>44166</v>
      </c>
      <c r="C193" s="18">
        <f t="shared" si="22"/>
        <v>12</v>
      </c>
      <c r="D193" s="18">
        <f t="shared" si="23"/>
        <v>2020</v>
      </c>
      <c r="E193" s="18" t="str">
        <f>IFERROR(VLOOKUP(F193,#REF!,3,FALSE),"")</f>
        <v/>
      </c>
      <c r="F193" s="9" t="s">
        <v>43</v>
      </c>
      <c r="G193" s="9">
        <v>2</v>
      </c>
      <c r="H193" s="10">
        <v>1.9</v>
      </c>
    </row>
    <row r="194" spans="1:9" x14ac:dyDescent="0.2">
      <c r="A194" s="3">
        <f>VLOOKUP(F194,CODIGOSPLACAS!$A$1:$B$38,2,FALSE)</f>
        <v>27</v>
      </c>
      <c r="B194" s="17">
        <v>44166</v>
      </c>
      <c r="C194" s="18">
        <f t="shared" si="22"/>
        <v>12</v>
      </c>
      <c r="D194" s="18">
        <f t="shared" si="23"/>
        <v>2020</v>
      </c>
      <c r="E194" s="18" t="str">
        <f>IFERROR(VLOOKUP(F194,#REF!,3,FALSE),"")</f>
        <v/>
      </c>
      <c r="F194" s="9" t="s">
        <v>44</v>
      </c>
      <c r="G194" s="9">
        <v>3</v>
      </c>
      <c r="H194" s="10">
        <v>1.9</v>
      </c>
    </row>
    <row r="195" spans="1:9" x14ac:dyDescent="0.2">
      <c r="A195" s="3">
        <f>VLOOKUP(F195,CODIGOSPLACAS!$A$1:$B$38,2,FALSE)</f>
        <v>28</v>
      </c>
      <c r="B195" s="17">
        <v>44166</v>
      </c>
      <c r="C195" s="18">
        <f t="shared" si="22"/>
        <v>12</v>
      </c>
      <c r="D195" s="18">
        <f t="shared" si="23"/>
        <v>2020</v>
      </c>
      <c r="E195" s="18" t="str">
        <f>IFERROR(VLOOKUP(F195,#REF!,3,FALSE),"")</f>
        <v/>
      </c>
      <c r="F195" s="11" t="s">
        <v>45</v>
      </c>
      <c r="G195" s="9">
        <v>3</v>
      </c>
      <c r="H195" s="10">
        <v>1.9</v>
      </c>
    </row>
    <row r="196" spans="1:9" x14ac:dyDescent="0.2">
      <c r="A196" s="3">
        <f>VLOOKUP(F196,CODIGOSPLACAS!$A$1:$B$38,2,FALSE)</f>
        <v>30</v>
      </c>
      <c r="B196" s="17">
        <v>44166</v>
      </c>
      <c r="C196" s="18">
        <f t="shared" si="22"/>
        <v>12</v>
      </c>
      <c r="D196" s="18">
        <f t="shared" si="23"/>
        <v>2020</v>
      </c>
      <c r="E196" s="18" t="str">
        <f>IFERROR(VLOOKUP(F196,#REF!,3,FALSE),"")</f>
        <v/>
      </c>
      <c r="F196" s="11" t="s">
        <v>25</v>
      </c>
      <c r="G196" s="9">
        <v>4</v>
      </c>
      <c r="H196" s="10">
        <v>1.7</v>
      </c>
    </row>
    <row r="197" spans="1:9" x14ac:dyDescent="0.2">
      <c r="A197" s="3">
        <f>VLOOKUP(F197,CODIGOSPLACAS!$A$1:$B$38,2,FALSE)</f>
        <v>36</v>
      </c>
      <c r="B197" s="17">
        <v>44166</v>
      </c>
      <c r="C197" s="18">
        <f>MONTH(B197)</f>
        <v>12</v>
      </c>
      <c r="D197" s="18">
        <f>YEAR(B197)</f>
        <v>2020</v>
      </c>
      <c r="E197" s="18" t="str">
        <f>IFERROR(VLOOKUP(F197,#REF!,3,FALSE),"")</f>
        <v/>
      </c>
      <c r="F197" s="11" t="s">
        <v>35</v>
      </c>
      <c r="G197" s="9">
        <v>5</v>
      </c>
      <c r="H197" s="10">
        <v>2.5</v>
      </c>
    </row>
    <row r="198" spans="1:9" ht="12" customHeight="1" x14ac:dyDescent="0.2">
      <c r="A198" s="3">
        <f>VLOOKUP(F198,CODIGOSPLACAS!$A$1:$B$38,2,FALSE)</f>
        <v>8</v>
      </c>
      <c r="B198" s="17">
        <v>44166</v>
      </c>
      <c r="C198" s="18">
        <f>MONTH(B198)</f>
        <v>12</v>
      </c>
      <c r="D198" s="18">
        <f>YEAR(B198)</f>
        <v>2020</v>
      </c>
      <c r="E198" s="18" t="str">
        <f>IFERROR(VLOOKUP(F198,#REF!,3,FALSE),"")</f>
        <v/>
      </c>
      <c r="F198" s="6" t="s">
        <v>27</v>
      </c>
      <c r="G198" s="6">
        <v>4</v>
      </c>
      <c r="H198" s="7">
        <v>1.7</v>
      </c>
    </row>
    <row r="199" spans="1:9" x14ac:dyDescent="0.2">
      <c r="A199" s="3">
        <f>VLOOKUP(F199,CODIGOSPLACAS!$A$1:$B$38,2,FALSE)</f>
        <v>3</v>
      </c>
      <c r="B199" s="17">
        <v>44166</v>
      </c>
      <c r="C199" s="18">
        <f>MONTH(B199)</f>
        <v>12</v>
      </c>
      <c r="D199" s="18">
        <f>YEAR(B199)</f>
        <v>2020</v>
      </c>
      <c r="E199" s="18" t="str">
        <f>IFERROR(VLOOKUP(F199,#REF!,3,FALSE),"")</f>
        <v/>
      </c>
      <c r="F199" s="6" t="s">
        <v>28</v>
      </c>
      <c r="G199" s="6">
        <v>4</v>
      </c>
      <c r="H199" s="7">
        <v>1.7</v>
      </c>
    </row>
    <row r="200" spans="1:9" x14ac:dyDescent="0.2">
      <c r="A200" s="3">
        <f>VLOOKUP(F200,CODIGOSPLACAS!$A$1:$B$38,2,FALSE)</f>
        <v>35</v>
      </c>
      <c r="B200" s="17">
        <v>44166</v>
      </c>
      <c r="C200" s="18">
        <f>MONTH(B200)</f>
        <v>12</v>
      </c>
      <c r="D200" s="18">
        <f>YEAR(B200)</f>
        <v>2020</v>
      </c>
      <c r="E200" s="18" t="str">
        <f>IFERROR(VLOOKUP(F200,#REF!,3,FALSE),"")</f>
        <v/>
      </c>
      <c r="F200" s="11" t="s">
        <v>34</v>
      </c>
      <c r="G200" s="9">
        <v>5</v>
      </c>
      <c r="H200" s="10">
        <v>2.5</v>
      </c>
    </row>
    <row r="201" spans="1:9" x14ac:dyDescent="0.2">
      <c r="E201" s="18" t="str">
        <f>IFERROR(VLOOKUP(F201,#REF!,3,FALSE),"")</f>
        <v/>
      </c>
      <c r="F201" s="214" t="s">
        <v>39</v>
      </c>
      <c r="G201" s="214"/>
      <c r="H201" s="214"/>
      <c r="I201" s="150"/>
    </row>
    <row r="202" spans="1:9" x14ac:dyDescent="0.2">
      <c r="A202" s="3">
        <f>VLOOKUP(F202,CODIGOSPLACAS!$A$1:$B$38,2,FALSE)</f>
        <v>1</v>
      </c>
      <c r="B202" s="17">
        <v>44197</v>
      </c>
      <c r="C202" s="18">
        <f t="shared" ref="C202:C215" si="24">MONTH(B202)</f>
        <v>1</v>
      </c>
      <c r="D202" s="18">
        <f t="shared" ref="D202:D215" si="25">YEAR(B202)</f>
        <v>2021</v>
      </c>
      <c r="E202" s="18" t="str">
        <f>IFERROR(VLOOKUP(F202,#REF!,3,FALSE),"")</f>
        <v/>
      </c>
      <c r="F202" s="6" t="s">
        <v>26</v>
      </c>
      <c r="G202" s="6">
        <v>4</v>
      </c>
      <c r="H202" s="7">
        <v>1.7</v>
      </c>
      <c r="I202" s="147"/>
    </row>
    <row r="203" spans="1:9" ht="12" customHeight="1" x14ac:dyDescent="0.2">
      <c r="A203" s="3">
        <f>VLOOKUP(F203,CODIGOSPLACAS!$A$1:$B$38,2,FALSE)</f>
        <v>2</v>
      </c>
      <c r="B203" s="17">
        <v>44197</v>
      </c>
      <c r="C203" s="18">
        <f t="shared" si="24"/>
        <v>1</v>
      </c>
      <c r="D203" s="18">
        <f t="shared" si="25"/>
        <v>2021</v>
      </c>
      <c r="E203" s="18" t="str">
        <f>IFERROR(VLOOKUP(F203,#REF!,3,FALSE),"")</f>
        <v/>
      </c>
      <c r="F203" s="6" t="s">
        <v>24</v>
      </c>
      <c r="G203" s="9">
        <v>3</v>
      </c>
      <c r="H203" s="10">
        <v>1.9</v>
      </c>
      <c r="I203" s="147"/>
    </row>
    <row r="204" spans="1:9" x14ac:dyDescent="0.2">
      <c r="A204" s="3">
        <f>VLOOKUP(F204,CODIGOSPLACAS!$A$1:$B$38,2,FALSE)</f>
        <v>9</v>
      </c>
      <c r="B204" s="17">
        <v>44197</v>
      </c>
      <c r="C204" s="18">
        <f t="shared" si="24"/>
        <v>1</v>
      </c>
      <c r="D204" s="18">
        <f t="shared" si="25"/>
        <v>2021</v>
      </c>
      <c r="E204" s="18" t="str">
        <f>IFERROR(VLOOKUP(F204,#REF!,3,FALSE),"")</f>
        <v/>
      </c>
      <c r="F204" s="6" t="s">
        <v>126</v>
      </c>
      <c r="G204" s="6">
        <v>4</v>
      </c>
      <c r="H204" s="7">
        <v>1.7</v>
      </c>
      <c r="I204" s="147"/>
    </row>
    <row r="205" spans="1:9" x14ac:dyDescent="0.2">
      <c r="A205" s="3">
        <f>VLOOKUP(F205,CODIGOSPLACAS!$A$1:$B$38,2,FALSE)</f>
        <v>12</v>
      </c>
      <c r="B205" s="17">
        <v>44197</v>
      </c>
      <c r="C205" s="18">
        <f t="shared" si="24"/>
        <v>1</v>
      </c>
      <c r="D205" s="18">
        <f t="shared" si="25"/>
        <v>2021</v>
      </c>
      <c r="E205" s="18" t="str">
        <f>IFERROR(VLOOKUP(F205,#REF!,3,FALSE),"")</f>
        <v/>
      </c>
      <c r="F205" s="6" t="s">
        <v>40</v>
      </c>
      <c r="G205" s="6">
        <v>3</v>
      </c>
      <c r="H205" s="7">
        <v>1.9</v>
      </c>
      <c r="I205" s="147"/>
    </row>
    <row r="206" spans="1:9" x14ac:dyDescent="0.2">
      <c r="A206" s="3">
        <f>VLOOKUP(F206,CODIGOSPLACAS!$A$1:$B$38,2,FALSE)</f>
        <v>13</v>
      </c>
      <c r="B206" s="17">
        <v>44197</v>
      </c>
      <c r="C206" s="18">
        <f t="shared" si="24"/>
        <v>1</v>
      </c>
      <c r="D206" s="18">
        <f t="shared" si="25"/>
        <v>2021</v>
      </c>
      <c r="E206" s="18" t="str">
        <f>IFERROR(VLOOKUP(F206,#REF!,3,FALSE),"")</f>
        <v/>
      </c>
      <c r="F206" s="6" t="s">
        <v>41</v>
      </c>
      <c r="G206" s="9">
        <v>2</v>
      </c>
      <c r="H206" s="10">
        <v>1.95</v>
      </c>
      <c r="I206" s="147"/>
    </row>
    <row r="207" spans="1:9" x14ac:dyDescent="0.2">
      <c r="A207" s="3">
        <f>VLOOKUP(F207,CODIGOSPLACAS!$A$1:$B$38,2,FALSE)</f>
        <v>16</v>
      </c>
      <c r="B207" s="17">
        <v>44197</v>
      </c>
      <c r="C207" s="18">
        <f t="shared" si="24"/>
        <v>1</v>
      </c>
      <c r="D207" s="18">
        <f t="shared" si="25"/>
        <v>2021</v>
      </c>
      <c r="E207" s="18" t="str">
        <f>IFERROR(VLOOKUP(F207,#REF!,3,FALSE),"")</f>
        <v/>
      </c>
      <c r="F207" s="6" t="s">
        <v>130</v>
      </c>
      <c r="G207" s="6">
        <v>4</v>
      </c>
      <c r="H207" s="7">
        <v>1.7</v>
      </c>
      <c r="I207" s="147"/>
    </row>
    <row r="208" spans="1:9" x14ac:dyDescent="0.2">
      <c r="A208" s="3">
        <f>VLOOKUP(F208,CODIGOSPLACAS!$A$1:$B$38,2,FALSE)</f>
        <v>19</v>
      </c>
      <c r="B208" s="17">
        <v>44197</v>
      </c>
      <c r="C208" s="18">
        <f t="shared" si="24"/>
        <v>1</v>
      </c>
      <c r="D208" s="18">
        <f t="shared" si="25"/>
        <v>2021</v>
      </c>
      <c r="E208" s="18" t="str">
        <f>IFERROR(VLOOKUP(F208,#REF!,3,FALSE),"")</f>
        <v/>
      </c>
      <c r="F208" s="6" t="s">
        <v>42</v>
      </c>
      <c r="G208" s="6">
        <v>1</v>
      </c>
      <c r="H208" s="7">
        <v>2.1</v>
      </c>
      <c r="I208" s="147"/>
    </row>
    <row r="209" spans="1:9" x14ac:dyDescent="0.2">
      <c r="A209" s="3">
        <f>VLOOKUP(F209,CODIGOSPLACAS!$A$1:$B$38,2,FALSE)</f>
        <v>23</v>
      </c>
      <c r="B209" s="17">
        <v>44197</v>
      </c>
      <c r="C209" s="18">
        <f t="shared" si="24"/>
        <v>1</v>
      </c>
      <c r="D209" s="18">
        <f t="shared" si="25"/>
        <v>2021</v>
      </c>
      <c r="E209" s="18" t="str">
        <f>IFERROR(VLOOKUP(F209,#REF!,3,FALSE),"")</f>
        <v/>
      </c>
      <c r="F209" s="6" t="s">
        <v>23</v>
      </c>
      <c r="G209" s="6">
        <v>4</v>
      </c>
      <c r="H209" s="7">
        <v>1.7</v>
      </c>
      <c r="I209" s="147"/>
    </row>
    <row r="210" spans="1:9" x14ac:dyDescent="0.2">
      <c r="A210" s="3">
        <f>VLOOKUP(F210,CODIGOSPLACAS!$A$1:$B$38,2,FALSE)</f>
        <v>33</v>
      </c>
      <c r="B210" s="17">
        <v>44197</v>
      </c>
      <c r="C210" s="18">
        <f t="shared" si="24"/>
        <v>1</v>
      </c>
      <c r="D210" s="18">
        <f t="shared" si="25"/>
        <v>2021</v>
      </c>
      <c r="E210" s="18" t="str">
        <f>IFERROR(VLOOKUP(F210,#REF!,3,FALSE),"")</f>
        <v/>
      </c>
      <c r="F210" s="6" t="s">
        <v>127</v>
      </c>
      <c r="G210" s="6">
        <v>3</v>
      </c>
      <c r="H210" s="7">
        <v>1.9</v>
      </c>
      <c r="I210" s="147"/>
    </row>
    <row r="211" spans="1:9" x14ac:dyDescent="0.2">
      <c r="A211" s="3">
        <f>VLOOKUP(F211,CODIGOSPLACAS!$A$1:$B$38,2,FALSE)</f>
        <v>34</v>
      </c>
      <c r="B211" s="17">
        <v>44197</v>
      </c>
      <c r="C211" s="18">
        <f t="shared" si="24"/>
        <v>1</v>
      </c>
      <c r="D211" s="18">
        <f t="shared" si="25"/>
        <v>2021</v>
      </c>
      <c r="E211" s="18" t="str">
        <f>IFERROR(VLOOKUP(F211,#REF!,3,FALSE),"")</f>
        <v/>
      </c>
      <c r="F211" s="6" t="s">
        <v>22</v>
      </c>
      <c r="G211" s="6">
        <v>3</v>
      </c>
      <c r="H211" s="7">
        <v>1.9</v>
      </c>
      <c r="I211" s="147"/>
    </row>
    <row r="212" spans="1:9" x14ac:dyDescent="0.2">
      <c r="A212" s="3">
        <f>VLOOKUP(F212,CODIGOSPLACAS!$A$1:$B$38,2,FALSE)</f>
        <v>26</v>
      </c>
      <c r="B212" s="17">
        <v>44197</v>
      </c>
      <c r="C212" s="18">
        <f t="shared" si="24"/>
        <v>1</v>
      </c>
      <c r="D212" s="18">
        <f t="shared" si="25"/>
        <v>2021</v>
      </c>
      <c r="E212" s="18" t="str">
        <f>IFERROR(VLOOKUP(F212,#REF!,3,FALSE),"")</f>
        <v/>
      </c>
      <c r="F212" s="9" t="s">
        <v>43</v>
      </c>
      <c r="G212" s="9">
        <v>2</v>
      </c>
      <c r="H212" s="10">
        <v>1.9</v>
      </c>
      <c r="I212" s="147"/>
    </row>
    <row r="213" spans="1:9" x14ac:dyDescent="0.2">
      <c r="A213" s="3">
        <f>VLOOKUP(F213,CODIGOSPLACAS!$A$1:$B$38,2,FALSE)</f>
        <v>27</v>
      </c>
      <c r="B213" s="17">
        <v>44197</v>
      </c>
      <c r="C213" s="18">
        <f t="shared" si="24"/>
        <v>1</v>
      </c>
      <c r="D213" s="18">
        <f t="shared" si="25"/>
        <v>2021</v>
      </c>
      <c r="E213" s="18" t="str">
        <f>IFERROR(VLOOKUP(F213,#REF!,3,FALSE),"")</f>
        <v/>
      </c>
      <c r="F213" s="9" t="s">
        <v>44</v>
      </c>
      <c r="G213" s="9">
        <v>3</v>
      </c>
      <c r="H213" s="10">
        <v>1.9</v>
      </c>
      <c r="I213" s="147"/>
    </row>
    <row r="214" spans="1:9" x14ac:dyDescent="0.2">
      <c r="A214" s="3">
        <f>VLOOKUP(F214,CODIGOSPLACAS!$A$1:$B$38,2,FALSE)</f>
        <v>28</v>
      </c>
      <c r="B214" s="17">
        <v>44197</v>
      </c>
      <c r="C214" s="18">
        <f t="shared" si="24"/>
        <v>1</v>
      </c>
      <c r="D214" s="18">
        <f t="shared" si="25"/>
        <v>2021</v>
      </c>
      <c r="E214" s="18" t="str">
        <f>IFERROR(VLOOKUP(F214,#REF!,3,FALSE),"")</f>
        <v/>
      </c>
      <c r="F214" s="11" t="s">
        <v>45</v>
      </c>
      <c r="G214" s="6">
        <v>1</v>
      </c>
      <c r="H214" s="7">
        <v>2.1</v>
      </c>
      <c r="I214" s="147"/>
    </row>
    <row r="215" spans="1:9" x14ac:dyDescent="0.2">
      <c r="A215" s="3">
        <f>VLOOKUP(F215,CODIGOSPLACAS!$A$1:$B$38,2,FALSE)</f>
        <v>30</v>
      </c>
      <c r="B215" s="17">
        <v>44197</v>
      </c>
      <c r="C215" s="18">
        <f t="shared" si="24"/>
        <v>1</v>
      </c>
      <c r="D215" s="18">
        <f t="shared" si="25"/>
        <v>2021</v>
      </c>
      <c r="E215" s="18" t="str">
        <f>IFERROR(VLOOKUP(F215,#REF!,3,FALSE),"")</f>
        <v/>
      </c>
      <c r="F215" s="11" t="s">
        <v>25</v>
      </c>
      <c r="G215" s="9">
        <v>4</v>
      </c>
      <c r="H215" s="10">
        <v>1.7</v>
      </c>
      <c r="I215" s="147"/>
    </row>
    <row r="216" spans="1:9" x14ac:dyDescent="0.2">
      <c r="A216" s="3">
        <f>VLOOKUP(F216,CODIGOSPLACAS!$A$1:$B$38,2,FALSE)</f>
        <v>36</v>
      </c>
      <c r="B216" s="17">
        <v>44197</v>
      </c>
      <c r="C216" s="18">
        <f>MONTH(B216)</f>
        <v>1</v>
      </c>
      <c r="D216" s="18">
        <f>YEAR(B216)</f>
        <v>2021</v>
      </c>
      <c r="E216" s="18" t="str">
        <f>IFERROR(VLOOKUP(F216,#REF!,3,FALSE),"")</f>
        <v/>
      </c>
      <c r="F216" s="11" t="s">
        <v>35</v>
      </c>
      <c r="G216" s="9">
        <v>5</v>
      </c>
      <c r="H216" s="10">
        <v>2.5</v>
      </c>
      <c r="I216" s="147"/>
    </row>
    <row r="217" spans="1:9" x14ac:dyDescent="0.2">
      <c r="A217" s="3">
        <f>VLOOKUP(F217,CODIGOSPLACAS!$A$1:$B$38,2,FALSE)</f>
        <v>8</v>
      </c>
      <c r="B217" s="17">
        <v>44197</v>
      </c>
      <c r="C217" s="18">
        <f>MONTH(B217)</f>
        <v>1</v>
      </c>
      <c r="D217" s="18">
        <f>YEAR(B217)</f>
        <v>2021</v>
      </c>
      <c r="E217" s="18" t="str">
        <f>IFERROR(VLOOKUP(F217,#REF!,3,FALSE),"")</f>
        <v/>
      </c>
      <c r="F217" s="6" t="s">
        <v>27</v>
      </c>
      <c r="G217" s="6">
        <v>4</v>
      </c>
      <c r="H217" s="7">
        <v>1.7</v>
      </c>
      <c r="I217" s="147"/>
    </row>
    <row r="218" spans="1:9" x14ac:dyDescent="0.2">
      <c r="A218" s="3">
        <f>VLOOKUP(F218,CODIGOSPLACAS!$A$1:$B$38,2,FALSE)</f>
        <v>35</v>
      </c>
      <c r="B218" s="17">
        <v>44197</v>
      </c>
      <c r="C218" s="18">
        <f>MONTH(B218)</f>
        <v>1</v>
      </c>
      <c r="D218" s="18">
        <f>YEAR(B218)</f>
        <v>2021</v>
      </c>
      <c r="E218" s="18" t="str">
        <f>IFERROR(VLOOKUP(F218,#REF!,3,FALSE),"")</f>
        <v/>
      </c>
      <c r="F218" s="11" t="s">
        <v>34</v>
      </c>
      <c r="G218" s="9">
        <v>5</v>
      </c>
      <c r="H218" s="10">
        <v>2.5</v>
      </c>
      <c r="I218" s="147"/>
    </row>
    <row r="219" spans="1:9" x14ac:dyDescent="0.2">
      <c r="A219" s="3">
        <f>VLOOKUP(F219,CODIGOSPLACAS!$A$1:$B$38,2,FALSE)</f>
        <v>3</v>
      </c>
      <c r="B219" s="17">
        <v>44197</v>
      </c>
      <c r="C219" s="18">
        <f>MONTH(B219)</f>
        <v>1</v>
      </c>
      <c r="D219" s="18">
        <f>YEAR(B219)</f>
        <v>2021</v>
      </c>
      <c r="E219" s="18" t="str">
        <f>IFERROR(VLOOKUP(F219,#REF!,3,FALSE),"")</f>
        <v/>
      </c>
      <c r="F219" s="19" t="s">
        <v>28</v>
      </c>
      <c r="G219" s="19">
        <v>4</v>
      </c>
      <c r="H219" s="20">
        <v>1.7</v>
      </c>
      <c r="I219" s="147"/>
    </row>
    <row r="220" spans="1:9" x14ac:dyDescent="0.2">
      <c r="A220" s="3">
        <f>VLOOKUP(F220,CODIGOSPLACAS!$A$1:$B$38,2,FALSE)</f>
        <v>11</v>
      </c>
      <c r="B220" s="17">
        <v>44197</v>
      </c>
      <c r="C220" s="18">
        <f>MONTH(B220)</f>
        <v>1</v>
      </c>
      <c r="D220" s="18">
        <f>YEAR(B220)</f>
        <v>2021</v>
      </c>
      <c r="E220" s="18" t="str">
        <f>IFERROR(VLOOKUP(F220,#REF!,3,FALSE),"")</f>
        <v/>
      </c>
      <c r="F220" s="5" t="s">
        <v>29</v>
      </c>
      <c r="G220" s="6">
        <v>4</v>
      </c>
      <c r="H220" s="7">
        <v>1.7</v>
      </c>
      <c r="I220" s="147"/>
    </row>
    <row r="221" spans="1:9" x14ac:dyDescent="0.2">
      <c r="E221" s="18" t="str">
        <f>IFERROR(VLOOKUP(F221,#REF!,3,FALSE),"")</f>
        <v/>
      </c>
      <c r="F221" s="215" t="s">
        <v>39</v>
      </c>
      <c r="G221" s="215"/>
      <c r="H221" s="215"/>
      <c r="I221" s="150"/>
    </row>
    <row r="222" spans="1:9" x14ac:dyDescent="0.2">
      <c r="A222" s="3">
        <f>VLOOKUP(F222,CODIGOSPLACAS!$A$1:$B$38,2,FALSE)</f>
        <v>1</v>
      </c>
      <c r="B222" s="17">
        <v>44228</v>
      </c>
      <c r="C222" s="18">
        <f>MONTH(B222)</f>
        <v>2</v>
      </c>
      <c r="D222" s="18">
        <f>YEAR(B222)</f>
        <v>2021</v>
      </c>
      <c r="E222" s="18" t="str">
        <f>IFERROR(VLOOKUP(F222,#REF!,3,FALSE),"")</f>
        <v/>
      </c>
      <c r="F222" s="6" t="s">
        <v>26</v>
      </c>
      <c r="G222" s="6">
        <v>4</v>
      </c>
      <c r="H222" s="7">
        <v>1.7</v>
      </c>
      <c r="I222" s="147"/>
    </row>
    <row r="223" spans="1:9" ht="12" customHeight="1" x14ac:dyDescent="0.2">
      <c r="A223" s="3">
        <f>VLOOKUP(F223,CODIGOSPLACAS!$A$1:$B$38,2,FALSE)</f>
        <v>2</v>
      </c>
      <c r="B223" s="17">
        <v>44228</v>
      </c>
      <c r="C223" s="18">
        <f>MONTH(B223)</f>
        <v>2</v>
      </c>
      <c r="D223" s="18">
        <f>YEAR(B223)</f>
        <v>2021</v>
      </c>
      <c r="E223" s="18" t="str">
        <f>IFERROR(VLOOKUP(F223,#REF!,3,FALSE),"")</f>
        <v/>
      </c>
      <c r="F223" s="6" t="s">
        <v>24</v>
      </c>
      <c r="G223" s="6">
        <v>4</v>
      </c>
      <c r="H223" s="7">
        <v>1.7</v>
      </c>
      <c r="I223" s="147"/>
    </row>
    <row r="224" spans="1:9" x14ac:dyDescent="0.2">
      <c r="A224" s="3">
        <f>VLOOKUP(F224,CODIGOSPLACAS!$A$1:$B$38,2,FALSE)</f>
        <v>9</v>
      </c>
      <c r="B224" s="17">
        <v>44228</v>
      </c>
      <c r="C224" s="18">
        <f t="shared" ref="C224:C242" si="26">MONTH(B224)</f>
        <v>2</v>
      </c>
      <c r="D224" s="18">
        <f t="shared" ref="D224:D242" si="27">YEAR(B224)</f>
        <v>2021</v>
      </c>
      <c r="E224" s="18" t="str">
        <f>IFERROR(VLOOKUP(F224,#REF!,3,FALSE),"")</f>
        <v/>
      </c>
      <c r="F224" s="6" t="s">
        <v>126</v>
      </c>
      <c r="G224" s="6">
        <v>4</v>
      </c>
      <c r="H224" s="7">
        <v>1.7</v>
      </c>
      <c r="I224" s="147"/>
    </row>
    <row r="225" spans="1:9" x14ac:dyDescent="0.2">
      <c r="A225" s="3">
        <f>VLOOKUP(F225,CODIGOSPLACAS!$A$1:$B$38,2,FALSE)</f>
        <v>12</v>
      </c>
      <c r="B225" s="17">
        <v>44228</v>
      </c>
      <c r="C225" s="18">
        <f t="shared" si="26"/>
        <v>2</v>
      </c>
      <c r="D225" s="18">
        <f t="shared" si="27"/>
        <v>2021</v>
      </c>
      <c r="E225" s="18" t="str">
        <f>IFERROR(VLOOKUP(F225,#REF!,3,FALSE),"")</f>
        <v/>
      </c>
      <c r="F225" s="6" t="s">
        <v>40</v>
      </c>
      <c r="G225" s="6">
        <v>3</v>
      </c>
      <c r="H225" s="7">
        <v>1.9</v>
      </c>
      <c r="I225" s="147"/>
    </row>
    <row r="226" spans="1:9" x14ac:dyDescent="0.2">
      <c r="A226" s="3">
        <f>VLOOKUP(F226,CODIGOSPLACAS!$A$1:$B$38,2,FALSE)</f>
        <v>13</v>
      </c>
      <c r="B226" s="17">
        <v>44228</v>
      </c>
      <c r="C226" s="18">
        <f t="shared" si="26"/>
        <v>2</v>
      </c>
      <c r="D226" s="18">
        <f t="shared" si="27"/>
        <v>2021</v>
      </c>
      <c r="E226" s="18" t="str">
        <f>IFERROR(VLOOKUP(F226,#REF!,3,FALSE),"")</f>
        <v/>
      </c>
      <c r="F226" s="6" t="s">
        <v>41</v>
      </c>
      <c r="G226" s="6">
        <v>2</v>
      </c>
      <c r="H226" s="7">
        <v>1.9</v>
      </c>
      <c r="I226" s="147"/>
    </row>
    <row r="227" spans="1:9" x14ac:dyDescent="0.2">
      <c r="A227" s="3">
        <f>VLOOKUP(F227,CODIGOSPLACAS!$A$1:$B$38,2,FALSE)</f>
        <v>16</v>
      </c>
      <c r="B227" s="17">
        <v>44228</v>
      </c>
      <c r="C227" s="18">
        <f t="shared" si="26"/>
        <v>2</v>
      </c>
      <c r="D227" s="18">
        <f t="shared" si="27"/>
        <v>2021</v>
      </c>
      <c r="E227" s="18" t="str">
        <f>IFERROR(VLOOKUP(F227,#REF!,3,FALSE),"")</f>
        <v/>
      </c>
      <c r="F227" s="6" t="s">
        <v>130</v>
      </c>
      <c r="G227" s="6">
        <v>4</v>
      </c>
      <c r="H227" s="7">
        <v>1.7</v>
      </c>
      <c r="I227" s="147"/>
    </row>
    <row r="228" spans="1:9" x14ac:dyDescent="0.2">
      <c r="A228" s="3">
        <f>VLOOKUP(F228,CODIGOSPLACAS!$A$1:$B$38,2,FALSE)</f>
        <v>19</v>
      </c>
      <c r="B228" s="17">
        <v>44228</v>
      </c>
      <c r="C228" s="18">
        <f t="shared" si="26"/>
        <v>2</v>
      </c>
      <c r="D228" s="18">
        <f t="shared" si="27"/>
        <v>2021</v>
      </c>
      <c r="E228" s="18" t="str">
        <f>IFERROR(VLOOKUP(F228,#REF!,3,FALSE),"")</f>
        <v/>
      </c>
      <c r="F228" s="6" t="s">
        <v>42</v>
      </c>
      <c r="G228" s="6">
        <v>1</v>
      </c>
      <c r="H228" s="7">
        <v>2.1</v>
      </c>
      <c r="I228" s="147"/>
    </row>
    <row r="229" spans="1:9" x14ac:dyDescent="0.2">
      <c r="A229" s="3">
        <f>VLOOKUP(F229,CODIGOSPLACAS!$A$1:$B$38,2,FALSE)</f>
        <v>23</v>
      </c>
      <c r="B229" s="17">
        <v>44228</v>
      </c>
      <c r="C229" s="18">
        <f t="shared" si="26"/>
        <v>2</v>
      </c>
      <c r="D229" s="18">
        <f t="shared" si="27"/>
        <v>2021</v>
      </c>
      <c r="E229" s="18" t="str">
        <f>IFERROR(VLOOKUP(F229,#REF!,3,FALSE),"")</f>
        <v/>
      </c>
      <c r="F229" s="6" t="s">
        <v>23</v>
      </c>
      <c r="G229" s="6">
        <v>4</v>
      </c>
      <c r="H229" s="7">
        <v>1.7</v>
      </c>
      <c r="I229" s="147"/>
    </row>
    <row r="230" spans="1:9" x14ac:dyDescent="0.2">
      <c r="A230" s="3">
        <f>VLOOKUP(F230,CODIGOSPLACAS!$A$1:$B$38,2,FALSE)</f>
        <v>33</v>
      </c>
      <c r="B230" s="17">
        <v>44228</v>
      </c>
      <c r="C230" s="18">
        <f t="shared" si="26"/>
        <v>2</v>
      </c>
      <c r="D230" s="18">
        <f t="shared" si="27"/>
        <v>2021</v>
      </c>
      <c r="E230" s="18" t="str">
        <f>IFERROR(VLOOKUP(F230,#REF!,3,FALSE),"")</f>
        <v/>
      </c>
      <c r="F230" s="6" t="s">
        <v>127</v>
      </c>
      <c r="G230" s="6">
        <v>3</v>
      </c>
      <c r="H230" s="7">
        <v>1.9</v>
      </c>
      <c r="I230" s="147"/>
    </row>
    <row r="231" spans="1:9" x14ac:dyDescent="0.2">
      <c r="A231" s="3">
        <f>VLOOKUP(F231,CODIGOSPLACAS!$A$1:$B$38,2,FALSE)</f>
        <v>34</v>
      </c>
      <c r="B231" s="17">
        <v>44228</v>
      </c>
      <c r="C231" s="18">
        <f t="shared" si="26"/>
        <v>2</v>
      </c>
      <c r="D231" s="18">
        <f t="shared" si="27"/>
        <v>2021</v>
      </c>
      <c r="E231" s="18" t="str">
        <f>IFERROR(VLOOKUP(F231,#REF!,3,FALSE),"")</f>
        <v/>
      </c>
      <c r="F231" s="6" t="s">
        <v>22</v>
      </c>
      <c r="G231" s="6">
        <v>3</v>
      </c>
      <c r="H231" s="7">
        <v>1.9</v>
      </c>
      <c r="I231" s="147"/>
    </row>
    <row r="232" spans="1:9" x14ac:dyDescent="0.2">
      <c r="A232" s="3">
        <f>VLOOKUP(F232,CODIGOSPLACAS!$A$1:$B$38,2,FALSE)</f>
        <v>26</v>
      </c>
      <c r="B232" s="17">
        <v>44228</v>
      </c>
      <c r="C232" s="18">
        <f t="shared" si="26"/>
        <v>2</v>
      </c>
      <c r="D232" s="18">
        <f t="shared" si="27"/>
        <v>2021</v>
      </c>
      <c r="E232" s="18" t="str">
        <f>IFERROR(VLOOKUP(F232,#REF!,3,FALSE),"")</f>
        <v/>
      </c>
      <c r="F232" s="9" t="s">
        <v>43</v>
      </c>
      <c r="G232" s="9">
        <v>2</v>
      </c>
      <c r="H232" s="10">
        <v>1.9</v>
      </c>
      <c r="I232" s="147"/>
    </row>
    <row r="233" spans="1:9" x14ac:dyDescent="0.2">
      <c r="A233" s="3">
        <f>VLOOKUP(F233,CODIGOSPLACAS!$A$1:$B$38,2,FALSE)</f>
        <v>27</v>
      </c>
      <c r="B233" s="17">
        <v>44228</v>
      </c>
      <c r="C233" s="18">
        <f t="shared" si="26"/>
        <v>2</v>
      </c>
      <c r="D233" s="18">
        <f t="shared" si="27"/>
        <v>2021</v>
      </c>
      <c r="E233" s="18" t="str">
        <f>IFERROR(VLOOKUP(F233,#REF!,3,FALSE),"")</f>
        <v/>
      </c>
      <c r="F233" s="9" t="s">
        <v>44</v>
      </c>
      <c r="G233" s="9">
        <v>3</v>
      </c>
      <c r="H233" s="10">
        <v>1.9</v>
      </c>
      <c r="I233" s="147"/>
    </row>
    <row r="234" spans="1:9" x14ac:dyDescent="0.2">
      <c r="A234" s="3">
        <f>VLOOKUP(F234,CODIGOSPLACAS!$A$1:$B$38,2,FALSE)</f>
        <v>28</v>
      </c>
      <c r="B234" s="17">
        <v>44228</v>
      </c>
      <c r="C234" s="18">
        <f t="shared" si="26"/>
        <v>2</v>
      </c>
      <c r="D234" s="18">
        <f t="shared" si="27"/>
        <v>2021</v>
      </c>
      <c r="E234" s="18" t="str">
        <f>IFERROR(VLOOKUP(F234,#REF!,3,FALSE),"")</f>
        <v/>
      </c>
      <c r="F234" s="11" t="s">
        <v>45</v>
      </c>
      <c r="G234" s="6">
        <v>1</v>
      </c>
      <c r="H234" s="7">
        <v>2.1</v>
      </c>
      <c r="I234" s="147"/>
    </row>
    <row r="235" spans="1:9" x14ac:dyDescent="0.2">
      <c r="A235" s="3">
        <f>VLOOKUP(F235,CODIGOSPLACAS!$A$1:$B$38,2,FALSE)</f>
        <v>30</v>
      </c>
      <c r="B235" s="17">
        <v>44228</v>
      </c>
      <c r="C235" s="18">
        <f t="shared" si="26"/>
        <v>2</v>
      </c>
      <c r="D235" s="18">
        <f t="shared" si="27"/>
        <v>2021</v>
      </c>
      <c r="E235" s="18" t="str">
        <f>IFERROR(VLOOKUP(F235,#REF!,3,FALSE),"")</f>
        <v/>
      </c>
      <c r="F235" s="11" t="s">
        <v>25</v>
      </c>
      <c r="G235" s="9">
        <v>4</v>
      </c>
      <c r="H235" s="10">
        <v>1.7</v>
      </c>
      <c r="I235" s="147"/>
    </row>
    <row r="236" spans="1:9" x14ac:dyDescent="0.2">
      <c r="A236" s="3">
        <f>VLOOKUP(F236,CODIGOSPLACAS!$A$1:$B$38,2,FALSE)</f>
        <v>36</v>
      </c>
      <c r="B236" s="17">
        <v>44228</v>
      </c>
      <c r="C236" s="18">
        <f t="shared" si="26"/>
        <v>2</v>
      </c>
      <c r="D236" s="18">
        <f t="shared" si="27"/>
        <v>2021</v>
      </c>
      <c r="E236" s="18" t="str">
        <f>IFERROR(VLOOKUP(F236,#REF!,3,FALSE),"")</f>
        <v/>
      </c>
      <c r="F236" s="11" t="s">
        <v>35</v>
      </c>
      <c r="G236" s="9">
        <v>5</v>
      </c>
      <c r="H236" s="10">
        <v>2.5</v>
      </c>
      <c r="I236" s="147"/>
    </row>
    <row r="237" spans="1:9" x14ac:dyDescent="0.2">
      <c r="A237" s="3">
        <f>VLOOKUP(F237,CODIGOSPLACAS!$A$1:$B$38,2,FALSE)</f>
        <v>8</v>
      </c>
      <c r="B237" s="17">
        <v>44228</v>
      </c>
      <c r="C237" s="18">
        <f t="shared" si="26"/>
        <v>2</v>
      </c>
      <c r="D237" s="18">
        <f t="shared" si="27"/>
        <v>2021</v>
      </c>
      <c r="E237" s="18" t="str">
        <f>IFERROR(VLOOKUP(F237,#REF!,3,FALSE),"")</f>
        <v/>
      </c>
      <c r="F237" s="6" t="s">
        <v>27</v>
      </c>
      <c r="G237" s="6">
        <v>4</v>
      </c>
      <c r="H237" s="7">
        <v>1.7</v>
      </c>
      <c r="I237" s="147"/>
    </row>
    <row r="238" spans="1:9" x14ac:dyDescent="0.2">
      <c r="A238" s="3">
        <f>VLOOKUP(F238,CODIGOSPLACAS!$A$1:$B$38,2,FALSE)</f>
        <v>35</v>
      </c>
      <c r="B238" s="17">
        <v>44228</v>
      </c>
      <c r="C238" s="18">
        <f t="shared" si="26"/>
        <v>2</v>
      </c>
      <c r="D238" s="18">
        <f t="shared" si="27"/>
        <v>2021</v>
      </c>
      <c r="E238" s="18" t="str">
        <f>IFERROR(VLOOKUP(F238,#REF!,3,FALSE),"")</f>
        <v/>
      </c>
      <c r="F238" s="11" t="s">
        <v>34</v>
      </c>
      <c r="G238" s="9">
        <v>5</v>
      </c>
      <c r="H238" s="10">
        <v>2.5</v>
      </c>
      <c r="I238" s="147"/>
    </row>
    <row r="239" spans="1:9" x14ac:dyDescent="0.2">
      <c r="A239" s="3">
        <f>VLOOKUP(F239,CODIGOSPLACAS!$A$1:$B$38,2,FALSE)</f>
        <v>3</v>
      </c>
      <c r="B239" s="17">
        <v>44228</v>
      </c>
      <c r="C239" s="18">
        <f t="shared" si="26"/>
        <v>2</v>
      </c>
      <c r="D239" s="18">
        <f t="shared" si="27"/>
        <v>2021</v>
      </c>
      <c r="E239" s="18" t="str">
        <f>IFERROR(VLOOKUP(F239,#REF!,3,FALSE),"")</f>
        <v/>
      </c>
      <c r="F239" s="6" t="s">
        <v>28</v>
      </c>
      <c r="G239" s="6">
        <v>4</v>
      </c>
      <c r="H239" s="7">
        <v>1.7</v>
      </c>
      <c r="I239" s="147"/>
    </row>
    <row r="240" spans="1:9" x14ac:dyDescent="0.2">
      <c r="A240" s="3">
        <f>VLOOKUP(F240,CODIGOSPLACAS!$A$1:$B$38,2,FALSE)</f>
        <v>11</v>
      </c>
      <c r="B240" s="17">
        <v>44228</v>
      </c>
      <c r="C240" s="18">
        <f t="shared" si="26"/>
        <v>2</v>
      </c>
      <c r="D240" s="18">
        <f t="shared" si="27"/>
        <v>2021</v>
      </c>
      <c r="E240" s="18" t="str">
        <f>IFERROR(VLOOKUP(F240,#REF!,3,FALSE),"")</f>
        <v/>
      </c>
      <c r="F240" s="5" t="s">
        <v>29</v>
      </c>
      <c r="G240" s="6">
        <v>4</v>
      </c>
      <c r="H240" s="7">
        <v>1.7</v>
      </c>
      <c r="I240" s="147"/>
    </row>
    <row r="241" spans="1:9" x14ac:dyDescent="0.2">
      <c r="A241" s="3">
        <f>VLOOKUP(F241,CODIGOSPLACAS!$A$1:$B$38,2,FALSE)</f>
        <v>4</v>
      </c>
      <c r="B241" s="17">
        <v>44228</v>
      </c>
      <c r="C241" s="18">
        <f>MONTH(B241)</f>
        <v>2</v>
      </c>
      <c r="D241" s="18">
        <f>YEAR(B241)</f>
        <v>2021</v>
      </c>
      <c r="E241" s="18" t="str">
        <f>IFERROR(VLOOKUP(F241,#REF!,3,FALSE),"")</f>
        <v/>
      </c>
      <c r="F241" s="5" t="s">
        <v>30</v>
      </c>
      <c r="G241" s="6">
        <v>4</v>
      </c>
      <c r="H241" s="7">
        <v>1.7</v>
      </c>
      <c r="I241" s="147"/>
    </row>
    <row r="242" spans="1:9" x14ac:dyDescent="0.2">
      <c r="A242" s="3">
        <f>VLOOKUP(F242,CODIGOSPLACAS!$A$1:$B$38,2,FALSE)</f>
        <v>6</v>
      </c>
      <c r="B242" s="17">
        <v>44228</v>
      </c>
      <c r="C242" s="18">
        <f t="shared" si="26"/>
        <v>2</v>
      </c>
      <c r="D242" s="18">
        <f t="shared" si="27"/>
        <v>2021</v>
      </c>
      <c r="E242" s="18" t="str">
        <f>IFERROR(VLOOKUP(F242,#REF!,3,FALSE),"")</f>
        <v/>
      </c>
      <c r="F242" s="5" t="s">
        <v>31</v>
      </c>
      <c r="G242" s="6">
        <v>4</v>
      </c>
      <c r="H242" s="7">
        <v>1.7</v>
      </c>
      <c r="I242" s="147"/>
    </row>
    <row r="243" spans="1:9" x14ac:dyDescent="0.2">
      <c r="E243" s="18" t="str">
        <f>IFERROR(VLOOKUP(F243,#REF!,3,FALSE),"")</f>
        <v/>
      </c>
      <c r="F243" s="214" t="s">
        <v>39</v>
      </c>
      <c r="G243" s="214"/>
      <c r="H243" s="214"/>
      <c r="I243" s="150"/>
    </row>
    <row r="244" spans="1:9" x14ac:dyDescent="0.2">
      <c r="A244" s="3">
        <f>VLOOKUP(F244,CODIGOSPLACAS!$A$1:$B$38,2,FALSE)</f>
        <v>1</v>
      </c>
      <c r="B244" s="17">
        <v>44256</v>
      </c>
      <c r="C244" s="18">
        <f>MONTH(B244)</f>
        <v>3</v>
      </c>
      <c r="D244" s="18">
        <f>YEAR(B244)</f>
        <v>2021</v>
      </c>
      <c r="E244" s="18" t="str">
        <f>IFERROR(VLOOKUP(F244,#REF!,3,FALSE),"")</f>
        <v/>
      </c>
      <c r="F244" s="6" t="s">
        <v>26</v>
      </c>
      <c r="G244" s="6">
        <v>4</v>
      </c>
      <c r="H244" s="7">
        <v>1.7</v>
      </c>
      <c r="I244" s="147"/>
    </row>
    <row r="245" spans="1:9" ht="12" customHeight="1" x14ac:dyDescent="0.2">
      <c r="A245" s="3">
        <f>VLOOKUP(F245,CODIGOSPLACAS!$A$1:$B$38,2,FALSE)</f>
        <v>2</v>
      </c>
      <c r="B245" s="17">
        <v>44256</v>
      </c>
      <c r="C245" s="18">
        <f t="shared" ref="C245:C263" si="28">MONTH(B245)</f>
        <v>3</v>
      </c>
      <c r="D245" s="18">
        <f t="shared" ref="D245:D263" si="29">YEAR(B245)</f>
        <v>2021</v>
      </c>
      <c r="E245" s="18" t="str">
        <f>IFERROR(VLOOKUP(F245,#REF!,3,FALSE),"")</f>
        <v/>
      </c>
      <c r="F245" s="6" t="s">
        <v>24</v>
      </c>
      <c r="G245" s="6">
        <v>4</v>
      </c>
      <c r="H245" s="7">
        <v>1.7</v>
      </c>
      <c r="I245" s="147"/>
    </row>
    <row r="246" spans="1:9" x14ac:dyDescent="0.2">
      <c r="A246" s="3">
        <f>VLOOKUP(F246,CODIGOSPLACAS!$A$1:$B$38,2,FALSE)</f>
        <v>9</v>
      </c>
      <c r="B246" s="17">
        <v>44256</v>
      </c>
      <c r="C246" s="18">
        <f t="shared" si="28"/>
        <v>3</v>
      </c>
      <c r="D246" s="18">
        <f t="shared" si="29"/>
        <v>2021</v>
      </c>
      <c r="E246" s="18" t="str">
        <f>IFERROR(VLOOKUP(F246,#REF!,3,FALSE),"")</f>
        <v/>
      </c>
      <c r="F246" s="6" t="s">
        <v>126</v>
      </c>
      <c r="G246" s="6">
        <v>4</v>
      </c>
      <c r="H246" s="7">
        <v>1.7</v>
      </c>
      <c r="I246" s="147"/>
    </row>
    <row r="247" spans="1:9" x14ac:dyDescent="0.2">
      <c r="A247" s="3">
        <f>VLOOKUP(F247,CODIGOSPLACAS!$A$1:$B$38,2,FALSE)</f>
        <v>12</v>
      </c>
      <c r="B247" s="17">
        <v>44256</v>
      </c>
      <c r="C247" s="18">
        <f t="shared" si="28"/>
        <v>3</v>
      </c>
      <c r="D247" s="18">
        <f t="shared" si="29"/>
        <v>2021</v>
      </c>
      <c r="E247" s="18" t="str">
        <f>IFERROR(VLOOKUP(F247,#REF!,3,FALSE),"")</f>
        <v/>
      </c>
      <c r="F247" s="6" t="s">
        <v>40</v>
      </c>
      <c r="G247" s="6">
        <v>1</v>
      </c>
      <c r="H247" s="7">
        <v>2.1</v>
      </c>
      <c r="I247" s="147"/>
    </row>
    <row r="248" spans="1:9" x14ac:dyDescent="0.2">
      <c r="A248" s="3">
        <f>VLOOKUP(F248,CODIGOSPLACAS!$A$1:$B$38,2,FALSE)</f>
        <v>13</v>
      </c>
      <c r="B248" s="17">
        <v>44256</v>
      </c>
      <c r="C248" s="18">
        <f t="shared" si="28"/>
        <v>3</v>
      </c>
      <c r="D248" s="18">
        <f t="shared" si="29"/>
        <v>2021</v>
      </c>
      <c r="E248" s="18" t="str">
        <f>IFERROR(VLOOKUP(F248,#REF!,3,FALSE),"")</f>
        <v/>
      </c>
      <c r="F248" s="6" t="s">
        <v>41</v>
      </c>
      <c r="G248" s="6">
        <v>2</v>
      </c>
      <c r="H248" s="7">
        <v>1.9</v>
      </c>
      <c r="I248" s="147"/>
    </row>
    <row r="249" spans="1:9" x14ac:dyDescent="0.2">
      <c r="A249" s="3">
        <f>VLOOKUP(F249,CODIGOSPLACAS!$A$1:$B$38,2,FALSE)</f>
        <v>16</v>
      </c>
      <c r="B249" s="17">
        <v>44256</v>
      </c>
      <c r="C249" s="18">
        <f t="shared" si="28"/>
        <v>3</v>
      </c>
      <c r="D249" s="18">
        <f t="shared" si="29"/>
        <v>2021</v>
      </c>
      <c r="E249" s="18" t="str">
        <f>IFERROR(VLOOKUP(F249,#REF!,3,FALSE),"")</f>
        <v/>
      </c>
      <c r="F249" s="6" t="s">
        <v>130</v>
      </c>
      <c r="G249" s="6">
        <v>4</v>
      </c>
      <c r="H249" s="7">
        <v>1.7</v>
      </c>
      <c r="I249" s="147"/>
    </row>
    <row r="250" spans="1:9" x14ac:dyDescent="0.2">
      <c r="A250" s="3">
        <f>VLOOKUP(F250,CODIGOSPLACAS!$A$1:$B$38,2,FALSE)</f>
        <v>19</v>
      </c>
      <c r="B250" s="17">
        <v>44256</v>
      </c>
      <c r="C250" s="18">
        <f t="shared" si="28"/>
        <v>3</v>
      </c>
      <c r="D250" s="18">
        <f t="shared" si="29"/>
        <v>2021</v>
      </c>
      <c r="E250" s="18" t="str">
        <f>IFERROR(VLOOKUP(F250,#REF!,3,FALSE),"")</f>
        <v/>
      </c>
      <c r="F250" s="6" t="s">
        <v>42</v>
      </c>
      <c r="G250" s="6">
        <v>1</v>
      </c>
      <c r="H250" s="7">
        <v>2.1</v>
      </c>
      <c r="I250" s="147"/>
    </row>
    <row r="251" spans="1:9" x14ac:dyDescent="0.2">
      <c r="A251" s="3">
        <f>VLOOKUP(F251,CODIGOSPLACAS!$A$1:$B$38,2,FALSE)</f>
        <v>23</v>
      </c>
      <c r="B251" s="17">
        <v>44256</v>
      </c>
      <c r="C251" s="18">
        <f t="shared" si="28"/>
        <v>3</v>
      </c>
      <c r="D251" s="18">
        <f t="shared" si="29"/>
        <v>2021</v>
      </c>
      <c r="E251" s="18" t="str">
        <f>IFERROR(VLOOKUP(F251,#REF!,3,FALSE),"")</f>
        <v/>
      </c>
      <c r="F251" s="6" t="s">
        <v>23</v>
      </c>
      <c r="G251" s="6">
        <v>4</v>
      </c>
      <c r="H251" s="7">
        <v>1.7</v>
      </c>
      <c r="I251" s="147"/>
    </row>
    <row r="252" spans="1:9" x14ac:dyDescent="0.2">
      <c r="A252" s="3">
        <f>VLOOKUP(F252,CODIGOSPLACAS!$A$1:$B$38,2,FALSE)</f>
        <v>33</v>
      </c>
      <c r="B252" s="17">
        <v>44256</v>
      </c>
      <c r="C252" s="18">
        <f t="shared" si="28"/>
        <v>3</v>
      </c>
      <c r="D252" s="18">
        <f t="shared" si="29"/>
        <v>2021</v>
      </c>
      <c r="E252" s="18" t="str">
        <f>IFERROR(VLOOKUP(F252,#REF!,3,FALSE),"")</f>
        <v/>
      </c>
      <c r="F252" s="6" t="s">
        <v>127</v>
      </c>
      <c r="G252" s="6">
        <v>3</v>
      </c>
      <c r="H252" s="7">
        <v>1.9</v>
      </c>
      <c r="I252" s="147"/>
    </row>
    <row r="253" spans="1:9" x14ac:dyDescent="0.2">
      <c r="A253" s="3">
        <f>VLOOKUP(F253,CODIGOSPLACAS!$A$1:$B$38,2,FALSE)</f>
        <v>34</v>
      </c>
      <c r="B253" s="17">
        <v>44256</v>
      </c>
      <c r="C253" s="18">
        <f t="shared" si="28"/>
        <v>3</v>
      </c>
      <c r="D253" s="18">
        <f t="shared" si="29"/>
        <v>2021</v>
      </c>
      <c r="E253" s="18" t="str">
        <f>IFERROR(VLOOKUP(F253,#REF!,3,FALSE),"")</f>
        <v/>
      </c>
      <c r="F253" s="6" t="s">
        <v>22</v>
      </c>
      <c r="G253" s="6">
        <v>3</v>
      </c>
      <c r="H253" s="7">
        <v>1.9</v>
      </c>
      <c r="I253" s="147"/>
    </row>
    <row r="254" spans="1:9" x14ac:dyDescent="0.2">
      <c r="A254" s="3">
        <f>VLOOKUP(F254,CODIGOSPLACAS!$A$1:$B$38,2,FALSE)</f>
        <v>27</v>
      </c>
      <c r="B254" s="17">
        <v>44256</v>
      </c>
      <c r="C254" s="18">
        <f t="shared" si="28"/>
        <v>3</v>
      </c>
      <c r="D254" s="18">
        <f t="shared" si="29"/>
        <v>2021</v>
      </c>
      <c r="E254" s="18" t="str">
        <f>IFERROR(VLOOKUP(F254,#REF!,3,FALSE),"")</f>
        <v/>
      </c>
      <c r="F254" s="9" t="s">
        <v>44</v>
      </c>
      <c r="G254" s="9">
        <v>3</v>
      </c>
      <c r="H254" s="10">
        <v>1.9</v>
      </c>
      <c r="I254" s="147"/>
    </row>
    <row r="255" spans="1:9" x14ac:dyDescent="0.2">
      <c r="A255" s="3">
        <f>VLOOKUP(F255,CODIGOSPLACAS!$A$1:$B$38,2,FALSE)</f>
        <v>28</v>
      </c>
      <c r="B255" s="17">
        <v>44256</v>
      </c>
      <c r="C255" s="18">
        <f t="shared" si="28"/>
        <v>3</v>
      </c>
      <c r="D255" s="18">
        <f t="shared" si="29"/>
        <v>2021</v>
      </c>
      <c r="E255" s="18" t="str">
        <f>IFERROR(VLOOKUP(F255,#REF!,3,FALSE),"")</f>
        <v/>
      </c>
      <c r="F255" s="11" t="s">
        <v>45</v>
      </c>
      <c r="G255" s="9">
        <v>3</v>
      </c>
      <c r="H255" s="10">
        <v>1.9</v>
      </c>
      <c r="I255" s="147"/>
    </row>
    <row r="256" spans="1:9" x14ac:dyDescent="0.2">
      <c r="A256" s="3">
        <f>VLOOKUP(F256,CODIGOSPLACAS!$A$1:$B$38,2,FALSE)</f>
        <v>30</v>
      </c>
      <c r="B256" s="17">
        <v>44256</v>
      </c>
      <c r="C256" s="18">
        <f t="shared" si="28"/>
        <v>3</v>
      </c>
      <c r="D256" s="18">
        <f t="shared" si="29"/>
        <v>2021</v>
      </c>
      <c r="E256" s="18" t="str">
        <f>IFERROR(VLOOKUP(F256,#REF!,3,FALSE),"")</f>
        <v/>
      </c>
      <c r="F256" s="11" t="s">
        <v>25</v>
      </c>
      <c r="G256" s="9">
        <v>4</v>
      </c>
      <c r="H256" s="10">
        <v>1.7</v>
      </c>
      <c r="I256" s="147"/>
    </row>
    <row r="257" spans="1:9" x14ac:dyDescent="0.2">
      <c r="A257" s="3">
        <f>VLOOKUP(F257,CODIGOSPLACAS!$A$1:$B$38,2,FALSE)</f>
        <v>36</v>
      </c>
      <c r="B257" s="17">
        <v>44256</v>
      </c>
      <c r="C257" s="18">
        <f t="shared" si="28"/>
        <v>3</v>
      </c>
      <c r="D257" s="18">
        <f t="shared" si="29"/>
        <v>2021</v>
      </c>
      <c r="E257" s="18" t="str">
        <f>IFERROR(VLOOKUP(F257,#REF!,3,FALSE),"")</f>
        <v/>
      </c>
      <c r="F257" s="11" t="s">
        <v>35</v>
      </c>
      <c r="G257" s="9">
        <v>5</v>
      </c>
      <c r="H257" s="10">
        <v>2.5</v>
      </c>
      <c r="I257" s="147"/>
    </row>
    <row r="258" spans="1:9" x14ac:dyDescent="0.2">
      <c r="A258" s="3">
        <f>VLOOKUP(F258,CODIGOSPLACAS!$A$1:$B$38,2,FALSE)</f>
        <v>8</v>
      </c>
      <c r="B258" s="17">
        <v>44256</v>
      </c>
      <c r="C258" s="18">
        <f t="shared" si="28"/>
        <v>3</v>
      </c>
      <c r="D258" s="18">
        <f t="shared" si="29"/>
        <v>2021</v>
      </c>
      <c r="E258" s="18" t="str">
        <f>IFERROR(VLOOKUP(F258,#REF!,3,FALSE),"")</f>
        <v/>
      </c>
      <c r="F258" s="6" t="s">
        <v>27</v>
      </c>
      <c r="G258" s="6">
        <v>4</v>
      </c>
      <c r="H258" s="7">
        <v>1.7</v>
      </c>
      <c r="I258" s="147"/>
    </row>
    <row r="259" spans="1:9" x14ac:dyDescent="0.2">
      <c r="A259" s="3">
        <f>VLOOKUP(F259,CODIGOSPLACAS!$A$1:$B$38,2,FALSE)</f>
        <v>35</v>
      </c>
      <c r="B259" s="17">
        <v>44256</v>
      </c>
      <c r="C259" s="18">
        <f t="shared" si="28"/>
        <v>3</v>
      </c>
      <c r="D259" s="18">
        <f t="shared" si="29"/>
        <v>2021</v>
      </c>
      <c r="E259" s="18" t="str">
        <f>IFERROR(VLOOKUP(F259,#REF!,3,FALSE),"")</f>
        <v/>
      </c>
      <c r="F259" s="11" t="s">
        <v>34</v>
      </c>
      <c r="G259" s="9">
        <v>5</v>
      </c>
      <c r="H259" s="10">
        <v>2.5</v>
      </c>
      <c r="I259" s="147"/>
    </row>
    <row r="260" spans="1:9" x14ac:dyDescent="0.2">
      <c r="A260" s="3">
        <f>VLOOKUP(F260,CODIGOSPLACAS!$A$1:$B$38,2,FALSE)</f>
        <v>3</v>
      </c>
      <c r="B260" s="17">
        <v>44256</v>
      </c>
      <c r="C260" s="18">
        <f t="shared" si="28"/>
        <v>3</v>
      </c>
      <c r="D260" s="18">
        <f t="shared" si="29"/>
        <v>2021</v>
      </c>
      <c r="E260" s="18" t="str">
        <f>IFERROR(VLOOKUP(F260,#REF!,3,FALSE),"")</f>
        <v/>
      </c>
      <c r="F260" s="6" t="s">
        <v>28</v>
      </c>
      <c r="G260" s="6">
        <v>4</v>
      </c>
      <c r="H260" s="7">
        <v>1.7</v>
      </c>
      <c r="I260" s="147"/>
    </row>
    <row r="261" spans="1:9" x14ac:dyDescent="0.2">
      <c r="A261" s="3">
        <f>VLOOKUP(F261,CODIGOSPLACAS!$A$1:$B$38,2,FALSE)</f>
        <v>11</v>
      </c>
      <c r="B261" s="17">
        <v>44256</v>
      </c>
      <c r="C261" s="18">
        <f t="shared" si="28"/>
        <v>3</v>
      </c>
      <c r="D261" s="18">
        <f t="shared" si="29"/>
        <v>2021</v>
      </c>
      <c r="E261" s="18" t="str">
        <f>IFERROR(VLOOKUP(F261,#REF!,3,FALSE),"")</f>
        <v/>
      </c>
      <c r="F261" s="5" t="s">
        <v>29</v>
      </c>
      <c r="G261" s="6">
        <v>4</v>
      </c>
      <c r="H261" s="7">
        <v>1.7</v>
      </c>
      <c r="I261" s="147"/>
    </row>
    <row r="262" spans="1:9" x14ac:dyDescent="0.2">
      <c r="A262" s="3">
        <f>VLOOKUP(F262,CODIGOSPLACAS!$A$1:$B$38,2,FALSE)</f>
        <v>4</v>
      </c>
      <c r="B262" s="17">
        <v>44256</v>
      </c>
      <c r="C262" s="18">
        <f>MONTH(B262)</f>
        <v>3</v>
      </c>
      <c r="D262" s="18">
        <f>YEAR(B262)</f>
        <v>2021</v>
      </c>
      <c r="E262" s="18" t="str">
        <f>IFERROR(VLOOKUP(F262,#REF!,3,FALSE),"")</f>
        <v/>
      </c>
      <c r="F262" s="5" t="s">
        <v>30</v>
      </c>
      <c r="G262" s="9">
        <v>3</v>
      </c>
      <c r="H262" s="10">
        <v>1.9</v>
      </c>
      <c r="I262" s="147"/>
    </row>
    <row r="263" spans="1:9" x14ac:dyDescent="0.2">
      <c r="A263" s="3">
        <f>VLOOKUP(F263,CODIGOSPLACAS!$A$1:$B$38,2,FALSE)</f>
        <v>6</v>
      </c>
      <c r="B263" s="17">
        <v>44256</v>
      </c>
      <c r="C263" s="18">
        <f t="shared" si="28"/>
        <v>3</v>
      </c>
      <c r="D263" s="18">
        <f t="shared" si="29"/>
        <v>2021</v>
      </c>
      <c r="E263" s="18" t="str">
        <f>IFERROR(VLOOKUP(F263,#REF!,3,FALSE),"")</f>
        <v/>
      </c>
      <c r="F263" s="5" t="s">
        <v>31</v>
      </c>
      <c r="G263" s="6">
        <v>4</v>
      </c>
      <c r="H263" s="7">
        <v>1.7</v>
      </c>
      <c r="I263" s="147"/>
    </row>
    <row r="264" spans="1:9" x14ac:dyDescent="0.2">
      <c r="E264" s="18" t="str">
        <f>IFERROR(VLOOKUP(F264,#REF!,3,FALSE),"")</f>
        <v/>
      </c>
      <c r="F264" s="214" t="s">
        <v>39</v>
      </c>
      <c r="G264" s="214"/>
      <c r="H264" s="214"/>
      <c r="I264" s="150"/>
    </row>
    <row r="265" spans="1:9" x14ac:dyDescent="0.2">
      <c r="A265" s="3">
        <f>VLOOKUP(F265,CODIGOSPLACAS!$A$1:$B$38,2,FALSE)</f>
        <v>1</v>
      </c>
      <c r="B265" s="17">
        <v>44287</v>
      </c>
      <c r="C265" s="18">
        <f>MONTH(B265)</f>
        <v>4</v>
      </c>
      <c r="D265" s="18">
        <f>YEAR(B265)</f>
        <v>2021</v>
      </c>
      <c r="E265" s="18" t="str">
        <f>IFERROR(VLOOKUP(F265,#REF!,3,FALSE),"")</f>
        <v/>
      </c>
      <c r="F265" s="6" t="s">
        <v>26</v>
      </c>
      <c r="G265" s="6">
        <v>4</v>
      </c>
      <c r="H265" s="7">
        <v>1.7</v>
      </c>
      <c r="I265" s="147"/>
    </row>
    <row r="266" spans="1:9" x14ac:dyDescent="0.2">
      <c r="A266" s="3">
        <f>VLOOKUP(F266,CODIGOSPLACAS!$A$1:$B$38,2,FALSE)</f>
        <v>2</v>
      </c>
      <c r="B266" s="17">
        <v>44287</v>
      </c>
      <c r="C266" s="18">
        <f t="shared" ref="C266:C283" si="30">MONTH(B266)</f>
        <v>4</v>
      </c>
      <c r="D266" s="18">
        <f t="shared" ref="D266:D283" si="31">YEAR(B266)</f>
        <v>2021</v>
      </c>
      <c r="E266" s="18" t="str">
        <f>IFERROR(VLOOKUP(F266,#REF!,3,FALSE),"")</f>
        <v/>
      </c>
      <c r="F266" s="6" t="s">
        <v>24</v>
      </c>
      <c r="G266" s="6">
        <v>4</v>
      </c>
      <c r="H266" s="7">
        <v>1.7</v>
      </c>
      <c r="I266" s="147"/>
    </row>
    <row r="267" spans="1:9" x14ac:dyDescent="0.2">
      <c r="A267" s="3">
        <f>VLOOKUP(F267,CODIGOSPLACAS!$A$1:$B$38,2,FALSE)</f>
        <v>9</v>
      </c>
      <c r="B267" s="17">
        <v>44287</v>
      </c>
      <c r="C267" s="18">
        <f t="shared" si="30"/>
        <v>4</v>
      </c>
      <c r="D267" s="18">
        <f t="shared" si="31"/>
        <v>2021</v>
      </c>
      <c r="E267" s="18" t="str">
        <f>IFERROR(VLOOKUP(F267,#REF!,3,FALSE),"")</f>
        <v/>
      </c>
      <c r="F267" s="6" t="s">
        <v>126</v>
      </c>
      <c r="G267" s="6">
        <v>4</v>
      </c>
      <c r="H267" s="7">
        <v>1.7</v>
      </c>
      <c r="I267" s="147"/>
    </row>
    <row r="268" spans="1:9" x14ac:dyDescent="0.2">
      <c r="A268" s="3">
        <f>VLOOKUP(F268,CODIGOSPLACAS!$A$1:$B$38,2,FALSE)</f>
        <v>12</v>
      </c>
      <c r="B268" s="17">
        <v>44287</v>
      </c>
      <c r="C268" s="18">
        <f t="shared" si="30"/>
        <v>4</v>
      </c>
      <c r="D268" s="18">
        <f t="shared" si="31"/>
        <v>2021</v>
      </c>
      <c r="E268" s="18" t="str">
        <f>IFERROR(VLOOKUP(F268,#REF!,3,FALSE),"")</f>
        <v/>
      </c>
      <c r="F268" s="6" t="s">
        <v>40</v>
      </c>
      <c r="G268" s="6">
        <v>3</v>
      </c>
      <c r="H268" s="7">
        <v>1.9</v>
      </c>
      <c r="I268" s="147"/>
    </row>
    <row r="269" spans="1:9" x14ac:dyDescent="0.2">
      <c r="A269" s="3">
        <f>VLOOKUP(F269,CODIGOSPLACAS!$A$1:$B$38,2,FALSE)</f>
        <v>16</v>
      </c>
      <c r="B269" s="17">
        <v>44287</v>
      </c>
      <c r="C269" s="18">
        <f t="shared" si="30"/>
        <v>4</v>
      </c>
      <c r="D269" s="18">
        <f t="shared" si="31"/>
        <v>2021</v>
      </c>
      <c r="E269" s="18" t="str">
        <f>IFERROR(VLOOKUP(F269,#REF!,3,FALSE),"")</f>
        <v/>
      </c>
      <c r="F269" s="6" t="s">
        <v>130</v>
      </c>
      <c r="G269" s="6">
        <v>4</v>
      </c>
      <c r="H269" s="7">
        <v>1.7</v>
      </c>
      <c r="I269" s="147"/>
    </row>
    <row r="270" spans="1:9" x14ac:dyDescent="0.2">
      <c r="A270" s="3">
        <f>VLOOKUP(F270,CODIGOSPLACAS!$A$1:$B$38,2,FALSE)</f>
        <v>19</v>
      </c>
      <c r="B270" s="17">
        <v>44287</v>
      </c>
      <c r="C270" s="18">
        <f t="shared" si="30"/>
        <v>4</v>
      </c>
      <c r="D270" s="18">
        <f t="shared" si="31"/>
        <v>2021</v>
      </c>
      <c r="E270" s="18" t="str">
        <f>IFERROR(VLOOKUP(F270,#REF!,3,FALSE),"")</f>
        <v/>
      </c>
      <c r="F270" s="6" t="s">
        <v>42</v>
      </c>
      <c r="G270" s="6">
        <v>1</v>
      </c>
      <c r="H270" s="7">
        <v>2.1</v>
      </c>
      <c r="I270" s="147"/>
    </row>
    <row r="271" spans="1:9" x14ac:dyDescent="0.2">
      <c r="A271" s="3">
        <f>VLOOKUP(F271,CODIGOSPLACAS!$A$1:$B$38,2,FALSE)</f>
        <v>23</v>
      </c>
      <c r="B271" s="17">
        <v>44287</v>
      </c>
      <c r="C271" s="18">
        <f t="shared" si="30"/>
        <v>4</v>
      </c>
      <c r="D271" s="18">
        <f t="shared" si="31"/>
        <v>2021</v>
      </c>
      <c r="E271" s="18" t="str">
        <f>IFERROR(VLOOKUP(F271,#REF!,3,FALSE),"")</f>
        <v/>
      </c>
      <c r="F271" s="6" t="s">
        <v>23</v>
      </c>
      <c r="G271" s="9">
        <v>4</v>
      </c>
      <c r="H271" s="10">
        <v>1.7</v>
      </c>
      <c r="I271" s="147"/>
    </row>
    <row r="272" spans="1:9" x14ac:dyDescent="0.2">
      <c r="A272" s="3">
        <f>VLOOKUP(F272,CODIGOSPLACAS!$A$1:$B$38,2,FALSE)</f>
        <v>33</v>
      </c>
      <c r="B272" s="17">
        <v>44287</v>
      </c>
      <c r="C272" s="18">
        <f t="shared" si="30"/>
        <v>4</v>
      </c>
      <c r="D272" s="18">
        <f t="shared" si="31"/>
        <v>2021</v>
      </c>
      <c r="E272" s="18" t="str">
        <f>IFERROR(VLOOKUP(F272,#REF!,3,FALSE),"")</f>
        <v/>
      </c>
      <c r="F272" s="6" t="s">
        <v>127</v>
      </c>
      <c r="G272" s="6">
        <v>3</v>
      </c>
      <c r="H272" s="7">
        <v>1.9</v>
      </c>
      <c r="I272" s="147"/>
    </row>
    <row r="273" spans="1:9" x14ac:dyDescent="0.2">
      <c r="A273" s="3">
        <f>VLOOKUP(F273,CODIGOSPLACAS!$A$1:$B$38,2,FALSE)</f>
        <v>34</v>
      </c>
      <c r="B273" s="17">
        <v>44287</v>
      </c>
      <c r="C273" s="18">
        <f t="shared" si="30"/>
        <v>4</v>
      </c>
      <c r="D273" s="18">
        <f t="shared" si="31"/>
        <v>2021</v>
      </c>
      <c r="E273" s="18" t="str">
        <f>IFERROR(VLOOKUP(F273,#REF!,3,FALSE),"")</f>
        <v/>
      </c>
      <c r="F273" s="6" t="s">
        <v>22</v>
      </c>
      <c r="G273" s="6">
        <v>3</v>
      </c>
      <c r="H273" s="7">
        <v>1.9</v>
      </c>
      <c r="I273" s="147"/>
    </row>
    <row r="274" spans="1:9" x14ac:dyDescent="0.2">
      <c r="A274" s="3">
        <f>VLOOKUP(F274,CODIGOSPLACAS!$A$1:$B$38,2,FALSE)</f>
        <v>27</v>
      </c>
      <c r="B274" s="17">
        <v>44287</v>
      </c>
      <c r="C274" s="18">
        <f t="shared" si="30"/>
        <v>4</v>
      </c>
      <c r="D274" s="18">
        <f t="shared" si="31"/>
        <v>2021</v>
      </c>
      <c r="E274" s="18" t="str">
        <f>IFERROR(VLOOKUP(F274,#REF!,3,FALSE),"")</f>
        <v/>
      </c>
      <c r="F274" s="9" t="s">
        <v>44</v>
      </c>
      <c r="G274" s="9">
        <v>3</v>
      </c>
      <c r="H274" s="10">
        <v>1.9</v>
      </c>
      <c r="I274" s="147"/>
    </row>
    <row r="275" spans="1:9" x14ac:dyDescent="0.2">
      <c r="A275" s="3">
        <f>VLOOKUP(F275,CODIGOSPLACAS!$A$1:$B$38,2,FALSE)</f>
        <v>28</v>
      </c>
      <c r="B275" s="17">
        <v>44287</v>
      </c>
      <c r="C275" s="18">
        <f t="shared" si="30"/>
        <v>4</v>
      </c>
      <c r="D275" s="18">
        <f t="shared" si="31"/>
        <v>2021</v>
      </c>
      <c r="E275" s="18" t="str">
        <f>IFERROR(VLOOKUP(F275,#REF!,3,FALSE),"")</f>
        <v/>
      </c>
      <c r="F275" s="11" t="s">
        <v>45</v>
      </c>
      <c r="G275" s="9">
        <v>3</v>
      </c>
      <c r="H275" s="10">
        <v>1.9</v>
      </c>
      <c r="I275" s="147"/>
    </row>
    <row r="276" spans="1:9" x14ac:dyDescent="0.2">
      <c r="A276" s="3">
        <f>VLOOKUP(F276,CODIGOSPLACAS!$A$1:$B$38,2,FALSE)</f>
        <v>30</v>
      </c>
      <c r="B276" s="17">
        <v>44287</v>
      </c>
      <c r="C276" s="18">
        <f t="shared" si="30"/>
        <v>4</v>
      </c>
      <c r="D276" s="18">
        <f t="shared" si="31"/>
        <v>2021</v>
      </c>
      <c r="E276" s="18" t="str">
        <f>IFERROR(VLOOKUP(F276,#REF!,3,FALSE),"")</f>
        <v/>
      </c>
      <c r="F276" s="11" t="s">
        <v>25</v>
      </c>
      <c r="G276" s="9">
        <v>4</v>
      </c>
      <c r="H276" s="10">
        <v>1.7</v>
      </c>
      <c r="I276" s="147"/>
    </row>
    <row r="277" spans="1:9" x14ac:dyDescent="0.2">
      <c r="A277" s="3">
        <f>VLOOKUP(F277,CODIGOSPLACAS!$A$1:$B$38,2,FALSE)</f>
        <v>36</v>
      </c>
      <c r="B277" s="17">
        <v>44287</v>
      </c>
      <c r="C277" s="18">
        <f t="shared" si="30"/>
        <v>4</v>
      </c>
      <c r="D277" s="18">
        <f t="shared" si="31"/>
        <v>2021</v>
      </c>
      <c r="E277" s="18" t="str">
        <f>IFERROR(VLOOKUP(F277,#REF!,3,FALSE),"")</f>
        <v/>
      </c>
      <c r="F277" s="11" t="s">
        <v>35</v>
      </c>
      <c r="G277" s="9">
        <v>5</v>
      </c>
      <c r="H277" s="10">
        <v>2.5</v>
      </c>
      <c r="I277" s="147"/>
    </row>
    <row r="278" spans="1:9" x14ac:dyDescent="0.2">
      <c r="A278" s="3">
        <f>VLOOKUP(F278,CODIGOSPLACAS!$A$1:$B$38,2,FALSE)</f>
        <v>8</v>
      </c>
      <c r="B278" s="17">
        <v>44287</v>
      </c>
      <c r="C278" s="18">
        <f t="shared" si="30"/>
        <v>4</v>
      </c>
      <c r="D278" s="18">
        <f t="shared" si="31"/>
        <v>2021</v>
      </c>
      <c r="E278" s="18" t="str">
        <f>IFERROR(VLOOKUP(F278,#REF!,3,FALSE),"")</f>
        <v/>
      </c>
      <c r="F278" s="6" t="s">
        <v>27</v>
      </c>
      <c r="G278" s="6">
        <v>4</v>
      </c>
      <c r="H278" s="7">
        <v>1.7</v>
      </c>
      <c r="I278" s="147"/>
    </row>
    <row r="279" spans="1:9" x14ac:dyDescent="0.2">
      <c r="A279" s="3">
        <f>VLOOKUP(F279,CODIGOSPLACAS!$A$1:$B$38,2,FALSE)</f>
        <v>35</v>
      </c>
      <c r="B279" s="17">
        <v>44287</v>
      </c>
      <c r="C279" s="18">
        <f t="shared" si="30"/>
        <v>4</v>
      </c>
      <c r="D279" s="18">
        <f t="shared" si="31"/>
        <v>2021</v>
      </c>
      <c r="E279" s="18" t="str">
        <f>IFERROR(VLOOKUP(F279,#REF!,3,FALSE),"")</f>
        <v/>
      </c>
      <c r="F279" s="11" t="s">
        <v>34</v>
      </c>
      <c r="G279" s="9">
        <v>5</v>
      </c>
      <c r="H279" s="10">
        <v>2.5</v>
      </c>
      <c r="I279" s="147"/>
    </row>
    <row r="280" spans="1:9" x14ac:dyDescent="0.2">
      <c r="A280" s="3">
        <f>VLOOKUP(F280,CODIGOSPLACAS!$A$1:$B$38,2,FALSE)</f>
        <v>3</v>
      </c>
      <c r="B280" s="17">
        <v>44287</v>
      </c>
      <c r="C280" s="18">
        <f t="shared" si="30"/>
        <v>4</v>
      </c>
      <c r="D280" s="18">
        <f t="shared" si="31"/>
        <v>2021</v>
      </c>
      <c r="E280" s="18" t="str">
        <f>IFERROR(VLOOKUP(F280,#REF!,3,FALSE),"")</f>
        <v/>
      </c>
      <c r="F280" s="6" t="s">
        <v>28</v>
      </c>
      <c r="G280" s="6">
        <v>4</v>
      </c>
      <c r="H280" s="7">
        <v>1.7</v>
      </c>
      <c r="I280" s="147"/>
    </row>
    <row r="281" spans="1:9" x14ac:dyDescent="0.2">
      <c r="A281" s="3">
        <f>VLOOKUP(F281,CODIGOSPLACAS!$A$1:$B$38,2,FALSE)</f>
        <v>11</v>
      </c>
      <c r="B281" s="17">
        <v>44287</v>
      </c>
      <c r="C281" s="18">
        <f t="shared" si="30"/>
        <v>4</v>
      </c>
      <c r="D281" s="18">
        <f t="shared" si="31"/>
        <v>2021</v>
      </c>
      <c r="E281" s="18" t="str">
        <f>IFERROR(VLOOKUP(F281,#REF!,3,FALSE),"")</f>
        <v/>
      </c>
      <c r="F281" s="5" t="s">
        <v>29</v>
      </c>
      <c r="G281" s="6">
        <v>4</v>
      </c>
      <c r="H281" s="7">
        <v>1.7</v>
      </c>
      <c r="I281" s="147"/>
    </row>
    <row r="282" spans="1:9" x14ac:dyDescent="0.2">
      <c r="A282" s="3">
        <f>VLOOKUP(F282,CODIGOSPLACAS!$A$1:$B$38,2,FALSE)</f>
        <v>4</v>
      </c>
      <c r="B282" s="17">
        <v>44287</v>
      </c>
      <c r="C282" s="18">
        <f>MONTH(B282)</f>
        <v>4</v>
      </c>
      <c r="D282" s="18">
        <f>YEAR(B282)</f>
        <v>2021</v>
      </c>
      <c r="E282" s="18" t="str">
        <f>IFERROR(VLOOKUP(F282,#REF!,3,FALSE),"")</f>
        <v/>
      </c>
      <c r="F282" s="5" t="s">
        <v>30</v>
      </c>
      <c r="G282" s="6">
        <v>4</v>
      </c>
      <c r="H282" s="7">
        <v>1.7</v>
      </c>
      <c r="I282" s="147"/>
    </row>
    <row r="283" spans="1:9" x14ac:dyDescent="0.2">
      <c r="A283" s="3">
        <f>VLOOKUP(F283,CODIGOSPLACAS!$A$1:$B$38,2,FALSE)</f>
        <v>6</v>
      </c>
      <c r="B283" s="17">
        <v>44287</v>
      </c>
      <c r="C283" s="18">
        <f t="shared" si="30"/>
        <v>4</v>
      </c>
      <c r="D283" s="18">
        <f t="shared" si="31"/>
        <v>2021</v>
      </c>
      <c r="E283" s="18" t="str">
        <f>IFERROR(VLOOKUP(F283,#REF!,3,FALSE),"")</f>
        <v/>
      </c>
      <c r="F283" s="5" t="s">
        <v>31</v>
      </c>
      <c r="G283" s="6">
        <v>4</v>
      </c>
      <c r="H283" s="7">
        <v>1.7</v>
      </c>
      <c r="I283" s="147"/>
    </row>
    <row r="284" spans="1:9" x14ac:dyDescent="0.2">
      <c r="A284" s="3">
        <f>VLOOKUP(F284,CODIGOSPLACAS!$A$1:$B$38,2,FALSE)</f>
        <v>10</v>
      </c>
      <c r="B284" s="17">
        <v>44287</v>
      </c>
      <c r="C284" s="18">
        <f>MONTH(B284)</f>
        <v>4</v>
      </c>
      <c r="D284" s="18">
        <f>YEAR(B284)</f>
        <v>2021</v>
      </c>
      <c r="E284" s="18" t="str">
        <f>IFERROR(VLOOKUP(F284,#REF!,3,FALSE),"")</f>
        <v/>
      </c>
      <c r="F284" s="5" t="s">
        <v>32</v>
      </c>
      <c r="G284" s="6">
        <v>4</v>
      </c>
      <c r="H284" s="7">
        <v>1.7</v>
      </c>
      <c r="I284" s="147"/>
    </row>
    <row r="285" spans="1:9" x14ac:dyDescent="0.2">
      <c r="E285" s="18" t="str">
        <f>IFERROR(VLOOKUP(F285,#REF!,3,FALSE),"")</f>
        <v/>
      </c>
      <c r="F285" s="214" t="s">
        <v>39</v>
      </c>
      <c r="G285" s="214"/>
      <c r="H285" s="214"/>
      <c r="I285" s="150"/>
    </row>
    <row r="286" spans="1:9" x14ac:dyDescent="0.2">
      <c r="A286" s="3">
        <f>VLOOKUP(F286,CODIGOSPLACAS!$A$1:$B$38,2,FALSE)</f>
        <v>1</v>
      </c>
      <c r="B286" s="17">
        <v>44317</v>
      </c>
      <c r="C286" s="18">
        <f>MONTH(B286)</f>
        <v>5</v>
      </c>
      <c r="D286" s="18">
        <f>YEAR(B286)</f>
        <v>2021</v>
      </c>
      <c r="E286" s="18" t="str">
        <f>IFERROR(VLOOKUP(F286,#REF!,3,FALSE),"")</f>
        <v/>
      </c>
      <c r="F286" s="6" t="s">
        <v>26</v>
      </c>
      <c r="G286" s="6">
        <v>4</v>
      </c>
      <c r="H286" s="7">
        <v>1.7</v>
      </c>
      <c r="I286" s="147"/>
    </row>
    <row r="287" spans="1:9" x14ac:dyDescent="0.2">
      <c r="A287" s="3">
        <f>VLOOKUP(F287,CODIGOSPLACAS!$A$1:$B$38,2,FALSE)</f>
        <v>2</v>
      </c>
      <c r="B287" s="17">
        <v>44317</v>
      </c>
      <c r="C287" s="18">
        <f t="shared" ref="C287:C303" si="32">MONTH(B287)</f>
        <v>5</v>
      </c>
      <c r="D287" s="18">
        <f t="shared" ref="D287:D303" si="33">YEAR(B287)</f>
        <v>2021</v>
      </c>
      <c r="E287" s="18" t="str">
        <f>IFERROR(VLOOKUP(F287,#REF!,3,FALSE),"")</f>
        <v/>
      </c>
      <c r="F287" s="6" t="s">
        <v>24</v>
      </c>
      <c r="G287" s="6">
        <v>4</v>
      </c>
      <c r="H287" s="7">
        <v>1.7</v>
      </c>
      <c r="I287" s="147"/>
    </row>
    <row r="288" spans="1:9" x14ac:dyDescent="0.2">
      <c r="A288" s="3">
        <f>VLOOKUP(F288,CODIGOSPLACAS!$A$1:$B$38,2,FALSE)</f>
        <v>9</v>
      </c>
      <c r="B288" s="17">
        <v>44317</v>
      </c>
      <c r="C288" s="18">
        <f t="shared" si="32"/>
        <v>5</v>
      </c>
      <c r="D288" s="18">
        <f t="shared" si="33"/>
        <v>2021</v>
      </c>
      <c r="E288" s="18" t="str">
        <f>IFERROR(VLOOKUP(F288,#REF!,3,FALSE),"")</f>
        <v/>
      </c>
      <c r="F288" s="6" t="s">
        <v>126</v>
      </c>
      <c r="G288" s="6">
        <v>4</v>
      </c>
      <c r="H288" s="7">
        <v>1.7</v>
      </c>
      <c r="I288" s="147"/>
    </row>
    <row r="289" spans="1:9" x14ac:dyDescent="0.2">
      <c r="A289" s="3">
        <f>VLOOKUP(F289,CODIGOSPLACAS!$A$1:$B$38,2,FALSE)</f>
        <v>16</v>
      </c>
      <c r="B289" s="17">
        <v>44317</v>
      </c>
      <c r="C289" s="18">
        <f t="shared" si="32"/>
        <v>5</v>
      </c>
      <c r="D289" s="18">
        <f t="shared" si="33"/>
        <v>2021</v>
      </c>
      <c r="E289" s="18" t="str">
        <f>IFERROR(VLOOKUP(F289,#REF!,3,FALSE),"")</f>
        <v/>
      </c>
      <c r="F289" s="6" t="s">
        <v>130</v>
      </c>
      <c r="G289" s="6">
        <v>4</v>
      </c>
      <c r="H289" s="7">
        <v>1.7</v>
      </c>
      <c r="I289" s="147"/>
    </row>
    <row r="290" spans="1:9" x14ac:dyDescent="0.2">
      <c r="A290" s="3">
        <f>VLOOKUP(F290,CODIGOSPLACAS!$A$1:$B$38,2,FALSE)</f>
        <v>19</v>
      </c>
      <c r="B290" s="17">
        <v>44317</v>
      </c>
      <c r="C290" s="18">
        <f t="shared" si="32"/>
        <v>5</v>
      </c>
      <c r="D290" s="18">
        <f t="shared" si="33"/>
        <v>2021</v>
      </c>
      <c r="E290" s="18" t="str">
        <f>IFERROR(VLOOKUP(F290,#REF!,3,FALSE),"")</f>
        <v/>
      </c>
      <c r="F290" s="6" t="s">
        <v>42</v>
      </c>
      <c r="G290" s="6">
        <v>1</v>
      </c>
      <c r="H290" s="7">
        <v>2.1</v>
      </c>
      <c r="I290" s="147"/>
    </row>
    <row r="291" spans="1:9" x14ac:dyDescent="0.2">
      <c r="A291" s="3">
        <f>VLOOKUP(F291,CODIGOSPLACAS!$A$1:$B$38,2,FALSE)</f>
        <v>23</v>
      </c>
      <c r="B291" s="17">
        <v>44317</v>
      </c>
      <c r="C291" s="18">
        <f t="shared" si="32"/>
        <v>5</v>
      </c>
      <c r="D291" s="18">
        <f t="shared" si="33"/>
        <v>2021</v>
      </c>
      <c r="E291" s="18" t="str">
        <f>IFERROR(VLOOKUP(F291,#REF!,3,FALSE),"")</f>
        <v/>
      </c>
      <c r="F291" s="6" t="s">
        <v>23</v>
      </c>
      <c r="G291" s="6">
        <v>4</v>
      </c>
      <c r="H291" s="7">
        <v>1.7</v>
      </c>
      <c r="I291" s="147"/>
    </row>
    <row r="292" spans="1:9" x14ac:dyDescent="0.2">
      <c r="A292" s="3">
        <f>VLOOKUP(F292,CODIGOSPLACAS!$A$1:$B$38,2,FALSE)</f>
        <v>33</v>
      </c>
      <c r="B292" s="17">
        <v>44317</v>
      </c>
      <c r="C292" s="18">
        <f t="shared" si="32"/>
        <v>5</v>
      </c>
      <c r="D292" s="18">
        <f t="shared" si="33"/>
        <v>2021</v>
      </c>
      <c r="E292" s="18" t="str">
        <f>IFERROR(VLOOKUP(F292,#REF!,3,FALSE),"")</f>
        <v/>
      </c>
      <c r="F292" s="6" t="s">
        <v>127</v>
      </c>
      <c r="G292" s="6">
        <v>3</v>
      </c>
      <c r="H292" s="7">
        <v>1.9</v>
      </c>
      <c r="I292" s="147"/>
    </row>
    <row r="293" spans="1:9" x14ac:dyDescent="0.2">
      <c r="A293" s="3">
        <f>VLOOKUP(F293,CODIGOSPLACAS!$A$1:$B$38,2,FALSE)</f>
        <v>34</v>
      </c>
      <c r="B293" s="17">
        <v>44317</v>
      </c>
      <c r="C293" s="18">
        <f t="shared" si="32"/>
        <v>5</v>
      </c>
      <c r="D293" s="18">
        <f t="shared" si="33"/>
        <v>2021</v>
      </c>
      <c r="E293" s="18" t="str">
        <f>IFERROR(VLOOKUP(F293,#REF!,3,FALSE),"")</f>
        <v/>
      </c>
      <c r="F293" s="6" t="s">
        <v>22</v>
      </c>
      <c r="G293" s="6">
        <v>3</v>
      </c>
      <c r="H293" s="7">
        <v>1.9</v>
      </c>
      <c r="I293" s="147"/>
    </row>
    <row r="294" spans="1:9" x14ac:dyDescent="0.2">
      <c r="A294" s="3">
        <f>VLOOKUP(F294,CODIGOSPLACAS!$A$1:$B$38,2,FALSE)</f>
        <v>27</v>
      </c>
      <c r="B294" s="17">
        <v>44317</v>
      </c>
      <c r="C294" s="18">
        <f t="shared" si="32"/>
        <v>5</v>
      </c>
      <c r="D294" s="18">
        <f t="shared" si="33"/>
        <v>2021</v>
      </c>
      <c r="E294" s="18" t="str">
        <f>IFERROR(VLOOKUP(F294,#REF!,3,FALSE),"")</f>
        <v/>
      </c>
      <c r="F294" s="9" t="s">
        <v>44</v>
      </c>
      <c r="G294" s="9">
        <v>3</v>
      </c>
      <c r="H294" s="10">
        <v>1.9</v>
      </c>
      <c r="I294" s="147"/>
    </row>
    <row r="295" spans="1:9" x14ac:dyDescent="0.2">
      <c r="A295" s="3">
        <f>VLOOKUP(F295,CODIGOSPLACAS!$A$1:$B$38,2,FALSE)</f>
        <v>28</v>
      </c>
      <c r="B295" s="17">
        <v>44317</v>
      </c>
      <c r="C295" s="18">
        <f t="shared" si="32"/>
        <v>5</v>
      </c>
      <c r="D295" s="18">
        <f t="shared" si="33"/>
        <v>2021</v>
      </c>
      <c r="E295" s="18" t="str">
        <f>IFERROR(VLOOKUP(F295,#REF!,3,FALSE),"")</f>
        <v/>
      </c>
      <c r="F295" s="11" t="s">
        <v>45</v>
      </c>
      <c r="G295" s="9">
        <v>3</v>
      </c>
      <c r="H295" s="10">
        <v>1.9</v>
      </c>
      <c r="I295" s="147"/>
    </row>
    <row r="296" spans="1:9" x14ac:dyDescent="0.2">
      <c r="A296" s="3">
        <f>VLOOKUP(F296,CODIGOSPLACAS!$A$1:$B$38,2,FALSE)</f>
        <v>30</v>
      </c>
      <c r="B296" s="17">
        <v>44317</v>
      </c>
      <c r="C296" s="18">
        <f t="shared" si="32"/>
        <v>5</v>
      </c>
      <c r="D296" s="18">
        <f t="shared" si="33"/>
        <v>2021</v>
      </c>
      <c r="E296" s="18" t="str">
        <f>IFERROR(VLOOKUP(F296,#REF!,3,FALSE),"")</f>
        <v/>
      </c>
      <c r="F296" s="11" t="s">
        <v>25</v>
      </c>
      <c r="G296" s="9">
        <v>4</v>
      </c>
      <c r="H296" s="10">
        <v>1.7</v>
      </c>
      <c r="I296" s="147"/>
    </row>
    <row r="297" spans="1:9" x14ac:dyDescent="0.2">
      <c r="A297" s="3">
        <f>VLOOKUP(F297,CODIGOSPLACAS!$A$1:$B$38,2,FALSE)</f>
        <v>36</v>
      </c>
      <c r="B297" s="17">
        <v>44317</v>
      </c>
      <c r="C297" s="18">
        <f t="shared" si="32"/>
        <v>5</v>
      </c>
      <c r="D297" s="18">
        <f t="shared" si="33"/>
        <v>2021</v>
      </c>
      <c r="E297" s="18" t="str">
        <f>IFERROR(VLOOKUP(F297,#REF!,3,FALSE),"")</f>
        <v/>
      </c>
      <c r="F297" s="11" t="s">
        <v>35</v>
      </c>
      <c r="G297" s="9">
        <v>5</v>
      </c>
      <c r="H297" s="10">
        <v>2.5</v>
      </c>
      <c r="I297" s="147"/>
    </row>
    <row r="298" spans="1:9" x14ac:dyDescent="0.2">
      <c r="A298" s="3">
        <f>VLOOKUP(F298,CODIGOSPLACAS!$A$1:$B$38,2,FALSE)</f>
        <v>8</v>
      </c>
      <c r="B298" s="17">
        <v>44317</v>
      </c>
      <c r="C298" s="18">
        <f t="shared" si="32"/>
        <v>5</v>
      </c>
      <c r="D298" s="18">
        <f t="shared" si="33"/>
        <v>2021</v>
      </c>
      <c r="E298" s="18" t="str">
        <f>IFERROR(VLOOKUP(F298,#REF!,3,FALSE),"")</f>
        <v/>
      </c>
      <c r="F298" s="6" t="s">
        <v>27</v>
      </c>
      <c r="G298" s="6">
        <v>4</v>
      </c>
      <c r="H298" s="7">
        <v>1.7</v>
      </c>
      <c r="I298" s="147"/>
    </row>
    <row r="299" spans="1:9" x14ac:dyDescent="0.2">
      <c r="A299" s="3">
        <f>VLOOKUP(F299,CODIGOSPLACAS!$A$1:$B$38,2,FALSE)</f>
        <v>35</v>
      </c>
      <c r="B299" s="17">
        <v>44317</v>
      </c>
      <c r="C299" s="18">
        <f t="shared" si="32"/>
        <v>5</v>
      </c>
      <c r="D299" s="18">
        <f t="shared" si="33"/>
        <v>2021</v>
      </c>
      <c r="E299" s="18" t="str">
        <f>IFERROR(VLOOKUP(F299,#REF!,3,FALSE),"")</f>
        <v/>
      </c>
      <c r="F299" s="11" t="s">
        <v>34</v>
      </c>
      <c r="G299" s="9">
        <v>5</v>
      </c>
      <c r="H299" s="10">
        <v>2.5</v>
      </c>
      <c r="I299" s="147"/>
    </row>
    <row r="300" spans="1:9" x14ac:dyDescent="0.2">
      <c r="A300" s="3">
        <f>VLOOKUP(F300,CODIGOSPLACAS!$A$1:$B$38,2,FALSE)</f>
        <v>3</v>
      </c>
      <c r="B300" s="17">
        <v>44317</v>
      </c>
      <c r="C300" s="18">
        <f t="shared" si="32"/>
        <v>5</v>
      </c>
      <c r="D300" s="18">
        <f t="shared" si="33"/>
        <v>2021</v>
      </c>
      <c r="E300" s="18" t="str">
        <f>IFERROR(VLOOKUP(F300,#REF!,3,FALSE),"")</f>
        <v/>
      </c>
      <c r="F300" s="6" t="s">
        <v>28</v>
      </c>
      <c r="G300" s="6">
        <v>4</v>
      </c>
      <c r="H300" s="7">
        <v>1.7</v>
      </c>
      <c r="I300" s="147"/>
    </row>
    <row r="301" spans="1:9" x14ac:dyDescent="0.2">
      <c r="A301" s="3">
        <f>VLOOKUP(F301,CODIGOSPLACAS!$A$1:$B$38,2,FALSE)</f>
        <v>11</v>
      </c>
      <c r="B301" s="17">
        <v>44317</v>
      </c>
      <c r="C301" s="18">
        <f t="shared" si="32"/>
        <v>5</v>
      </c>
      <c r="D301" s="18">
        <f t="shared" si="33"/>
        <v>2021</v>
      </c>
      <c r="E301" s="18" t="str">
        <f>IFERROR(VLOOKUP(F301,#REF!,3,FALSE),"")</f>
        <v/>
      </c>
      <c r="F301" s="5" t="s">
        <v>29</v>
      </c>
      <c r="G301" s="6">
        <v>4</v>
      </c>
      <c r="H301" s="7">
        <v>1.7</v>
      </c>
      <c r="I301" s="147"/>
    </row>
    <row r="302" spans="1:9" x14ac:dyDescent="0.2">
      <c r="A302" s="3">
        <f>VLOOKUP(F302,CODIGOSPLACAS!$A$1:$B$38,2,FALSE)</f>
        <v>4</v>
      </c>
      <c r="B302" s="17">
        <v>44317</v>
      </c>
      <c r="C302" s="18">
        <f>MONTH(B302)</f>
        <v>5</v>
      </c>
      <c r="D302" s="18">
        <f>YEAR(B302)</f>
        <v>2021</v>
      </c>
      <c r="E302" s="18" t="str">
        <f>IFERROR(VLOOKUP(F302,#REF!,3,FALSE),"")</f>
        <v/>
      </c>
      <c r="F302" s="5" t="s">
        <v>30</v>
      </c>
      <c r="G302" s="6">
        <v>4</v>
      </c>
      <c r="H302" s="7">
        <v>1.7</v>
      </c>
      <c r="I302" s="147"/>
    </row>
    <row r="303" spans="1:9" x14ac:dyDescent="0.2">
      <c r="A303" s="3">
        <f>VLOOKUP(F303,CODIGOSPLACAS!$A$1:$B$38,2,FALSE)</f>
        <v>6</v>
      </c>
      <c r="B303" s="17">
        <v>44317</v>
      </c>
      <c r="C303" s="18">
        <f t="shared" si="32"/>
        <v>5</v>
      </c>
      <c r="D303" s="18">
        <f t="shared" si="33"/>
        <v>2021</v>
      </c>
      <c r="E303" s="18" t="str">
        <f>IFERROR(VLOOKUP(F303,#REF!,3,FALSE),"")</f>
        <v/>
      </c>
      <c r="F303" s="5" t="s">
        <v>31</v>
      </c>
      <c r="G303" s="6">
        <v>4</v>
      </c>
      <c r="H303" s="7">
        <v>1.7</v>
      </c>
      <c r="I303" s="147"/>
    </row>
    <row r="304" spans="1:9" x14ac:dyDescent="0.2">
      <c r="A304" s="3">
        <f>VLOOKUP(F304,CODIGOSPLACAS!$A$1:$B$38,2,FALSE)</f>
        <v>10</v>
      </c>
      <c r="B304" s="17">
        <v>44317</v>
      </c>
      <c r="C304" s="18">
        <f>MONTH(B304)</f>
        <v>5</v>
      </c>
      <c r="D304" s="18">
        <f>YEAR(B304)</f>
        <v>2021</v>
      </c>
      <c r="E304" s="18" t="str">
        <f>IFERROR(VLOOKUP(F304,#REF!,3,FALSE),"")</f>
        <v/>
      </c>
      <c r="F304" s="5" t="s">
        <v>32</v>
      </c>
      <c r="G304" s="6">
        <v>4</v>
      </c>
      <c r="H304" s="7">
        <v>1.7</v>
      </c>
      <c r="I304" s="147"/>
    </row>
    <row r="305" spans="1:9" x14ac:dyDescent="0.2">
      <c r="E305" s="18" t="str">
        <f>IFERROR(VLOOKUP(F305,#REF!,3,FALSE),"")</f>
        <v/>
      </c>
      <c r="F305" s="214" t="s">
        <v>39</v>
      </c>
      <c r="G305" s="214"/>
      <c r="H305" s="214"/>
      <c r="I305" s="150"/>
    </row>
    <row r="306" spans="1:9" x14ac:dyDescent="0.2">
      <c r="A306" s="3">
        <f>VLOOKUP(F306,CODIGOSPLACAS!$A$1:$B$38,2,FALSE)</f>
        <v>1</v>
      </c>
      <c r="B306" s="17">
        <v>44348</v>
      </c>
      <c r="C306" s="18">
        <f>MONTH(B306)</f>
        <v>6</v>
      </c>
      <c r="D306" s="18">
        <f>YEAR(B306)</f>
        <v>2021</v>
      </c>
      <c r="E306" s="18" t="str">
        <f>IFERROR(VLOOKUP(F306,#REF!,3,FALSE),"")</f>
        <v/>
      </c>
      <c r="F306" s="6" t="s">
        <v>26</v>
      </c>
      <c r="G306" s="6">
        <v>4</v>
      </c>
      <c r="H306" s="7">
        <v>1.7</v>
      </c>
      <c r="I306" s="147"/>
    </row>
    <row r="307" spans="1:9" x14ac:dyDescent="0.2">
      <c r="A307" s="3">
        <f>VLOOKUP(F307,CODIGOSPLACAS!$A$1:$B$38,2,FALSE)</f>
        <v>2</v>
      </c>
      <c r="B307" s="17">
        <v>44348</v>
      </c>
      <c r="C307" s="18">
        <f t="shared" ref="C307:C323" si="34">MONTH(B307)</f>
        <v>6</v>
      </c>
      <c r="D307" s="18">
        <f t="shared" ref="D307:D323" si="35">YEAR(B307)</f>
        <v>2021</v>
      </c>
      <c r="E307" s="18" t="str">
        <f>IFERROR(VLOOKUP(F307,#REF!,3,FALSE),"")</f>
        <v/>
      </c>
      <c r="F307" s="6" t="s">
        <v>24</v>
      </c>
      <c r="G307" s="6">
        <v>4</v>
      </c>
      <c r="H307" s="7">
        <v>1.7</v>
      </c>
      <c r="I307" s="147"/>
    </row>
    <row r="308" spans="1:9" x14ac:dyDescent="0.2">
      <c r="A308" s="3">
        <f>VLOOKUP(F308,CODIGOSPLACAS!$A$1:$B$38,2,FALSE)</f>
        <v>9</v>
      </c>
      <c r="B308" s="17">
        <v>44348</v>
      </c>
      <c r="C308" s="18">
        <f t="shared" si="34"/>
        <v>6</v>
      </c>
      <c r="D308" s="18">
        <f t="shared" si="35"/>
        <v>2021</v>
      </c>
      <c r="E308" s="18" t="str">
        <f>IFERROR(VLOOKUP(F308,#REF!,3,FALSE),"")</f>
        <v/>
      </c>
      <c r="F308" s="6" t="s">
        <v>126</v>
      </c>
      <c r="G308" s="6">
        <v>4</v>
      </c>
      <c r="H308" s="7">
        <v>1.7</v>
      </c>
      <c r="I308" s="147"/>
    </row>
    <row r="309" spans="1:9" x14ac:dyDescent="0.2">
      <c r="A309" s="3">
        <f>VLOOKUP(F309,CODIGOSPLACAS!$A$1:$B$38,2,FALSE)</f>
        <v>16</v>
      </c>
      <c r="B309" s="17">
        <v>44348</v>
      </c>
      <c r="C309" s="18">
        <f t="shared" si="34"/>
        <v>6</v>
      </c>
      <c r="D309" s="18">
        <f t="shared" si="35"/>
        <v>2021</v>
      </c>
      <c r="E309" s="18" t="str">
        <f>IFERROR(VLOOKUP(F309,#REF!,3,FALSE),"")</f>
        <v/>
      </c>
      <c r="F309" s="6" t="s">
        <v>130</v>
      </c>
      <c r="G309" s="6">
        <v>4</v>
      </c>
      <c r="H309" s="7">
        <v>1.7</v>
      </c>
      <c r="I309" s="147"/>
    </row>
    <row r="310" spans="1:9" x14ac:dyDescent="0.2">
      <c r="A310" s="3">
        <f>VLOOKUP(F310,CODIGOSPLACAS!$A$1:$B$38,2,FALSE)</f>
        <v>19</v>
      </c>
      <c r="B310" s="17">
        <v>44348</v>
      </c>
      <c r="C310" s="18">
        <f t="shared" si="34"/>
        <v>6</v>
      </c>
      <c r="D310" s="18">
        <f t="shared" si="35"/>
        <v>2021</v>
      </c>
      <c r="E310" s="18" t="str">
        <f>IFERROR(VLOOKUP(F310,#REF!,3,FALSE),"")</f>
        <v/>
      </c>
      <c r="F310" s="6" t="s">
        <v>42</v>
      </c>
      <c r="G310" s="6">
        <v>1</v>
      </c>
      <c r="H310" s="7">
        <v>2.1</v>
      </c>
      <c r="I310" s="147"/>
    </row>
    <row r="311" spans="1:9" x14ac:dyDescent="0.2">
      <c r="A311" s="3">
        <f>VLOOKUP(F311,CODIGOSPLACAS!$A$1:$B$38,2,FALSE)</f>
        <v>23</v>
      </c>
      <c r="B311" s="17">
        <v>44348</v>
      </c>
      <c r="C311" s="18">
        <f t="shared" si="34"/>
        <v>6</v>
      </c>
      <c r="D311" s="18">
        <f t="shared" si="35"/>
        <v>2021</v>
      </c>
      <c r="E311" s="18" t="str">
        <f>IFERROR(VLOOKUP(F311,#REF!,3,FALSE),"")</f>
        <v/>
      </c>
      <c r="F311" s="6" t="s">
        <v>23</v>
      </c>
      <c r="G311" s="6">
        <v>4</v>
      </c>
      <c r="H311" s="7">
        <v>1.7</v>
      </c>
      <c r="I311" s="147"/>
    </row>
    <row r="312" spans="1:9" x14ac:dyDescent="0.2">
      <c r="A312" s="3">
        <f>VLOOKUP(F312,CODIGOSPLACAS!$A$1:$B$38,2,FALSE)</f>
        <v>33</v>
      </c>
      <c r="B312" s="17">
        <v>44348</v>
      </c>
      <c r="C312" s="18">
        <f t="shared" si="34"/>
        <v>6</v>
      </c>
      <c r="D312" s="18">
        <f t="shared" si="35"/>
        <v>2021</v>
      </c>
      <c r="E312" s="18" t="str">
        <f>IFERROR(VLOOKUP(F312,#REF!,3,FALSE),"")</f>
        <v/>
      </c>
      <c r="F312" s="6" t="s">
        <v>127</v>
      </c>
      <c r="G312" s="6">
        <v>3</v>
      </c>
      <c r="H312" s="7">
        <v>1.9</v>
      </c>
      <c r="I312" s="147"/>
    </row>
    <row r="313" spans="1:9" x14ac:dyDescent="0.2">
      <c r="A313" s="3">
        <f>VLOOKUP(F313,CODIGOSPLACAS!$A$1:$B$38,2,FALSE)</f>
        <v>34</v>
      </c>
      <c r="B313" s="17">
        <v>44348</v>
      </c>
      <c r="C313" s="18">
        <f t="shared" si="34"/>
        <v>6</v>
      </c>
      <c r="D313" s="18">
        <f t="shared" si="35"/>
        <v>2021</v>
      </c>
      <c r="E313" s="18" t="str">
        <f>IFERROR(VLOOKUP(F313,#REF!,3,FALSE),"")</f>
        <v/>
      </c>
      <c r="F313" s="6" t="s">
        <v>22</v>
      </c>
      <c r="G313" s="6">
        <v>3</v>
      </c>
      <c r="H313" s="7">
        <v>1.9</v>
      </c>
      <c r="I313" s="147"/>
    </row>
    <row r="314" spans="1:9" x14ac:dyDescent="0.2">
      <c r="A314" s="3">
        <f>VLOOKUP(F314,CODIGOSPLACAS!$A$1:$B$38,2,FALSE)</f>
        <v>27</v>
      </c>
      <c r="B314" s="17">
        <v>44348</v>
      </c>
      <c r="C314" s="18">
        <f t="shared" si="34"/>
        <v>6</v>
      </c>
      <c r="D314" s="18">
        <f t="shared" si="35"/>
        <v>2021</v>
      </c>
      <c r="E314" s="18" t="str">
        <f>IFERROR(VLOOKUP(F314,#REF!,3,FALSE),"")</f>
        <v/>
      </c>
      <c r="F314" s="9" t="s">
        <v>44</v>
      </c>
      <c r="G314" s="9">
        <v>3</v>
      </c>
      <c r="H314" s="10">
        <v>1.9</v>
      </c>
      <c r="I314" s="147"/>
    </row>
    <row r="315" spans="1:9" x14ac:dyDescent="0.2">
      <c r="A315" s="3">
        <f>VLOOKUP(F315,CODIGOSPLACAS!$A$1:$B$38,2,FALSE)</f>
        <v>28</v>
      </c>
      <c r="B315" s="17">
        <v>44348</v>
      </c>
      <c r="C315" s="18">
        <f t="shared" si="34"/>
        <v>6</v>
      </c>
      <c r="D315" s="18">
        <f t="shared" si="35"/>
        <v>2021</v>
      </c>
      <c r="E315" s="18" t="str">
        <f>IFERROR(VLOOKUP(F315,#REF!,3,FALSE),"")</f>
        <v/>
      </c>
      <c r="F315" s="11" t="s">
        <v>45</v>
      </c>
      <c r="G315" s="9">
        <v>3</v>
      </c>
      <c r="H315" s="10">
        <v>1.9</v>
      </c>
      <c r="I315" s="147"/>
    </row>
    <row r="316" spans="1:9" x14ac:dyDescent="0.2">
      <c r="A316" s="3">
        <f>VLOOKUP(F316,CODIGOSPLACAS!$A$1:$B$38,2,FALSE)</f>
        <v>30</v>
      </c>
      <c r="B316" s="17">
        <v>44348</v>
      </c>
      <c r="C316" s="18">
        <f t="shared" si="34"/>
        <v>6</v>
      </c>
      <c r="D316" s="18">
        <f t="shared" si="35"/>
        <v>2021</v>
      </c>
      <c r="E316" s="18" t="str">
        <f>IFERROR(VLOOKUP(F316,#REF!,3,FALSE),"")</f>
        <v/>
      </c>
      <c r="F316" s="11" t="s">
        <v>25</v>
      </c>
      <c r="G316" s="9">
        <v>4</v>
      </c>
      <c r="H316" s="10">
        <v>1.7</v>
      </c>
      <c r="I316" s="147"/>
    </row>
    <row r="317" spans="1:9" x14ac:dyDescent="0.2">
      <c r="A317" s="3">
        <f>VLOOKUP(F317,CODIGOSPLACAS!$A$1:$B$38,2,FALSE)</f>
        <v>36</v>
      </c>
      <c r="B317" s="17">
        <v>44348</v>
      </c>
      <c r="C317" s="18">
        <f t="shared" si="34"/>
        <v>6</v>
      </c>
      <c r="D317" s="18">
        <f t="shared" si="35"/>
        <v>2021</v>
      </c>
      <c r="E317" s="18" t="str">
        <f>IFERROR(VLOOKUP(F317,#REF!,3,FALSE),"")</f>
        <v/>
      </c>
      <c r="F317" s="11" t="s">
        <v>35</v>
      </c>
      <c r="G317" s="9">
        <v>5</v>
      </c>
      <c r="H317" s="10">
        <v>2.5</v>
      </c>
      <c r="I317" s="147"/>
    </row>
    <row r="318" spans="1:9" x14ac:dyDescent="0.2">
      <c r="A318" s="3">
        <f>VLOOKUP(F318,CODIGOSPLACAS!$A$1:$B$38,2,FALSE)</f>
        <v>8</v>
      </c>
      <c r="B318" s="17">
        <v>44348</v>
      </c>
      <c r="C318" s="18">
        <f t="shared" si="34"/>
        <v>6</v>
      </c>
      <c r="D318" s="18">
        <f t="shared" si="35"/>
        <v>2021</v>
      </c>
      <c r="E318" s="18" t="str">
        <f>IFERROR(VLOOKUP(F318,#REF!,3,FALSE),"")</f>
        <v/>
      </c>
      <c r="F318" s="6" t="s">
        <v>27</v>
      </c>
      <c r="G318" s="6">
        <v>4</v>
      </c>
      <c r="H318" s="7">
        <v>1.7</v>
      </c>
      <c r="I318" s="147"/>
    </row>
    <row r="319" spans="1:9" x14ac:dyDescent="0.2">
      <c r="A319" s="3">
        <f>VLOOKUP(F319,CODIGOSPLACAS!$A$1:$B$38,2,FALSE)</f>
        <v>35</v>
      </c>
      <c r="B319" s="17">
        <v>44348</v>
      </c>
      <c r="C319" s="18">
        <f t="shared" si="34"/>
        <v>6</v>
      </c>
      <c r="D319" s="18">
        <f t="shared" si="35"/>
        <v>2021</v>
      </c>
      <c r="E319" s="18" t="str">
        <f>IFERROR(VLOOKUP(F319,#REF!,3,FALSE),"")</f>
        <v/>
      </c>
      <c r="F319" s="11" t="s">
        <v>34</v>
      </c>
      <c r="G319" s="9">
        <v>5</v>
      </c>
      <c r="H319" s="10">
        <v>2.5</v>
      </c>
      <c r="I319" s="147"/>
    </row>
    <row r="320" spans="1:9" x14ac:dyDescent="0.2">
      <c r="A320" s="3">
        <f>VLOOKUP(F320,CODIGOSPLACAS!$A$1:$B$38,2,FALSE)</f>
        <v>3</v>
      </c>
      <c r="B320" s="17">
        <v>44348</v>
      </c>
      <c r="C320" s="18">
        <f t="shared" si="34"/>
        <v>6</v>
      </c>
      <c r="D320" s="18">
        <f t="shared" si="35"/>
        <v>2021</v>
      </c>
      <c r="E320" s="18" t="str">
        <f>IFERROR(VLOOKUP(F320,#REF!,3,FALSE),"")</f>
        <v/>
      </c>
      <c r="F320" s="6" t="s">
        <v>28</v>
      </c>
      <c r="G320" s="6">
        <v>4</v>
      </c>
      <c r="H320" s="7">
        <v>1.7</v>
      </c>
      <c r="I320" s="147"/>
    </row>
    <row r="321" spans="1:9" x14ac:dyDescent="0.2">
      <c r="A321" s="3">
        <f>VLOOKUP(F321,CODIGOSPLACAS!$A$1:$B$38,2,FALSE)</f>
        <v>11</v>
      </c>
      <c r="B321" s="17">
        <v>44348</v>
      </c>
      <c r="C321" s="18">
        <f t="shared" si="34"/>
        <v>6</v>
      </c>
      <c r="D321" s="18">
        <f t="shared" si="35"/>
        <v>2021</v>
      </c>
      <c r="E321" s="18" t="str">
        <f>IFERROR(VLOOKUP(F321,#REF!,3,FALSE),"")</f>
        <v/>
      </c>
      <c r="F321" s="5" t="s">
        <v>29</v>
      </c>
      <c r="G321" s="6">
        <v>4</v>
      </c>
      <c r="H321" s="7">
        <v>1.7</v>
      </c>
      <c r="I321" s="147"/>
    </row>
    <row r="322" spans="1:9" x14ac:dyDescent="0.2">
      <c r="A322" s="3">
        <f>VLOOKUP(F322,CODIGOSPLACAS!$A$1:$B$38,2,FALSE)</f>
        <v>4</v>
      </c>
      <c r="B322" s="17">
        <v>44348</v>
      </c>
      <c r="C322" s="18">
        <f t="shared" si="34"/>
        <v>6</v>
      </c>
      <c r="D322" s="18">
        <f t="shared" si="35"/>
        <v>2021</v>
      </c>
      <c r="E322" s="18" t="str">
        <f>IFERROR(VLOOKUP(F322,#REF!,3,FALSE),"")</f>
        <v/>
      </c>
      <c r="F322" s="5" t="s">
        <v>30</v>
      </c>
      <c r="G322" s="6">
        <v>4</v>
      </c>
      <c r="H322" s="7">
        <v>1.7</v>
      </c>
      <c r="I322" s="147"/>
    </row>
    <row r="323" spans="1:9" x14ac:dyDescent="0.2">
      <c r="A323" s="3">
        <f>VLOOKUP(F323,CODIGOSPLACAS!$A$1:$B$38,2,FALSE)</f>
        <v>6</v>
      </c>
      <c r="B323" s="17">
        <v>44348</v>
      </c>
      <c r="C323" s="18">
        <f t="shared" si="34"/>
        <v>6</v>
      </c>
      <c r="D323" s="18">
        <f t="shared" si="35"/>
        <v>2021</v>
      </c>
      <c r="E323" s="18" t="str">
        <f>IFERROR(VLOOKUP(F323,#REF!,3,FALSE),"")</f>
        <v/>
      </c>
      <c r="F323" s="5" t="s">
        <v>31</v>
      </c>
      <c r="G323" s="6">
        <v>4</v>
      </c>
      <c r="H323" s="7">
        <v>1.7</v>
      </c>
      <c r="I323" s="147"/>
    </row>
    <row r="324" spans="1:9" x14ac:dyDescent="0.2">
      <c r="A324" s="3">
        <f>VLOOKUP(F324,CODIGOSPLACAS!$A$1:$B$38,2,FALSE)</f>
        <v>10</v>
      </c>
      <c r="B324" s="17">
        <v>44348</v>
      </c>
      <c r="C324" s="18">
        <f>MONTH(B324)</f>
        <v>6</v>
      </c>
      <c r="D324" s="18">
        <f>YEAR(B324)</f>
        <v>2021</v>
      </c>
      <c r="E324" s="18" t="str">
        <f>IFERROR(VLOOKUP(F324,#REF!,3,FALSE),"")</f>
        <v/>
      </c>
      <c r="F324" s="5" t="s">
        <v>32</v>
      </c>
      <c r="G324" s="6">
        <v>4</v>
      </c>
      <c r="H324" s="7">
        <v>1.7</v>
      </c>
      <c r="I324" s="147"/>
    </row>
    <row r="325" spans="1:9" x14ac:dyDescent="0.2">
      <c r="E325" s="18" t="str">
        <f>IFERROR(VLOOKUP(F325,#REF!,3,FALSE),"")</f>
        <v/>
      </c>
      <c r="F325" s="214" t="s">
        <v>39</v>
      </c>
      <c r="G325" s="214"/>
      <c r="H325" s="214"/>
      <c r="I325" s="150"/>
    </row>
    <row r="326" spans="1:9" x14ac:dyDescent="0.2">
      <c r="A326" s="3">
        <f>VLOOKUP(F326,CODIGOSPLACAS!$A$1:$B$38,2,FALSE)</f>
        <v>1</v>
      </c>
      <c r="B326" s="17">
        <v>44378</v>
      </c>
      <c r="C326" s="18">
        <f>MONTH(B326)</f>
        <v>7</v>
      </c>
      <c r="D326" s="18">
        <f>YEAR(B326)</f>
        <v>2021</v>
      </c>
      <c r="E326" s="18" t="str">
        <f>IFERROR(VLOOKUP(F326,#REF!,3,FALSE),"")</f>
        <v/>
      </c>
      <c r="F326" s="6" t="s">
        <v>26</v>
      </c>
      <c r="G326" s="6">
        <v>4</v>
      </c>
      <c r="H326" s="7">
        <v>1.7</v>
      </c>
      <c r="I326" s="147"/>
    </row>
    <row r="327" spans="1:9" x14ac:dyDescent="0.2">
      <c r="A327" s="3">
        <f>VLOOKUP(F327,CODIGOSPLACAS!$A$1:$B$38,2,FALSE)</f>
        <v>2</v>
      </c>
      <c r="B327" s="17">
        <v>44378</v>
      </c>
      <c r="C327" s="18">
        <f t="shared" ref="C327:C342" si="36">MONTH(B327)</f>
        <v>7</v>
      </c>
      <c r="D327" s="18">
        <f t="shared" ref="D327:D342" si="37">YEAR(B327)</f>
        <v>2021</v>
      </c>
      <c r="E327" s="18" t="str">
        <f>IFERROR(VLOOKUP(F327,#REF!,3,FALSE),"")</f>
        <v/>
      </c>
      <c r="F327" s="6" t="s">
        <v>24</v>
      </c>
      <c r="G327" s="6">
        <v>4</v>
      </c>
      <c r="H327" s="7">
        <v>1.7</v>
      </c>
      <c r="I327" s="147"/>
    </row>
    <row r="328" spans="1:9" x14ac:dyDescent="0.2">
      <c r="A328" s="3">
        <f>VLOOKUP(F328,CODIGOSPLACAS!$A$1:$B$38,2,FALSE)</f>
        <v>9</v>
      </c>
      <c r="B328" s="17">
        <v>44378</v>
      </c>
      <c r="C328" s="18">
        <f t="shared" si="36"/>
        <v>7</v>
      </c>
      <c r="D328" s="18">
        <f t="shared" si="37"/>
        <v>2021</v>
      </c>
      <c r="E328" s="18" t="str">
        <f>IFERROR(VLOOKUP(F328,#REF!,3,FALSE),"")</f>
        <v/>
      </c>
      <c r="F328" s="6" t="s">
        <v>126</v>
      </c>
      <c r="G328" s="6">
        <v>4</v>
      </c>
      <c r="H328" s="7">
        <v>1.7</v>
      </c>
      <c r="I328" s="147"/>
    </row>
    <row r="329" spans="1:9" x14ac:dyDescent="0.2">
      <c r="A329" s="3">
        <f>VLOOKUP(F329,CODIGOSPLACAS!$A$1:$B$38,2,FALSE)</f>
        <v>16</v>
      </c>
      <c r="B329" s="17">
        <v>44378</v>
      </c>
      <c r="C329" s="18">
        <f t="shared" si="36"/>
        <v>7</v>
      </c>
      <c r="D329" s="18">
        <f t="shared" si="37"/>
        <v>2021</v>
      </c>
      <c r="E329" s="18" t="str">
        <f>IFERROR(VLOOKUP(F329,#REF!,3,FALSE),"")</f>
        <v/>
      </c>
      <c r="F329" s="6" t="s">
        <v>130</v>
      </c>
      <c r="G329" s="6">
        <v>4</v>
      </c>
      <c r="H329" s="7">
        <v>1.7</v>
      </c>
      <c r="I329" s="147"/>
    </row>
    <row r="330" spans="1:9" x14ac:dyDescent="0.2">
      <c r="A330" s="3">
        <f>VLOOKUP(F330,CODIGOSPLACAS!$A$1:$B$38,2,FALSE)</f>
        <v>23</v>
      </c>
      <c r="B330" s="17">
        <v>44378</v>
      </c>
      <c r="C330" s="18">
        <f t="shared" si="36"/>
        <v>7</v>
      </c>
      <c r="D330" s="18">
        <f t="shared" si="37"/>
        <v>2021</v>
      </c>
      <c r="E330" s="18" t="str">
        <f>IFERROR(VLOOKUP(F330,#REF!,3,FALSE),"")</f>
        <v/>
      </c>
      <c r="F330" s="6" t="s">
        <v>23</v>
      </c>
      <c r="G330" s="6">
        <v>4</v>
      </c>
      <c r="H330" s="7">
        <v>1.7</v>
      </c>
      <c r="I330" s="147"/>
    </row>
    <row r="331" spans="1:9" x14ac:dyDescent="0.2">
      <c r="A331" s="3">
        <f>VLOOKUP(F331,CODIGOSPLACAS!$A$1:$B$38,2,FALSE)</f>
        <v>33</v>
      </c>
      <c r="B331" s="17">
        <v>44378</v>
      </c>
      <c r="C331" s="18">
        <f t="shared" si="36"/>
        <v>7</v>
      </c>
      <c r="D331" s="18">
        <f t="shared" si="37"/>
        <v>2021</v>
      </c>
      <c r="E331" s="18" t="str">
        <f>IFERROR(VLOOKUP(F331,#REF!,3,FALSE),"")</f>
        <v/>
      </c>
      <c r="F331" s="6" t="s">
        <v>127</v>
      </c>
      <c r="G331" s="6">
        <v>3</v>
      </c>
      <c r="H331" s="7">
        <v>1.9</v>
      </c>
      <c r="I331" s="147"/>
    </row>
    <row r="332" spans="1:9" x14ac:dyDescent="0.2">
      <c r="A332" s="3">
        <f>VLOOKUP(F332,CODIGOSPLACAS!$A$1:$B$38,2,FALSE)</f>
        <v>34</v>
      </c>
      <c r="B332" s="17">
        <v>44378</v>
      </c>
      <c r="C332" s="18">
        <f t="shared" si="36"/>
        <v>7</v>
      </c>
      <c r="D332" s="18">
        <f t="shared" si="37"/>
        <v>2021</v>
      </c>
      <c r="E332" s="18" t="str">
        <f>IFERROR(VLOOKUP(F332,#REF!,3,FALSE),"")</f>
        <v/>
      </c>
      <c r="F332" s="6" t="s">
        <v>22</v>
      </c>
      <c r="G332" s="6">
        <v>3</v>
      </c>
      <c r="H332" s="7">
        <v>1.9</v>
      </c>
      <c r="I332" s="147"/>
    </row>
    <row r="333" spans="1:9" x14ac:dyDescent="0.2">
      <c r="A333" s="3">
        <f>VLOOKUP(F333,CODIGOSPLACAS!$A$1:$B$38,2,FALSE)</f>
        <v>30</v>
      </c>
      <c r="B333" s="17">
        <v>44378</v>
      </c>
      <c r="C333" s="18">
        <f t="shared" si="36"/>
        <v>7</v>
      </c>
      <c r="D333" s="18">
        <f t="shared" si="37"/>
        <v>2021</v>
      </c>
      <c r="E333" s="18" t="str">
        <f>IFERROR(VLOOKUP(F333,#REF!,3,FALSE),"")</f>
        <v/>
      </c>
      <c r="F333" s="11" t="s">
        <v>25</v>
      </c>
      <c r="G333" s="9">
        <v>4</v>
      </c>
      <c r="H333" s="10">
        <v>1.7</v>
      </c>
      <c r="I333" s="147"/>
    </row>
    <row r="334" spans="1:9" x14ac:dyDescent="0.2">
      <c r="A334" s="3">
        <f>VLOOKUP(F334,CODIGOSPLACAS!$A$1:$B$38,2,FALSE)</f>
        <v>36</v>
      </c>
      <c r="B334" s="17">
        <v>44378</v>
      </c>
      <c r="C334" s="18">
        <f t="shared" si="36"/>
        <v>7</v>
      </c>
      <c r="D334" s="18">
        <f t="shared" si="37"/>
        <v>2021</v>
      </c>
      <c r="E334" s="18" t="str">
        <f>IFERROR(VLOOKUP(F334,#REF!,3,FALSE),"")</f>
        <v/>
      </c>
      <c r="F334" s="11" t="s">
        <v>35</v>
      </c>
      <c r="G334" s="9">
        <v>5</v>
      </c>
      <c r="H334" s="10">
        <v>2.5</v>
      </c>
      <c r="I334" s="147"/>
    </row>
    <row r="335" spans="1:9" x14ac:dyDescent="0.2">
      <c r="A335" s="3">
        <f>VLOOKUP(F335,CODIGOSPLACAS!$A$1:$B$38,2,FALSE)</f>
        <v>8</v>
      </c>
      <c r="B335" s="17">
        <v>44378</v>
      </c>
      <c r="C335" s="18">
        <f t="shared" si="36"/>
        <v>7</v>
      </c>
      <c r="D335" s="18">
        <f t="shared" si="37"/>
        <v>2021</v>
      </c>
      <c r="E335" s="18" t="str">
        <f>IFERROR(VLOOKUP(F335,#REF!,3,FALSE),"")</f>
        <v/>
      </c>
      <c r="F335" s="6" t="s">
        <v>27</v>
      </c>
      <c r="G335" s="6">
        <v>4</v>
      </c>
      <c r="H335" s="7">
        <v>1.7</v>
      </c>
      <c r="I335" s="147"/>
    </row>
    <row r="336" spans="1:9" x14ac:dyDescent="0.2">
      <c r="A336" s="3">
        <f>VLOOKUP(F336,CODIGOSPLACAS!$A$1:$B$38,2,FALSE)</f>
        <v>35</v>
      </c>
      <c r="B336" s="17">
        <v>44378</v>
      </c>
      <c r="C336" s="18">
        <f t="shared" si="36"/>
        <v>7</v>
      </c>
      <c r="D336" s="18">
        <f t="shared" si="37"/>
        <v>2021</v>
      </c>
      <c r="E336" s="18" t="str">
        <f>IFERROR(VLOOKUP(F336,#REF!,3,FALSE),"")</f>
        <v/>
      </c>
      <c r="F336" s="11" t="s">
        <v>34</v>
      </c>
      <c r="G336" s="9">
        <v>5</v>
      </c>
      <c r="H336" s="10">
        <v>2.5</v>
      </c>
      <c r="I336" s="147"/>
    </row>
    <row r="337" spans="1:9" x14ac:dyDescent="0.2">
      <c r="A337" s="3">
        <f>VLOOKUP(F337,CODIGOSPLACAS!$A$1:$B$38,2,FALSE)</f>
        <v>3</v>
      </c>
      <c r="B337" s="17">
        <v>44378</v>
      </c>
      <c r="C337" s="18">
        <f t="shared" si="36"/>
        <v>7</v>
      </c>
      <c r="D337" s="18">
        <f t="shared" si="37"/>
        <v>2021</v>
      </c>
      <c r="E337" s="18" t="str">
        <f>IFERROR(VLOOKUP(F337,#REF!,3,FALSE),"")</f>
        <v/>
      </c>
      <c r="F337" s="6" t="s">
        <v>28</v>
      </c>
      <c r="G337" s="6">
        <v>4</v>
      </c>
      <c r="H337" s="7">
        <v>1.7</v>
      </c>
      <c r="I337" s="147"/>
    </row>
    <row r="338" spans="1:9" x14ac:dyDescent="0.2">
      <c r="A338" s="3">
        <f>VLOOKUP(F338,CODIGOSPLACAS!$A$1:$B$38,2,FALSE)</f>
        <v>11</v>
      </c>
      <c r="B338" s="17">
        <v>44378</v>
      </c>
      <c r="C338" s="18">
        <f t="shared" si="36"/>
        <v>7</v>
      </c>
      <c r="D338" s="18">
        <f t="shared" si="37"/>
        <v>2021</v>
      </c>
      <c r="E338" s="18" t="str">
        <f>IFERROR(VLOOKUP(F338,#REF!,3,FALSE),"")</f>
        <v/>
      </c>
      <c r="F338" s="21" t="s">
        <v>29</v>
      </c>
      <c r="G338" s="19">
        <v>4</v>
      </c>
      <c r="H338" s="20">
        <v>1.7</v>
      </c>
      <c r="I338" s="147"/>
    </row>
    <row r="339" spans="1:9" x14ac:dyDescent="0.2">
      <c r="A339" s="3">
        <f>VLOOKUP(F339,CODIGOSPLACAS!$A$1:$B$38,2,FALSE)</f>
        <v>4</v>
      </c>
      <c r="B339" s="17">
        <v>44378</v>
      </c>
      <c r="C339" s="18">
        <f t="shared" si="36"/>
        <v>7</v>
      </c>
      <c r="D339" s="18">
        <f t="shared" si="37"/>
        <v>2021</v>
      </c>
      <c r="E339" s="18" t="str">
        <f>IFERROR(VLOOKUP(F339,#REF!,3,FALSE),"")</f>
        <v/>
      </c>
      <c r="F339" s="5" t="s">
        <v>30</v>
      </c>
      <c r="G339" s="6">
        <v>4</v>
      </c>
      <c r="H339" s="7">
        <v>1.7</v>
      </c>
      <c r="I339" s="147"/>
    </row>
    <row r="340" spans="1:9" x14ac:dyDescent="0.2">
      <c r="A340" s="3">
        <f>VLOOKUP(F340,CODIGOSPLACAS!$A$1:$B$38,2,FALSE)</f>
        <v>6</v>
      </c>
      <c r="B340" s="17">
        <v>44378</v>
      </c>
      <c r="C340" s="18">
        <f t="shared" si="36"/>
        <v>7</v>
      </c>
      <c r="D340" s="18">
        <f t="shared" si="37"/>
        <v>2021</v>
      </c>
      <c r="E340" s="18" t="str">
        <f>IFERROR(VLOOKUP(F340,#REF!,3,FALSE),"")</f>
        <v/>
      </c>
      <c r="F340" s="5" t="s">
        <v>31</v>
      </c>
      <c r="G340" s="6">
        <v>4</v>
      </c>
      <c r="H340" s="7">
        <v>1.7</v>
      </c>
      <c r="I340" s="147"/>
    </row>
    <row r="341" spans="1:9" x14ac:dyDescent="0.2">
      <c r="A341" s="3">
        <f>VLOOKUP(F341,CODIGOSPLACAS!$A$1:$B$38,2,FALSE)</f>
        <v>5</v>
      </c>
      <c r="B341" s="17">
        <v>44378</v>
      </c>
      <c r="C341" s="18">
        <f t="shared" si="36"/>
        <v>7</v>
      </c>
      <c r="D341" s="18">
        <f t="shared" si="37"/>
        <v>2021</v>
      </c>
      <c r="E341" s="18" t="str">
        <f>IFERROR(VLOOKUP(F341,#REF!,3,FALSE),"")</f>
        <v/>
      </c>
      <c r="F341" s="5" t="s">
        <v>33</v>
      </c>
      <c r="G341" s="6">
        <v>4</v>
      </c>
      <c r="H341" s="7">
        <v>1.7</v>
      </c>
      <c r="I341" s="147"/>
    </row>
    <row r="342" spans="1:9" x14ac:dyDescent="0.2">
      <c r="A342" s="3">
        <f>VLOOKUP(F342,CODIGOSPLACAS!$A$1:$B$38,2,FALSE)</f>
        <v>10</v>
      </c>
      <c r="B342" s="17">
        <v>44378</v>
      </c>
      <c r="C342" s="18">
        <f t="shared" si="36"/>
        <v>7</v>
      </c>
      <c r="D342" s="18">
        <f t="shared" si="37"/>
        <v>2021</v>
      </c>
      <c r="E342" s="18" t="str">
        <f>IFERROR(VLOOKUP(F342,#REF!,3,FALSE),"")</f>
        <v/>
      </c>
      <c r="F342" s="5" t="s">
        <v>32</v>
      </c>
      <c r="G342" s="6">
        <v>4</v>
      </c>
      <c r="H342" s="7">
        <v>1.7</v>
      </c>
      <c r="I342" s="147"/>
    </row>
    <row r="343" spans="1:9" x14ac:dyDescent="0.2">
      <c r="E343" s="18" t="str">
        <f>IFERROR(VLOOKUP(F343,#REF!,3,FALSE),"")</f>
        <v/>
      </c>
      <c r="F343" s="214" t="s">
        <v>39</v>
      </c>
      <c r="G343" s="214"/>
      <c r="H343" s="214"/>
      <c r="I343" s="150"/>
    </row>
    <row r="344" spans="1:9" x14ac:dyDescent="0.2">
      <c r="A344" s="3">
        <f>VLOOKUP(F344,CODIGOSPLACAS!$A$1:$B$38,2,FALSE)</f>
        <v>1</v>
      </c>
      <c r="B344" s="17">
        <v>44409</v>
      </c>
      <c r="C344" s="18">
        <f>MONTH(B344)</f>
        <v>8</v>
      </c>
      <c r="D344" s="18">
        <f>YEAR(B344)</f>
        <v>2021</v>
      </c>
      <c r="E344" s="18" t="str">
        <f>IFERROR(VLOOKUP(F344,#REF!,3,FALSE),"")</f>
        <v/>
      </c>
      <c r="F344" s="6" t="s">
        <v>26</v>
      </c>
      <c r="G344" s="6">
        <v>4</v>
      </c>
      <c r="H344" s="7">
        <v>1.7</v>
      </c>
      <c r="I344" s="147"/>
    </row>
    <row r="345" spans="1:9" x14ac:dyDescent="0.2">
      <c r="A345" s="3">
        <f>VLOOKUP(F345,CODIGOSPLACAS!$A$1:$B$38,2,FALSE)</f>
        <v>2</v>
      </c>
      <c r="B345" s="17">
        <v>44409</v>
      </c>
      <c r="C345" s="18">
        <f t="shared" ref="C345:C361" si="38">MONTH(B345)</f>
        <v>8</v>
      </c>
      <c r="D345" s="18">
        <f t="shared" ref="D345:D361" si="39">YEAR(B345)</f>
        <v>2021</v>
      </c>
      <c r="E345" s="18" t="str">
        <f>IFERROR(VLOOKUP(F345,#REF!,3,FALSE),"")</f>
        <v/>
      </c>
      <c r="F345" s="6" t="s">
        <v>24</v>
      </c>
      <c r="G345" s="6">
        <v>4</v>
      </c>
      <c r="H345" s="7">
        <v>1.7</v>
      </c>
      <c r="I345" s="147"/>
    </row>
    <row r="346" spans="1:9" x14ac:dyDescent="0.2">
      <c r="A346" s="3">
        <f>VLOOKUP(F346,CODIGOSPLACAS!$A$1:$B$38,2,FALSE)</f>
        <v>9</v>
      </c>
      <c r="B346" s="17">
        <v>44409</v>
      </c>
      <c r="C346" s="18">
        <f t="shared" si="38"/>
        <v>8</v>
      </c>
      <c r="D346" s="18">
        <f t="shared" si="39"/>
        <v>2021</v>
      </c>
      <c r="E346" s="18" t="str">
        <f>IFERROR(VLOOKUP(F346,#REF!,3,FALSE),"")</f>
        <v/>
      </c>
      <c r="F346" s="6" t="s">
        <v>126</v>
      </c>
      <c r="G346" s="6">
        <v>4</v>
      </c>
      <c r="H346" s="7">
        <v>1.7</v>
      </c>
      <c r="I346" s="147"/>
    </row>
    <row r="347" spans="1:9" x14ac:dyDescent="0.2">
      <c r="A347" s="3">
        <f>VLOOKUP(F347,CODIGOSPLACAS!$A$1:$B$38,2,FALSE)</f>
        <v>16</v>
      </c>
      <c r="B347" s="17">
        <v>44409</v>
      </c>
      <c r="C347" s="18">
        <f t="shared" si="38"/>
        <v>8</v>
      </c>
      <c r="D347" s="18">
        <f t="shared" si="39"/>
        <v>2021</v>
      </c>
      <c r="E347" s="18" t="str">
        <f>IFERROR(VLOOKUP(F347,#REF!,3,FALSE),"")</f>
        <v/>
      </c>
      <c r="F347" s="6" t="s">
        <v>130</v>
      </c>
      <c r="G347" s="6">
        <v>4</v>
      </c>
      <c r="H347" s="7">
        <v>1.7</v>
      </c>
      <c r="I347" s="147"/>
    </row>
    <row r="348" spans="1:9" x14ac:dyDescent="0.2">
      <c r="A348" s="3">
        <f>VLOOKUP(F348,CODIGOSPLACAS!$A$1:$B$38,2,FALSE)</f>
        <v>23</v>
      </c>
      <c r="B348" s="17">
        <v>44409</v>
      </c>
      <c r="C348" s="18">
        <f t="shared" si="38"/>
        <v>8</v>
      </c>
      <c r="D348" s="18">
        <f t="shared" si="39"/>
        <v>2021</v>
      </c>
      <c r="E348" s="18" t="str">
        <f>IFERROR(VLOOKUP(F348,#REF!,3,FALSE),"")</f>
        <v/>
      </c>
      <c r="F348" s="6" t="s">
        <v>23</v>
      </c>
      <c r="G348" s="6">
        <v>4</v>
      </c>
      <c r="H348" s="7">
        <v>1.7</v>
      </c>
      <c r="I348" s="147"/>
    </row>
    <row r="349" spans="1:9" x14ac:dyDescent="0.2">
      <c r="A349" s="3">
        <f>VLOOKUP(F349,CODIGOSPLACAS!$A$1:$B$38,2,FALSE)</f>
        <v>33</v>
      </c>
      <c r="B349" s="17">
        <v>44409</v>
      </c>
      <c r="C349" s="18">
        <f t="shared" si="38"/>
        <v>8</v>
      </c>
      <c r="D349" s="18">
        <f t="shared" si="39"/>
        <v>2021</v>
      </c>
      <c r="E349" s="18" t="str">
        <f>IFERROR(VLOOKUP(F349,#REF!,3,FALSE),"")</f>
        <v/>
      </c>
      <c r="F349" s="6" t="s">
        <v>127</v>
      </c>
      <c r="G349" s="6">
        <v>3</v>
      </c>
      <c r="H349" s="7">
        <v>1.9</v>
      </c>
      <c r="I349" s="147"/>
    </row>
    <row r="350" spans="1:9" x14ac:dyDescent="0.2">
      <c r="A350" s="3">
        <f>VLOOKUP(F350,CODIGOSPLACAS!$A$1:$B$38,2,FALSE)</f>
        <v>34</v>
      </c>
      <c r="B350" s="17">
        <v>44409</v>
      </c>
      <c r="C350" s="18">
        <f t="shared" si="38"/>
        <v>8</v>
      </c>
      <c r="D350" s="18">
        <f t="shared" si="39"/>
        <v>2021</v>
      </c>
      <c r="E350" s="18" t="str">
        <f>IFERROR(VLOOKUP(F350,#REF!,3,FALSE),"")</f>
        <v/>
      </c>
      <c r="F350" s="6" t="s">
        <v>22</v>
      </c>
      <c r="G350" s="6">
        <v>3</v>
      </c>
      <c r="H350" s="7">
        <v>1.9</v>
      </c>
      <c r="I350" s="147"/>
    </row>
    <row r="351" spans="1:9" x14ac:dyDescent="0.2">
      <c r="A351" s="3">
        <f>VLOOKUP(F351,CODIGOSPLACAS!$A$1:$B$38,2,FALSE)</f>
        <v>30</v>
      </c>
      <c r="B351" s="17">
        <v>44409</v>
      </c>
      <c r="C351" s="18">
        <f t="shared" si="38"/>
        <v>8</v>
      </c>
      <c r="D351" s="18">
        <f t="shared" si="39"/>
        <v>2021</v>
      </c>
      <c r="E351" s="18" t="str">
        <f>IFERROR(VLOOKUP(F351,#REF!,3,FALSE),"")</f>
        <v/>
      </c>
      <c r="F351" s="11" t="s">
        <v>25</v>
      </c>
      <c r="G351" s="9">
        <v>4</v>
      </c>
      <c r="H351" s="10">
        <v>1.7</v>
      </c>
      <c r="I351" s="147"/>
    </row>
    <row r="352" spans="1:9" x14ac:dyDescent="0.2">
      <c r="A352" s="3">
        <f>VLOOKUP(F352,CODIGOSPLACAS!$A$1:$B$38,2,FALSE)</f>
        <v>36</v>
      </c>
      <c r="B352" s="17">
        <v>44409</v>
      </c>
      <c r="C352" s="18">
        <f t="shared" si="38"/>
        <v>8</v>
      </c>
      <c r="D352" s="18">
        <f t="shared" si="39"/>
        <v>2021</v>
      </c>
      <c r="E352" s="18" t="str">
        <f>IFERROR(VLOOKUP(F352,#REF!,3,FALSE),"")</f>
        <v/>
      </c>
      <c r="F352" s="11" t="s">
        <v>35</v>
      </c>
      <c r="G352" s="9">
        <v>5</v>
      </c>
      <c r="H352" s="10">
        <v>2.5</v>
      </c>
      <c r="I352" s="147"/>
    </row>
    <row r="353" spans="1:9" x14ac:dyDescent="0.2">
      <c r="A353" s="3">
        <f>VLOOKUP(F353,CODIGOSPLACAS!$A$1:$B$38,2,FALSE)</f>
        <v>8</v>
      </c>
      <c r="B353" s="17">
        <v>44409</v>
      </c>
      <c r="C353" s="18">
        <f t="shared" si="38"/>
        <v>8</v>
      </c>
      <c r="D353" s="18">
        <f t="shared" si="39"/>
        <v>2021</v>
      </c>
      <c r="E353" s="18" t="str">
        <f>IFERROR(VLOOKUP(F353,#REF!,3,FALSE),"")</f>
        <v/>
      </c>
      <c r="F353" s="6" t="s">
        <v>27</v>
      </c>
      <c r="G353" s="6">
        <v>4</v>
      </c>
      <c r="H353" s="7">
        <v>1.7</v>
      </c>
      <c r="I353" s="147"/>
    </row>
    <row r="354" spans="1:9" x14ac:dyDescent="0.2">
      <c r="A354" s="3">
        <f>VLOOKUP(F354,CODIGOSPLACAS!$A$1:$B$38,2,FALSE)</f>
        <v>35</v>
      </c>
      <c r="B354" s="17">
        <v>44409</v>
      </c>
      <c r="C354" s="18">
        <f t="shared" si="38"/>
        <v>8</v>
      </c>
      <c r="D354" s="18">
        <f t="shared" si="39"/>
        <v>2021</v>
      </c>
      <c r="E354" s="18" t="str">
        <f>IFERROR(VLOOKUP(F354,#REF!,3,FALSE),"")</f>
        <v/>
      </c>
      <c r="F354" s="11" t="s">
        <v>34</v>
      </c>
      <c r="G354" s="9">
        <v>5</v>
      </c>
      <c r="H354" s="10">
        <v>2.5</v>
      </c>
      <c r="I354" s="147"/>
    </row>
    <row r="355" spans="1:9" x14ac:dyDescent="0.2">
      <c r="A355" s="3">
        <f>VLOOKUP(F355,CODIGOSPLACAS!$A$1:$B$38,2,FALSE)</f>
        <v>3</v>
      </c>
      <c r="B355" s="17">
        <v>44409</v>
      </c>
      <c r="C355" s="18">
        <f t="shared" si="38"/>
        <v>8</v>
      </c>
      <c r="D355" s="18">
        <f t="shared" si="39"/>
        <v>2021</v>
      </c>
      <c r="E355" s="18" t="str">
        <f>IFERROR(VLOOKUP(F355,#REF!,3,FALSE),"")</f>
        <v/>
      </c>
      <c r="F355" s="6" t="s">
        <v>28</v>
      </c>
      <c r="G355" s="6">
        <v>4</v>
      </c>
      <c r="H355" s="7">
        <v>1.7</v>
      </c>
      <c r="I355" s="147"/>
    </row>
    <row r="356" spans="1:9" x14ac:dyDescent="0.2">
      <c r="A356" s="3">
        <f>VLOOKUP(F356,CODIGOSPLACAS!$A$1:$B$38,2,FALSE)</f>
        <v>11</v>
      </c>
      <c r="B356" s="17">
        <v>44409</v>
      </c>
      <c r="C356" s="18">
        <f t="shared" si="38"/>
        <v>8</v>
      </c>
      <c r="D356" s="18">
        <f t="shared" si="39"/>
        <v>2021</v>
      </c>
      <c r="E356" s="18" t="str">
        <f>IFERROR(VLOOKUP(F356,#REF!,3,FALSE),"")</f>
        <v/>
      </c>
      <c r="F356" s="21" t="s">
        <v>29</v>
      </c>
      <c r="G356" s="19">
        <v>4</v>
      </c>
      <c r="H356" s="20">
        <v>1.7</v>
      </c>
      <c r="I356" s="147"/>
    </row>
    <row r="357" spans="1:9" x14ac:dyDescent="0.2">
      <c r="A357" s="3">
        <f>VLOOKUP(F357,CODIGOSPLACAS!$A$1:$B$38,2,FALSE)</f>
        <v>4</v>
      </c>
      <c r="B357" s="17">
        <v>44409</v>
      </c>
      <c r="C357" s="18">
        <f t="shared" si="38"/>
        <v>8</v>
      </c>
      <c r="D357" s="18">
        <f t="shared" si="39"/>
        <v>2021</v>
      </c>
      <c r="E357" s="18" t="str">
        <f>IFERROR(VLOOKUP(F357,#REF!,3,FALSE),"")</f>
        <v/>
      </c>
      <c r="F357" s="5" t="s">
        <v>30</v>
      </c>
      <c r="G357" s="6">
        <v>4</v>
      </c>
      <c r="H357" s="7">
        <v>1.7</v>
      </c>
      <c r="I357" s="147"/>
    </row>
    <row r="358" spans="1:9" x14ac:dyDescent="0.2">
      <c r="A358" s="3">
        <f>VLOOKUP(F358,CODIGOSPLACAS!$A$1:$B$38,2,FALSE)</f>
        <v>6</v>
      </c>
      <c r="B358" s="17">
        <v>44409</v>
      </c>
      <c r="C358" s="18">
        <f>MONTH(B358)</f>
        <v>8</v>
      </c>
      <c r="D358" s="18">
        <f>YEAR(B358)</f>
        <v>2021</v>
      </c>
      <c r="E358" s="18" t="str">
        <f>IFERROR(VLOOKUP(F358,#REF!,3,FALSE),"")</f>
        <v/>
      </c>
      <c r="F358" s="5" t="s">
        <v>31</v>
      </c>
      <c r="G358" s="6">
        <v>4</v>
      </c>
      <c r="H358" s="7">
        <v>1.7</v>
      </c>
      <c r="I358" s="147"/>
    </row>
    <row r="359" spans="1:9" x14ac:dyDescent="0.2">
      <c r="A359" s="3">
        <f>VLOOKUP(F359,CODIGOSPLACAS!$A$1:$B$38,2,FALSE)</f>
        <v>5</v>
      </c>
      <c r="B359" s="17">
        <v>44409</v>
      </c>
      <c r="C359" s="18">
        <f>MONTH(B359)</f>
        <v>8</v>
      </c>
      <c r="D359" s="18">
        <f>YEAR(B359)</f>
        <v>2021</v>
      </c>
      <c r="E359" s="18" t="str">
        <f>IFERROR(VLOOKUP(F359,#REF!,3,FALSE),"")</f>
        <v/>
      </c>
      <c r="F359" s="5" t="s">
        <v>33</v>
      </c>
      <c r="G359" s="6">
        <v>4</v>
      </c>
      <c r="H359" s="7">
        <v>1.7</v>
      </c>
      <c r="I359" s="147"/>
    </row>
    <row r="360" spans="1:9" x14ac:dyDescent="0.2">
      <c r="A360" s="3">
        <f>VLOOKUP(F360,CODIGOSPLACAS!$A$1:$B$38,2,FALSE)</f>
        <v>7</v>
      </c>
      <c r="B360" s="17">
        <v>44409</v>
      </c>
      <c r="C360" s="18">
        <f>MONTH(B360)</f>
        <v>8</v>
      </c>
      <c r="D360" s="18">
        <f>YEAR(B360)</f>
        <v>2021</v>
      </c>
      <c r="E360" s="18" t="str">
        <f>IFERROR(VLOOKUP(F360,#REF!,3,FALSE),"")</f>
        <v/>
      </c>
      <c r="F360" s="5" t="s">
        <v>124</v>
      </c>
      <c r="G360" s="6">
        <v>4</v>
      </c>
      <c r="H360" s="7">
        <v>1.7</v>
      </c>
      <c r="I360" s="147"/>
    </row>
    <row r="361" spans="1:9" x14ac:dyDescent="0.2">
      <c r="A361" s="3">
        <f>VLOOKUP(F361,CODIGOSPLACAS!$A$1:$B$38,2,FALSE)</f>
        <v>10</v>
      </c>
      <c r="B361" s="17">
        <v>44409</v>
      </c>
      <c r="C361" s="18">
        <f t="shared" si="38"/>
        <v>8</v>
      </c>
      <c r="D361" s="18">
        <f t="shared" si="39"/>
        <v>2021</v>
      </c>
      <c r="E361" s="18" t="str">
        <f>IFERROR(VLOOKUP(F361,#REF!,3,FALSE),"")</f>
        <v/>
      </c>
      <c r="F361" s="5" t="s">
        <v>32</v>
      </c>
      <c r="G361" s="6">
        <v>4</v>
      </c>
      <c r="H361" s="7">
        <v>1.7</v>
      </c>
      <c r="I361" s="147"/>
    </row>
    <row r="362" spans="1:9" x14ac:dyDescent="0.2">
      <c r="E362" s="18" t="str">
        <f>IFERROR(VLOOKUP(F362,#REF!,3,FALSE),"")</f>
        <v/>
      </c>
      <c r="F362" s="214" t="s">
        <v>39</v>
      </c>
      <c r="G362" s="214"/>
      <c r="H362" s="214"/>
      <c r="I362" s="150"/>
    </row>
    <row r="363" spans="1:9" x14ac:dyDescent="0.2">
      <c r="A363" s="3">
        <f>VLOOKUP(F363,CODIGOSPLACAS!$A$1:$B$38,2,FALSE)</f>
        <v>1</v>
      </c>
      <c r="B363" s="17">
        <v>44440</v>
      </c>
      <c r="C363" s="18">
        <f t="shared" ref="C363:C380" si="40">MONTH(B363)</f>
        <v>9</v>
      </c>
      <c r="D363" s="18">
        <f t="shared" ref="D363:D380" si="41">YEAR(B363)</f>
        <v>2021</v>
      </c>
      <c r="E363" s="18" t="str">
        <f>IFERROR(VLOOKUP(F363,#REF!,3,FALSE),"")</f>
        <v/>
      </c>
      <c r="F363" s="6" t="s">
        <v>26</v>
      </c>
      <c r="G363" s="6">
        <v>4</v>
      </c>
      <c r="H363" s="7">
        <v>1.7</v>
      </c>
      <c r="I363" s="147"/>
    </row>
    <row r="364" spans="1:9" x14ac:dyDescent="0.2">
      <c r="A364" s="3">
        <f>VLOOKUP(F364,CODIGOSPLACAS!$A$1:$B$38,2,FALSE)</f>
        <v>2</v>
      </c>
      <c r="B364" s="17">
        <v>44440</v>
      </c>
      <c r="C364" s="18">
        <f t="shared" si="40"/>
        <v>9</v>
      </c>
      <c r="D364" s="18">
        <f t="shared" si="41"/>
        <v>2021</v>
      </c>
      <c r="E364" s="18" t="str">
        <f>IFERROR(VLOOKUP(F364,#REF!,3,FALSE),"")</f>
        <v/>
      </c>
      <c r="F364" s="6" t="s">
        <v>24</v>
      </c>
      <c r="G364" s="6">
        <v>4</v>
      </c>
      <c r="H364" s="7">
        <v>1.7</v>
      </c>
      <c r="I364" s="147"/>
    </row>
    <row r="365" spans="1:9" x14ac:dyDescent="0.2">
      <c r="A365" s="3">
        <f>VLOOKUP(F365,CODIGOSPLACAS!$A$1:$B$38,2,FALSE)</f>
        <v>3</v>
      </c>
      <c r="B365" s="17">
        <v>44440</v>
      </c>
      <c r="C365" s="18">
        <f t="shared" si="40"/>
        <v>9</v>
      </c>
      <c r="D365" s="18">
        <f t="shared" si="41"/>
        <v>2021</v>
      </c>
      <c r="E365" s="18" t="str">
        <f>IFERROR(VLOOKUP(F365,#REF!,3,FALSE),"")</f>
        <v/>
      </c>
      <c r="F365" s="6" t="s">
        <v>28</v>
      </c>
      <c r="G365" s="6">
        <v>4</v>
      </c>
      <c r="H365" s="7">
        <v>1.7</v>
      </c>
      <c r="I365" s="147"/>
    </row>
    <row r="366" spans="1:9" x14ac:dyDescent="0.2">
      <c r="A366" s="3">
        <f>VLOOKUP(F366,CODIGOSPLACAS!$A$1:$B$38,2,FALSE)</f>
        <v>4</v>
      </c>
      <c r="B366" s="17">
        <v>44440</v>
      </c>
      <c r="C366" s="18">
        <f t="shared" si="40"/>
        <v>9</v>
      </c>
      <c r="D366" s="18">
        <f t="shared" si="41"/>
        <v>2021</v>
      </c>
      <c r="E366" s="18" t="str">
        <f>IFERROR(VLOOKUP(F366,#REF!,3,FALSE),"")</f>
        <v/>
      </c>
      <c r="F366" s="5" t="s">
        <v>30</v>
      </c>
      <c r="G366" s="6">
        <v>4</v>
      </c>
      <c r="H366" s="7">
        <v>1.7</v>
      </c>
      <c r="I366" s="147"/>
    </row>
    <row r="367" spans="1:9" x14ac:dyDescent="0.2">
      <c r="A367" s="3">
        <f>VLOOKUP(F367,CODIGOSPLACAS!$A$1:$B$38,2,FALSE)</f>
        <v>5</v>
      </c>
      <c r="B367" s="17">
        <v>44440</v>
      </c>
      <c r="C367" s="18">
        <f t="shared" si="40"/>
        <v>9</v>
      </c>
      <c r="D367" s="18">
        <f t="shared" si="41"/>
        <v>2021</v>
      </c>
      <c r="E367" s="18" t="str">
        <f>IFERROR(VLOOKUP(F367,#REF!,3,FALSE),"")</f>
        <v/>
      </c>
      <c r="F367" s="5" t="s">
        <v>33</v>
      </c>
      <c r="G367" s="6">
        <v>4</v>
      </c>
      <c r="H367" s="7">
        <v>1.7</v>
      </c>
      <c r="I367" s="147"/>
    </row>
    <row r="368" spans="1:9" x14ac:dyDescent="0.2">
      <c r="A368" s="3">
        <f>VLOOKUP(F368,CODIGOSPLACAS!$A$1:$B$38,2,FALSE)</f>
        <v>6</v>
      </c>
      <c r="B368" s="17">
        <v>44440</v>
      </c>
      <c r="C368" s="18">
        <f t="shared" si="40"/>
        <v>9</v>
      </c>
      <c r="D368" s="18">
        <f t="shared" si="41"/>
        <v>2021</v>
      </c>
      <c r="E368" s="18" t="str">
        <f>IFERROR(VLOOKUP(F368,#REF!,3,FALSE),"")</f>
        <v/>
      </c>
      <c r="F368" s="5" t="s">
        <v>31</v>
      </c>
      <c r="G368" s="6">
        <v>4</v>
      </c>
      <c r="H368" s="7">
        <v>1.7</v>
      </c>
      <c r="I368" s="147"/>
    </row>
    <row r="369" spans="1:9" x14ac:dyDescent="0.2">
      <c r="A369" s="3">
        <f>VLOOKUP(F369,CODIGOSPLACAS!$A$1:$B$38,2,FALSE)</f>
        <v>7</v>
      </c>
      <c r="B369" s="17">
        <v>44440</v>
      </c>
      <c r="C369" s="18">
        <f t="shared" si="40"/>
        <v>9</v>
      </c>
      <c r="D369" s="18">
        <f t="shared" si="41"/>
        <v>2021</v>
      </c>
      <c r="E369" s="18" t="str">
        <f>IFERROR(VLOOKUP(F369,#REF!,3,FALSE),"")</f>
        <v/>
      </c>
      <c r="F369" s="5" t="s">
        <v>124</v>
      </c>
      <c r="G369" s="6">
        <v>4</v>
      </c>
      <c r="H369" s="7">
        <v>1.7</v>
      </c>
      <c r="I369" s="147"/>
    </row>
    <row r="370" spans="1:9" x14ac:dyDescent="0.2">
      <c r="A370" s="3">
        <f>VLOOKUP(F370,CODIGOSPLACAS!$A$1:$B$38,2,FALSE)</f>
        <v>8</v>
      </c>
      <c r="B370" s="17">
        <v>44440</v>
      </c>
      <c r="C370" s="18">
        <f t="shared" si="40"/>
        <v>9</v>
      </c>
      <c r="D370" s="18">
        <f t="shared" si="41"/>
        <v>2021</v>
      </c>
      <c r="E370" s="18" t="str">
        <f>IFERROR(VLOOKUP(F370,#REF!,3,FALSE),"")</f>
        <v/>
      </c>
      <c r="F370" s="6" t="s">
        <v>27</v>
      </c>
      <c r="G370" s="6">
        <v>4</v>
      </c>
      <c r="H370" s="7">
        <v>1.7</v>
      </c>
      <c r="I370" s="147"/>
    </row>
    <row r="371" spans="1:9" x14ac:dyDescent="0.2">
      <c r="A371" s="3">
        <f>VLOOKUP(F371,CODIGOSPLACAS!$A$1:$B$38,2,FALSE)</f>
        <v>9</v>
      </c>
      <c r="B371" s="17">
        <v>44440</v>
      </c>
      <c r="C371" s="18">
        <f t="shared" si="40"/>
        <v>9</v>
      </c>
      <c r="D371" s="18">
        <f t="shared" si="41"/>
        <v>2021</v>
      </c>
      <c r="E371" s="18" t="str">
        <f>IFERROR(VLOOKUP(F371,#REF!,3,FALSE),"")</f>
        <v/>
      </c>
      <c r="F371" s="6" t="s">
        <v>126</v>
      </c>
      <c r="G371" s="6">
        <v>4</v>
      </c>
      <c r="H371" s="7">
        <v>1.7</v>
      </c>
      <c r="I371" s="147"/>
    </row>
    <row r="372" spans="1:9" x14ac:dyDescent="0.2">
      <c r="A372" s="3">
        <f>VLOOKUP(F372,CODIGOSPLACAS!$A$1:$B$38,2,FALSE)</f>
        <v>10</v>
      </c>
      <c r="B372" s="17">
        <v>44440</v>
      </c>
      <c r="C372" s="18">
        <f t="shared" si="40"/>
        <v>9</v>
      </c>
      <c r="D372" s="18">
        <f t="shared" si="41"/>
        <v>2021</v>
      </c>
      <c r="E372" s="18" t="str">
        <f>IFERROR(VLOOKUP(F372,#REF!,3,FALSE),"")</f>
        <v/>
      </c>
      <c r="F372" s="5" t="s">
        <v>32</v>
      </c>
      <c r="G372" s="6">
        <v>4</v>
      </c>
      <c r="H372" s="7">
        <v>1.7</v>
      </c>
      <c r="I372" s="147"/>
    </row>
    <row r="373" spans="1:9" x14ac:dyDescent="0.2">
      <c r="A373" s="3">
        <f>VLOOKUP(F373,CODIGOSPLACAS!$A$1:$B$38,2,FALSE)</f>
        <v>11</v>
      </c>
      <c r="B373" s="17">
        <v>44440</v>
      </c>
      <c r="C373" s="18">
        <f t="shared" si="40"/>
        <v>9</v>
      </c>
      <c r="D373" s="18">
        <f t="shared" si="41"/>
        <v>2021</v>
      </c>
      <c r="E373" s="18" t="str">
        <f>IFERROR(VLOOKUP(F373,#REF!,3,FALSE),"")</f>
        <v/>
      </c>
      <c r="F373" s="5" t="s">
        <v>29</v>
      </c>
      <c r="G373" s="6">
        <v>4</v>
      </c>
      <c r="H373" s="7">
        <v>1.7</v>
      </c>
      <c r="I373" s="147"/>
    </row>
    <row r="374" spans="1:9" x14ac:dyDescent="0.2">
      <c r="A374" s="3">
        <f>VLOOKUP(F374,CODIGOSPLACAS!$A$1:$B$38,2,FALSE)</f>
        <v>16</v>
      </c>
      <c r="B374" s="17">
        <v>44440</v>
      </c>
      <c r="C374" s="18">
        <f t="shared" si="40"/>
        <v>9</v>
      </c>
      <c r="D374" s="18">
        <f t="shared" si="41"/>
        <v>2021</v>
      </c>
      <c r="E374" s="18" t="str">
        <f>IFERROR(VLOOKUP(F374,#REF!,3,FALSE),"")</f>
        <v/>
      </c>
      <c r="F374" s="6" t="s">
        <v>130</v>
      </c>
      <c r="G374" s="6">
        <v>4</v>
      </c>
      <c r="H374" s="7">
        <v>1.7</v>
      </c>
      <c r="I374" s="147"/>
    </row>
    <row r="375" spans="1:9" x14ac:dyDescent="0.2">
      <c r="A375" s="3">
        <f>VLOOKUP(F375,CODIGOSPLACAS!$A$1:$B$38,2,FALSE)</f>
        <v>23</v>
      </c>
      <c r="B375" s="17">
        <v>44440</v>
      </c>
      <c r="C375" s="18">
        <f t="shared" si="40"/>
        <v>9</v>
      </c>
      <c r="D375" s="18">
        <f t="shared" si="41"/>
        <v>2021</v>
      </c>
      <c r="E375" s="18" t="str">
        <f>IFERROR(VLOOKUP(F375,#REF!,3,FALSE),"")</f>
        <v/>
      </c>
      <c r="F375" s="19" t="s">
        <v>23</v>
      </c>
      <c r="G375" s="19">
        <v>4</v>
      </c>
      <c r="H375" s="20">
        <v>1.7</v>
      </c>
      <c r="I375" s="147"/>
    </row>
    <row r="376" spans="1:9" x14ac:dyDescent="0.2">
      <c r="A376" s="3">
        <f>VLOOKUP(F376,CODIGOSPLACAS!$A$1:$B$38,2,FALSE)</f>
        <v>33</v>
      </c>
      <c r="B376" s="17">
        <v>44440</v>
      </c>
      <c r="C376" s="18">
        <f t="shared" si="40"/>
        <v>9</v>
      </c>
      <c r="D376" s="18">
        <f t="shared" si="41"/>
        <v>2021</v>
      </c>
      <c r="E376" s="18" t="str">
        <f>IFERROR(VLOOKUP(F376,#REF!,3,FALSE),"")</f>
        <v/>
      </c>
      <c r="F376" s="6" t="s">
        <v>127</v>
      </c>
      <c r="G376" s="6">
        <v>3</v>
      </c>
      <c r="H376" s="7">
        <v>1.9</v>
      </c>
      <c r="I376" s="147"/>
    </row>
    <row r="377" spans="1:9" x14ac:dyDescent="0.2">
      <c r="A377" s="3">
        <f>VLOOKUP(F377,CODIGOSPLACAS!$A$1:$B$38,2,FALSE)</f>
        <v>34</v>
      </c>
      <c r="B377" s="17">
        <v>44440</v>
      </c>
      <c r="C377" s="18">
        <f t="shared" si="40"/>
        <v>9</v>
      </c>
      <c r="D377" s="18">
        <f t="shared" si="41"/>
        <v>2021</v>
      </c>
      <c r="E377" s="18" t="str">
        <f>IFERROR(VLOOKUP(F377,#REF!,3,FALSE),"")</f>
        <v/>
      </c>
      <c r="F377" s="6" t="s">
        <v>22</v>
      </c>
      <c r="G377" s="6">
        <v>3</v>
      </c>
      <c r="H377" s="7">
        <v>1.9</v>
      </c>
      <c r="I377" s="147"/>
    </row>
    <row r="378" spans="1:9" x14ac:dyDescent="0.2">
      <c r="A378" s="3">
        <f>VLOOKUP(F378,CODIGOSPLACAS!$A$1:$B$38,2,FALSE)</f>
        <v>30</v>
      </c>
      <c r="B378" s="17">
        <v>44440</v>
      </c>
      <c r="C378" s="18">
        <f t="shared" si="40"/>
        <v>9</v>
      </c>
      <c r="D378" s="18">
        <f t="shared" si="41"/>
        <v>2021</v>
      </c>
      <c r="E378" s="18" t="str">
        <f>IFERROR(VLOOKUP(F378,#REF!,3,FALSE),"")</f>
        <v/>
      </c>
      <c r="F378" s="11" t="s">
        <v>25</v>
      </c>
      <c r="G378" s="9">
        <v>4</v>
      </c>
      <c r="H378" s="10">
        <v>1.7</v>
      </c>
      <c r="I378" s="147"/>
    </row>
    <row r="379" spans="1:9" x14ac:dyDescent="0.2">
      <c r="A379" s="3">
        <f>VLOOKUP(F379,CODIGOSPLACAS!$A$1:$B$38,2,FALSE)</f>
        <v>36</v>
      </c>
      <c r="B379" s="17">
        <v>44440</v>
      </c>
      <c r="C379" s="18">
        <f t="shared" si="40"/>
        <v>9</v>
      </c>
      <c r="D379" s="18">
        <f t="shared" si="41"/>
        <v>2021</v>
      </c>
      <c r="E379" s="18" t="str">
        <f>IFERROR(VLOOKUP(F379,#REF!,3,FALSE),"")</f>
        <v/>
      </c>
      <c r="F379" s="11" t="s">
        <v>35</v>
      </c>
      <c r="G379" s="9">
        <v>5</v>
      </c>
      <c r="H379" s="10">
        <v>2.5</v>
      </c>
      <c r="I379" s="147"/>
    </row>
    <row r="380" spans="1:9" x14ac:dyDescent="0.2">
      <c r="A380" s="3">
        <f>VLOOKUP(F380,CODIGOSPLACAS!$A$1:$B$38,2,FALSE)</f>
        <v>35</v>
      </c>
      <c r="B380" s="17">
        <v>44440</v>
      </c>
      <c r="C380" s="18">
        <f t="shared" si="40"/>
        <v>9</v>
      </c>
      <c r="D380" s="18">
        <f t="shared" si="41"/>
        <v>2021</v>
      </c>
      <c r="E380" s="18" t="str">
        <f>IFERROR(VLOOKUP(F380,#REF!,3,FALSE),"")</f>
        <v/>
      </c>
      <c r="F380" s="11" t="s">
        <v>34</v>
      </c>
      <c r="G380" s="9">
        <v>5</v>
      </c>
      <c r="H380" s="10">
        <v>2.5</v>
      </c>
      <c r="I380" s="147"/>
    </row>
    <row r="381" spans="1:9" x14ac:dyDescent="0.2">
      <c r="E381" s="18" t="str">
        <f>IFERROR(VLOOKUP(F381,#REF!,3,FALSE),"")</f>
        <v/>
      </c>
      <c r="F381" s="214" t="s">
        <v>39</v>
      </c>
      <c r="G381" s="214"/>
      <c r="H381" s="214"/>
      <c r="I381" s="150"/>
    </row>
    <row r="382" spans="1:9" x14ac:dyDescent="0.2">
      <c r="A382" s="3">
        <f>VLOOKUP(F382,CODIGOSPLACAS!$A$1:$B$38,2,FALSE)</f>
        <v>1</v>
      </c>
      <c r="B382" s="17">
        <v>44470</v>
      </c>
      <c r="C382" s="18">
        <f t="shared" ref="C382:C399" si="42">MONTH(B382)</f>
        <v>10</v>
      </c>
      <c r="D382" s="18">
        <f t="shared" ref="D382:D399" si="43">YEAR(B382)</f>
        <v>2021</v>
      </c>
      <c r="E382" s="18" t="str">
        <f>IFERROR(VLOOKUP(F382,#REF!,3,FALSE),"")</f>
        <v/>
      </c>
      <c r="F382" s="6" t="s">
        <v>26</v>
      </c>
      <c r="G382" s="6">
        <v>4</v>
      </c>
      <c r="H382" s="7">
        <v>1.7</v>
      </c>
      <c r="I382" s="147"/>
    </row>
    <row r="383" spans="1:9" x14ac:dyDescent="0.2">
      <c r="A383" s="3">
        <f>VLOOKUP(F383,CODIGOSPLACAS!$A$1:$B$38,2,FALSE)</f>
        <v>2</v>
      </c>
      <c r="B383" s="17">
        <v>44470</v>
      </c>
      <c r="C383" s="18">
        <f t="shared" si="42"/>
        <v>10</v>
      </c>
      <c r="D383" s="18">
        <f t="shared" si="43"/>
        <v>2021</v>
      </c>
      <c r="E383" s="18" t="str">
        <f>IFERROR(VLOOKUP(F383,#REF!,3,FALSE),"")</f>
        <v/>
      </c>
      <c r="F383" s="6" t="s">
        <v>24</v>
      </c>
      <c r="G383" s="6">
        <v>4</v>
      </c>
      <c r="H383" s="7">
        <v>1.7</v>
      </c>
      <c r="I383" s="147"/>
    </row>
    <row r="384" spans="1:9" x14ac:dyDescent="0.2">
      <c r="A384" s="3">
        <f>VLOOKUP(F384,CODIGOSPLACAS!$A$1:$B$38,2,FALSE)</f>
        <v>3</v>
      </c>
      <c r="B384" s="17">
        <v>44470</v>
      </c>
      <c r="C384" s="18">
        <f t="shared" si="42"/>
        <v>10</v>
      </c>
      <c r="D384" s="18">
        <f t="shared" si="43"/>
        <v>2021</v>
      </c>
      <c r="E384" s="18" t="str">
        <f>IFERROR(VLOOKUP(F384,#REF!,3,FALSE),"")</f>
        <v/>
      </c>
      <c r="F384" s="6" t="s">
        <v>28</v>
      </c>
      <c r="G384" s="6">
        <v>4</v>
      </c>
      <c r="H384" s="7">
        <v>1.7</v>
      </c>
      <c r="I384" s="147"/>
    </row>
    <row r="385" spans="1:9" x14ac:dyDescent="0.2">
      <c r="A385" s="3">
        <f>VLOOKUP(F385,CODIGOSPLACAS!$A$1:$B$38,2,FALSE)</f>
        <v>4</v>
      </c>
      <c r="B385" s="17">
        <v>44470</v>
      </c>
      <c r="C385" s="18">
        <f t="shared" si="42"/>
        <v>10</v>
      </c>
      <c r="D385" s="18">
        <f t="shared" si="43"/>
        <v>2021</v>
      </c>
      <c r="E385" s="18" t="str">
        <f>IFERROR(VLOOKUP(F385,#REF!,3,FALSE),"")</f>
        <v/>
      </c>
      <c r="F385" s="5" t="s">
        <v>30</v>
      </c>
      <c r="G385" s="6">
        <v>4</v>
      </c>
      <c r="H385" s="7">
        <v>1.7</v>
      </c>
      <c r="I385" s="147"/>
    </row>
    <row r="386" spans="1:9" x14ac:dyDescent="0.2">
      <c r="A386" s="3">
        <f>VLOOKUP(F386,CODIGOSPLACAS!$A$1:$B$38,2,FALSE)</f>
        <v>5</v>
      </c>
      <c r="B386" s="17">
        <v>44470</v>
      </c>
      <c r="C386" s="18">
        <f t="shared" si="42"/>
        <v>10</v>
      </c>
      <c r="D386" s="18">
        <f t="shared" si="43"/>
        <v>2021</v>
      </c>
      <c r="E386" s="18" t="str">
        <f>IFERROR(VLOOKUP(F386,#REF!,3,FALSE),"")</f>
        <v/>
      </c>
      <c r="F386" s="5" t="s">
        <v>33</v>
      </c>
      <c r="G386" s="6">
        <v>4</v>
      </c>
      <c r="H386" s="7">
        <v>1.7</v>
      </c>
      <c r="I386" s="147"/>
    </row>
    <row r="387" spans="1:9" x14ac:dyDescent="0.2">
      <c r="A387" s="3">
        <f>VLOOKUP(F387,CODIGOSPLACAS!$A$1:$B$38,2,FALSE)</f>
        <v>6</v>
      </c>
      <c r="B387" s="17">
        <v>44470</v>
      </c>
      <c r="C387" s="18">
        <f t="shared" si="42"/>
        <v>10</v>
      </c>
      <c r="D387" s="18">
        <f t="shared" si="43"/>
        <v>2021</v>
      </c>
      <c r="E387" s="18" t="str">
        <f>IFERROR(VLOOKUP(F387,#REF!,3,FALSE),"")</f>
        <v/>
      </c>
      <c r="F387" s="5" t="s">
        <v>31</v>
      </c>
      <c r="G387" s="6">
        <v>4</v>
      </c>
      <c r="H387" s="7">
        <v>1.7</v>
      </c>
      <c r="I387" s="147"/>
    </row>
    <row r="388" spans="1:9" x14ac:dyDescent="0.2">
      <c r="A388" s="3">
        <f>VLOOKUP(F388,CODIGOSPLACAS!$A$1:$B$38,2,FALSE)</f>
        <v>7</v>
      </c>
      <c r="B388" s="17">
        <v>44470</v>
      </c>
      <c r="C388" s="18">
        <f t="shared" si="42"/>
        <v>10</v>
      </c>
      <c r="D388" s="18">
        <f t="shared" si="43"/>
        <v>2021</v>
      </c>
      <c r="E388" s="18" t="str">
        <f>IFERROR(VLOOKUP(F388,#REF!,3,FALSE),"")</f>
        <v/>
      </c>
      <c r="F388" s="5" t="s">
        <v>124</v>
      </c>
      <c r="G388" s="6">
        <v>4</v>
      </c>
      <c r="H388" s="7">
        <v>1.7</v>
      </c>
      <c r="I388" s="147"/>
    </row>
    <row r="389" spans="1:9" x14ac:dyDescent="0.2">
      <c r="A389" s="3">
        <f>VLOOKUP(F389,CODIGOSPLACAS!$A$1:$B$38,2,FALSE)</f>
        <v>8</v>
      </c>
      <c r="B389" s="17">
        <v>44470</v>
      </c>
      <c r="C389" s="18">
        <f t="shared" si="42"/>
        <v>10</v>
      </c>
      <c r="D389" s="18">
        <f t="shared" si="43"/>
        <v>2021</v>
      </c>
      <c r="E389" s="18" t="str">
        <f>IFERROR(VLOOKUP(F389,#REF!,3,FALSE),"")</f>
        <v/>
      </c>
      <c r="F389" s="6" t="s">
        <v>27</v>
      </c>
      <c r="G389" s="6">
        <v>4</v>
      </c>
      <c r="H389" s="7">
        <v>1.7</v>
      </c>
      <c r="I389" s="147"/>
    </row>
    <row r="390" spans="1:9" x14ac:dyDescent="0.2">
      <c r="A390" s="3">
        <f>VLOOKUP(F390,CODIGOSPLACAS!$A$1:$B$38,2,FALSE)</f>
        <v>9</v>
      </c>
      <c r="B390" s="17">
        <v>44470</v>
      </c>
      <c r="C390" s="18">
        <f t="shared" si="42"/>
        <v>10</v>
      </c>
      <c r="D390" s="18">
        <f t="shared" si="43"/>
        <v>2021</v>
      </c>
      <c r="E390" s="18" t="str">
        <f>IFERROR(VLOOKUP(F390,#REF!,3,FALSE),"")</f>
        <v/>
      </c>
      <c r="F390" s="6" t="s">
        <v>126</v>
      </c>
      <c r="G390" s="6">
        <v>4</v>
      </c>
      <c r="H390" s="7">
        <v>1.7</v>
      </c>
      <c r="I390" s="147"/>
    </row>
    <row r="391" spans="1:9" x14ac:dyDescent="0.2">
      <c r="A391" s="3">
        <f>VLOOKUP(F391,CODIGOSPLACAS!$A$1:$B$38,2,FALSE)</f>
        <v>10</v>
      </c>
      <c r="B391" s="17">
        <v>44470</v>
      </c>
      <c r="C391" s="18">
        <f t="shared" si="42"/>
        <v>10</v>
      </c>
      <c r="D391" s="18">
        <f t="shared" si="43"/>
        <v>2021</v>
      </c>
      <c r="E391" s="18" t="str">
        <f>IFERROR(VLOOKUP(F391,#REF!,3,FALSE),"")</f>
        <v/>
      </c>
      <c r="F391" s="5" t="s">
        <v>32</v>
      </c>
      <c r="G391" s="6">
        <v>4</v>
      </c>
      <c r="H391" s="7">
        <v>1.7</v>
      </c>
      <c r="I391" s="147"/>
    </row>
    <row r="392" spans="1:9" x14ac:dyDescent="0.2">
      <c r="A392" s="3">
        <f>VLOOKUP(F392,CODIGOSPLACAS!$A$1:$B$38,2,FALSE)</f>
        <v>11</v>
      </c>
      <c r="B392" s="17">
        <v>44470</v>
      </c>
      <c r="C392" s="18">
        <f t="shared" si="42"/>
        <v>10</v>
      </c>
      <c r="D392" s="18">
        <f t="shared" si="43"/>
        <v>2021</v>
      </c>
      <c r="E392" s="18" t="str">
        <f>IFERROR(VLOOKUP(F392,#REF!,3,FALSE),"")</f>
        <v/>
      </c>
      <c r="F392" s="5" t="s">
        <v>29</v>
      </c>
      <c r="G392" s="6">
        <v>4</v>
      </c>
      <c r="H392" s="7">
        <v>1.7</v>
      </c>
      <c r="I392" s="147"/>
    </row>
    <row r="393" spans="1:9" x14ac:dyDescent="0.2">
      <c r="A393" s="3">
        <f>VLOOKUP(F393,CODIGOSPLACAS!$A$1:$B$38,2,FALSE)</f>
        <v>16</v>
      </c>
      <c r="B393" s="17">
        <v>44470</v>
      </c>
      <c r="C393" s="18">
        <f t="shared" si="42"/>
        <v>10</v>
      </c>
      <c r="D393" s="18">
        <f t="shared" si="43"/>
        <v>2021</v>
      </c>
      <c r="E393" s="18" t="str">
        <f>IFERROR(VLOOKUP(F393,#REF!,3,FALSE),"")</f>
        <v/>
      </c>
      <c r="F393" s="6" t="s">
        <v>130</v>
      </c>
      <c r="G393" s="6">
        <v>4</v>
      </c>
      <c r="H393" s="7">
        <v>1.7</v>
      </c>
      <c r="I393" s="147"/>
    </row>
    <row r="394" spans="1:9" x14ac:dyDescent="0.2">
      <c r="A394" s="3">
        <f>VLOOKUP(F394,CODIGOSPLACAS!$A$1:$B$38,2,FALSE)</f>
        <v>23</v>
      </c>
      <c r="B394" s="17">
        <v>44470</v>
      </c>
      <c r="C394" s="18">
        <f t="shared" si="42"/>
        <v>10</v>
      </c>
      <c r="D394" s="18">
        <f t="shared" si="43"/>
        <v>2021</v>
      </c>
      <c r="E394" s="18" t="str">
        <f>IFERROR(VLOOKUP(F394,#REF!,3,FALSE),"")</f>
        <v/>
      </c>
      <c r="F394" s="19" t="s">
        <v>23</v>
      </c>
      <c r="G394" s="19">
        <v>4</v>
      </c>
      <c r="H394" s="20">
        <v>1.7</v>
      </c>
      <c r="I394" s="147"/>
    </row>
    <row r="395" spans="1:9" x14ac:dyDescent="0.2">
      <c r="A395" s="3">
        <f>VLOOKUP(F395,CODIGOSPLACAS!$A$1:$B$38,2,FALSE)</f>
        <v>33</v>
      </c>
      <c r="B395" s="17">
        <v>44470</v>
      </c>
      <c r="C395" s="18">
        <f t="shared" si="42"/>
        <v>10</v>
      </c>
      <c r="D395" s="18">
        <f t="shared" si="43"/>
        <v>2021</v>
      </c>
      <c r="E395" s="18" t="str">
        <f>IFERROR(VLOOKUP(F395,#REF!,3,FALSE),"")</f>
        <v/>
      </c>
      <c r="F395" s="6" t="s">
        <v>127</v>
      </c>
      <c r="G395" s="6">
        <v>3</v>
      </c>
      <c r="H395" s="7">
        <v>1.9</v>
      </c>
      <c r="I395" s="147"/>
    </row>
    <row r="396" spans="1:9" x14ac:dyDescent="0.2">
      <c r="A396" s="3">
        <f>VLOOKUP(F396,CODIGOSPLACAS!$A$1:$B$38,2,FALSE)</f>
        <v>34</v>
      </c>
      <c r="B396" s="17">
        <v>44470</v>
      </c>
      <c r="C396" s="18">
        <f t="shared" si="42"/>
        <v>10</v>
      </c>
      <c r="D396" s="18">
        <f t="shared" si="43"/>
        <v>2021</v>
      </c>
      <c r="E396" s="18" t="str">
        <f>IFERROR(VLOOKUP(F396,#REF!,3,FALSE),"")</f>
        <v/>
      </c>
      <c r="F396" s="6" t="s">
        <v>22</v>
      </c>
      <c r="G396" s="6">
        <v>3</v>
      </c>
      <c r="H396" s="7">
        <v>1.9</v>
      </c>
      <c r="I396" s="147"/>
    </row>
    <row r="397" spans="1:9" x14ac:dyDescent="0.2">
      <c r="A397" s="3">
        <f>VLOOKUP(F397,CODIGOSPLACAS!$A$1:$B$38,2,FALSE)</f>
        <v>30</v>
      </c>
      <c r="B397" s="17">
        <v>44470</v>
      </c>
      <c r="C397" s="18">
        <f t="shared" si="42"/>
        <v>10</v>
      </c>
      <c r="D397" s="18">
        <f t="shared" si="43"/>
        <v>2021</v>
      </c>
      <c r="E397" s="18" t="str">
        <f>IFERROR(VLOOKUP(F397,#REF!,3,FALSE),"")</f>
        <v/>
      </c>
      <c r="F397" s="11" t="s">
        <v>25</v>
      </c>
      <c r="G397" s="9">
        <v>4</v>
      </c>
      <c r="H397" s="10">
        <v>1.7</v>
      </c>
      <c r="I397" s="147"/>
    </row>
    <row r="398" spans="1:9" x14ac:dyDescent="0.2">
      <c r="A398" s="3">
        <f>VLOOKUP(F398,CODIGOSPLACAS!$A$1:$B$38,2,FALSE)</f>
        <v>36</v>
      </c>
      <c r="B398" s="17">
        <v>44470</v>
      </c>
      <c r="C398" s="18">
        <f t="shared" si="42"/>
        <v>10</v>
      </c>
      <c r="D398" s="18">
        <f t="shared" si="43"/>
        <v>2021</v>
      </c>
      <c r="E398" s="18" t="str">
        <f>IFERROR(VLOOKUP(F398,#REF!,3,FALSE),"")</f>
        <v/>
      </c>
      <c r="F398" s="11" t="s">
        <v>35</v>
      </c>
      <c r="G398" s="9">
        <v>5</v>
      </c>
      <c r="H398" s="10">
        <v>2.5</v>
      </c>
      <c r="I398" s="147"/>
    </row>
    <row r="399" spans="1:9" x14ac:dyDescent="0.2">
      <c r="A399" s="3">
        <f>VLOOKUP(F399,CODIGOSPLACAS!$A$1:$B$38,2,FALSE)</f>
        <v>35</v>
      </c>
      <c r="B399" s="17">
        <v>44470</v>
      </c>
      <c r="C399" s="18">
        <f t="shared" si="42"/>
        <v>10</v>
      </c>
      <c r="D399" s="18">
        <f t="shared" si="43"/>
        <v>2021</v>
      </c>
      <c r="E399" s="18" t="str">
        <f>IFERROR(VLOOKUP(F399,#REF!,3,FALSE),"")</f>
        <v/>
      </c>
      <c r="F399" s="11" t="s">
        <v>34</v>
      </c>
      <c r="G399" s="9">
        <v>5</v>
      </c>
      <c r="H399" s="10">
        <v>2.5</v>
      </c>
      <c r="I399" s="147"/>
    </row>
    <row r="400" spans="1:9" x14ac:dyDescent="0.2">
      <c r="E400" s="18" t="str">
        <f>IFERROR(VLOOKUP(F400,#REF!,3,FALSE),"")</f>
        <v/>
      </c>
      <c r="F400" s="214" t="s">
        <v>39</v>
      </c>
      <c r="G400" s="214"/>
      <c r="H400" s="214"/>
      <c r="I400" s="150"/>
    </row>
    <row r="401" spans="1:9" x14ac:dyDescent="0.2">
      <c r="A401" s="3">
        <f>VLOOKUP(F401,CODIGOSPLACAS!$A$1:$B$38,2,FALSE)</f>
        <v>1</v>
      </c>
      <c r="B401" s="17">
        <v>44501</v>
      </c>
      <c r="C401" s="18">
        <f t="shared" ref="C401:C418" si="44">MONTH(B401)</f>
        <v>11</v>
      </c>
      <c r="D401" s="18">
        <f t="shared" ref="D401:D418" si="45">YEAR(B401)</f>
        <v>2021</v>
      </c>
      <c r="E401" s="18" t="str">
        <f>IFERROR(VLOOKUP(F401,#REF!,3,FALSE),"")</f>
        <v/>
      </c>
      <c r="F401" s="6" t="s">
        <v>26</v>
      </c>
      <c r="G401" s="6">
        <v>4</v>
      </c>
      <c r="H401" s="7">
        <v>1.7</v>
      </c>
      <c r="I401" s="147"/>
    </row>
    <row r="402" spans="1:9" x14ac:dyDescent="0.2">
      <c r="A402" s="3">
        <f>VLOOKUP(F402,CODIGOSPLACAS!$A$1:$B$38,2,FALSE)</f>
        <v>2</v>
      </c>
      <c r="B402" s="17">
        <v>44501</v>
      </c>
      <c r="C402" s="18">
        <f t="shared" si="44"/>
        <v>11</v>
      </c>
      <c r="D402" s="18">
        <f t="shared" si="45"/>
        <v>2021</v>
      </c>
      <c r="E402" s="18" t="str">
        <f>IFERROR(VLOOKUP(F402,#REF!,3,FALSE),"")</f>
        <v/>
      </c>
      <c r="F402" s="6" t="s">
        <v>24</v>
      </c>
      <c r="G402" s="6">
        <v>4</v>
      </c>
      <c r="H402" s="7">
        <v>1.7</v>
      </c>
      <c r="I402" s="147"/>
    </row>
    <row r="403" spans="1:9" x14ac:dyDescent="0.2">
      <c r="A403" s="3">
        <f>VLOOKUP(F403,CODIGOSPLACAS!$A$1:$B$38,2,FALSE)</f>
        <v>3</v>
      </c>
      <c r="B403" s="17">
        <v>44501</v>
      </c>
      <c r="C403" s="18">
        <f t="shared" si="44"/>
        <v>11</v>
      </c>
      <c r="D403" s="18">
        <f t="shared" si="45"/>
        <v>2021</v>
      </c>
      <c r="E403" s="18" t="str">
        <f>IFERROR(VLOOKUP(F403,#REF!,3,FALSE),"")</f>
        <v/>
      </c>
      <c r="F403" s="6" t="s">
        <v>28</v>
      </c>
      <c r="G403" s="6">
        <v>4</v>
      </c>
      <c r="H403" s="7">
        <v>1.7</v>
      </c>
      <c r="I403" s="147"/>
    </row>
    <row r="404" spans="1:9" x14ac:dyDescent="0.2">
      <c r="A404" s="3">
        <f>VLOOKUP(F404,CODIGOSPLACAS!$A$1:$B$38,2,FALSE)</f>
        <v>4</v>
      </c>
      <c r="B404" s="17">
        <v>44501</v>
      </c>
      <c r="C404" s="18">
        <f t="shared" si="44"/>
        <v>11</v>
      </c>
      <c r="D404" s="18">
        <f t="shared" si="45"/>
        <v>2021</v>
      </c>
      <c r="E404" s="18" t="str">
        <f>IFERROR(VLOOKUP(F404,#REF!,3,FALSE),"")</f>
        <v/>
      </c>
      <c r="F404" s="5" t="s">
        <v>30</v>
      </c>
      <c r="G404" s="6">
        <v>4</v>
      </c>
      <c r="H404" s="7">
        <v>1.7</v>
      </c>
      <c r="I404" s="147"/>
    </row>
    <row r="405" spans="1:9" x14ac:dyDescent="0.2">
      <c r="A405" s="3">
        <f>VLOOKUP(F405,CODIGOSPLACAS!$A$1:$B$38,2,FALSE)</f>
        <v>5</v>
      </c>
      <c r="B405" s="17">
        <v>44501</v>
      </c>
      <c r="C405" s="18">
        <f t="shared" si="44"/>
        <v>11</v>
      </c>
      <c r="D405" s="18">
        <f t="shared" si="45"/>
        <v>2021</v>
      </c>
      <c r="E405" s="18" t="str">
        <f>IFERROR(VLOOKUP(F405,#REF!,3,FALSE),"")</f>
        <v/>
      </c>
      <c r="F405" s="5" t="s">
        <v>33</v>
      </c>
      <c r="G405" s="6">
        <v>4</v>
      </c>
      <c r="H405" s="7">
        <v>1.7</v>
      </c>
      <c r="I405" s="147"/>
    </row>
    <row r="406" spans="1:9" x14ac:dyDescent="0.2">
      <c r="A406" s="3">
        <f>VLOOKUP(F406,CODIGOSPLACAS!$A$1:$B$38,2,FALSE)</f>
        <v>6</v>
      </c>
      <c r="B406" s="17">
        <v>44501</v>
      </c>
      <c r="C406" s="18">
        <f t="shared" si="44"/>
        <v>11</v>
      </c>
      <c r="D406" s="18">
        <f t="shared" si="45"/>
        <v>2021</v>
      </c>
      <c r="E406" s="18" t="str">
        <f>IFERROR(VLOOKUP(F406,#REF!,3,FALSE),"")</f>
        <v/>
      </c>
      <c r="F406" s="5" t="s">
        <v>31</v>
      </c>
      <c r="G406" s="6">
        <v>4</v>
      </c>
      <c r="H406" s="7">
        <v>1.7</v>
      </c>
      <c r="I406" s="147"/>
    </row>
    <row r="407" spans="1:9" x14ac:dyDescent="0.2">
      <c r="A407" s="3">
        <f>VLOOKUP(F407,CODIGOSPLACAS!$A$1:$B$38,2,FALSE)</f>
        <v>7</v>
      </c>
      <c r="B407" s="17">
        <v>44501</v>
      </c>
      <c r="C407" s="18">
        <f t="shared" si="44"/>
        <v>11</v>
      </c>
      <c r="D407" s="18">
        <f t="shared" si="45"/>
        <v>2021</v>
      </c>
      <c r="E407" s="18" t="str">
        <f>IFERROR(VLOOKUP(F407,#REF!,3,FALSE),"")</f>
        <v/>
      </c>
      <c r="F407" s="5" t="s">
        <v>124</v>
      </c>
      <c r="G407" s="6">
        <v>4</v>
      </c>
      <c r="H407" s="7">
        <v>1.7</v>
      </c>
      <c r="I407" s="147"/>
    </row>
    <row r="408" spans="1:9" x14ac:dyDescent="0.2">
      <c r="A408" s="3">
        <f>VLOOKUP(F408,CODIGOSPLACAS!$A$1:$B$38,2,FALSE)</f>
        <v>8</v>
      </c>
      <c r="B408" s="17">
        <v>44501</v>
      </c>
      <c r="C408" s="18">
        <f t="shared" si="44"/>
        <v>11</v>
      </c>
      <c r="D408" s="18">
        <f t="shared" si="45"/>
        <v>2021</v>
      </c>
      <c r="E408" s="18" t="str">
        <f>IFERROR(VLOOKUP(F408,#REF!,3,FALSE),"")</f>
        <v/>
      </c>
      <c r="F408" s="6" t="s">
        <v>27</v>
      </c>
      <c r="G408" s="6">
        <v>4</v>
      </c>
      <c r="H408" s="7">
        <v>1.7</v>
      </c>
      <c r="I408" s="147"/>
    </row>
    <row r="409" spans="1:9" x14ac:dyDescent="0.2">
      <c r="A409" s="3">
        <f>VLOOKUP(F409,CODIGOSPLACAS!$A$1:$B$38,2,FALSE)</f>
        <v>9</v>
      </c>
      <c r="B409" s="17">
        <v>44501</v>
      </c>
      <c r="C409" s="18">
        <f t="shared" si="44"/>
        <v>11</v>
      </c>
      <c r="D409" s="18">
        <f t="shared" si="45"/>
        <v>2021</v>
      </c>
      <c r="E409" s="18" t="str">
        <f>IFERROR(VLOOKUP(F409,#REF!,3,FALSE),"")</f>
        <v/>
      </c>
      <c r="F409" s="6" t="s">
        <v>126</v>
      </c>
      <c r="G409" s="6">
        <v>4</v>
      </c>
      <c r="H409" s="7">
        <v>1.7</v>
      </c>
      <c r="I409" s="147"/>
    </row>
    <row r="410" spans="1:9" x14ac:dyDescent="0.2">
      <c r="A410" s="3">
        <f>VLOOKUP(F410,CODIGOSPLACAS!$A$1:$B$38,2,FALSE)</f>
        <v>10</v>
      </c>
      <c r="B410" s="17">
        <v>44501</v>
      </c>
      <c r="C410" s="18">
        <f t="shared" si="44"/>
        <v>11</v>
      </c>
      <c r="D410" s="18">
        <f t="shared" si="45"/>
        <v>2021</v>
      </c>
      <c r="E410" s="18" t="str">
        <f>IFERROR(VLOOKUP(F410,#REF!,3,FALSE),"")</f>
        <v/>
      </c>
      <c r="F410" s="5" t="s">
        <v>32</v>
      </c>
      <c r="G410" s="6">
        <v>4</v>
      </c>
      <c r="H410" s="7">
        <v>1.7</v>
      </c>
      <c r="I410" s="147"/>
    </row>
    <row r="411" spans="1:9" x14ac:dyDescent="0.2">
      <c r="A411" s="3">
        <f>VLOOKUP(F411,CODIGOSPLACAS!$A$1:$B$38,2,FALSE)</f>
        <v>11</v>
      </c>
      <c r="B411" s="17">
        <v>44501</v>
      </c>
      <c r="C411" s="18">
        <f t="shared" si="44"/>
        <v>11</v>
      </c>
      <c r="D411" s="18">
        <f t="shared" si="45"/>
        <v>2021</v>
      </c>
      <c r="E411" s="18" t="str">
        <f>IFERROR(VLOOKUP(F411,#REF!,3,FALSE),"")</f>
        <v/>
      </c>
      <c r="F411" s="5" t="s">
        <v>29</v>
      </c>
      <c r="G411" s="6">
        <v>4</v>
      </c>
      <c r="H411" s="7">
        <v>1.7</v>
      </c>
      <c r="I411" s="147"/>
    </row>
    <row r="412" spans="1:9" x14ac:dyDescent="0.2">
      <c r="A412" s="3">
        <f>VLOOKUP(F412,CODIGOSPLACAS!$A$1:$B$38,2,FALSE)</f>
        <v>16</v>
      </c>
      <c r="B412" s="17">
        <v>44501</v>
      </c>
      <c r="C412" s="18">
        <f t="shared" si="44"/>
        <v>11</v>
      </c>
      <c r="D412" s="18">
        <f t="shared" si="45"/>
        <v>2021</v>
      </c>
      <c r="E412" s="18" t="str">
        <f>IFERROR(VLOOKUP(F412,#REF!,3,FALSE),"")</f>
        <v/>
      </c>
      <c r="F412" s="6" t="s">
        <v>130</v>
      </c>
      <c r="G412" s="6">
        <v>4</v>
      </c>
      <c r="H412" s="7">
        <v>1.7</v>
      </c>
      <c r="I412" s="147"/>
    </row>
    <row r="413" spans="1:9" x14ac:dyDescent="0.2">
      <c r="A413" s="3">
        <f>VLOOKUP(F413,CODIGOSPLACAS!$A$1:$B$38,2,FALSE)</f>
        <v>23</v>
      </c>
      <c r="B413" s="17">
        <v>44501</v>
      </c>
      <c r="C413" s="18">
        <f t="shared" si="44"/>
        <v>11</v>
      </c>
      <c r="D413" s="18">
        <f t="shared" si="45"/>
        <v>2021</v>
      </c>
      <c r="E413" s="18" t="str">
        <f>IFERROR(VLOOKUP(F413,#REF!,3,FALSE),"")</f>
        <v/>
      </c>
      <c r="F413" s="19" t="s">
        <v>23</v>
      </c>
      <c r="G413" s="19">
        <v>4</v>
      </c>
      <c r="H413" s="20">
        <v>1.7</v>
      </c>
      <c r="I413" s="147"/>
    </row>
    <row r="414" spans="1:9" x14ac:dyDescent="0.2">
      <c r="A414" s="3">
        <f>VLOOKUP(F414,CODIGOSPLACAS!$A$1:$B$38,2,FALSE)</f>
        <v>33</v>
      </c>
      <c r="B414" s="17">
        <v>44501</v>
      </c>
      <c r="C414" s="18">
        <f t="shared" si="44"/>
        <v>11</v>
      </c>
      <c r="D414" s="18">
        <f t="shared" si="45"/>
        <v>2021</v>
      </c>
      <c r="E414" s="18" t="str">
        <f>IFERROR(VLOOKUP(F414,#REF!,3,FALSE),"")</f>
        <v/>
      </c>
      <c r="F414" s="6" t="s">
        <v>127</v>
      </c>
      <c r="G414" s="6">
        <v>3</v>
      </c>
      <c r="H414" s="7">
        <v>1.9</v>
      </c>
      <c r="I414" s="147"/>
    </row>
    <row r="415" spans="1:9" x14ac:dyDescent="0.2">
      <c r="A415" s="3">
        <f>VLOOKUP(F415,CODIGOSPLACAS!$A$1:$B$38,2,FALSE)</f>
        <v>34</v>
      </c>
      <c r="B415" s="17">
        <v>44501</v>
      </c>
      <c r="C415" s="18">
        <f t="shared" si="44"/>
        <v>11</v>
      </c>
      <c r="D415" s="18">
        <f t="shared" si="45"/>
        <v>2021</v>
      </c>
      <c r="E415" s="18" t="str">
        <f>IFERROR(VLOOKUP(F415,#REF!,3,FALSE),"")</f>
        <v/>
      </c>
      <c r="F415" s="6" t="s">
        <v>22</v>
      </c>
      <c r="G415" s="6">
        <v>3</v>
      </c>
      <c r="H415" s="7">
        <v>1.9</v>
      </c>
      <c r="I415" s="147"/>
    </row>
    <row r="416" spans="1:9" x14ac:dyDescent="0.2">
      <c r="A416" s="3">
        <f>VLOOKUP(F416,CODIGOSPLACAS!$A$1:$B$38,2,FALSE)</f>
        <v>30</v>
      </c>
      <c r="B416" s="17">
        <v>44501</v>
      </c>
      <c r="C416" s="18">
        <f t="shared" si="44"/>
        <v>11</v>
      </c>
      <c r="D416" s="18">
        <f t="shared" si="45"/>
        <v>2021</v>
      </c>
      <c r="E416" s="18" t="str">
        <f>IFERROR(VLOOKUP(F416,#REF!,3,FALSE),"")</f>
        <v/>
      </c>
      <c r="F416" s="11" t="s">
        <v>25</v>
      </c>
      <c r="G416" s="9">
        <v>4</v>
      </c>
      <c r="H416" s="10">
        <v>1.7</v>
      </c>
      <c r="I416" s="147"/>
    </row>
    <row r="417" spans="1:9" x14ac:dyDescent="0.2">
      <c r="A417" s="3">
        <f>VLOOKUP(F417,CODIGOSPLACAS!$A$1:$B$38,2,FALSE)</f>
        <v>36</v>
      </c>
      <c r="B417" s="17">
        <v>44501</v>
      </c>
      <c r="C417" s="18">
        <f t="shared" si="44"/>
        <v>11</v>
      </c>
      <c r="D417" s="18">
        <f t="shared" si="45"/>
        <v>2021</v>
      </c>
      <c r="E417" s="18" t="str">
        <f>IFERROR(VLOOKUP(F417,#REF!,3,FALSE),"")</f>
        <v/>
      </c>
      <c r="F417" s="11" t="s">
        <v>35</v>
      </c>
      <c r="G417" s="9">
        <v>5</v>
      </c>
      <c r="H417" s="10">
        <v>2.5</v>
      </c>
      <c r="I417" s="147"/>
    </row>
    <row r="418" spans="1:9" x14ac:dyDescent="0.2">
      <c r="A418" s="3">
        <f>VLOOKUP(F418,CODIGOSPLACAS!$A$1:$B$38,2,FALSE)</f>
        <v>35</v>
      </c>
      <c r="B418" s="17">
        <v>44501</v>
      </c>
      <c r="C418" s="18">
        <f t="shared" si="44"/>
        <v>11</v>
      </c>
      <c r="D418" s="18">
        <f t="shared" si="45"/>
        <v>2021</v>
      </c>
      <c r="E418" s="18" t="str">
        <f>IFERROR(VLOOKUP(F418,#REF!,3,FALSE),"")</f>
        <v/>
      </c>
      <c r="F418" s="11" t="s">
        <v>34</v>
      </c>
      <c r="G418" s="9">
        <v>5</v>
      </c>
      <c r="H418" s="10">
        <v>2.5</v>
      </c>
      <c r="I418" s="147"/>
    </row>
    <row r="419" spans="1:9" x14ac:dyDescent="0.2">
      <c r="E419" s="18" t="str">
        <f>IFERROR(VLOOKUP(F419,#REF!,3,FALSE),"")</f>
        <v/>
      </c>
      <c r="F419" s="214" t="s">
        <v>39</v>
      </c>
      <c r="G419" s="214"/>
      <c r="H419" s="214"/>
      <c r="I419" s="150"/>
    </row>
    <row r="420" spans="1:9" x14ac:dyDescent="0.2">
      <c r="A420" s="3">
        <f>VLOOKUP(F420,CODIGOSPLACAS!$A$1:$B$38,2,FALSE)</f>
        <v>1</v>
      </c>
      <c r="B420" s="17">
        <v>44531</v>
      </c>
      <c r="C420" s="18">
        <f t="shared" ref="C420:C437" si="46">MONTH(B420)</f>
        <v>12</v>
      </c>
      <c r="D420" s="18">
        <f t="shared" ref="D420:D437" si="47">YEAR(B420)</f>
        <v>2021</v>
      </c>
      <c r="E420" s="18" t="str">
        <f>IFERROR(VLOOKUP(F420,#REF!,3,FALSE),"")</f>
        <v/>
      </c>
      <c r="F420" s="6" t="s">
        <v>26</v>
      </c>
      <c r="G420" s="6">
        <v>4</v>
      </c>
      <c r="H420" s="7">
        <v>1.7</v>
      </c>
      <c r="I420" s="147"/>
    </row>
    <row r="421" spans="1:9" x14ac:dyDescent="0.2">
      <c r="A421" s="3">
        <f>VLOOKUP(F421,CODIGOSPLACAS!$A$1:$B$38,2,FALSE)</f>
        <v>2</v>
      </c>
      <c r="B421" s="17">
        <v>44531</v>
      </c>
      <c r="C421" s="18">
        <f t="shared" si="46"/>
        <v>12</v>
      </c>
      <c r="D421" s="18">
        <f t="shared" si="47"/>
        <v>2021</v>
      </c>
      <c r="E421" s="18" t="str">
        <f>IFERROR(VLOOKUP(F421,#REF!,3,FALSE),"")</f>
        <v/>
      </c>
      <c r="F421" s="6" t="s">
        <v>24</v>
      </c>
      <c r="G421" s="6">
        <v>4</v>
      </c>
      <c r="H421" s="7">
        <v>1.7</v>
      </c>
      <c r="I421" s="147"/>
    </row>
    <row r="422" spans="1:9" x14ac:dyDescent="0.2">
      <c r="A422" s="3">
        <f>VLOOKUP(F422,CODIGOSPLACAS!$A$1:$B$38,2,FALSE)</f>
        <v>3</v>
      </c>
      <c r="B422" s="17">
        <v>44531</v>
      </c>
      <c r="C422" s="18">
        <f t="shared" si="46"/>
        <v>12</v>
      </c>
      <c r="D422" s="18">
        <f t="shared" si="47"/>
        <v>2021</v>
      </c>
      <c r="E422" s="18" t="str">
        <f>IFERROR(VLOOKUP(F422,#REF!,3,FALSE),"")</f>
        <v/>
      </c>
      <c r="F422" s="6" t="s">
        <v>28</v>
      </c>
      <c r="G422" s="6">
        <v>4</v>
      </c>
      <c r="H422" s="7">
        <v>1.7</v>
      </c>
      <c r="I422" s="147"/>
    </row>
    <row r="423" spans="1:9" x14ac:dyDescent="0.2">
      <c r="A423" s="3">
        <f>VLOOKUP(F423,CODIGOSPLACAS!$A$1:$B$38,2,FALSE)</f>
        <v>4</v>
      </c>
      <c r="B423" s="17">
        <v>44531</v>
      </c>
      <c r="C423" s="18">
        <f t="shared" si="46"/>
        <v>12</v>
      </c>
      <c r="D423" s="18">
        <f t="shared" si="47"/>
        <v>2021</v>
      </c>
      <c r="E423" s="18" t="str">
        <f>IFERROR(VLOOKUP(F423,#REF!,3,FALSE),"")</f>
        <v/>
      </c>
      <c r="F423" s="5" t="s">
        <v>30</v>
      </c>
      <c r="G423" s="6">
        <v>4</v>
      </c>
      <c r="H423" s="7">
        <v>1.7</v>
      </c>
      <c r="I423" s="147"/>
    </row>
    <row r="424" spans="1:9" x14ac:dyDescent="0.2">
      <c r="A424" s="3">
        <f>VLOOKUP(F424,CODIGOSPLACAS!$A$1:$B$38,2,FALSE)</f>
        <v>5</v>
      </c>
      <c r="B424" s="17">
        <v>44531</v>
      </c>
      <c r="C424" s="18">
        <f t="shared" si="46"/>
        <v>12</v>
      </c>
      <c r="D424" s="18">
        <f t="shared" si="47"/>
        <v>2021</v>
      </c>
      <c r="E424" s="18" t="str">
        <f>IFERROR(VLOOKUP(F424,#REF!,3,FALSE),"")</f>
        <v/>
      </c>
      <c r="F424" s="5" t="s">
        <v>33</v>
      </c>
      <c r="G424" s="6">
        <v>4</v>
      </c>
      <c r="H424" s="7">
        <v>1.7</v>
      </c>
      <c r="I424" s="147"/>
    </row>
    <row r="425" spans="1:9" x14ac:dyDescent="0.2">
      <c r="A425" s="3">
        <f>VLOOKUP(F425,CODIGOSPLACAS!$A$1:$B$38,2,FALSE)</f>
        <v>6</v>
      </c>
      <c r="B425" s="17">
        <v>44531</v>
      </c>
      <c r="C425" s="18">
        <f t="shared" si="46"/>
        <v>12</v>
      </c>
      <c r="D425" s="18">
        <f t="shared" si="47"/>
        <v>2021</v>
      </c>
      <c r="E425" s="18" t="str">
        <f>IFERROR(VLOOKUP(F425,#REF!,3,FALSE),"")</f>
        <v/>
      </c>
      <c r="F425" s="5" t="s">
        <v>31</v>
      </c>
      <c r="G425" s="6">
        <v>4</v>
      </c>
      <c r="H425" s="7">
        <v>1.7</v>
      </c>
      <c r="I425" s="147"/>
    </row>
    <row r="426" spans="1:9" x14ac:dyDescent="0.2">
      <c r="A426" s="3">
        <f>VLOOKUP(F426,CODIGOSPLACAS!$A$1:$B$38,2,FALSE)</f>
        <v>7</v>
      </c>
      <c r="B426" s="17">
        <v>44531</v>
      </c>
      <c r="C426" s="18">
        <f t="shared" si="46"/>
        <v>12</v>
      </c>
      <c r="D426" s="18">
        <f t="shared" si="47"/>
        <v>2021</v>
      </c>
      <c r="E426" s="18" t="str">
        <f>IFERROR(VLOOKUP(F426,#REF!,3,FALSE),"")</f>
        <v/>
      </c>
      <c r="F426" s="5" t="s">
        <v>124</v>
      </c>
      <c r="G426" s="6">
        <v>4</v>
      </c>
      <c r="H426" s="7">
        <v>1.7</v>
      </c>
      <c r="I426" s="147"/>
    </row>
    <row r="427" spans="1:9" x14ac:dyDescent="0.2">
      <c r="A427" s="3">
        <f>VLOOKUP(F427,CODIGOSPLACAS!$A$1:$B$38,2,FALSE)</f>
        <v>8</v>
      </c>
      <c r="B427" s="17">
        <v>44531</v>
      </c>
      <c r="C427" s="18">
        <f t="shared" si="46"/>
        <v>12</v>
      </c>
      <c r="D427" s="18">
        <f t="shared" si="47"/>
        <v>2021</v>
      </c>
      <c r="E427" s="18" t="str">
        <f>IFERROR(VLOOKUP(F427,#REF!,3,FALSE),"")</f>
        <v/>
      </c>
      <c r="F427" s="6" t="s">
        <v>27</v>
      </c>
      <c r="G427" s="6">
        <v>4</v>
      </c>
      <c r="H427" s="7">
        <v>1.7</v>
      </c>
      <c r="I427" s="147"/>
    </row>
    <row r="428" spans="1:9" x14ac:dyDescent="0.2">
      <c r="A428" s="3">
        <f>VLOOKUP(F428,CODIGOSPLACAS!$A$1:$B$38,2,FALSE)</f>
        <v>9</v>
      </c>
      <c r="B428" s="17">
        <v>44531</v>
      </c>
      <c r="C428" s="18">
        <f t="shared" si="46"/>
        <v>12</v>
      </c>
      <c r="D428" s="18">
        <f t="shared" si="47"/>
        <v>2021</v>
      </c>
      <c r="E428" s="18" t="str">
        <f>IFERROR(VLOOKUP(F428,#REF!,3,FALSE),"")</f>
        <v/>
      </c>
      <c r="F428" s="6" t="s">
        <v>126</v>
      </c>
      <c r="G428" s="6">
        <v>4</v>
      </c>
      <c r="H428" s="7">
        <v>1.7</v>
      </c>
      <c r="I428" s="147"/>
    </row>
    <row r="429" spans="1:9" x14ac:dyDescent="0.2">
      <c r="A429" s="3">
        <f>VLOOKUP(F429,CODIGOSPLACAS!$A$1:$B$38,2,FALSE)</f>
        <v>10</v>
      </c>
      <c r="B429" s="17">
        <v>44531</v>
      </c>
      <c r="C429" s="18">
        <f t="shared" si="46"/>
        <v>12</v>
      </c>
      <c r="D429" s="18">
        <f t="shared" si="47"/>
        <v>2021</v>
      </c>
      <c r="E429" s="18" t="str">
        <f>IFERROR(VLOOKUP(F429,#REF!,3,FALSE),"")</f>
        <v/>
      </c>
      <c r="F429" s="5" t="s">
        <v>32</v>
      </c>
      <c r="G429" s="6">
        <v>4</v>
      </c>
      <c r="H429" s="7">
        <v>1.7</v>
      </c>
      <c r="I429" s="147"/>
    </row>
    <row r="430" spans="1:9" x14ac:dyDescent="0.2">
      <c r="A430" s="3">
        <f>VLOOKUP(F430,CODIGOSPLACAS!$A$1:$B$38,2,FALSE)</f>
        <v>11</v>
      </c>
      <c r="B430" s="17">
        <v>44531</v>
      </c>
      <c r="C430" s="18">
        <f t="shared" si="46"/>
        <v>12</v>
      </c>
      <c r="D430" s="18">
        <f t="shared" si="47"/>
        <v>2021</v>
      </c>
      <c r="E430" s="18" t="str">
        <f>IFERROR(VLOOKUP(F430,#REF!,3,FALSE),"")</f>
        <v/>
      </c>
      <c r="F430" s="5" t="s">
        <v>29</v>
      </c>
      <c r="G430" s="6">
        <v>4</v>
      </c>
      <c r="H430" s="7">
        <v>1.7</v>
      </c>
      <c r="I430" s="147"/>
    </row>
    <row r="431" spans="1:9" x14ac:dyDescent="0.2">
      <c r="A431" s="3">
        <f>VLOOKUP(F431,CODIGOSPLACAS!$A$1:$B$38,2,FALSE)</f>
        <v>16</v>
      </c>
      <c r="B431" s="17">
        <v>44531</v>
      </c>
      <c r="C431" s="18">
        <f t="shared" si="46"/>
        <v>12</v>
      </c>
      <c r="D431" s="18">
        <f t="shared" si="47"/>
        <v>2021</v>
      </c>
      <c r="E431" s="18" t="str">
        <f>IFERROR(VLOOKUP(F431,#REF!,3,FALSE),"")</f>
        <v/>
      </c>
      <c r="F431" s="6" t="s">
        <v>130</v>
      </c>
      <c r="G431" s="6">
        <v>4</v>
      </c>
      <c r="H431" s="7">
        <v>1.7</v>
      </c>
      <c r="I431" s="147"/>
    </row>
    <row r="432" spans="1:9" x14ac:dyDescent="0.2">
      <c r="A432" s="3">
        <f>VLOOKUP(F432,CODIGOSPLACAS!$A$1:$B$38,2,FALSE)</f>
        <v>23</v>
      </c>
      <c r="B432" s="17">
        <v>44531</v>
      </c>
      <c r="C432" s="18">
        <f t="shared" si="46"/>
        <v>12</v>
      </c>
      <c r="D432" s="18">
        <f t="shared" si="47"/>
        <v>2021</v>
      </c>
      <c r="E432" s="18" t="str">
        <f>IFERROR(VLOOKUP(F432,#REF!,3,FALSE),"")</f>
        <v/>
      </c>
      <c r="F432" s="19" t="s">
        <v>23</v>
      </c>
      <c r="G432" s="19">
        <v>4</v>
      </c>
      <c r="H432" s="20">
        <v>1.7</v>
      </c>
      <c r="I432" s="147"/>
    </row>
    <row r="433" spans="1:9" x14ac:dyDescent="0.2">
      <c r="A433" s="3">
        <f>VLOOKUP(F433,CODIGOSPLACAS!$A$1:$B$38,2,FALSE)</f>
        <v>33</v>
      </c>
      <c r="B433" s="17">
        <v>44531</v>
      </c>
      <c r="C433" s="18">
        <f t="shared" si="46"/>
        <v>12</v>
      </c>
      <c r="D433" s="18">
        <f t="shared" si="47"/>
        <v>2021</v>
      </c>
      <c r="E433" s="18" t="str">
        <f>IFERROR(VLOOKUP(F433,#REF!,3,FALSE),"")</f>
        <v/>
      </c>
      <c r="F433" s="6" t="s">
        <v>127</v>
      </c>
      <c r="G433" s="6">
        <v>3</v>
      </c>
      <c r="H433" s="7">
        <v>1.9</v>
      </c>
      <c r="I433" s="147"/>
    </row>
    <row r="434" spans="1:9" x14ac:dyDescent="0.2">
      <c r="A434" s="3">
        <f>VLOOKUP(F434,CODIGOSPLACAS!$A$1:$B$38,2,FALSE)</f>
        <v>34</v>
      </c>
      <c r="B434" s="17">
        <v>44531</v>
      </c>
      <c r="C434" s="18">
        <f t="shared" si="46"/>
        <v>12</v>
      </c>
      <c r="D434" s="18">
        <f t="shared" si="47"/>
        <v>2021</v>
      </c>
      <c r="E434" s="18" t="str">
        <f>IFERROR(VLOOKUP(F434,#REF!,3,FALSE),"")</f>
        <v/>
      </c>
      <c r="F434" s="6" t="s">
        <v>22</v>
      </c>
      <c r="G434" s="6">
        <v>3</v>
      </c>
      <c r="H434" s="7">
        <v>1.9</v>
      </c>
      <c r="I434" s="147"/>
    </row>
    <row r="435" spans="1:9" x14ac:dyDescent="0.2">
      <c r="A435" s="3">
        <f>VLOOKUP(F435,CODIGOSPLACAS!$A$1:$B$38,2,FALSE)</f>
        <v>30</v>
      </c>
      <c r="B435" s="17">
        <v>44531</v>
      </c>
      <c r="C435" s="18">
        <f t="shared" si="46"/>
        <v>12</v>
      </c>
      <c r="D435" s="18">
        <f t="shared" si="47"/>
        <v>2021</v>
      </c>
      <c r="E435" s="18" t="str">
        <f>IFERROR(VLOOKUP(F435,#REF!,3,FALSE),"")</f>
        <v/>
      </c>
      <c r="F435" s="11" t="s">
        <v>25</v>
      </c>
      <c r="G435" s="9">
        <v>4</v>
      </c>
      <c r="H435" s="10">
        <v>1.7</v>
      </c>
      <c r="I435" s="147"/>
    </row>
    <row r="436" spans="1:9" x14ac:dyDescent="0.2">
      <c r="A436" s="3">
        <f>VLOOKUP(F436,CODIGOSPLACAS!$A$1:$B$38,2,FALSE)</f>
        <v>36</v>
      </c>
      <c r="B436" s="17">
        <v>44531</v>
      </c>
      <c r="C436" s="18">
        <f t="shared" si="46"/>
        <v>12</v>
      </c>
      <c r="D436" s="18">
        <f t="shared" si="47"/>
        <v>2021</v>
      </c>
      <c r="E436" s="18" t="str">
        <f>IFERROR(VLOOKUP(F436,#REF!,3,FALSE),"")</f>
        <v/>
      </c>
      <c r="F436" s="11" t="s">
        <v>35</v>
      </c>
      <c r="G436" s="9">
        <v>5</v>
      </c>
      <c r="H436" s="10">
        <v>2.5</v>
      </c>
      <c r="I436" s="147"/>
    </row>
    <row r="437" spans="1:9" x14ac:dyDescent="0.2">
      <c r="A437" s="3">
        <f>VLOOKUP(F437,CODIGOSPLACAS!$A$1:$B$38,2,FALSE)</f>
        <v>35</v>
      </c>
      <c r="B437" s="17">
        <v>44531</v>
      </c>
      <c r="C437" s="18">
        <f t="shared" si="46"/>
        <v>12</v>
      </c>
      <c r="D437" s="18">
        <f t="shared" si="47"/>
        <v>2021</v>
      </c>
      <c r="E437" s="18" t="str">
        <f>IFERROR(VLOOKUP(F437,#REF!,3,FALSE),"")</f>
        <v/>
      </c>
      <c r="F437" s="11" t="s">
        <v>34</v>
      </c>
      <c r="G437" s="9">
        <v>5</v>
      </c>
      <c r="H437" s="10">
        <v>2.5</v>
      </c>
      <c r="I437" s="147"/>
    </row>
    <row r="438" spans="1:9" x14ac:dyDescent="0.2">
      <c r="E438" s="18" t="str">
        <f>IFERROR(VLOOKUP(F438,#REF!,3,FALSE),"")</f>
        <v/>
      </c>
      <c r="F438" s="214" t="s">
        <v>39</v>
      </c>
      <c r="G438" s="214"/>
      <c r="H438" s="214"/>
      <c r="I438" s="150"/>
    </row>
    <row r="439" spans="1:9" x14ac:dyDescent="0.2">
      <c r="A439" s="3">
        <f>VLOOKUP(F439,CODIGOSPLACAS!$A$1:$B$38,2,FALSE)</f>
        <v>2</v>
      </c>
      <c r="B439" s="17">
        <v>44562</v>
      </c>
      <c r="C439" s="18">
        <f t="shared" ref="C439:C455" si="48">MONTH(B439)</f>
        <v>1</v>
      </c>
      <c r="D439" s="18">
        <f t="shared" ref="D439:D455" si="49">YEAR(B439)</f>
        <v>2022</v>
      </c>
      <c r="E439" s="18" t="str">
        <f>IFERROR(VLOOKUP(F439,#REF!,3,FALSE),"")</f>
        <v/>
      </c>
      <c r="F439" s="6" t="s">
        <v>24</v>
      </c>
      <c r="G439" s="6">
        <v>4</v>
      </c>
      <c r="H439" s="7">
        <v>1.7</v>
      </c>
      <c r="I439" s="147"/>
    </row>
    <row r="440" spans="1:9" x14ac:dyDescent="0.2">
      <c r="A440" s="3">
        <f>VLOOKUP(F440,CODIGOSPLACAS!$A$1:$B$38,2,FALSE)</f>
        <v>3</v>
      </c>
      <c r="B440" s="17">
        <v>44562</v>
      </c>
      <c r="C440" s="18">
        <f t="shared" si="48"/>
        <v>1</v>
      </c>
      <c r="D440" s="18">
        <f t="shared" si="49"/>
        <v>2022</v>
      </c>
      <c r="E440" s="18" t="str">
        <f>IFERROR(VLOOKUP(F440,#REF!,3,FALSE),"")</f>
        <v/>
      </c>
      <c r="F440" s="6" t="s">
        <v>28</v>
      </c>
      <c r="G440" s="6">
        <v>4</v>
      </c>
      <c r="H440" s="7">
        <v>1.7</v>
      </c>
      <c r="I440" s="147"/>
    </row>
    <row r="441" spans="1:9" x14ac:dyDescent="0.2">
      <c r="A441" s="3">
        <f>VLOOKUP(F441,CODIGOSPLACAS!$A$1:$B$38,2,FALSE)</f>
        <v>4</v>
      </c>
      <c r="B441" s="17">
        <v>44562</v>
      </c>
      <c r="C441" s="18">
        <f t="shared" si="48"/>
        <v>1</v>
      </c>
      <c r="D441" s="18">
        <f t="shared" si="49"/>
        <v>2022</v>
      </c>
      <c r="E441" s="18" t="str">
        <f>IFERROR(VLOOKUP(F441,#REF!,3,FALSE),"")</f>
        <v/>
      </c>
      <c r="F441" s="5" t="s">
        <v>30</v>
      </c>
      <c r="G441" s="6">
        <v>4</v>
      </c>
      <c r="H441" s="7">
        <v>1.7</v>
      </c>
      <c r="I441" s="147"/>
    </row>
    <row r="442" spans="1:9" x14ac:dyDescent="0.2">
      <c r="A442" s="3">
        <f>VLOOKUP(F442,CODIGOSPLACAS!$A$1:$B$38,2,FALSE)</f>
        <v>5</v>
      </c>
      <c r="B442" s="17">
        <v>44562</v>
      </c>
      <c r="C442" s="18">
        <f t="shared" si="48"/>
        <v>1</v>
      </c>
      <c r="D442" s="18">
        <f t="shared" si="49"/>
        <v>2022</v>
      </c>
      <c r="E442" s="18" t="str">
        <f>IFERROR(VLOOKUP(F442,#REF!,3,FALSE),"")</f>
        <v/>
      </c>
      <c r="F442" s="5" t="s">
        <v>33</v>
      </c>
      <c r="G442" s="6">
        <v>4</v>
      </c>
      <c r="H442" s="7">
        <v>1.7</v>
      </c>
      <c r="I442" s="147"/>
    </row>
    <row r="443" spans="1:9" x14ac:dyDescent="0.2">
      <c r="A443" s="3">
        <f>VLOOKUP(F443,CODIGOSPLACAS!$A$1:$B$38,2,FALSE)</f>
        <v>6</v>
      </c>
      <c r="B443" s="17">
        <v>44562</v>
      </c>
      <c r="C443" s="18">
        <f t="shared" si="48"/>
        <v>1</v>
      </c>
      <c r="D443" s="18">
        <f t="shared" si="49"/>
        <v>2022</v>
      </c>
      <c r="E443" s="18" t="str">
        <f>IFERROR(VLOOKUP(F443,#REF!,3,FALSE),"")</f>
        <v/>
      </c>
      <c r="F443" s="5" t="s">
        <v>31</v>
      </c>
      <c r="G443" s="6">
        <v>4</v>
      </c>
      <c r="H443" s="7">
        <v>1.7</v>
      </c>
      <c r="I443" s="147"/>
    </row>
    <row r="444" spans="1:9" x14ac:dyDescent="0.2">
      <c r="A444" s="3">
        <f>VLOOKUP(F444,CODIGOSPLACAS!$A$1:$B$38,2,FALSE)</f>
        <v>7</v>
      </c>
      <c r="B444" s="17">
        <v>44562</v>
      </c>
      <c r="C444" s="18">
        <f t="shared" si="48"/>
        <v>1</v>
      </c>
      <c r="D444" s="18">
        <f t="shared" si="49"/>
        <v>2022</v>
      </c>
      <c r="E444" s="18" t="str">
        <f>IFERROR(VLOOKUP(F444,#REF!,3,FALSE),"")</f>
        <v/>
      </c>
      <c r="F444" s="5" t="s">
        <v>124</v>
      </c>
      <c r="G444" s="6">
        <v>4</v>
      </c>
      <c r="H444" s="7">
        <v>1.7</v>
      </c>
      <c r="I444" s="147"/>
    </row>
    <row r="445" spans="1:9" x14ac:dyDescent="0.2">
      <c r="A445" s="3">
        <f>VLOOKUP(F445,CODIGOSPLACAS!$A$1:$B$38,2,FALSE)</f>
        <v>8</v>
      </c>
      <c r="B445" s="17">
        <v>44562</v>
      </c>
      <c r="C445" s="18">
        <f t="shared" si="48"/>
        <v>1</v>
      </c>
      <c r="D445" s="18">
        <f t="shared" si="49"/>
        <v>2022</v>
      </c>
      <c r="E445" s="18" t="str">
        <f>IFERROR(VLOOKUP(F445,#REF!,3,FALSE),"")</f>
        <v/>
      </c>
      <c r="F445" s="6" t="s">
        <v>27</v>
      </c>
      <c r="G445" s="6">
        <v>4</v>
      </c>
      <c r="H445" s="7">
        <v>1.7</v>
      </c>
      <c r="I445" s="147"/>
    </row>
    <row r="446" spans="1:9" x14ac:dyDescent="0.2">
      <c r="A446" s="3">
        <f>VLOOKUP(F446,CODIGOSPLACAS!$A$1:$B$38,2,FALSE)</f>
        <v>9</v>
      </c>
      <c r="B446" s="17">
        <v>44562</v>
      </c>
      <c r="C446" s="18">
        <f t="shared" si="48"/>
        <v>1</v>
      </c>
      <c r="D446" s="18">
        <f t="shared" si="49"/>
        <v>2022</v>
      </c>
      <c r="E446" s="18" t="str">
        <f>IFERROR(VLOOKUP(F446,#REF!,3,FALSE),"")</f>
        <v/>
      </c>
      <c r="F446" s="6" t="s">
        <v>126</v>
      </c>
      <c r="G446" s="6">
        <v>4</v>
      </c>
      <c r="H446" s="7">
        <v>1.7</v>
      </c>
      <c r="I446" s="147"/>
    </row>
    <row r="447" spans="1:9" x14ac:dyDescent="0.2">
      <c r="A447" s="3">
        <f>VLOOKUP(F447,CODIGOSPLACAS!$A$1:$B$38,2,FALSE)</f>
        <v>10</v>
      </c>
      <c r="B447" s="17">
        <v>44562</v>
      </c>
      <c r="C447" s="18">
        <f t="shared" si="48"/>
        <v>1</v>
      </c>
      <c r="D447" s="18">
        <f t="shared" si="49"/>
        <v>2022</v>
      </c>
      <c r="E447" s="18" t="str">
        <f>IFERROR(VLOOKUP(F447,#REF!,3,FALSE),"")</f>
        <v/>
      </c>
      <c r="F447" s="5" t="s">
        <v>32</v>
      </c>
      <c r="G447" s="6">
        <v>4</v>
      </c>
      <c r="H447" s="7">
        <v>1.7</v>
      </c>
      <c r="I447" s="147"/>
    </row>
    <row r="448" spans="1:9" x14ac:dyDescent="0.2">
      <c r="A448" s="3">
        <f>VLOOKUP(F448,CODIGOSPLACAS!$A$1:$B$38,2,FALSE)</f>
        <v>11</v>
      </c>
      <c r="B448" s="17">
        <v>44562</v>
      </c>
      <c r="C448" s="18">
        <f t="shared" si="48"/>
        <v>1</v>
      </c>
      <c r="D448" s="18">
        <f t="shared" si="49"/>
        <v>2022</v>
      </c>
      <c r="E448" s="18" t="str">
        <f>IFERROR(VLOOKUP(F448,#REF!,3,FALSE),"")</f>
        <v/>
      </c>
      <c r="F448" s="5" t="s">
        <v>29</v>
      </c>
      <c r="G448" s="6">
        <v>4</v>
      </c>
      <c r="H448" s="7">
        <v>1.7</v>
      </c>
      <c r="I448" s="147"/>
    </row>
    <row r="449" spans="1:9" x14ac:dyDescent="0.2">
      <c r="A449" s="3">
        <f>VLOOKUP(F449,CODIGOSPLACAS!$A$1:$B$38,2,FALSE)</f>
        <v>16</v>
      </c>
      <c r="B449" s="17">
        <v>44562</v>
      </c>
      <c r="C449" s="18">
        <f t="shared" si="48"/>
        <v>1</v>
      </c>
      <c r="D449" s="18">
        <f t="shared" si="49"/>
        <v>2022</v>
      </c>
      <c r="E449" s="18" t="str">
        <f>IFERROR(VLOOKUP(F449,#REF!,3,FALSE),"")</f>
        <v/>
      </c>
      <c r="F449" s="6" t="s">
        <v>130</v>
      </c>
      <c r="G449" s="6">
        <v>4</v>
      </c>
      <c r="H449" s="7">
        <v>1.7</v>
      </c>
      <c r="I449" s="147"/>
    </row>
    <row r="450" spans="1:9" x14ac:dyDescent="0.2">
      <c r="A450" s="3">
        <f>VLOOKUP(F450,CODIGOSPLACAS!$A$1:$B$38,2,FALSE)</f>
        <v>23</v>
      </c>
      <c r="B450" s="17">
        <v>44562</v>
      </c>
      <c r="C450" s="18">
        <f t="shared" si="48"/>
        <v>1</v>
      </c>
      <c r="D450" s="18">
        <f t="shared" si="49"/>
        <v>2022</v>
      </c>
      <c r="E450" s="18" t="str">
        <f>IFERROR(VLOOKUP(F450,#REF!,3,FALSE),"")</f>
        <v/>
      </c>
      <c r="F450" s="19" t="s">
        <v>23</v>
      </c>
      <c r="G450" s="19">
        <v>4</v>
      </c>
      <c r="H450" s="20">
        <v>1.7</v>
      </c>
      <c r="I450" s="147"/>
    </row>
    <row r="451" spans="1:9" x14ac:dyDescent="0.2">
      <c r="A451" s="3">
        <f>VLOOKUP(F451,CODIGOSPLACAS!$A$1:$B$38,2,FALSE)</f>
        <v>33</v>
      </c>
      <c r="B451" s="17">
        <v>44562</v>
      </c>
      <c r="C451" s="18">
        <f t="shared" si="48"/>
        <v>1</v>
      </c>
      <c r="D451" s="18">
        <f t="shared" si="49"/>
        <v>2022</v>
      </c>
      <c r="E451" s="18" t="str">
        <f>IFERROR(VLOOKUP(F451,#REF!,3,FALSE),"")</f>
        <v/>
      </c>
      <c r="F451" s="6" t="s">
        <v>127</v>
      </c>
      <c r="G451" s="6">
        <v>3</v>
      </c>
      <c r="H451" s="7">
        <v>1.9</v>
      </c>
      <c r="I451" s="147"/>
    </row>
    <row r="452" spans="1:9" x14ac:dyDescent="0.2">
      <c r="A452" s="3">
        <f>VLOOKUP(F452,CODIGOSPLACAS!$A$1:$B$38,2,FALSE)</f>
        <v>34</v>
      </c>
      <c r="B452" s="17">
        <v>44562</v>
      </c>
      <c r="C452" s="18">
        <f t="shared" si="48"/>
        <v>1</v>
      </c>
      <c r="D452" s="18">
        <f t="shared" si="49"/>
        <v>2022</v>
      </c>
      <c r="E452" s="18" t="str">
        <f>IFERROR(VLOOKUP(F452,#REF!,3,FALSE),"")</f>
        <v/>
      </c>
      <c r="F452" s="6" t="s">
        <v>22</v>
      </c>
      <c r="G452" s="6">
        <v>3</v>
      </c>
      <c r="H452" s="7">
        <v>1.9</v>
      </c>
      <c r="I452" s="147"/>
    </row>
    <row r="453" spans="1:9" x14ac:dyDescent="0.2">
      <c r="A453" s="3">
        <f>VLOOKUP(F453,CODIGOSPLACAS!$A$1:$B$38,2,FALSE)</f>
        <v>30</v>
      </c>
      <c r="B453" s="17">
        <v>44562</v>
      </c>
      <c r="C453" s="18">
        <f t="shared" si="48"/>
        <v>1</v>
      </c>
      <c r="D453" s="18">
        <f t="shared" si="49"/>
        <v>2022</v>
      </c>
      <c r="E453" s="18" t="str">
        <f>IFERROR(VLOOKUP(F453,#REF!,3,FALSE),"")</f>
        <v/>
      </c>
      <c r="F453" s="11" t="s">
        <v>25</v>
      </c>
      <c r="G453" s="9">
        <v>4</v>
      </c>
      <c r="H453" s="10">
        <v>1.7</v>
      </c>
      <c r="I453" s="147"/>
    </row>
    <row r="454" spans="1:9" x14ac:dyDescent="0.2">
      <c r="A454" s="3">
        <f>VLOOKUP(F454,CODIGOSPLACAS!$A$1:$B$38,2,FALSE)</f>
        <v>36</v>
      </c>
      <c r="B454" s="17">
        <v>44562</v>
      </c>
      <c r="C454" s="18">
        <f t="shared" si="48"/>
        <v>1</v>
      </c>
      <c r="D454" s="18">
        <f t="shared" si="49"/>
        <v>2022</v>
      </c>
      <c r="E454" s="18" t="str">
        <f>IFERROR(VLOOKUP(F454,#REF!,3,FALSE),"")</f>
        <v/>
      </c>
      <c r="F454" s="11" t="s">
        <v>35</v>
      </c>
      <c r="G454" s="9">
        <v>5</v>
      </c>
      <c r="H454" s="10">
        <v>2.5</v>
      </c>
      <c r="I454" s="147"/>
    </row>
    <row r="455" spans="1:9" x14ac:dyDescent="0.2">
      <c r="A455" s="3">
        <f>VLOOKUP(F455,CODIGOSPLACAS!$A$1:$B$38,2,FALSE)</f>
        <v>35</v>
      </c>
      <c r="B455" s="17">
        <v>44562</v>
      </c>
      <c r="C455" s="18">
        <f t="shared" si="48"/>
        <v>1</v>
      </c>
      <c r="D455" s="18">
        <f t="shared" si="49"/>
        <v>2022</v>
      </c>
      <c r="E455" s="18" t="str">
        <f>IFERROR(VLOOKUP(F455,#REF!,3,FALSE),"")</f>
        <v/>
      </c>
      <c r="F455" s="11" t="s">
        <v>34</v>
      </c>
      <c r="G455" s="9">
        <v>5</v>
      </c>
      <c r="H455" s="10">
        <v>2.5</v>
      </c>
      <c r="I455" s="147"/>
    </row>
    <row r="456" spans="1:9" x14ac:dyDescent="0.2">
      <c r="E456" s="18" t="str">
        <f>IFERROR(VLOOKUP(F456,#REF!,3,FALSE),"")</f>
        <v/>
      </c>
      <c r="F456" s="214" t="s">
        <v>39</v>
      </c>
      <c r="G456" s="214"/>
      <c r="H456" s="214"/>
      <c r="I456" s="150"/>
    </row>
    <row r="457" spans="1:9" x14ac:dyDescent="0.2">
      <c r="A457" s="3">
        <f>VLOOKUP(F457,CODIGOSPLACAS!$A$1:$B$38,2,FALSE)</f>
        <v>2</v>
      </c>
      <c r="B457" s="17">
        <v>44593</v>
      </c>
      <c r="C457" s="18">
        <f t="shared" ref="C457:C473" si="50">MONTH(B457)</f>
        <v>2</v>
      </c>
      <c r="D457" s="18">
        <f t="shared" ref="D457:D473" si="51">YEAR(B457)</f>
        <v>2022</v>
      </c>
      <c r="E457" s="18" t="str">
        <f>IFERROR(VLOOKUP(F457,#REF!,3,FALSE),"")</f>
        <v/>
      </c>
      <c r="F457" s="6" t="s">
        <v>24</v>
      </c>
      <c r="G457" s="6">
        <v>4</v>
      </c>
      <c r="H457" s="7">
        <v>1.7</v>
      </c>
      <c r="I457" s="147"/>
    </row>
    <row r="458" spans="1:9" x14ac:dyDescent="0.2">
      <c r="A458" s="3">
        <f>VLOOKUP(F458,CODIGOSPLACAS!$A$1:$B$38,2,FALSE)</f>
        <v>3</v>
      </c>
      <c r="B458" s="17">
        <v>44593</v>
      </c>
      <c r="C458" s="18">
        <f t="shared" si="50"/>
        <v>2</v>
      </c>
      <c r="D458" s="18">
        <f t="shared" si="51"/>
        <v>2022</v>
      </c>
      <c r="E458" s="18" t="str">
        <f>IFERROR(VLOOKUP(F458,#REF!,3,FALSE),"")</f>
        <v/>
      </c>
      <c r="F458" s="6" t="s">
        <v>28</v>
      </c>
      <c r="G458" s="6">
        <v>4</v>
      </c>
      <c r="H458" s="7">
        <v>1.7</v>
      </c>
      <c r="I458" s="147"/>
    </row>
    <row r="459" spans="1:9" x14ac:dyDescent="0.2">
      <c r="A459" s="3">
        <f>VLOOKUP(F459,CODIGOSPLACAS!$A$1:$B$38,2,FALSE)</f>
        <v>4</v>
      </c>
      <c r="B459" s="17">
        <v>44593</v>
      </c>
      <c r="C459" s="18">
        <f t="shared" si="50"/>
        <v>2</v>
      </c>
      <c r="D459" s="18">
        <f t="shared" si="51"/>
        <v>2022</v>
      </c>
      <c r="E459" s="18" t="str">
        <f>IFERROR(VLOOKUP(F459,#REF!,3,FALSE),"")</f>
        <v/>
      </c>
      <c r="F459" s="5" t="s">
        <v>30</v>
      </c>
      <c r="G459" s="6">
        <v>4</v>
      </c>
      <c r="H459" s="7">
        <v>1.7</v>
      </c>
      <c r="I459" s="147"/>
    </row>
    <row r="460" spans="1:9" x14ac:dyDescent="0.2">
      <c r="A460" s="3">
        <f>VLOOKUP(F460,CODIGOSPLACAS!$A$1:$B$38,2,FALSE)</f>
        <v>5</v>
      </c>
      <c r="B460" s="17">
        <v>44593</v>
      </c>
      <c r="C460" s="18">
        <f t="shared" si="50"/>
        <v>2</v>
      </c>
      <c r="D460" s="18">
        <f t="shared" si="51"/>
        <v>2022</v>
      </c>
      <c r="E460" s="18" t="str">
        <f>IFERROR(VLOOKUP(F460,#REF!,3,FALSE),"")</f>
        <v/>
      </c>
      <c r="F460" s="5" t="s">
        <v>33</v>
      </c>
      <c r="G460" s="6">
        <v>4</v>
      </c>
      <c r="H460" s="7">
        <v>1.7</v>
      </c>
      <c r="I460" s="147"/>
    </row>
    <row r="461" spans="1:9" x14ac:dyDescent="0.2">
      <c r="A461" s="3">
        <f>VLOOKUP(F461,CODIGOSPLACAS!$A$1:$B$38,2,FALSE)</f>
        <v>6</v>
      </c>
      <c r="B461" s="17">
        <v>44593</v>
      </c>
      <c r="C461" s="18">
        <f t="shared" si="50"/>
        <v>2</v>
      </c>
      <c r="D461" s="18">
        <f t="shared" si="51"/>
        <v>2022</v>
      </c>
      <c r="E461" s="18" t="str">
        <f>IFERROR(VLOOKUP(F461,#REF!,3,FALSE),"")</f>
        <v/>
      </c>
      <c r="F461" s="5" t="s">
        <v>31</v>
      </c>
      <c r="G461" s="6">
        <v>4</v>
      </c>
      <c r="H461" s="7">
        <v>1.7</v>
      </c>
      <c r="I461" s="147"/>
    </row>
    <row r="462" spans="1:9" x14ac:dyDescent="0.2">
      <c r="A462" s="3">
        <f>VLOOKUP(F462,CODIGOSPLACAS!$A$1:$B$38,2,FALSE)</f>
        <v>7</v>
      </c>
      <c r="B462" s="17">
        <v>44593</v>
      </c>
      <c r="C462" s="18">
        <f t="shared" si="50"/>
        <v>2</v>
      </c>
      <c r="D462" s="18">
        <f t="shared" si="51"/>
        <v>2022</v>
      </c>
      <c r="E462" s="18" t="str">
        <f>IFERROR(VLOOKUP(F462,#REF!,3,FALSE),"")</f>
        <v/>
      </c>
      <c r="F462" s="5" t="s">
        <v>124</v>
      </c>
      <c r="G462" s="6">
        <v>4</v>
      </c>
      <c r="H462" s="7">
        <v>1.7</v>
      </c>
      <c r="I462" s="147"/>
    </row>
    <row r="463" spans="1:9" x14ac:dyDescent="0.2">
      <c r="A463" s="3">
        <f>VLOOKUP(F463,CODIGOSPLACAS!$A$1:$B$38,2,FALSE)</f>
        <v>8</v>
      </c>
      <c r="B463" s="17">
        <v>44593</v>
      </c>
      <c r="C463" s="18">
        <f t="shared" si="50"/>
        <v>2</v>
      </c>
      <c r="D463" s="18">
        <f t="shared" si="51"/>
        <v>2022</v>
      </c>
      <c r="E463" s="18" t="str">
        <f>IFERROR(VLOOKUP(F463,#REF!,3,FALSE),"")</f>
        <v/>
      </c>
      <c r="F463" s="6" t="s">
        <v>27</v>
      </c>
      <c r="G463" s="6">
        <v>4</v>
      </c>
      <c r="H463" s="7">
        <v>1.7</v>
      </c>
      <c r="I463" s="147"/>
    </row>
    <row r="464" spans="1:9" x14ac:dyDescent="0.2">
      <c r="A464" s="3">
        <f>VLOOKUP(F464,CODIGOSPLACAS!$A$1:$B$38,2,FALSE)</f>
        <v>9</v>
      </c>
      <c r="B464" s="17">
        <v>44593</v>
      </c>
      <c r="C464" s="18">
        <f t="shared" si="50"/>
        <v>2</v>
      </c>
      <c r="D464" s="18">
        <f t="shared" si="51"/>
        <v>2022</v>
      </c>
      <c r="E464" s="18" t="str">
        <f>IFERROR(VLOOKUP(F464,#REF!,3,FALSE),"")</f>
        <v/>
      </c>
      <c r="F464" s="6" t="s">
        <v>126</v>
      </c>
      <c r="G464" s="6">
        <v>4</v>
      </c>
      <c r="H464" s="7">
        <v>1.7</v>
      </c>
      <c r="I464" s="147"/>
    </row>
    <row r="465" spans="1:9" x14ac:dyDescent="0.2">
      <c r="A465" s="3">
        <f>VLOOKUP(F465,CODIGOSPLACAS!$A$1:$B$38,2,FALSE)</f>
        <v>10</v>
      </c>
      <c r="B465" s="17">
        <v>44593</v>
      </c>
      <c r="C465" s="18">
        <f t="shared" si="50"/>
        <v>2</v>
      </c>
      <c r="D465" s="18">
        <f t="shared" si="51"/>
        <v>2022</v>
      </c>
      <c r="E465" s="18" t="str">
        <f>IFERROR(VLOOKUP(F465,#REF!,3,FALSE),"")</f>
        <v/>
      </c>
      <c r="F465" s="5" t="s">
        <v>32</v>
      </c>
      <c r="G465" s="6">
        <v>4</v>
      </c>
      <c r="H465" s="7">
        <v>1.7</v>
      </c>
      <c r="I465" s="147"/>
    </row>
    <row r="466" spans="1:9" x14ac:dyDescent="0.2">
      <c r="A466" s="3">
        <f>VLOOKUP(F466,CODIGOSPLACAS!$A$1:$B$38,2,FALSE)</f>
        <v>11</v>
      </c>
      <c r="B466" s="17">
        <v>44593</v>
      </c>
      <c r="C466" s="18">
        <f t="shared" si="50"/>
        <v>2</v>
      </c>
      <c r="D466" s="18">
        <f t="shared" si="51"/>
        <v>2022</v>
      </c>
      <c r="E466" s="18" t="str">
        <f>IFERROR(VLOOKUP(F466,#REF!,3,FALSE),"")</f>
        <v/>
      </c>
      <c r="F466" s="5" t="s">
        <v>29</v>
      </c>
      <c r="G466" s="6">
        <v>4</v>
      </c>
      <c r="H466" s="7">
        <v>1.7</v>
      </c>
      <c r="I466" s="147"/>
    </row>
    <row r="467" spans="1:9" x14ac:dyDescent="0.2">
      <c r="A467" s="3">
        <f>VLOOKUP(F467,CODIGOSPLACAS!$A$1:$B$38,2,FALSE)</f>
        <v>16</v>
      </c>
      <c r="B467" s="17">
        <v>44593</v>
      </c>
      <c r="C467" s="18">
        <f t="shared" si="50"/>
        <v>2</v>
      </c>
      <c r="D467" s="18">
        <f t="shared" si="51"/>
        <v>2022</v>
      </c>
      <c r="E467" s="18" t="str">
        <f>IFERROR(VLOOKUP(F467,#REF!,3,FALSE),"")</f>
        <v/>
      </c>
      <c r="F467" s="6" t="s">
        <v>130</v>
      </c>
      <c r="G467" s="6">
        <v>4</v>
      </c>
      <c r="H467" s="7">
        <v>1.7</v>
      </c>
      <c r="I467" s="147"/>
    </row>
    <row r="468" spans="1:9" x14ac:dyDescent="0.2">
      <c r="A468" s="3">
        <f>VLOOKUP(F468,CODIGOSPLACAS!$A$1:$B$38,2,FALSE)</f>
        <v>23</v>
      </c>
      <c r="B468" s="17">
        <v>44593</v>
      </c>
      <c r="C468" s="18">
        <f t="shared" si="50"/>
        <v>2</v>
      </c>
      <c r="D468" s="18">
        <f t="shared" si="51"/>
        <v>2022</v>
      </c>
      <c r="E468" s="18" t="str">
        <f>IFERROR(VLOOKUP(F468,#REF!,3,FALSE),"")</f>
        <v/>
      </c>
      <c r="F468" s="19" t="s">
        <v>23</v>
      </c>
      <c r="G468" s="19">
        <v>4</v>
      </c>
      <c r="H468" s="20">
        <v>1.7</v>
      </c>
      <c r="I468" s="147"/>
    </row>
    <row r="469" spans="1:9" x14ac:dyDescent="0.2">
      <c r="A469" s="3">
        <f>VLOOKUP(F469,CODIGOSPLACAS!$A$1:$B$38,2,FALSE)</f>
        <v>33</v>
      </c>
      <c r="B469" s="17">
        <v>44593</v>
      </c>
      <c r="C469" s="18">
        <f t="shared" si="50"/>
        <v>2</v>
      </c>
      <c r="D469" s="18">
        <f t="shared" si="51"/>
        <v>2022</v>
      </c>
      <c r="E469" s="18" t="str">
        <f>IFERROR(VLOOKUP(F469,#REF!,3,FALSE),"")</f>
        <v/>
      </c>
      <c r="F469" s="6" t="s">
        <v>127</v>
      </c>
      <c r="G469" s="6">
        <v>3</v>
      </c>
      <c r="H469" s="7">
        <v>1.9</v>
      </c>
      <c r="I469" s="147"/>
    </row>
    <row r="470" spans="1:9" x14ac:dyDescent="0.2">
      <c r="A470" s="3">
        <f>VLOOKUP(F470,CODIGOSPLACAS!$A$1:$B$38,2,FALSE)</f>
        <v>34</v>
      </c>
      <c r="B470" s="17">
        <v>44593</v>
      </c>
      <c r="C470" s="18">
        <f t="shared" si="50"/>
        <v>2</v>
      </c>
      <c r="D470" s="18">
        <f t="shared" si="51"/>
        <v>2022</v>
      </c>
      <c r="E470" s="18" t="str">
        <f>IFERROR(VLOOKUP(F470,#REF!,3,FALSE),"")</f>
        <v/>
      </c>
      <c r="F470" s="6" t="s">
        <v>22</v>
      </c>
      <c r="G470" s="6">
        <v>3</v>
      </c>
      <c r="H470" s="7">
        <v>1.9</v>
      </c>
      <c r="I470" s="147"/>
    </row>
    <row r="471" spans="1:9" x14ac:dyDescent="0.2">
      <c r="A471" s="3">
        <f>VLOOKUP(F471,CODIGOSPLACAS!$A$1:$B$38,2,FALSE)</f>
        <v>30</v>
      </c>
      <c r="B471" s="17">
        <v>44593</v>
      </c>
      <c r="C471" s="18">
        <f t="shared" si="50"/>
        <v>2</v>
      </c>
      <c r="D471" s="18">
        <f t="shared" si="51"/>
        <v>2022</v>
      </c>
      <c r="E471" s="18" t="str">
        <f>IFERROR(VLOOKUP(F471,#REF!,3,FALSE),"")</f>
        <v/>
      </c>
      <c r="F471" s="11" t="s">
        <v>25</v>
      </c>
      <c r="G471" s="9">
        <v>4</v>
      </c>
      <c r="H471" s="10">
        <v>1.7</v>
      </c>
      <c r="I471" s="147"/>
    </row>
    <row r="472" spans="1:9" x14ac:dyDescent="0.2">
      <c r="A472" s="3">
        <f>VLOOKUP(F472,CODIGOSPLACAS!$A$1:$B$38,2,FALSE)</f>
        <v>36</v>
      </c>
      <c r="B472" s="17">
        <v>44593</v>
      </c>
      <c r="C472" s="18">
        <f t="shared" si="50"/>
        <v>2</v>
      </c>
      <c r="D472" s="18">
        <f t="shared" si="51"/>
        <v>2022</v>
      </c>
      <c r="E472" s="18" t="str">
        <f>IFERROR(VLOOKUP(F472,#REF!,3,FALSE),"")</f>
        <v/>
      </c>
      <c r="F472" s="11" t="s">
        <v>35</v>
      </c>
      <c r="G472" s="9">
        <v>5</v>
      </c>
      <c r="H472" s="10">
        <v>2.5</v>
      </c>
      <c r="I472" s="147"/>
    </row>
    <row r="473" spans="1:9" x14ac:dyDescent="0.2">
      <c r="A473" s="3">
        <f>VLOOKUP(F473,CODIGOSPLACAS!$A$1:$B$38,2,FALSE)</f>
        <v>35</v>
      </c>
      <c r="B473" s="17">
        <v>44593</v>
      </c>
      <c r="C473" s="18">
        <f t="shared" si="50"/>
        <v>2</v>
      </c>
      <c r="D473" s="18">
        <f t="shared" si="51"/>
        <v>2022</v>
      </c>
      <c r="E473" s="18" t="str">
        <f>IFERROR(VLOOKUP(F473,#REF!,3,FALSE),"")</f>
        <v/>
      </c>
      <c r="F473" s="11" t="s">
        <v>34</v>
      </c>
      <c r="G473" s="9">
        <v>5</v>
      </c>
      <c r="H473" s="10">
        <v>2.5</v>
      </c>
      <c r="I473" s="147"/>
    </row>
    <row r="474" spans="1:9" x14ac:dyDescent="0.2">
      <c r="E474" s="18" t="str">
        <f>IFERROR(VLOOKUP(F474,#REF!,3,FALSE),"")</f>
        <v/>
      </c>
      <c r="F474" s="214" t="s">
        <v>39</v>
      </c>
      <c r="G474" s="214"/>
      <c r="H474" s="214"/>
      <c r="I474" s="150"/>
    </row>
    <row r="475" spans="1:9" x14ac:dyDescent="0.2">
      <c r="A475" s="3">
        <f>VLOOKUP(F475,CODIGOSPLACAS!$A$1:$B$38,2,FALSE)</f>
        <v>2</v>
      </c>
      <c r="B475" s="17">
        <v>44621</v>
      </c>
      <c r="C475" s="18">
        <f t="shared" ref="C475:C492" si="52">MONTH(B475)</f>
        <v>3</v>
      </c>
      <c r="D475" s="18">
        <f t="shared" ref="D475:D492" si="53">YEAR(B475)</f>
        <v>2022</v>
      </c>
      <c r="E475" s="18" t="str">
        <f>IFERROR(VLOOKUP(F475,#REF!,3,FALSE),"")</f>
        <v/>
      </c>
      <c r="F475" s="6" t="s">
        <v>24</v>
      </c>
      <c r="G475" s="6">
        <v>4</v>
      </c>
      <c r="H475" s="7">
        <v>1.7</v>
      </c>
      <c r="I475" s="147"/>
    </row>
    <row r="476" spans="1:9" x14ac:dyDescent="0.2">
      <c r="A476" s="3">
        <f>VLOOKUP(F476,CODIGOSPLACAS!$A$1:$B$38,2,FALSE)</f>
        <v>3</v>
      </c>
      <c r="B476" s="17">
        <v>44621</v>
      </c>
      <c r="C476" s="18">
        <f t="shared" si="52"/>
        <v>3</v>
      </c>
      <c r="D476" s="18">
        <f t="shared" si="53"/>
        <v>2022</v>
      </c>
      <c r="E476" s="18" t="str">
        <f>IFERROR(VLOOKUP(F476,#REF!,3,FALSE),"")</f>
        <v/>
      </c>
      <c r="F476" s="6" t="s">
        <v>28</v>
      </c>
      <c r="G476" s="6">
        <v>4</v>
      </c>
      <c r="H476" s="7">
        <v>1.7</v>
      </c>
      <c r="I476" s="147"/>
    </row>
    <row r="477" spans="1:9" x14ac:dyDescent="0.2">
      <c r="A477" s="3">
        <f>VLOOKUP(F477,CODIGOSPLACAS!$A$1:$B$38,2,FALSE)</f>
        <v>4</v>
      </c>
      <c r="B477" s="17">
        <v>44621</v>
      </c>
      <c r="C477" s="18">
        <f t="shared" si="52"/>
        <v>3</v>
      </c>
      <c r="D477" s="18">
        <f t="shared" si="53"/>
        <v>2022</v>
      </c>
      <c r="E477" s="18" t="str">
        <f>IFERROR(VLOOKUP(F477,#REF!,3,FALSE),"")</f>
        <v/>
      </c>
      <c r="F477" s="5" t="s">
        <v>30</v>
      </c>
      <c r="G477" s="6">
        <v>4</v>
      </c>
      <c r="H477" s="7">
        <v>1.7</v>
      </c>
      <c r="I477" s="147"/>
    </row>
    <row r="478" spans="1:9" x14ac:dyDescent="0.2">
      <c r="A478" s="3">
        <f>VLOOKUP(F478,CODIGOSPLACAS!$A$1:$B$38,2,FALSE)</f>
        <v>5</v>
      </c>
      <c r="B478" s="17">
        <v>44621</v>
      </c>
      <c r="C478" s="18">
        <f t="shared" si="52"/>
        <v>3</v>
      </c>
      <c r="D478" s="18">
        <f t="shared" si="53"/>
        <v>2022</v>
      </c>
      <c r="E478" s="18" t="str">
        <f>IFERROR(VLOOKUP(F478,#REF!,3,FALSE),"")</f>
        <v/>
      </c>
      <c r="F478" s="5" t="s">
        <v>33</v>
      </c>
      <c r="G478" s="6">
        <v>4</v>
      </c>
      <c r="H478" s="7">
        <v>1.7</v>
      </c>
      <c r="I478" s="147"/>
    </row>
    <row r="479" spans="1:9" x14ac:dyDescent="0.2">
      <c r="A479" s="3">
        <f>VLOOKUP(F479,CODIGOSPLACAS!$A$1:$B$38,2,FALSE)</f>
        <v>6</v>
      </c>
      <c r="B479" s="17">
        <v>44621</v>
      </c>
      <c r="C479" s="18">
        <f t="shared" si="52"/>
        <v>3</v>
      </c>
      <c r="D479" s="18">
        <f t="shared" si="53"/>
        <v>2022</v>
      </c>
      <c r="E479" s="18" t="str">
        <f>IFERROR(VLOOKUP(F479,#REF!,3,FALSE),"")</f>
        <v/>
      </c>
      <c r="F479" s="5" t="s">
        <v>31</v>
      </c>
      <c r="G479" s="6">
        <v>4</v>
      </c>
      <c r="H479" s="7">
        <v>1.7</v>
      </c>
      <c r="I479" s="147"/>
    </row>
    <row r="480" spans="1:9" x14ac:dyDescent="0.2">
      <c r="A480" s="3">
        <f>VLOOKUP(F480,CODIGOSPLACAS!$A$1:$B$38,2,FALSE)</f>
        <v>7</v>
      </c>
      <c r="B480" s="17">
        <v>44621</v>
      </c>
      <c r="C480" s="18">
        <f t="shared" si="52"/>
        <v>3</v>
      </c>
      <c r="D480" s="18">
        <f t="shared" si="53"/>
        <v>2022</v>
      </c>
      <c r="E480" s="18" t="str">
        <f>IFERROR(VLOOKUP(F480,#REF!,3,FALSE),"")</f>
        <v/>
      </c>
      <c r="F480" s="5" t="s">
        <v>124</v>
      </c>
      <c r="G480" s="6">
        <v>4</v>
      </c>
      <c r="H480" s="7">
        <v>1.7</v>
      </c>
      <c r="I480" s="147"/>
    </row>
    <row r="481" spans="1:9" x14ac:dyDescent="0.2">
      <c r="A481" s="3">
        <f>VLOOKUP(F481,CODIGOSPLACAS!$A$1:$B$38,2,FALSE)</f>
        <v>8</v>
      </c>
      <c r="B481" s="17">
        <v>44621</v>
      </c>
      <c r="C481" s="18">
        <f t="shared" si="52"/>
        <v>3</v>
      </c>
      <c r="D481" s="18">
        <f t="shared" si="53"/>
        <v>2022</v>
      </c>
      <c r="E481" s="18" t="str">
        <f>IFERROR(VLOOKUP(F481,#REF!,3,FALSE),"")</f>
        <v/>
      </c>
      <c r="F481" s="6" t="s">
        <v>27</v>
      </c>
      <c r="G481" s="6">
        <v>4</v>
      </c>
      <c r="H481" s="7">
        <v>1.7</v>
      </c>
      <c r="I481" s="147"/>
    </row>
    <row r="482" spans="1:9" x14ac:dyDescent="0.2">
      <c r="A482" s="3">
        <f>VLOOKUP(F482,CODIGOSPLACAS!$A$1:$B$38,2,FALSE)</f>
        <v>9</v>
      </c>
      <c r="B482" s="17">
        <v>44621</v>
      </c>
      <c r="C482" s="18">
        <f t="shared" si="52"/>
        <v>3</v>
      </c>
      <c r="D482" s="18">
        <f t="shared" si="53"/>
        <v>2022</v>
      </c>
      <c r="E482" s="18" t="str">
        <f>IFERROR(VLOOKUP(F482,#REF!,3,FALSE),"")</f>
        <v/>
      </c>
      <c r="F482" s="6" t="s">
        <v>126</v>
      </c>
      <c r="G482" s="6">
        <v>4</v>
      </c>
      <c r="H482" s="7">
        <v>1.7</v>
      </c>
      <c r="I482" s="147"/>
    </row>
    <row r="483" spans="1:9" x14ac:dyDescent="0.2">
      <c r="A483" s="3">
        <f>VLOOKUP(F483,CODIGOSPLACAS!$A$1:$B$38,2,FALSE)</f>
        <v>10</v>
      </c>
      <c r="B483" s="17">
        <v>44621</v>
      </c>
      <c r="C483" s="18">
        <f t="shared" si="52"/>
        <v>3</v>
      </c>
      <c r="D483" s="18">
        <f t="shared" si="53"/>
        <v>2022</v>
      </c>
      <c r="E483" s="18" t="str">
        <f>IFERROR(VLOOKUP(F483,#REF!,3,FALSE),"")</f>
        <v/>
      </c>
      <c r="F483" s="5" t="s">
        <v>32</v>
      </c>
      <c r="G483" s="6">
        <v>4</v>
      </c>
      <c r="H483" s="7">
        <v>1.7</v>
      </c>
      <c r="I483" s="147"/>
    </row>
    <row r="484" spans="1:9" x14ac:dyDescent="0.2">
      <c r="A484" s="3">
        <f>VLOOKUP(F484,CODIGOSPLACAS!$A$1:$B$38,2,FALSE)</f>
        <v>11</v>
      </c>
      <c r="B484" s="17">
        <v>44621</v>
      </c>
      <c r="C484" s="18">
        <f t="shared" si="52"/>
        <v>3</v>
      </c>
      <c r="D484" s="18">
        <f t="shared" si="53"/>
        <v>2022</v>
      </c>
      <c r="E484" s="18" t="str">
        <f>IFERROR(VLOOKUP(F484,#REF!,3,FALSE),"")</f>
        <v/>
      </c>
      <c r="F484" s="5" t="s">
        <v>29</v>
      </c>
      <c r="G484" s="6">
        <v>4</v>
      </c>
      <c r="H484" s="7">
        <v>1.7</v>
      </c>
      <c r="I484" s="147"/>
    </row>
    <row r="485" spans="1:9" x14ac:dyDescent="0.2">
      <c r="A485" s="3">
        <f>VLOOKUP(F485,CODIGOSPLACAS!$A$1:$B$38,2,FALSE)</f>
        <v>16</v>
      </c>
      <c r="B485" s="17">
        <v>44621</v>
      </c>
      <c r="C485" s="18">
        <f t="shared" si="52"/>
        <v>3</v>
      </c>
      <c r="D485" s="18">
        <f t="shared" si="53"/>
        <v>2022</v>
      </c>
      <c r="E485" s="18" t="str">
        <f>IFERROR(VLOOKUP(F485,#REF!,3,FALSE),"")</f>
        <v/>
      </c>
      <c r="F485" s="6" t="s">
        <v>130</v>
      </c>
      <c r="G485" s="6">
        <v>4</v>
      </c>
      <c r="H485" s="7">
        <v>1.7</v>
      </c>
      <c r="I485" s="147"/>
    </row>
    <row r="486" spans="1:9" x14ac:dyDescent="0.2">
      <c r="A486" s="3">
        <f>VLOOKUP(F486,CODIGOSPLACAS!$A$1:$B$38,2,FALSE)</f>
        <v>23</v>
      </c>
      <c r="B486" s="17">
        <v>44621</v>
      </c>
      <c r="C486" s="18">
        <f t="shared" si="52"/>
        <v>3</v>
      </c>
      <c r="D486" s="18">
        <f t="shared" si="53"/>
        <v>2022</v>
      </c>
      <c r="E486" s="18" t="str">
        <f>IFERROR(VLOOKUP(F486,#REF!,3,FALSE),"")</f>
        <v/>
      </c>
      <c r="F486" s="19" t="s">
        <v>23</v>
      </c>
      <c r="G486" s="19">
        <v>4</v>
      </c>
      <c r="H486" s="20">
        <v>1.7</v>
      </c>
      <c r="I486" s="147"/>
    </row>
    <row r="487" spans="1:9" x14ac:dyDescent="0.2">
      <c r="A487" s="3">
        <f>VLOOKUP(F487,CODIGOSPLACAS!$A$1:$B$38,2,FALSE)</f>
        <v>33</v>
      </c>
      <c r="B487" s="17">
        <v>44621</v>
      </c>
      <c r="C487" s="18">
        <f t="shared" si="52"/>
        <v>3</v>
      </c>
      <c r="D487" s="18">
        <f t="shared" si="53"/>
        <v>2022</v>
      </c>
      <c r="E487" s="18" t="str">
        <f>IFERROR(VLOOKUP(F487,#REF!,3,FALSE),"")</f>
        <v/>
      </c>
      <c r="F487" s="6" t="s">
        <v>127</v>
      </c>
      <c r="G487" s="6">
        <v>3</v>
      </c>
      <c r="H487" s="7">
        <v>1.9</v>
      </c>
      <c r="I487" s="147"/>
    </row>
    <row r="488" spans="1:9" x14ac:dyDescent="0.2">
      <c r="A488" s="3">
        <f>VLOOKUP(F488,CODIGOSPLACAS!$A$1:$B$38,2,FALSE)</f>
        <v>34</v>
      </c>
      <c r="B488" s="17">
        <v>44621</v>
      </c>
      <c r="C488" s="18">
        <f t="shared" si="52"/>
        <v>3</v>
      </c>
      <c r="D488" s="18">
        <f t="shared" si="53"/>
        <v>2022</v>
      </c>
      <c r="E488" s="18" t="str">
        <f>IFERROR(VLOOKUP(F488,#REF!,3,FALSE),"")</f>
        <v/>
      </c>
      <c r="F488" s="6" t="s">
        <v>22</v>
      </c>
      <c r="G488" s="6">
        <v>3</v>
      </c>
      <c r="H488" s="7">
        <v>1.9</v>
      </c>
      <c r="I488" s="147"/>
    </row>
    <row r="489" spans="1:9" x14ac:dyDescent="0.2">
      <c r="A489" s="3">
        <f>VLOOKUP(F489,CODIGOSPLACAS!$A$1:$B$38,2,FALSE)</f>
        <v>30</v>
      </c>
      <c r="B489" s="17">
        <v>44621</v>
      </c>
      <c r="C489" s="18">
        <f t="shared" si="52"/>
        <v>3</v>
      </c>
      <c r="D489" s="18">
        <f t="shared" si="53"/>
        <v>2022</v>
      </c>
      <c r="E489" s="18" t="str">
        <f>IFERROR(VLOOKUP(F489,#REF!,3,FALSE),"")</f>
        <v/>
      </c>
      <c r="F489" s="11" t="s">
        <v>25</v>
      </c>
      <c r="G489" s="9">
        <v>4</v>
      </c>
      <c r="H489" s="10">
        <v>1.7</v>
      </c>
      <c r="I489" s="147"/>
    </row>
    <row r="490" spans="1:9" x14ac:dyDescent="0.2">
      <c r="A490" s="3">
        <f>VLOOKUP(F490,CODIGOSPLACAS!$A$1:$B$38,2,FALSE)</f>
        <v>31</v>
      </c>
      <c r="B490" s="17">
        <v>44621</v>
      </c>
      <c r="C490" s="18">
        <f>MONTH(B490)</f>
        <v>3</v>
      </c>
      <c r="D490" s="18">
        <f>YEAR(B490)</f>
        <v>2022</v>
      </c>
      <c r="E490" s="18" t="str">
        <f>IFERROR(VLOOKUP(F490,#REF!,3,FALSE),"")</f>
        <v/>
      </c>
      <c r="F490" s="11" t="s">
        <v>128</v>
      </c>
      <c r="G490" s="9">
        <v>4</v>
      </c>
      <c r="H490" s="10">
        <v>1.7</v>
      </c>
      <c r="I490" s="147"/>
    </row>
    <row r="491" spans="1:9" x14ac:dyDescent="0.2">
      <c r="A491" s="3">
        <f>VLOOKUP(F491,CODIGOSPLACAS!$A$1:$B$38,2,FALSE)</f>
        <v>36</v>
      </c>
      <c r="B491" s="17">
        <v>44621</v>
      </c>
      <c r="C491" s="18">
        <f t="shared" si="52"/>
        <v>3</v>
      </c>
      <c r="D491" s="18">
        <f t="shared" si="53"/>
        <v>2022</v>
      </c>
      <c r="E491" s="18" t="str">
        <f>IFERROR(VLOOKUP(F491,#REF!,3,FALSE),"")</f>
        <v/>
      </c>
      <c r="F491" s="11" t="s">
        <v>35</v>
      </c>
      <c r="G491" s="9">
        <v>5</v>
      </c>
      <c r="H491" s="10">
        <v>2.5</v>
      </c>
      <c r="I491" s="147"/>
    </row>
    <row r="492" spans="1:9" x14ac:dyDescent="0.2">
      <c r="A492" s="3">
        <f>VLOOKUP(F492,CODIGOSPLACAS!$A$1:$B$38,2,FALSE)</f>
        <v>35</v>
      </c>
      <c r="B492" s="17">
        <v>44621</v>
      </c>
      <c r="C492" s="18">
        <f t="shared" si="52"/>
        <v>3</v>
      </c>
      <c r="D492" s="18">
        <f t="shared" si="53"/>
        <v>2022</v>
      </c>
      <c r="E492" s="18" t="str">
        <f>IFERROR(VLOOKUP(F492,#REF!,3,FALSE),"")</f>
        <v/>
      </c>
      <c r="F492" s="11" t="s">
        <v>34</v>
      </c>
      <c r="G492" s="9">
        <v>5</v>
      </c>
      <c r="H492" s="10">
        <v>2.5</v>
      </c>
      <c r="I492" s="147"/>
    </row>
    <row r="493" spans="1:9" x14ac:dyDescent="0.2">
      <c r="E493" s="18" t="str">
        <f>IFERROR(VLOOKUP(F493,#REF!,3,FALSE),"")</f>
        <v/>
      </c>
      <c r="F493" s="214" t="s">
        <v>39</v>
      </c>
      <c r="G493" s="214"/>
      <c r="H493" s="214"/>
      <c r="I493" s="150"/>
    </row>
    <row r="494" spans="1:9" x14ac:dyDescent="0.2">
      <c r="A494" s="3">
        <f>VLOOKUP(F494,CODIGOSPLACAS!$A$1:$B$38,2,FALSE)</f>
        <v>2</v>
      </c>
      <c r="B494" s="17">
        <v>44652</v>
      </c>
      <c r="C494" s="18">
        <f t="shared" ref="C494:C511" si="54">MONTH(B494)</f>
        <v>4</v>
      </c>
      <c r="D494" s="18">
        <f t="shared" ref="D494:D511" si="55">YEAR(B494)</f>
        <v>2022</v>
      </c>
      <c r="E494" s="18" t="str">
        <f>IFERROR(VLOOKUP(F494,#REF!,3,FALSE),"")</f>
        <v/>
      </c>
      <c r="F494" s="6" t="s">
        <v>24</v>
      </c>
      <c r="G494" s="6">
        <v>4</v>
      </c>
      <c r="H494" s="7">
        <v>1.7</v>
      </c>
      <c r="I494" s="147"/>
    </row>
    <row r="495" spans="1:9" x14ac:dyDescent="0.2">
      <c r="A495" s="3">
        <f>VLOOKUP(F495,CODIGOSPLACAS!$A$1:$B$38,2,FALSE)</f>
        <v>3</v>
      </c>
      <c r="B495" s="17">
        <v>44652</v>
      </c>
      <c r="C495" s="18">
        <f t="shared" si="54"/>
        <v>4</v>
      </c>
      <c r="D495" s="18">
        <f t="shared" si="55"/>
        <v>2022</v>
      </c>
      <c r="E495" s="18" t="str">
        <f>IFERROR(VLOOKUP(F495,#REF!,3,FALSE),"")</f>
        <v/>
      </c>
      <c r="F495" s="6" t="s">
        <v>28</v>
      </c>
      <c r="G495" s="6">
        <v>4</v>
      </c>
      <c r="H495" s="7">
        <v>1.7</v>
      </c>
      <c r="I495" s="147"/>
    </row>
    <row r="496" spans="1:9" x14ac:dyDescent="0.2">
      <c r="A496" s="3">
        <f>VLOOKUP(F496,CODIGOSPLACAS!$A$1:$B$38,2,FALSE)</f>
        <v>4</v>
      </c>
      <c r="B496" s="17">
        <v>44652</v>
      </c>
      <c r="C496" s="18">
        <f t="shared" si="54"/>
        <v>4</v>
      </c>
      <c r="D496" s="18">
        <f t="shared" si="55"/>
        <v>2022</v>
      </c>
      <c r="E496" s="18" t="str">
        <f>IFERROR(VLOOKUP(F496,#REF!,3,FALSE),"")</f>
        <v/>
      </c>
      <c r="F496" s="5" t="s">
        <v>30</v>
      </c>
      <c r="G496" s="6">
        <v>4</v>
      </c>
      <c r="H496" s="7">
        <v>1.7</v>
      </c>
      <c r="I496" s="147"/>
    </row>
    <row r="497" spans="1:9" x14ac:dyDescent="0.2">
      <c r="A497" s="3">
        <f>VLOOKUP(F497,CODIGOSPLACAS!$A$1:$B$38,2,FALSE)</f>
        <v>5</v>
      </c>
      <c r="B497" s="17">
        <v>44652</v>
      </c>
      <c r="C497" s="18">
        <f t="shared" si="54"/>
        <v>4</v>
      </c>
      <c r="D497" s="18">
        <f t="shared" si="55"/>
        <v>2022</v>
      </c>
      <c r="E497" s="18" t="str">
        <f>IFERROR(VLOOKUP(F497,#REF!,3,FALSE),"")</f>
        <v/>
      </c>
      <c r="F497" s="5" t="s">
        <v>33</v>
      </c>
      <c r="G497" s="6">
        <v>4</v>
      </c>
      <c r="H497" s="7">
        <v>1.7</v>
      </c>
      <c r="I497" s="147"/>
    </row>
    <row r="498" spans="1:9" x14ac:dyDescent="0.2">
      <c r="A498" s="3">
        <f>VLOOKUP(F498,CODIGOSPLACAS!$A$1:$B$38,2,FALSE)</f>
        <v>6</v>
      </c>
      <c r="B498" s="17">
        <v>44652</v>
      </c>
      <c r="C498" s="18">
        <f t="shared" si="54"/>
        <v>4</v>
      </c>
      <c r="D498" s="18">
        <f t="shared" si="55"/>
        <v>2022</v>
      </c>
      <c r="E498" s="18" t="str">
        <f>IFERROR(VLOOKUP(F498,#REF!,3,FALSE),"")</f>
        <v/>
      </c>
      <c r="F498" s="5" t="s">
        <v>31</v>
      </c>
      <c r="G498" s="6">
        <v>4</v>
      </c>
      <c r="H498" s="7">
        <v>1.7</v>
      </c>
      <c r="I498" s="147"/>
    </row>
    <row r="499" spans="1:9" x14ac:dyDescent="0.2">
      <c r="A499" s="3">
        <f>VLOOKUP(F499,CODIGOSPLACAS!$A$1:$B$38,2,FALSE)</f>
        <v>7</v>
      </c>
      <c r="B499" s="17">
        <v>44652</v>
      </c>
      <c r="C499" s="18">
        <f t="shared" si="54"/>
        <v>4</v>
      </c>
      <c r="D499" s="18">
        <f t="shared" si="55"/>
        <v>2022</v>
      </c>
      <c r="E499" s="18" t="str">
        <f>IFERROR(VLOOKUP(F499,#REF!,3,FALSE),"")</f>
        <v/>
      </c>
      <c r="F499" s="5" t="s">
        <v>124</v>
      </c>
      <c r="G499" s="6">
        <v>4</v>
      </c>
      <c r="H499" s="7">
        <v>1.7</v>
      </c>
      <c r="I499" s="147"/>
    </row>
    <row r="500" spans="1:9" x14ac:dyDescent="0.2">
      <c r="A500" s="3">
        <f>VLOOKUP(F500,CODIGOSPLACAS!$A$1:$B$38,2,FALSE)</f>
        <v>8</v>
      </c>
      <c r="B500" s="17">
        <v>44652</v>
      </c>
      <c r="C500" s="18">
        <f t="shared" si="54"/>
        <v>4</v>
      </c>
      <c r="D500" s="18">
        <f t="shared" si="55"/>
        <v>2022</v>
      </c>
      <c r="E500" s="18" t="str">
        <f>IFERROR(VLOOKUP(F500,#REF!,3,FALSE),"")</f>
        <v/>
      </c>
      <c r="F500" s="6" t="s">
        <v>27</v>
      </c>
      <c r="G500" s="6">
        <v>4</v>
      </c>
      <c r="H500" s="7">
        <v>1.7</v>
      </c>
      <c r="I500" s="147"/>
    </row>
    <row r="501" spans="1:9" x14ac:dyDescent="0.2">
      <c r="A501" s="3">
        <f>VLOOKUP(F501,CODIGOSPLACAS!$A$1:$B$38,2,FALSE)</f>
        <v>9</v>
      </c>
      <c r="B501" s="17">
        <v>44652</v>
      </c>
      <c r="C501" s="18">
        <f t="shared" si="54"/>
        <v>4</v>
      </c>
      <c r="D501" s="18">
        <f t="shared" si="55"/>
        <v>2022</v>
      </c>
      <c r="E501" s="18" t="str">
        <f>IFERROR(VLOOKUP(F501,#REF!,3,FALSE),"")</f>
        <v/>
      </c>
      <c r="F501" s="6" t="s">
        <v>126</v>
      </c>
      <c r="G501" s="6">
        <v>4</v>
      </c>
      <c r="H501" s="7">
        <v>1.7</v>
      </c>
      <c r="I501" s="147"/>
    </row>
    <row r="502" spans="1:9" x14ac:dyDescent="0.2">
      <c r="A502" s="3">
        <f>VLOOKUP(F502,CODIGOSPLACAS!$A$1:$B$38,2,FALSE)</f>
        <v>10</v>
      </c>
      <c r="B502" s="17">
        <v>44652</v>
      </c>
      <c r="C502" s="18">
        <f t="shared" si="54"/>
        <v>4</v>
      </c>
      <c r="D502" s="18">
        <f t="shared" si="55"/>
        <v>2022</v>
      </c>
      <c r="E502" s="18" t="str">
        <f>IFERROR(VLOOKUP(F502,#REF!,3,FALSE),"")</f>
        <v/>
      </c>
      <c r="F502" s="5" t="s">
        <v>32</v>
      </c>
      <c r="G502" s="6">
        <v>4</v>
      </c>
      <c r="H502" s="7">
        <v>1.7</v>
      </c>
      <c r="I502" s="147"/>
    </row>
    <row r="503" spans="1:9" x14ac:dyDescent="0.2">
      <c r="A503" s="3">
        <f>VLOOKUP(F503,CODIGOSPLACAS!$A$1:$B$38,2,FALSE)</f>
        <v>11</v>
      </c>
      <c r="B503" s="17">
        <v>44652</v>
      </c>
      <c r="C503" s="18">
        <f t="shared" si="54"/>
        <v>4</v>
      </c>
      <c r="D503" s="18">
        <f t="shared" si="55"/>
        <v>2022</v>
      </c>
      <c r="E503" s="18" t="str">
        <f>IFERROR(VLOOKUP(F503,#REF!,3,FALSE),"")</f>
        <v/>
      </c>
      <c r="F503" s="5" t="s">
        <v>29</v>
      </c>
      <c r="G503" s="6">
        <v>4</v>
      </c>
      <c r="H503" s="7">
        <v>1.7</v>
      </c>
      <c r="I503" s="147"/>
    </row>
    <row r="504" spans="1:9" x14ac:dyDescent="0.2">
      <c r="A504" s="3">
        <f>VLOOKUP(F504,CODIGOSPLACAS!$A$1:$B$38,2,FALSE)</f>
        <v>16</v>
      </c>
      <c r="B504" s="17">
        <v>44652</v>
      </c>
      <c r="C504" s="18">
        <f t="shared" si="54"/>
        <v>4</v>
      </c>
      <c r="D504" s="18">
        <f t="shared" si="55"/>
        <v>2022</v>
      </c>
      <c r="E504" s="18" t="str">
        <f>IFERROR(VLOOKUP(F504,#REF!,3,FALSE),"")</f>
        <v/>
      </c>
      <c r="F504" s="6" t="s">
        <v>130</v>
      </c>
      <c r="G504" s="6">
        <v>4</v>
      </c>
      <c r="H504" s="7">
        <v>1.7</v>
      </c>
      <c r="I504" s="147"/>
    </row>
    <row r="505" spans="1:9" x14ac:dyDescent="0.2">
      <c r="A505" s="3">
        <f>VLOOKUP(F505,CODIGOSPLACAS!$A$1:$B$38,2,FALSE)</f>
        <v>23</v>
      </c>
      <c r="B505" s="17">
        <v>44652</v>
      </c>
      <c r="C505" s="18">
        <f t="shared" si="54"/>
        <v>4</v>
      </c>
      <c r="D505" s="18">
        <f t="shared" si="55"/>
        <v>2022</v>
      </c>
      <c r="E505" s="18" t="str">
        <f>IFERROR(VLOOKUP(F505,#REF!,3,FALSE),"")</f>
        <v/>
      </c>
      <c r="F505" s="19" t="s">
        <v>23</v>
      </c>
      <c r="G505" s="19">
        <v>4</v>
      </c>
      <c r="H505" s="20">
        <v>1.7</v>
      </c>
      <c r="I505" s="147"/>
    </row>
    <row r="506" spans="1:9" x14ac:dyDescent="0.2">
      <c r="A506" s="3">
        <f>VLOOKUP(F506,CODIGOSPLACAS!$A$1:$B$38,2,FALSE)</f>
        <v>33</v>
      </c>
      <c r="B506" s="17">
        <v>44652</v>
      </c>
      <c r="C506" s="18">
        <f t="shared" si="54"/>
        <v>4</v>
      </c>
      <c r="D506" s="18">
        <f t="shared" si="55"/>
        <v>2022</v>
      </c>
      <c r="E506" s="18" t="str">
        <f>IFERROR(VLOOKUP(F506,#REF!,3,FALSE),"")</f>
        <v/>
      </c>
      <c r="F506" s="6" t="s">
        <v>127</v>
      </c>
      <c r="G506" s="6">
        <v>3</v>
      </c>
      <c r="H506" s="7">
        <v>1.9</v>
      </c>
      <c r="I506" s="147"/>
    </row>
    <row r="507" spans="1:9" x14ac:dyDescent="0.2">
      <c r="A507" s="3">
        <f>VLOOKUP(F507,CODIGOSPLACAS!$A$1:$B$38,2,FALSE)</f>
        <v>34</v>
      </c>
      <c r="B507" s="17">
        <v>44652</v>
      </c>
      <c r="C507" s="18">
        <f t="shared" si="54"/>
        <v>4</v>
      </c>
      <c r="D507" s="18">
        <f t="shared" si="55"/>
        <v>2022</v>
      </c>
      <c r="E507" s="18" t="str">
        <f>IFERROR(VLOOKUP(F507,#REF!,3,FALSE),"")</f>
        <v/>
      </c>
      <c r="F507" s="6" t="s">
        <v>22</v>
      </c>
      <c r="G507" s="6">
        <v>3</v>
      </c>
      <c r="H507" s="7">
        <v>1.9</v>
      </c>
      <c r="I507" s="147"/>
    </row>
    <row r="508" spans="1:9" x14ac:dyDescent="0.2">
      <c r="A508" s="3">
        <f>VLOOKUP(F508,CODIGOSPLACAS!$A$1:$B$38,2,FALSE)</f>
        <v>30</v>
      </c>
      <c r="B508" s="17">
        <v>44652</v>
      </c>
      <c r="C508" s="18">
        <f t="shared" si="54"/>
        <v>4</v>
      </c>
      <c r="D508" s="18">
        <f t="shared" si="55"/>
        <v>2022</v>
      </c>
      <c r="E508" s="18" t="str">
        <f>IFERROR(VLOOKUP(F508,#REF!,3,FALSE),"")</f>
        <v/>
      </c>
      <c r="F508" s="11" t="s">
        <v>25</v>
      </c>
      <c r="G508" s="9">
        <v>4</v>
      </c>
      <c r="H508" s="10">
        <v>1.7</v>
      </c>
      <c r="I508" s="147"/>
    </row>
    <row r="509" spans="1:9" x14ac:dyDescent="0.2">
      <c r="A509" s="3">
        <f>VLOOKUP(F509,CODIGOSPLACAS!$A$1:$B$38,2,FALSE)</f>
        <v>31</v>
      </c>
      <c r="B509" s="17">
        <v>44652</v>
      </c>
      <c r="C509" s="18">
        <f t="shared" si="54"/>
        <v>4</v>
      </c>
      <c r="D509" s="18">
        <f t="shared" si="55"/>
        <v>2022</v>
      </c>
      <c r="E509" s="18" t="str">
        <f>IFERROR(VLOOKUP(F509,#REF!,3,FALSE),"")</f>
        <v/>
      </c>
      <c r="F509" s="11" t="s">
        <v>128</v>
      </c>
      <c r="G509" s="9">
        <v>4</v>
      </c>
      <c r="H509" s="10">
        <v>1.7</v>
      </c>
      <c r="I509" s="147"/>
    </row>
    <row r="510" spans="1:9" x14ac:dyDescent="0.2">
      <c r="A510" s="3">
        <f>VLOOKUP(F510,CODIGOSPLACAS!$A$1:$B$38,2,FALSE)</f>
        <v>36</v>
      </c>
      <c r="B510" s="17">
        <v>44652</v>
      </c>
      <c r="C510" s="18">
        <f t="shared" si="54"/>
        <v>4</v>
      </c>
      <c r="D510" s="18">
        <f t="shared" si="55"/>
        <v>2022</v>
      </c>
      <c r="E510" s="18" t="str">
        <f>IFERROR(VLOOKUP(F510,#REF!,3,FALSE),"")</f>
        <v/>
      </c>
      <c r="F510" s="11" t="s">
        <v>35</v>
      </c>
      <c r="G510" s="9">
        <v>5</v>
      </c>
      <c r="H510" s="10">
        <v>2.5</v>
      </c>
      <c r="I510" s="147"/>
    </row>
    <row r="511" spans="1:9" x14ac:dyDescent="0.2">
      <c r="A511" s="3">
        <f>VLOOKUP(F511,CODIGOSPLACAS!$A$1:$B$38,2,FALSE)</f>
        <v>35</v>
      </c>
      <c r="B511" s="17">
        <v>44652</v>
      </c>
      <c r="C511" s="18">
        <f t="shared" si="54"/>
        <v>4</v>
      </c>
      <c r="D511" s="18">
        <f t="shared" si="55"/>
        <v>2022</v>
      </c>
      <c r="E511" s="18" t="str">
        <f>IFERROR(VLOOKUP(F511,#REF!,3,FALSE),"")</f>
        <v/>
      </c>
      <c r="F511" s="11" t="s">
        <v>34</v>
      </c>
      <c r="G511" s="9">
        <v>5</v>
      </c>
      <c r="H511" s="10">
        <v>2.5</v>
      </c>
      <c r="I511" s="147"/>
    </row>
    <row r="512" spans="1:9" x14ac:dyDescent="0.2">
      <c r="E512" s="18" t="str">
        <f>IFERROR(VLOOKUP(F512,#REF!,3,FALSE),"")</f>
        <v/>
      </c>
      <c r="F512" s="214" t="s">
        <v>39</v>
      </c>
      <c r="G512" s="214"/>
      <c r="H512" s="214"/>
      <c r="I512" s="150"/>
    </row>
    <row r="513" spans="1:9" x14ac:dyDescent="0.2">
      <c r="A513" s="3">
        <f>VLOOKUP(F513,CODIGOSPLACAS!$A$1:$B$38,2,FALSE)</f>
        <v>2</v>
      </c>
      <c r="B513" s="17">
        <v>44682</v>
      </c>
      <c r="C513" s="18">
        <f t="shared" ref="C513:C531" si="56">MONTH(B513)</f>
        <v>5</v>
      </c>
      <c r="D513" s="18">
        <f t="shared" ref="D513:D531" si="57">YEAR(B513)</f>
        <v>2022</v>
      </c>
      <c r="E513" s="18" t="str">
        <f>IFERROR(VLOOKUP(F513,#REF!,3,FALSE),"")</f>
        <v/>
      </c>
      <c r="F513" s="6" t="s">
        <v>24</v>
      </c>
      <c r="G513" s="6">
        <v>4</v>
      </c>
      <c r="H513" s="7">
        <v>1.7</v>
      </c>
      <c r="I513" s="147"/>
    </row>
    <row r="514" spans="1:9" x14ac:dyDescent="0.2">
      <c r="A514" s="3">
        <f>VLOOKUP(F514,CODIGOSPLACAS!$A$1:$B$38,2,FALSE)</f>
        <v>1</v>
      </c>
      <c r="B514" s="17">
        <v>44682</v>
      </c>
      <c r="C514" s="18">
        <f t="shared" si="56"/>
        <v>5</v>
      </c>
      <c r="D514" s="18">
        <f t="shared" si="57"/>
        <v>2022</v>
      </c>
      <c r="E514" s="18" t="str">
        <f>IFERROR(VLOOKUP(F514,#REF!,3,FALSE),"")</f>
        <v/>
      </c>
      <c r="F514" s="6" t="s">
        <v>26</v>
      </c>
      <c r="G514" s="6">
        <v>4</v>
      </c>
      <c r="H514" s="7">
        <v>1.7</v>
      </c>
      <c r="I514" s="147"/>
    </row>
    <row r="515" spans="1:9" x14ac:dyDescent="0.2">
      <c r="A515" s="3">
        <f>VLOOKUP(F515,CODIGOSPLACAS!$A$1:$B$38,2,FALSE)</f>
        <v>3</v>
      </c>
      <c r="B515" s="17">
        <v>44682</v>
      </c>
      <c r="C515" s="18">
        <f t="shared" si="56"/>
        <v>5</v>
      </c>
      <c r="D515" s="18">
        <f t="shared" si="57"/>
        <v>2022</v>
      </c>
      <c r="E515" s="18" t="str">
        <f>IFERROR(VLOOKUP(F515,#REF!,3,FALSE),"")</f>
        <v/>
      </c>
      <c r="F515" s="6" t="s">
        <v>28</v>
      </c>
      <c r="G515" s="6">
        <v>4</v>
      </c>
      <c r="H515" s="7">
        <v>1.7</v>
      </c>
      <c r="I515" s="147"/>
    </row>
    <row r="516" spans="1:9" x14ac:dyDescent="0.2">
      <c r="A516" s="3">
        <f>VLOOKUP(F516,CODIGOSPLACAS!$A$1:$B$38,2,FALSE)</f>
        <v>4</v>
      </c>
      <c r="B516" s="17">
        <v>44682</v>
      </c>
      <c r="C516" s="18">
        <f t="shared" si="56"/>
        <v>5</v>
      </c>
      <c r="D516" s="18">
        <f t="shared" si="57"/>
        <v>2022</v>
      </c>
      <c r="E516" s="18" t="str">
        <f>IFERROR(VLOOKUP(F516,#REF!,3,FALSE),"")</f>
        <v/>
      </c>
      <c r="F516" s="5" t="s">
        <v>30</v>
      </c>
      <c r="G516" s="6">
        <v>4</v>
      </c>
      <c r="H516" s="7">
        <v>1.7</v>
      </c>
      <c r="I516" s="147"/>
    </row>
    <row r="517" spans="1:9" x14ac:dyDescent="0.2">
      <c r="A517" s="3">
        <f>VLOOKUP(F517,CODIGOSPLACAS!$A$1:$B$38,2,FALSE)</f>
        <v>5</v>
      </c>
      <c r="B517" s="17">
        <v>44682</v>
      </c>
      <c r="C517" s="18">
        <f t="shared" si="56"/>
        <v>5</v>
      </c>
      <c r="D517" s="18">
        <f t="shared" si="57"/>
        <v>2022</v>
      </c>
      <c r="E517" s="18" t="str">
        <f>IFERROR(VLOOKUP(F517,#REF!,3,FALSE),"")</f>
        <v/>
      </c>
      <c r="F517" s="5" t="s">
        <v>33</v>
      </c>
      <c r="G517" s="6">
        <v>4</v>
      </c>
      <c r="H517" s="7">
        <v>1.7</v>
      </c>
      <c r="I517" s="147"/>
    </row>
    <row r="518" spans="1:9" x14ac:dyDescent="0.2">
      <c r="A518" s="3">
        <f>VLOOKUP(F518,CODIGOSPLACAS!$A$1:$B$38,2,FALSE)</f>
        <v>6</v>
      </c>
      <c r="B518" s="17">
        <v>44682</v>
      </c>
      <c r="C518" s="18">
        <f t="shared" si="56"/>
        <v>5</v>
      </c>
      <c r="D518" s="18">
        <f t="shared" si="57"/>
        <v>2022</v>
      </c>
      <c r="E518" s="18" t="str">
        <f>IFERROR(VLOOKUP(F518,#REF!,3,FALSE),"")</f>
        <v/>
      </c>
      <c r="F518" s="5" t="s">
        <v>31</v>
      </c>
      <c r="G518" s="6">
        <v>4</v>
      </c>
      <c r="H518" s="7">
        <v>1.7</v>
      </c>
      <c r="I518" s="147"/>
    </row>
    <row r="519" spans="1:9" x14ac:dyDescent="0.2">
      <c r="A519" s="3">
        <f>VLOOKUP(F519,CODIGOSPLACAS!$A$1:$B$38,2,FALSE)</f>
        <v>7</v>
      </c>
      <c r="B519" s="17">
        <v>44682</v>
      </c>
      <c r="C519" s="18">
        <f t="shared" si="56"/>
        <v>5</v>
      </c>
      <c r="D519" s="18">
        <f t="shared" si="57"/>
        <v>2022</v>
      </c>
      <c r="E519" s="18" t="str">
        <f>IFERROR(VLOOKUP(F519,#REF!,3,FALSE),"")</f>
        <v/>
      </c>
      <c r="F519" s="5" t="s">
        <v>124</v>
      </c>
      <c r="G519" s="6">
        <v>4</v>
      </c>
      <c r="H519" s="7">
        <v>1.7</v>
      </c>
      <c r="I519" s="147"/>
    </row>
    <row r="520" spans="1:9" x14ac:dyDescent="0.2">
      <c r="A520" s="3">
        <f>VLOOKUP(F520,CODIGOSPLACAS!$A$1:$B$38,2,FALSE)</f>
        <v>8</v>
      </c>
      <c r="B520" s="17">
        <v>44682</v>
      </c>
      <c r="C520" s="18">
        <f t="shared" si="56"/>
        <v>5</v>
      </c>
      <c r="D520" s="18">
        <f t="shared" si="57"/>
        <v>2022</v>
      </c>
      <c r="E520" s="18" t="str">
        <f>IFERROR(VLOOKUP(F520,#REF!,3,FALSE),"")</f>
        <v/>
      </c>
      <c r="F520" s="6" t="s">
        <v>27</v>
      </c>
      <c r="G520" s="6">
        <v>4</v>
      </c>
      <c r="H520" s="7">
        <v>1.7</v>
      </c>
      <c r="I520" s="147"/>
    </row>
    <row r="521" spans="1:9" x14ac:dyDescent="0.2">
      <c r="A521" s="3">
        <f>VLOOKUP(F521,CODIGOSPLACAS!$A$1:$B$38,2,FALSE)</f>
        <v>9</v>
      </c>
      <c r="B521" s="17">
        <v>44682</v>
      </c>
      <c r="C521" s="18">
        <f t="shared" si="56"/>
        <v>5</v>
      </c>
      <c r="D521" s="18">
        <f t="shared" si="57"/>
        <v>2022</v>
      </c>
      <c r="E521" s="18" t="str">
        <f>IFERROR(VLOOKUP(F521,#REF!,3,FALSE),"")</f>
        <v/>
      </c>
      <c r="F521" s="6" t="s">
        <v>126</v>
      </c>
      <c r="G521" s="6">
        <v>4</v>
      </c>
      <c r="H521" s="7">
        <v>1.7</v>
      </c>
      <c r="I521" s="147"/>
    </row>
    <row r="522" spans="1:9" x14ac:dyDescent="0.2">
      <c r="A522" s="3">
        <f>VLOOKUP(F522,CODIGOSPLACAS!$A$1:$B$38,2,FALSE)</f>
        <v>10</v>
      </c>
      <c r="B522" s="17">
        <v>44682</v>
      </c>
      <c r="C522" s="18">
        <f t="shared" si="56"/>
        <v>5</v>
      </c>
      <c r="D522" s="18">
        <f t="shared" si="57"/>
        <v>2022</v>
      </c>
      <c r="E522" s="18" t="str">
        <f>IFERROR(VLOOKUP(F522,#REF!,3,FALSE),"")</f>
        <v/>
      </c>
      <c r="F522" s="5" t="s">
        <v>32</v>
      </c>
      <c r="G522" s="6">
        <v>4</v>
      </c>
      <c r="H522" s="7">
        <v>1.7</v>
      </c>
      <c r="I522" s="147"/>
    </row>
    <row r="523" spans="1:9" x14ac:dyDescent="0.2">
      <c r="A523" s="3">
        <f>VLOOKUP(F523,CODIGOSPLACAS!$A$1:$B$38,2,FALSE)</f>
        <v>11</v>
      </c>
      <c r="B523" s="17">
        <v>44682</v>
      </c>
      <c r="C523" s="18">
        <f t="shared" si="56"/>
        <v>5</v>
      </c>
      <c r="D523" s="18">
        <f t="shared" si="57"/>
        <v>2022</v>
      </c>
      <c r="E523" s="18" t="str">
        <f>IFERROR(VLOOKUP(F523,#REF!,3,FALSE),"")</f>
        <v/>
      </c>
      <c r="F523" s="5" t="s">
        <v>29</v>
      </c>
      <c r="G523" s="6">
        <v>4</v>
      </c>
      <c r="H523" s="7">
        <v>1.7</v>
      </c>
      <c r="I523" s="147"/>
    </row>
    <row r="524" spans="1:9" x14ac:dyDescent="0.2">
      <c r="A524" s="3">
        <f>VLOOKUP(F524,CODIGOSPLACAS!$A$1:$B$38,2,FALSE)</f>
        <v>16</v>
      </c>
      <c r="B524" s="17">
        <v>44682</v>
      </c>
      <c r="C524" s="18">
        <f t="shared" si="56"/>
        <v>5</v>
      </c>
      <c r="D524" s="18">
        <f t="shared" si="57"/>
        <v>2022</v>
      </c>
      <c r="E524" s="18" t="str">
        <f>IFERROR(VLOOKUP(F524,#REF!,3,FALSE),"")</f>
        <v/>
      </c>
      <c r="F524" s="6" t="s">
        <v>130</v>
      </c>
      <c r="G524" s="6">
        <v>4</v>
      </c>
      <c r="H524" s="7">
        <v>1.7</v>
      </c>
      <c r="I524" s="147"/>
    </row>
    <row r="525" spans="1:9" x14ac:dyDescent="0.2">
      <c r="A525" s="3">
        <f>VLOOKUP(F525,CODIGOSPLACAS!$A$1:$B$38,2,FALSE)</f>
        <v>23</v>
      </c>
      <c r="B525" s="17">
        <v>44682</v>
      </c>
      <c r="C525" s="18">
        <f t="shared" si="56"/>
        <v>5</v>
      </c>
      <c r="D525" s="18">
        <f t="shared" si="57"/>
        <v>2022</v>
      </c>
      <c r="E525" s="18" t="str">
        <f>IFERROR(VLOOKUP(F525,#REF!,3,FALSE),"")</f>
        <v/>
      </c>
      <c r="F525" s="19" t="s">
        <v>23</v>
      </c>
      <c r="G525" s="19">
        <v>4</v>
      </c>
      <c r="H525" s="20">
        <v>1.7</v>
      </c>
      <c r="I525" s="147"/>
    </row>
    <row r="526" spans="1:9" x14ac:dyDescent="0.2">
      <c r="A526" s="3">
        <f>VLOOKUP(F526,CODIGOSPLACAS!$A$1:$B$38,2,FALSE)</f>
        <v>33</v>
      </c>
      <c r="B526" s="17">
        <v>44682</v>
      </c>
      <c r="C526" s="18">
        <f t="shared" si="56"/>
        <v>5</v>
      </c>
      <c r="D526" s="18">
        <f t="shared" si="57"/>
        <v>2022</v>
      </c>
      <c r="E526" s="18" t="str">
        <f>IFERROR(VLOOKUP(F526,#REF!,3,FALSE),"")</f>
        <v/>
      </c>
      <c r="F526" s="6" t="s">
        <v>127</v>
      </c>
      <c r="G526" s="6">
        <v>3</v>
      </c>
      <c r="H526" s="7">
        <v>1.9</v>
      </c>
      <c r="I526" s="147"/>
    </row>
    <row r="527" spans="1:9" x14ac:dyDescent="0.2">
      <c r="A527" s="3">
        <f>VLOOKUP(F527,CODIGOSPLACAS!$A$1:$B$38,2,FALSE)</f>
        <v>34</v>
      </c>
      <c r="B527" s="17">
        <v>44682</v>
      </c>
      <c r="C527" s="18">
        <f t="shared" si="56"/>
        <v>5</v>
      </c>
      <c r="D527" s="18">
        <f t="shared" si="57"/>
        <v>2022</v>
      </c>
      <c r="E527" s="18" t="str">
        <f>IFERROR(VLOOKUP(F527,#REF!,3,FALSE),"")</f>
        <v/>
      </c>
      <c r="F527" s="6" t="s">
        <v>22</v>
      </c>
      <c r="G527" s="6">
        <v>3</v>
      </c>
      <c r="H527" s="7">
        <v>1.9</v>
      </c>
      <c r="I527" s="147"/>
    </row>
    <row r="528" spans="1:9" x14ac:dyDescent="0.2">
      <c r="A528" s="3">
        <f>VLOOKUP(F528,CODIGOSPLACAS!$A$1:$B$38,2,FALSE)</f>
        <v>30</v>
      </c>
      <c r="B528" s="17">
        <v>44682</v>
      </c>
      <c r="C528" s="18">
        <f t="shared" si="56"/>
        <v>5</v>
      </c>
      <c r="D528" s="18">
        <f t="shared" si="57"/>
        <v>2022</v>
      </c>
      <c r="E528" s="18" t="str">
        <f>IFERROR(VLOOKUP(F528,#REF!,3,FALSE),"")</f>
        <v/>
      </c>
      <c r="F528" s="11" t="s">
        <v>25</v>
      </c>
      <c r="G528" s="9">
        <v>4</v>
      </c>
      <c r="H528" s="10">
        <v>1.7</v>
      </c>
      <c r="I528" s="147"/>
    </row>
    <row r="529" spans="1:9" x14ac:dyDescent="0.2">
      <c r="A529" s="3">
        <f>VLOOKUP(F529,CODIGOSPLACAS!$A$1:$B$38,2,FALSE)</f>
        <v>31</v>
      </c>
      <c r="B529" s="17">
        <v>44682</v>
      </c>
      <c r="C529" s="18">
        <f t="shared" si="56"/>
        <v>5</v>
      </c>
      <c r="D529" s="18">
        <f t="shared" si="57"/>
        <v>2022</v>
      </c>
      <c r="E529" s="18" t="str">
        <f>IFERROR(VLOOKUP(F529,#REF!,3,FALSE),"")</f>
        <v/>
      </c>
      <c r="F529" s="11" t="s">
        <v>128</v>
      </c>
      <c r="G529" s="9">
        <v>4</v>
      </c>
      <c r="H529" s="10">
        <v>1.7</v>
      </c>
      <c r="I529" s="147"/>
    </row>
    <row r="530" spans="1:9" x14ac:dyDescent="0.2">
      <c r="A530" s="3">
        <f>VLOOKUP(F530,CODIGOSPLACAS!$A$1:$B$38,2,FALSE)</f>
        <v>36</v>
      </c>
      <c r="B530" s="17">
        <v>44682</v>
      </c>
      <c r="C530" s="18">
        <f t="shared" si="56"/>
        <v>5</v>
      </c>
      <c r="D530" s="18">
        <f t="shared" si="57"/>
        <v>2022</v>
      </c>
      <c r="E530" s="18" t="str">
        <f>IFERROR(VLOOKUP(F530,#REF!,3,FALSE),"")</f>
        <v/>
      </c>
      <c r="F530" s="11" t="s">
        <v>35</v>
      </c>
      <c r="G530" s="9">
        <v>5</v>
      </c>
      <c r="H530" s="10">
        <v>2.5</v>
      </c>
      <c r="I530" s="147"/>
    </row>
    <row r="531" spans="1:9" x14ac:dyDescent="0.2">
      <c r="A531" s="3">
        <f>VLOOKUP(F531,CODIGOSPLACAS!$A$1:$B$38,2,FALSE)</f>
        <v>35</v>
      </c>
      <c r="B531" s="17">
        <v>44682</v>
      </c>
      <c r="C531" s="18">
        <f t="shared" si="56"/>
        <v>5</v>
      </c>
      <c r="D531" s="18">
        <f t="shared" si="57"/>
        <v>2022</v>
      </c>
      <c r="E531" s="18" t="str">
        <f>IFERROR(VLOOKUP(F531,#REF!,3,FALSE),"")</f>
        <v/>
      </c>
      <c r="F531" s="11" t="s">
        <v>34</v>
      </c>
      <c r="G531" s="9">
        <v>5</v>
      </c>
      <c r="H531" s="10">
        <v>2.5</v>
      </c>
      <c r="I531" s="147"/>
    </row>
    <row r="532" spans="1:9" x14ac:dyDescent="0.2">
      <c r="E532" s="18" t="str">
        <f>IFERROR(VLOOKUP(F532,#REF!,3,FALSE),"")</f>
        <v/>
      </c>
      <c r="F532" s="214" t="s">
        <v>39</v>
      </c>
      <c r="G532" s="214"/>
      <c r="H532" s="214"/>
      <c r="I532" s="150"/>
    </row>
    <row r="533" spans="1:9" x14ac:dyDescent="0.2">
      <c r="A533" s="3">
        <f>VLOOKUP(F533,CODIGOSPLACAS!$A$1:$B$38,2,FALSE)</f>
        <v>2</v>
      </c>
      <c r="B533" s="17">
        <v>44713</v>
      </c>
      <c r="C533" s="18">
        <f t="shared" ref="C533:C551" si="58">MONTH(B533)</f>
        <v>6</v>
      </c>
      <c r="D533" s="18">
        <f t="shared" ref="D533:D551" si="59">YEAR(B533)</f>
        <v>2022</v>
      </c>
      <c r="E533" s="18" t="str">
        <f>IFERROR(VLOOKUP(F533,#REF!,3,FALSE),"")</f>
        <v/>
      </c>
      <c r="F533" s="6" t="s">
        <v>24</v>
      </c>
      <c r="G533" s="6">
        <v>4</v>
      </c>
      <c r="H533" s="7">
        <v>1.7</v>
      </c>
      <c r="I533" s="147"/>
    </row>
    <row r="534" spans="1:9" x14ac:dyDescent="0.2">
      <c r="A534" s="3">
        <f>VLOOKUP(F534,CODIGOSPLACAS!$A$1:$B$38,2,FALSE)</f>
        <v>1</v>
      </c>
      <c r="B534" s="17">
        <v>44713</v>
      </c>
      <c r="C534" s="18">
        <f t="shared" si="58"/>
        <v>6</v>
      </c>
      <c r="D534" s="18">
        <f t="shared" si="59"/>
        <v>2022</v>
      </c>
      <c r="E534" s="18" t="str">
        <f>IFERROR(VLOOKUP(F534,#REF!,3,FALSE),"")</f>
        <v/>
      </c>
      <c r="F534" s="6" t="s">
        <v>26</v>
      </c>
      <c r="G534" s="6">
        <v>4</v>
      </c>
      <c r="H534" s="7">
        <v>1.7</v>
      </c>
      <c r="I534" s="147"/>
    </row>
    <row r="535" spans="1:9" x14ac:dyDescent="0.2">
      <c r="A535" s="3">
        <f>VLOOKUP(F535,CODIGOSPLACAS!$A$1:$B$38,2,FALSE)</f>
        <v>3</v>
      </c>
      <c r="B535" s="17">
        <v>44713</v>
      </c>
      <c r="C535" s="18">
        <f t="shared" si="58"/>
        <v>6</v>
      </c>
      <c r="D535" s="18">
        <f t="shared" si="59"/>
        <v>2022</v>
      </c>
      <c r="E535" s="18" t="str">
        <f>IFERROR(VLOOKUP(F535,#REF!,3,FALSE),"")</f>
        <v/>
      </c>
      <c r="F535" s="6" t="s">
        <v>28</v>
      </c>
      <c r="G535" s="6">
        <v>4</v>
      </c>
      <c r="H535" s="7">
        <v>1.7</v>
      </c>
      <c r="I535" s="147"/>
    </row>
    <row r="536" spans="1:9" x14ac:dyDescent="0.2">
      <c r="A536" s="3">
        <f>VLOOKUP(F536,CODIGOSPLACAS!$A$1:$B$38,2,FALSE)</f>
        <v>4</v>
      </c>
      <c r="B536" s="17">
        <v>44713</v>
      </c>
      <c r="C536" s="18">
        <f t="shared" si="58"/>
        <v>6</v>
      </c>
      <c r="D536" s="18">
        <f t="shared" si="59"/>
        <v>2022</v>
      </c>
      <c r="E536" s="18" t="str">
        <f>IFERROR(VLOOKUP(F536,#REF!,3,FALSE),"")</f>
        <v/>
      </c>
      <c r="F536" s="5" t="s">
        <v>30</v>
      </c>
      <c r="G536" s="6">
        <v>4</v>
      </c>
      <c r="H536" s="7">
        <v>1.7</v>
      </c>
      <c r="I536" s="147"/>
    </row>
    <row r="537" spans="1:9" x14ac:dyDescent="0.2">
      <c r="A537" s="3">
        <f>VLOOKUP(F537,CODIGOSPLACAS!$A$1:$B$38,2,FALSE)</f>
        <v>5</v>
      </c>
      <c r="B537" s="17">
        <v>44713</v>
      </c>
      <c r="C537" s="18">
        <f t="shared" si="58"/>
        <v>6</v>
      </c>
      <c r="D537" s="18">
        <f t="shared" si="59"/>
        <v>2022</v>
      </c>
      <c r="E537" s="18" t="str">
        <f>IFERROR(VLOOKUP(F537,#REF!,3,FALSE),"")</f>
        <v/>
      </c>
      <c r="F537" s="5" t="s">
        <v>33</v>
      </c>
      <c r="G537" s="6">
        <v>4</v>
      </c>
      <c r="H537" s="7">
        <v>1.7</v>
      </c>
      <c r="I537" s="147"/>
    </row>
    <row r="538" spans="1:9" x14ac:dyDescent="0.2">
      <c r="A538" s="3">
        <f>VLOOKUP(F538,CODIGOSPLACAS!$A$1:$B$38,2,FALSE)</f>
        <v>6</v>
      </c>
      <c r="B538" s="17">
        <v>44713</v>
      </c>
      <c r="C538" s="18">
        <f t="shared" si="58"/>
        <v>6</v>
      </c>
      <c r="D538" s="18">
        <f t="shared" si="59"/>
        <v>2022</v>
      </c>
      <c r="E538" s="18" t="str">
        <f>IFERROR(VLOOKUP(F538,#REF!,3,FALSE),"")</f>
        <v/>
      </c>
      <c r="F538" s="5" t="s">
        <v>31</v>
      </c>
      <c r="G538" s="6">
        <v>4</v>
      </c>
      <c r="H538" s="7">
        <v>1.7</v>
      </c>
      <c r="I538" s="147"/>
    </row>
    <row r="539" spans="1:9" x14ac:dyDescent="0.2">
      <c r="A539" s="3">
        <f>VLOOKUP(F539,CODIGOSPLACAS!$A$1:$B$38,2,FALSE)</f>
        <v>7</v>
      </c>
      <c r="B539" s="17">
        <v>44713</v>
      </c>
      <c r="C539" s="18">
        <f t="shared" si="58"/>
        <v>6</v>
      </c>
      <c r="D539" s="18">
        <f t="shared" si="59"/>
        <v>2022</v>
      </c>
      <c r="E539" s="18" t="str">
        <f>IFERROR(VLOOKUP(F539,#REF!,3,FALSE),"")</f>
        <v/>
      </c>
      <c r="F539" s="5" t="s">
        <v>124</v>
      </c>
      <c r="G539" s="6">
        <v>4</v>
      </c>
      <c r="H539" s="7">
        <v>1.7</v>
      </c>
      <c r="I539" s="147"/>
    </row>
    <row r="540" spans="1:9" x14ac:dyDescent="0.2">
      <c r="A540" s="3">
        <f>VLOOKUP(F540,CODIGOSPLACAS!$A$1:$B$38,2,FALSE)</f>
        <v>8</v>
      </c>
      <c r="B540" s="17">
        <v>44713</v>
      </c>
      <c r="C540" s="18">
        <f t="shared" si="58"/>
        <v>6</v>
      </c>
      <c r="D540" s="18">
        <f t="shared" si="59"/>
        <v>2022</v>
      </c>
      <c r="E540" s="18" t="str">
        <f>IFERROR(VLOOKUP(F540,#REF!,3,FALSE),"")</f>
        <v/>
      </c>
      <c r="F540" s="6" t="s">
        <v>27</v>
      </c>
      <c r="G540" s="6">
        <v>4</v>
      </c>
      <c r="H540" s="7">
        <v>1.7</v>
      </c>
      <c r="I540" s="147"/>
    </row>
    <row r="541" spans="1:9" x14ac:dyDescent="0.2">
      <c r="A541" s="3">
        <f>VLOOKUP(F541,CODIGOSPLACAS!$A$1:$B$38,2,FALSE)</f>
        <v>9</v>
      </c>
      <c r="B541" s="17">
        <v>44713</v>
      </c>
      <c r="C541" s="18">
        <f t="shared" si="58"/>
        <v>6</v>
      </c>
      <c r="D541" s="18">
        <f t="shared" si="59"/>
        <v>2022</v>
      </c>
      <c r="E541" s="18" t="str">
        <f>IFERROR(VLOOKUP(F541,#REF!,3,FALSE),"")</f>
        <v/>
      </c>
      <c r="F541" s="6" t="s">
        <v>126</v>
      </c>
      <c r="G541" s="6">
        <v>4</v>
      </c>
      <c r="H541" s="7">
        <v>1.7</v>
      </c>
      <c r="I541" s="147"/>
    </row>
    <row r="542" spans="1:9" x14ac:dyDescent="0.2">
      <c r="A542" s="3">
        <f>VLOOKUP(F542,CODIGOSPLACAS!$A$1:$B$38,2,FALSE)</f>
        <v>10</v>
      </c>
      <c r="B542" s="17">
        <v>44713</v>
      </c>
      <c r="C542" s="18">
        <f t="shared" si="58"/>
        <v>6</v>
      </c>
      <c r="D542" s="18">
        <f t="shared" si="59"/>
        <v>2022</v>
      </c>
      <c r="E542" s="18" t="str">
        <f>IFERROR(VLOOKUP(F542,#REF!,3,FALSE),"")</f>
        <v/>
      </c>
      <c r="F542" s="5" t="s">
        <v>32</v>
      </c>
      <c r="G542" s="6">
        <v>4</v>
      </c>
      <c r="H542" s="7">
        <v>1.7</v>
      </c>
      <c r="I542" s="147"/>
    </row>
    <row r="543" spans="1:9" x14ac:dyDescent="0.2">
      <c r="A543" s="3">
        <f>VLOOKUP(F543,CODIGOSPLACAS!$A$1:$B$38,2,FALSE)</f>
        <v>11</v>
      </c>
      <c r="B543" s="17">
        <v>44713</v>
      </c>
      <c r="C543" s="18">
        <f t="shared" si="58"/>
        <v>6</v>
      </c>
      <c r="D543" s="18">
        <f t="shared" si="59"/>
        <v>2022</v>
      </c>
      <c r="E543" s="18" t="str">
        <f>IFERROR(VLOOKUP(F543,#REF!,3,FALSE),"")</f>
        <v/>
      </c>
      <c r="F543" s="5" t="s">
        <v>29</v>
      </c>
      <c r="G543" s="6">
        <v>4</v>
      </c>
      <c r="H543" s="7">
        <v>1.7</v>
      </c>
      <c r="I543" s="147"/>
    </row>
    <row r="544" spans="1:9" x14ac:dyDescent="0.2">
      <c r="A544" s="3">
        <f>VLOOKUP(F544,CODIGOSPLACAS!$A$1:$B$38,2,FALSE)</f>
        <v>16</v>
      </c>
      <c r="B544" s="17">
        <v>44713</v>
      </c>
      <c r="C544" s="18">
        <f t="shared" si="58"/>
        <v>6</v>
      </c>
      <c r="D544" s="18">
        <f t="shared" si="59"/>
        <v>2022</v>
      </c>
      <c r="E544" s="18" t="str">
        <f>IFERROR(VLOOKUP(F544,#REF!,3,FALSE),"")</f>
        <v/>
      </c>
      <c r="F544" s="6" t="s">
        <v>130</v>
      </c>
      <c r="G544" s="6">
        <v>4</v>
      </c>
      <c r="H544" s="7">
        <v>1.7</v>
      </c>
      <c r="I544" s="147"/>
    </row>
    <row r="545" spans="1:9" x14ac:dyDescent="0.2">
      <c r="A545" s="3">
        <f>VLOOKUP(F545,CODIGOSPLACAS!$A$1:$B$38,2,FALSE)</f>
        <v>23</v>
      </c>
      <c r="B545" s="17">
        <v>44713</v>
      </c>
      <c r="C545" s="18">
        <f t="shared" si="58"/>
        <v>6</v>
      </c>
      <c r="D545" s="18">
        <f t="shared" si="59"/>
        <v>2022</v>
      </c>
      <c r="E545" s="18" t="str">
        <f>IFERROR(VLOOKUP(F545,#REF!,3,FALSE),"")</f>
        <v/>
      </c>
      <c r="F545" s="19" t="s">
        <v>23</v>
      </c>
      <c r="G545" s="19">
        <v>4</v>
      </c>
      <c r="H545" s="20">
        <v>1.7</v>
      </c>
      <c r="I545" s="147"/>
    </row>
    <row r="546" spans="1:9" x14ac:dyDescent="0.2">
      <c r="A546" s="3">
        <f>VLOOKUP(F546,CODIGOSPLACAS!$A$1:$B$38,2,FALSE)</f>
        <v>33</v>
      </c>
      <c r="B546" s="17">
        <v>44713</v>
      </c>
      <c r="C546" s="18">
        <f t="shared" si="58"/>
        <v>6</v>
      </c>
      <c r="D546" s="18">
        <f t="shared" si="59"/>
        <v>2022</v>
      </c>
      <c r="E546" s="18" t="str">
        <f>IFERROR(VLOOKUP(F546,#REF!,3,FALSE),"")</f>
        <v/>
      </c>
      <c r="F546" s="6" t="s">
        <v>127</v>
      </c>
      <c r="G546" s="6">
        <v>3</v>
      </c>
      <c r="H546" s="7">
        <v>1.9</v>
      </c>
      <c r="I546" s="147"/>
    </row>
    <row r="547" spans="1:9" x14ac:dyDescent="0.2">
      <c r="A547" s="3">
        <f>VLOOKUP(F547,CODIGOSPLACAS!$A$1:$B$38,2,FALSE)</f>
        <v>34</v>
      </c>
      <c r="B547" s="17">
        <v>44713</v>
      </c>
      <c r="C547" s="18">
        <f t="shared" si="58"/>
        <v>6</v>
      </c>
      <c r="D547" s="18">
        <f t="shared" si="59"/>
        <v>2022</v>
      </c>
      <c r="E547" s="18" t="str">
        <f>IFERROR(VLOOKUP(F547,#REF!,3,FALSE),"")</f>
        <v/>
      </c>
      <c r="F547" s="6" t="s">
        <v>22</v>
      </c>
      <c r="G547" s="6">
        <v>3</v>
      </c>
      <c r="H547" s="7">
        <v>1.9</v>
      </c>
      <c r="I547" s="147"/>
    </row>
    <row r="548" spans="1:9" x14ac:dyDescent="0.2">
      <c r="A548" s="3">
        <f>VLOOKUP(F548,CODIGOSPLACAS!$A$1:$B$38,2,FALSE)</f>
        <v>30</v>
      </c>
      <c r="B548" s="17">
        <v>44713</v>
      </c>
      <c r="C548" s="18">
        <f t="shared" si="58"/>
        <v>6</v>
      </c>
      <c r="D548" s="18">
        <f t="shared" si="59"/>
        <v>2022</v>
      </c>
      <c r="E548" s="18" t="str">
        <f>IFERROR(VLOOKUP(F548,#REF!,3,FALSE),"")</f>
        <v/>
      </c>
      <c r="F548" s="11" t="s">
        <v>25</v>
      </c>
      <c r="G548" s="9">
        <v>4</v>
      </c>
      <c r="H548" s="10">
        <v>1.7</v>
      </c>
      <c r="I548" s="147"/>
    </row>
    <row r="549" spans="1:9" x14ac:dyDescent="0.2">
      <c r="A549" s="3">
        <f>VLOOKUP(F549,CODIGOSPLACAS!$A$1:$B$38,2,FALSE)</f>
        <v>31</v>
      </c>
      <c r="B549" s="17">
        <v>44713</v>
      </c>
      <c r="C549" s="18">
        <f t="shared" si="58"/>
        <v>6</v>
      </c>
      <c r="D549" s="18">
        <f t="shared" si="59"/>
        <v>2022</v>
      </c>
      <c r="E549" s="18" t="str">
        <f>IFERROR(VLOOKUP(F549,#REF!,3,FALSE),"")</f>
        <v/>
      </c>
      <c r="F549" s="11" t="s">
        <v>128</v>
      </c>
      <c r="G549" s="9">
        <v>4</v>
      </c>
      <c r="H549" s="10">
        <v>1.7</v>
      </c>
      <c r="I549" s="147"/>
    </row>
    <row r="550" spans="1:9" x14ac:dyDescent="0.2">
      <c r="A550" s="3">
        <f>VLOOKUP(F550,CODIGOSPLACAS!$A$1:$B$38,2,FALSE)</f>
        <v>36</v>
      </c>
      <c r="B550" s="17">
        <v>44713</v>
      </c>
      <c r="C550" s="18">
        <f t="shared" si="58"/>
        <v>6</v>
      </c>
      <c r="D550" s="18">
        <f t="shared" si="59"/>
        <v>2022</v>
      </c>
      <c r="E550" s="18" t="str">
        <f>IFERROR(VLOOKUP(F550,#REF!,3,FALSE),"")</f>
        <v/>
      </c>
      <c r="F550" s="11" t="s">
        <v>35</v>
      </c>
      <c r="G550" s="9">
        <v>5</v>
      </c>
      <c r="H550" s="10">
        <v>2.5</v>
      </c>
      <c r="I550" s="147"/>
    </row>
    <row r="551" spans="1:9" x14ac:dyDescent="0.2">
      <c r="A551" s="3">
        <f>VLOOKUP(F551,CODIGOSPLACAS!$A$1:$B$38,2,FALSE)</f>
        <v>35</v>
      </c>
      <c r="B551" s="17">
        <v>44713</v>
      </c>
      <c r="C551" s="18">
        <f t="shared" si="58"/>
        <v>6</v>
      </c>
      <c r="D551" s="18">
        <f t="shared" si="59"/>
        <v>2022</v>
      </c>
      <c r="E551" s="18" t="str">
        <f>IFERROR(VLOOKUP(F551,#REF!,3,FALSE),"")</f>
        <v/>
      </c>
      <c r="F551" s="11" t="s">
        <v>34</v>
      </c>
      <c r="G551" s="9">
        <v>5</v>
      </c>
      <c r="H551" s="10">
        <v>2.5</v>
      </c>
      <c r="I551" s="147"/>
    </row>
    <row r="552" spans="1:9" x14ac:dyDescent="0.2">
      <c r="E552" s="18" t="str">
        <f>IFERROR(VLOOKUP(F552,#REF!,3,FALSE),"")</f>
        <v/>
      </c>
      <c r="F552" s="214" t="s">
        <v>39</v>
      </c>
      <c r="G552" s="214"/>
      <c r="H552" s="214"/>
      <c r="I552" s="150"/>
    </row>
    <row r="553" spans="1:9" x14ac:dyDescent="0.2">
      <c r="A553" s="3">
        <f>VLOOKUP(F553,CODIGOSPLACAS!$A$1:$B$38,2,FALSE)</f>
        <v>2</v>
      </c>
      <c r="B553" s="17">
        <v>44743</v>
      </c>
      <c r="C553" s="18">
        <f t="shared" ref="C553:C571" si="60">MONTH(B553)</f>
        <v>7</v>
      </c>
      <c r="D553" s="18">
        <f t="shared" ref="D553:D571" si="61">YEAR(B553)</f>
        <v>2022</v>
      </c>
      <c r="E553" s="18" t="str">
        <f>IFERROR(VLOOKUP(F553,#REF!,3,FALSE),"")</f>
        <v/>
      </c>
      <c r="F553" s="6" t="s">
        <v>24</v>
      </c>
      <c r="G553" s="6">
        <v>4</v>
      </c>
      <c r="H553" s="7">
        <v>1.7</v>
      </c>
      <c r="I553" s="147"/>
    </row>
    <row r="554" spans="1:9" x14ac:dyDescent="0.2">
      <c r="A554" s="3">
        <f>VLOOKUP(F554,CODIGOSPLACAS!$A$1:$B$38,2,FALSE)</f>
        <v>1</v>
      </c>
      <c r="B554" s="17">
        <v>44743</v>
      </c>
      <c r="C554" s="18">
        <f t="shared" si="60"/>
        <v>7</v>
      </c>
      <c r="D554" s="18">
        <f t="shared" si="61"/>
        <v>2022</v>
      </c>
      <c r="E554" s="18" t="str">
        <f>IFERROR(VLOOKUP(F554,#REF!,3,FALSE),"")</f>
        <v/>
      </c>
      <c r="F554" s="6" t="s">
        <v>26</v>
      </c>
      <c r="G554" s="6">
        <v>4</v>
      </c>
      <c r="H554" s="7">
        <v>1.7</v>
      </c>
      <c r="I554" s="147"/>
    </row>
    <row r="555" spans="1:9" x14ac:dyDescent="0.2">
      <c r="A555" s="3">
        <f>VLOOKUP(F555,CODIGOSPLACAS!$A$1:$B$38,2,FALSE)</f>
        <v>3</v>
      </c>
      <c r="B555" s="17">
        <v>44743</v>
      </c>
      <c r="C555" s="18">
        <f t="shared" si="60"/>
        <v>7</v>
      </c>
      <c r="D555" s="18">
        <f t="shared" si="61"/>
        <v>2022</v>
      </c>
      <c r="E555" s="18" t="str">
        <f>IFERROR(VLOOKUP(F555,#REF!,3,FALSE),"")</f>
        <v/>
      </c>
      <c r="F555" s="6" t="s">
        <v>28</v>
      </c>
      <c r="G555" s="6">
        <v>4</v>
      </c>
      <c r="H555" s="7">
        <v>1.7</v>
      </c>
      <c r="I555" s="147"/>
    </row>
    <row r="556" spans="1:9" x14ac:dyDescent="0.2">
      <c r="A556" s="3">
        <f>VLOOKUP(F556,CODIGOSPLACAS!$A$1:$B$38,2,FALSE)</f>
        <v>4</v>
      </c>
      <c r="B556" s="17">
        <v>44743</v>
      </c>
      <c r="C556" s="18">
        <f t="shared" si="60"/>
        <v>7</v>
      </c>
      <c r="D556" s="18">
        <f t="shared" si="61"/>
        <v>2022</v>
      </c>
      <c r="E556" s="18" t="str">
        <f>IFERROR(VLOOKUP(F556,#REF!,3,FALSE),"")</f>
        <v/>
      </c>
      <c r="F556" s="5" t="s">
        <v>30</v>
      </c>
      <c r="G556" s="6">
        <v>4</v>
      </c>
      <c r="H556" s="7">
        <v>1.7</v>
      </c>
      <c r="I556" s="147"/>
    </row>
    <row r="557" spans="1:9" x14ac:dyDescent="0.2">
      <c r="A557" s="3">
        <f>VLOOKUP(F557,CODIGOSPLACAS!$A$1:$B$38,2,FALSE)</f>
        <v>5</v>
      </c>
      <c r="B557" s="17">
        <v>44743</v>
      </c>
      <c r="C557" s="18">
        <f t="shared" si="60"/>
        <v>7</v>
      </c>
      <c r="D557" s="18">
        <f t="shared" si="61"/>
        <v>2022</v>
      </c>
      <c r="E557" s="18" t="str">
        <f>IFERROR(VLOOKUP(F557,#REF!,3,FALSE),"")</f>
        <v/>
      </c>
      <c r="F557" s="5" t="s">
        <v>33</v>
      </c>
      <c r="G557" s="6">
        <v>4</v>
      </c>
      <c r="H557" s="7">
        <v>1.7</v>
      </c>
      <c r="I557" s="147"/>
    </row>
    <row r="558" spans="1:9" x14ac:dyDescent="0.2">
      <c r="A558" s="3">
        <f>VLOOKUP(F558,CODIGOSPLACAS!$A$1:$B$38,2,FALSE)</f>
        <v>6</v>
      </c>
      <c r="B558" s="17">
        <v>44743</v>
      </c>
      <c r="C558" s="18">
        <f t="shared" si="60"/>
        <v>7</v>
      </c>
      <c r="D558" s="18">
        <f t="shared" si="61"/>
        <v>2022</v>
      </c>
      <c r="E558" s="18" t="str">
        <f>IFERROR(VLOOKUP(F558,#REF!,3,FALSE),"")</f>
        <v/>
      </c>
      <c r="F558" s="5" t="s">
        <v>31</v>
      </c>
      <c r="G558" s="6">
        <v>4</v>
      </c>
      <c r="H558" s="7">
        <v>1.7</v>
      </c>
      <c r="I558" s="147"/>
    </row>
    <row r="559" spans="1:9" x14ac:dyDescent="0.2">
      <c r="A559" s="3">
        <f>VLOOKUP(F559,CODIGOSPLACAS!$A$1:$B$38,2,FALSE)</f>
        <v>7</v>
      </c>
      <c r="B559" s="17">
        <v>44743</v>
      </c>
      <c r="C559" s="18">
        <f t="shared" si="60"/>
        <v>7</v>
      </c>
      <c r="D559" s="18">
        <f t="shared" si="61"/>
        <v>2022</v>
      </c>
      <c r="E559" s="18" t="str">
        <f>IFERROR(VLOOKUP(F559,#REF!,3,FALSE),"")</f>
        <v/>
      </c>
      <c r="F559" s="5" t="s">
        <v>124</v>
      </c>
      <c r="G559" s="6">
        <v>4</v>
      </c>
      <c r="H559" s="7">
        <v>1.7</v>
      </c>
      <c r="I559" s="147"/>
    </row>
    <row r="560" spans="1:9" x14ac:dyDescent="0.2">
      <c r="A560" s="3">
        <f>VLOOKUP(F560,CODIGOSPLACAS!$A$1:$B$38,2,FALSE)</f>
        <v>8</v>
      </c>
      <c r="B560" s="17">
        <v>44743</v>
      </c>
      <c r="C560" s="18">
        <f t="shared" si="60"/>
        <v>7</v>
      </c>
      <c r="D560" s="18">
        <f t="shared" si="61"/>
        <v>2022</v>
      </c>
      <c r="E560" s="18" t="str">
        <f>IFERROR(VLOOKUP(F560,#REF!,3,FALSE),"")</f>
        <v/>
      </c>
      <c r="F560" s="6" t="s">
        <v>27</v>
      </c>
      <c r="G560" s="6">
        <v>4</v>
      </c>
      <c r="H560" s="7">
        <v>1.7</v>
      </c>
      <c r="I560" s="147"/>
    </row>
    <row r="561" spans="1:9" x14ac:dyDescent="0.2">
      <c r="A561" s="3">
        <f>VLOOKUP(F561,CODIGOSPLACAS!$A$1:$B$38,2,FALSE)</f>
        <v>9</v>
      </c>
      <c r="B561" s="17">
        <v>44743</v>
      </c>
      <c r="C561" s="18">
        <f t="shared" si="60"/>
        <v>7</v>
      </c>
      <c r="D561" s="18">
        <f t="shared" si="61"/>
        <v>2022</v>
      </c>
      <c r="E561" s="18" t="str">
        <f>IFERROR(VLOOKUP(F561,#REF!,3,FALSE),"")</f>
        <v/>
      </c>
      <c r="F561" s="6" t="s">
        <v>126</v>
      </c>
      <c r="G561" s="6">
        <v>4</v>
      </c>
      <c r="H561" s="7">
        <v>1.7</v>
      </c>
      <c r="I561" s="147"/>
    </row>
    <row r="562" spans="1:9" x14ac:dyDescent="0.2">
      <c r="A562" s="3">
        <f>VLOOKUP(F562,CODIGOSPLACAS!$A$1:$B$38,2,FALSE)</f>
        <v>10</v>
      </c>
      <c r="B562" s="17">
        <v>44743</v>
      </c>
      <c r="C562" s="18">
        <f t="shared" si="60"/>
        <v>7</v>
      </c>
      <c r="D562" s="18">
        <f t="shared" si="61"/>
        <v>2022</v>
      </c>
      <c r="E562" s="18" t="str">
        <f>IFERROR(VLOOKUP(F562,#REF!,3,FALSE),"")</f>
        <v/>
      </c>
      <c r="F562" s="5" t="s">
        <v>32</v>
      </c>
      <c r="G562" s="6">
        <v>4</v>
      </c>
      <c r="H562" s="7">
        <v>1.7</v>
      </c>
      <c r="I562" s="147"/>
    </row>
    <row r="563" spans="1:9" x14ac:dyDescent="0.2">
      <c r="A563" s="3">
        <f>VLOOKUP(F563,CODIGOSPLACAS!$A$1:$B$38,2,FALSE)</f>
        <v>11</v>
      </c>
      <c r="B563" s="17">
        <v>44743</v>
      </c>
      <c r="C563" s="18">
        <f t="shared" si="60"/>
        <v>7</v>
      </c>
      <c r="D563" s="18">
        <f t="shared" si="61"/>
        <v>2022</v>
      </c>
      <c r="E563" s="18" t="str">
        <f>IFERROR(VLOOKUP(F563,#REF!,3,FALSE),"")</f>
        <v/>
      </c>
      <c r="F563" s="5" t="s">
        <v>29</v>
      </c>
      <c r="G563" s="6">
        <v>4</v>
      </c>
      <c r="H563" s="7">
        <v>1.7</v>
      </c>
      <c r="I563" s="147"/>
    </row>
    <row r="564" spans="1:9" x14ac:dyDescent="0.2">
      <c r="A564" s="3">
        <f>VLOOKUP(F564,CODIGOSPLACAS!$A$1:$B$38,2,FALSE)</f>
        <v>16</v>
      </c>
      <c r="B564" s="17">
        <v>44743</v>
      </c>
      <c r="C564" s="18">
        <f t="shared" si="60"/>
        <v>7</v>
      </c>
      <c r="D564" s="18">
        <f t="shared" si="61"/>
        <v>2022</v>
      </c>
      <c r="E564" s="18" t="str">
        <f>IFERROR(VLOOKUP(F564,#REF!,3,FALSE),"")</f>
        <v/>
      </c>
      <c r="F564" s="6" t="s">
        <v>130</v>
      </c>
      <c r="G564" s="6">
        <v>4</v>
      </c>
      <c r="H564" s="7">
        <v>1.7</v>
      </c>
      <c r="I564" s="147"/>
    </row>
    <row r="565" spans="1:9" x14ac:dyDescent="0.2">
      <c r="A565" s="3">
        <f>VLOOKUP(F565,CODIGOSPLACAS!$A$1:$B$38,2,FALSE)</f>
        <v>23</v>
      </c>
      <c r="B565" s="17">
        <v>44743</v>
      </c>
      <c r="C565" s="18">
        <f t="shared" si="60"/>
        <v>7</v>
      </c>
      <c r="D565" s="18">
        <f t="shared" si="61"/>
        <v>2022</v>
      </c>
      <c r="E565" s="18" t="str">
        <f>IFERROR(VLOOKUP(F565,#REF!,3,FALSE),"")</f>
        <v/>
      </c>
      <c r="F565" s="19" t="s">
        <v>23</v>
      </c>
      <c r="G565" s="19">
        <v>4</v>
      </c>
      <c r="H565" s="20">
        <v>1.7</v>
      </c>
      <c r="I565" s="147"/>
    </row>
    <row r="566" spans="1:9" x14ac:dyDescent="0.2">
      <c r="A566" s="3">
        <f>VLOOKUP(F566,CODIGOSPLACAS!$A$1:$B$38,2,FALSE)</f>
        <v>33</v>
      </c>
      <c r="B566" s="17">
        <v>44743</v>
      </c>
      <c r="C566" s="18">
        <f t="shared" si="60"/>
        <v>7</v>
      </c>
      <c r="D566" s="18">
        <f t="shared" si="61"/>
        <v>2022</v>
      </c>
      <c r="E566" s="18" t="str">
        <f>IFERROR(VLOOKUP(F566,#REF!,3,FALSE),"")</f>
        <v/>
      </c>
      <c r="F566" s="6" t="s">
        <v>127</v>
      </c>
      <c r="G566" s="6">
        <v>3</v>
      </c>
      <c r="H566" s="7">
        <v>1.9</v>
      </c>
      <c r="I566" s="147"/>
    </row>
    <row r="567" spans="1:9" x14ac:dyDescent="0.2">
      <c r="A567" s="3">
        <f>VLOOKUP(F567,CODIGOSPLACAS!$A$1:$B$38,2,FALSE)</f>
        <v>34</v>
      </c>
      <c r="B567" s="17">
        <v>44743</v>
      </c>
      <c r="C567" s="18">
        <f t="shared" si="60"/>
        <v>7</v>
      </c>
      <c r="D567" s="18">
        <f t="shared" si="61"/>
        <v>2022</v>
      </c>
      <c r="E567" s="18" t="str">
        <f>IFERROR(VLOOKUP(F567,#REF!,3,FALSE),"")</f>
        <v/>
      </c>
      <c r="F567" s="6" t="s">
        <v>22</v>
      </c>
      <c r="G567" s="6">
        <v>3</v>
      </c>
      <c r="H567" s="7">
        <v>1.9</v>
      </c>
      <c r="I567" s="147"/>
    </row>
    <row r="568" spans="1:9" x14ac:dyDescent="0.2">
      <c r="A568" s="3">
        <f>VLOOKUP(F568,CODIGOSPLACAS!$A$1:$B$38,2,FALSE)</f>
        <v>30</v>
      </c>
      <c r="B568" s="17">
        <v>44743</v>
      </c>
      <c r="C568" s="18">
        <f t="shared" si="60"/>
        <v>7</v>
      </c>
      <c r="D568" s="18">
        <f t="shared" si="61"/>
        <v>2022</v>
      </c>
      <c r="E568" s="18" t="str">
        <f>IFERROR(VLOOKUP(F568,#REF!,3,FALSE),"")</f>
        <v/>
      </c>
      <c r="F568" s="11" t="s">
        <v>25</v>
      </c>
      <c r="G568" s="9">
        <v>4</v>
      </c>
      <c r="H568" s="10">
        <v>1.7</v>
      </c>
      <c r="I568" s="147"/>
    </row>
    <row r="569" spans="1:9" x14ac:dyDescent="0.2">
      <c r="A569" s="3">
        <f>VLOOKUP(F569,CODIGOSPLACAS!$A$1:$B$38,2,FALSE)</f>
        <v>31</v>
      </c>
      <c r="B569" s="17">
        <v>44743</v>
      </c>
      <c r="C569" s="18">
        <f t="shared" si="60"/>
        <v>7</v>
      </c>
      <c r="D569" s="18">
        <f t="shared" si="61"/>
        <v>2022</v>
      </c>
      <c r="E569" s="18" t="str">
        <f>IFERROR(VLOOKUP(F569,#REF!,3,FALSE),"")</f>
        <v/>
      </c>
      <c r="F569" s="11" t="s">
        <v>128</v>
      </c>
      <c r="G569" s="9">
        <v>4</v>
      </c>
      <c r="H569" s="10">
        <v>1.7</v>
      </c>
      <c r="I569" s="147"/>
    </row>
    <row r="570" spans="1:9" x14ac:dyDescent="0.2">
      <c r="A570" s="3">
        <f>VLOOKUP(F570,CODIGOSPLACAS!$A$1:$B$38,2,FALSE)</f>
        <v>36</v>
      </c>
      <c r="B570" s="17">
        <v>44743</v>
      </c>
      <c r="C570" s="18">
        <f t="shared" si="60"/>
        <v>7</v>
      </c>
      <c r="D570" s="18">
        <f t="shared" si="61"/>
        <v>2022</v>
      </c>
      <c r="E570" s="18" t="str">
        <f>IFERROR(VLOOKUP(F570,#REF!,3,FALSE),"")</f>
        <v/>
      </c>
      <c r="F570" s="11" t="s">
        <v>35</v>
      </c>
      <c r="G570" s="9">
        <v>5</v>
      </c>
      <c r="H570" s="10">
        <v>2.5</v>
      </c>
      <c r="I570" s="147"/>
    </row>
    <row r="571" spans="1:9" x14ac:dyDescent="0.2">
      <c r="A571" s="3">
        <f>VLOOKUP(F571,CODIGOSPLACAS!$A$1:$B$38,2,FALSE)</f>
        <v>35</v>
      </c>
      <c r="B571" s="17">
        <v>44743</v>
      </c>
      <c r="C571" s="18">
        <f t="shared" si="60"/>
        <v>7</v>
      </c>
      <c r="D571" s="18">
        <f t="shared" si="61"/>
        <v>2022</v>
      </c>
      <c r="E571" s="18" t="str">
        <f>IFERROR(VLOOKUP(F571,#REF!,3,FALSE),"")</f>
        <v/>
      </c>
      <c r="F571" s="11" t="s">
        <v>34</v>
      </c>
      <c r="G571" s="9">
        <v>5</v>
      </c>
      <c r="H571" s="10">
        <v>2.5</v>
      </c>
      <c r="I571" s="147"/>
    </row>
    <row r="572" spans="1:9" x14ac:dyDescent="0.2">
      <c r="E572" s="18" t="str">
        <f>IFERROR(VLOOKUP(F572,#REF!,3,FALSE),"")</f>
        <v/>
      </c>
      <c r="F572" s="214" t="s">
        <v>39</v>
      </c>
      <c r="G572" s="214"/>
      <c r="H572" s="214"/>
      <c r="I572" s="150"/>
    </row>
    <row r="573" spans="1:9" x14ac:dyDescent="0.2">
      <c r="A573" s="3">
        <f>VLOOKUP(F573,CODIGOSPLACAS!$A$1:$B$38,2,FALSE)</f>
        <v>2</v>
      </c>
      <c r="B573" s="17">
        <v>44774</v>
      </c>
      <c r="C573" s="18">
        <f t="shared" ref="C573:C591" si="62">MONTH(B573)</f>
        <v>8</v>
      </c>
      <c r="D573" s="18">
        <f t="shared" ref="D573:D591" si="63">YEAR(B573)</f>
        <v>2022</v>
      </c>
      <c r="E573" s="18" t="str">
        <f>IFERROR(VLOOKUP(F573,#REF!,3,FALSE),"")</f>
        <v/>
      </c>
      <c r="F573" s="6" t="s">
        <v>24</v>
      </c>
      <c r="G573" s="6">
        <v>4</v>
      </c>
      <c r="H573" s="7">
        <v>1.7</v>
      </c>
      <c r="I573" s="147"/>
    </row>
    <row r="574" spans="1:9" x14ac:dyDescent="0.2">
      <c r="A574" s="3">
        <f>VLOOKUP(F574,CODIGOSPLACAS!$A$1:$B$38,2,FALSE)</f>
        <v>1</v>
      </c>
      <c r="B574" s="17">
        <v>44774</v>
      </c>
      <c r="C574" s="18">
        <f t="shared" si="62"/>
        <v>8</v>
      </c>
      <c r="D574" s="18">
        <f t="shared" si="63"/>
        <v>2022</v>
      </c>
      <c r="E574" s="18" t="str">
        <f>IFERROR(VLOOKUP(F574,#REF!,3,FALSE),"")</f>
        <v/>
      </c>
      <c r="F574" s="6" t="s">
        <v>26</v>
      </c>
      <c r="G574" s="6">
        <v>4</v>
      </c>
      <c r="H574" s="7">
        <v>1.7</v>
      </c>
      <c r="I574" s="147"/>
    </row>
    <row r="575" spans="1:9" x14ac:dyDescent="0.2">
      <c r="A575" s="3">
        <f>VLOOKUP(F575,CODIGOSPLACAS!$A$1:$B$38,2,FALSE)</f>
        <v>3</v>
      </c>
      <c r="B575" s="17">
        <v>44774</v>
      </c>
      <c r="C575" s="18">
        <f t="shared" si="62"/>
        <v>8</v>
      </c>
      <c r="D575" s="18">
        <f t="shared" si="63"/>
        <v>2022</v>
      </c>
      <c r="E575" s="18" t="str">
        <f>IFERROR(VLOOKUP(F575,#REF!,3,FALSE),"")</f>
        <v/>
      </c>
      <c r="F575" s="6" t="s">
        <v>28</v>
      </c>
      <c r="G575" s="6">
        <v>4</v>
      </c>
      <c r="H575" s="7">
        <v>1.7</v>
      </c>
      <c r="I575" s="147"/>
    </row>
    <row r="576" spans="1:9" x14ac:dyDescent="0.2">
      <c r="A576" s="3">
        <f>VLOOKUP(F576,CODIGOSPLACAS!$A$1:$B$38,2,FALSE)</f>
        <v>4</v>
      </c>
      <c r="B576" s="17">
        <v>44774</v>
      </c>
      <c r="C576" s="18">
        <f t="shared" si="62"/>
        <v>8</v>
      </c>
      <c r="D576" s="18">
        <f t="shared" si="63"/>
        <v>2022</v>
      </c>
      <c r="E576" s="18" t="str">
        <f>IFERROR(VLOOKUP(F576,#REF!,3,FALSE),"")</f>
        <v/>
      </c>
      <c r="F576" s="5" t="s">
        <v>30</v>
      </c>
      <c r="G576" s="6">
        <v>4</v>
      </c>
      <c r="H576" s="7">
        <v>1.7</v>
      </c>
      <c r="I576" s="147"/>
    </row>
    <row r="577" spans="1:9" x14ac:dyDescent="0.2">
      <c r="A577" s="3">
        <f>VLOOKUP(F577,CODIGOSPLACAS!$A$1:$B$38,2,FALSE)</f>
        <v>5</v>
      </c>
      <c r="B577" s="17">
        <v>44774</v>
      </c>
      <c r="C577" s="18">
        <f t="shared" si="62"/>
        <v>8</v>
      </c>
      <c r="D577" s="18">
        <f t="shared" si="63"/>
        <v>2022</v>
      </c>
      <c r="E577" s="18" t="str">
        <f>IFERROR(VLOOKUP(F577,#REF!,3,FALSE),"")</f>
        <v/>
      </c>
      <c r="F577" s="5" t="s">
        <v>33</v>
      </c>
      <c r="G577" s="6">
        <v>4</v>
      </c>
      <c r="H577" s="7">
        <v>1.7</v>
      </c>
      <c r="I577" s="147"/>
    </row>
    <row r="578" spans="1:9" x14ac:dyDescent="0.2">
      <c r="A578" s="3">
        <f>VLOOKUP(F578,CODIGOSPLACAS!$A$1:$B$38,2,FALSE)</f>
        <v>6</v>
      </c>
      <c r="B578" s="17">
        <v>44774</v>
      </c>
      <c r="C578" s="18">
        <f t="shared" si="62"/>
        <v>8</v>
      </c>
      <c r="D578" s="18">
        <f t="shared" si="63"/>
        <v>2022</v>
      </c>
      <c r="E578" s="18" t="str">
        <f>IFERROR(VLOOKUP(F578,#REF!,3,FALSE),"")</f>
        <v/>
      </c>
      <c r="F578" s="5" t="s">
        <v>31</v>
      </c>
      <c r="G578" s="6">
        <v>4</v>
      </c>
      <c r="H578" s="7">
        <v>1.7</v>
      </c>
      <c r="I578" s="147"/>
    </row>
    <row r="579" spans="1:9" x14ac:dyDescent="0.2">
      <c r="A579" s="3">
        <f>VLOOKUP(F579,CODIGOSPLACAS!$A$1:$B$38,2,FALSE)</f>
        <v>7</v>
      </c>
      <c r="B579" s="17">
        <v>44774</v>
      </c>
      <c r="C579" s="18">
        <f t="shared" si="62"/>
        <v>8</v>
      </c>
      <c r="D579" s="18">
        <f t="shared" si="63"/>
        <v>2022</v>
      </c>
      <c r="E579" s="18" t="str">
        <f>IFERROR(VLOOKUP(F579,#REF!,3,FALSE),"")</f>
        <v/>
      </c>
      <c r="F579" s="5" t="s">
        <v>124</v>
      </c>
      <c r="G579" s="6">
        <v>4</v>
      </c>
      <c r="H579" s="7">
        <v>1.7</v>
      </c>
      <c r="I579" s="147"/>
    </row>
    <row r="580" spans="1:9" x14ac:dyDescent="0.2">
      <c r="A580" s="3">
        <f>VLOOKUP(F580,CODIGOSPLACAS!$A$1:$B$38,2,FALSE)</f>
        <v>8</v>
      </c>
      <c r="B580" s="17">
        <v>44774</v>
      </c>
      <c r="C580" s="18">
        <f t="shared" si="62"/>
        <v>8</v>
      </c>
      <c r="D580" s="18">
        <f t="shared" si="63"/>
        <v>2022</v>
      </c>
      <c r="E580" s="18" t="str">
        <f>IFERROR(VLOOKUP(F580,#REF!,3,FALSE),"")</f>
        <v/>
      </c>
      <c r="F580" s="6" t="s">
        <v>27</v>
      </c>
      <c r="G580" s="6">
        <v>4</v>
      </c>
      <c r="H580" s="7">
        <v>1.7</v>
      </c>
      <c r="I580" s="147"/>
    </row>
    <row r="581" spans="1:9" x14ac:dyDescent="0.2">
      <c r="A581" s="3">
        <f>VLOOKUP(F581,CODIGOSPLACAS!$A$1:$B$38,2,FALSE)</f>
        <v>9</v>
      </c>
      <c r="B581" s="17">
        <v>44774</v>
      </c>
      <c r="C581" s="18">
        <f t="shared" si="62"/>
        <v>8</v>
      </c>
      <c r="D581" s="18">
        <f t="shared" si="63"/>
        <v>2022</v>
      </c>
      <c r="E581" s="18" t="str">
        <f>IFERROR(VLOOKUP(F581,#REF!,3,FALSE),"")</f>
        <v/>
      </c>
      <c r="F581" s="6" t="s">
        <v>126</v>
      </c>
      <c r="G581" s="6">
        <v>4</v>
      </c>
      <c r="H581" s="7">
        <v>1.7</v>
      </c>
      <c r="I581" s="147"/>
    </row>
    <row r="582" spans="1:9" x14ac:dyDescent="0.2">
      <c r="A582" s="3">
        <f>VLOOKUP(F582,CODIGOSPLACAS!$A$1:$B$38,2,FALSE)</f>
        <v>10</v>
      </c>
      <c r="B582" s="17">
        <v>44774</v>
      </c>
      <c r="C582" s="18">
        <f t="shared" si="62"/>
        <v>8</v>
      </c>
      <c r="D582" s="18">
        <f t="shared" si="63"/>
        <v>2022</v>
      </c>
      <c r="E582" s="18" t="str">
        <f>IFERROR(VLOOKUP(F582,#REF!,3,FALSE),"")</f>
        <v/>
      </c>
      <c r="F582" s="5" t="s">
        <v>32</v>
      </c>
      <c r="G582" s="6">
        <v>4</v>
      </c>
      <c r="H582" s="7">
        <v>1.7</v>
      </c>
      <c r="I582" s="147"/>
    </row>
    <row r="583" spans="1:9" x14ac:dyDescent="0.2">
      <c r="A583" s="3">
        <f>VLOOKUP(F583,CODIGOSPLACAS!$A$1:$B$38,2,FALSE)</f>
        <v>11</v>
      </c>
      <c r="B583" s="17">
        <v>44774</v>
      </c>
      <c r="C583" s="18">
        <f t="shared" si="62"/>
        <v>8</v>
      </c>
      <c r="D583" s="18">
        <f t="shared" si="63"/>
        <v>2022</v>
      </c>
      <c r="E583" s="18" t="str">
        <f>IFERROR(VLOOKUP(F583,#REF!,3,FALSE),"")</f>
        <v/>
      </c>
      <c r="F583" s="5" t="s">
        <v>29</v>
      </c>
      <c r="G583" s="6">
        <v>4</v>
      </c>
      <c r="H583" s="7">
        <v>1.7</v>
      </c>
      <c r="I583" s="147"/>
    </row>
    <row r="584" spans="1:9" x14ac:dyDescent="0.2">
      <c r="A584" s="3">
        <f>VLOOKUP(F584,CODIGOSPLACAS!$A$1:$B$38,2,FALSE)</f>
        <v>16</v>
      </c>
      <c r="B584" s="17">
        <v>44774</v>
      </c>
      <c r="C584" s="18">
        <f t="shared" si="62"/>
        <v>8</v>
      </c>
      <c r="D584" s="18">
        <f t="shared" si="63"/>
        <v>2022</v>
      </c>
      <c r="E584" s="18" t="str">
        <f>IFERROR(VLOOKUP(F584,#REF!,3,FALSE),"")</f>
        <v/>
      </c>
      <c r="F584" s="6" t="s">
        <v>130</v>
      </c>
      <c r="G584" s="6">
        <v>4</v>
      </c>
      <c r="H584" s="7">
        <v>1.7</v>
      </c>
      <c r="I584" s="147"/>
    </row>
    <row r="585" spans="1:9" x14ac:dyDescent="0.2">
      <c r="A585" s="3">
        <f>VLOOKUP(F585,CODIGOSPLACAS!$A$1:$B$38,2,FALSE)</f>
        <v>23</v>
      </c>
      <c r="B585" s="17">
        <v>44774</v>
      </c>
      <c r="C585" s="18">
        <f t="shared" si="62"/>
        <v>8</v>
      </c>
      <c r="D585" s="18">
        <f t="shared" si="63"/>
        <v>2022</v>
      </c>
      <c r="E585" s="18" t="str">
        <f>IFERROR(VLOOKUP(F585,#REF!,3,FALSE),"")</f>
        <v/>
      </c>
      <c r="F585" s="19" t="s">
        <v>23</v>
      </c>
      <c r="G585" s="19">
        <v>4</v>
      </c>
      <c r="H585" s="20">
        <v>1.7</v>
      </c>
      <c r="I585" s="147"/>
    </row>
    <row r="586" spans="1:9" x14ac:dyDescent="0.2">
      <c r="A586" s="3">
        <f>VLOOKUP(F586,CODIGOSPLACAS!$A$1:$B$38,2,FALSE)</f>
        <v>33</v>
      </c>
      <c r="B586" s="17">
        <v>44774</v>
      </c>
      <c r="C586" s="18">
        <f t="shared" si="62"/>
        <v>8</v>
      </c>
      <c r="D586" s="18">
        <f t="shared" si="63"/>
        <v>2022</v>
      </c>
      <c r="E586" s="18" t="str">
        <f>IFERROR(VLOOKUP(F586,#REF!,3,FALSE),"")</f>
        <v/>
      </c>
      <c r="F586" s="6" t="s">
        <v>127</v>
      </c>
      <c r="G586" s="6">
        <v>3</v>
      </c>
      <c r="H586" s="7">
        <v>1.9</v>
      </c>
      <c r="I586" s="147"/>
    </row>
    <row r="587" spans="1:9" x14ac:dyDescent="0.2">
      <c r="A587" s="3">
        <f>VLOOKUP(F587,CODIGOSPLACAS!$A$1:$B$38,2,FALSE)</f>
        <v>34</v>
      </c>
      <c r="B587" s="17">
        <v>44774</v>
      </c>
      <c r="C587" s="18">
        <f t="shared" si="62"/>
        <v>8</v>
      </c>
      <c r="D587" s="18">
        <f t="shared" si="63"/>
        <v>2022</v>
      </c>
      <c r="E587" s="18" t="str">
        <f>IFERROR(VLOOKUP(F587,#REF!,3,FALSE),"")</f>
        <v/>
      </c>
      <c r="F587" s="6" t="s">
        <v>22</v>
      </c>
      <c r="G587" s="6">
        <v>3</v>
      </c>
      <c r="H587" s="7">
        <v>1.9</v>
      </c>
      <c r="I587" s="147"/>
    </row>
    <row r="588" spans="1:9" x14ac:dyDescent="0.2">
      <c r="A588" s="3">
        <f>VLOOKUP(F588,CODIGOSPLACAS!$A$1:$B$38,2,FALSE)</f>
        <v>30</v>
      </c>
      <c r="B588" s="17">
        <v>44774</v>
      </c>
      <c r="C588" s="18">
        <f t="shared" si="62"/>
        <v>8</v>
      </c>
      <c r="D588" s="18">
        <f t="shared" si="63"/>
        <v>2022</v>
      </c>
      <c r="E588" s="18" t="str">
        <f>IFERROR(VLOOKUP(F588,#REF!,3,FALSE),"")</f>
        <v/>
      </c>
      <c r="F588" s="11" t="s">
        <v>25</v>
      </c>
      <c r="G588" s="9">
        <v>4</v>
      </c>
      <c r="H588" s="10">
        <v>1.7</v>
      </c>
      <c r="I588" s="147"/>
    </row>
    <row r="589" spans="1:9" x14ac:dyDescent="0.2">
      <c r="A589" s="3">
        <f>VLOOKUP(F589,CODIGOSPLACAS!$A$1:$B$38,2,FALSE)</f>
        <v>31</v>
      </c>
      <c r="B589" s="17">
        <v>44774</v>
      </c>
      <c r="C589" s="18">
        <f t="shared" si="62"/>
        <v>8</v>
      </c>
      <c r="D589" s="18">
        <f t="shared" si="63"/>
        <v>2022</v>
      </c>
      <c r="E589" s="18" t="str">
        <f>IFERROR(VLOOKUP(F589,#REF!,3,FALSE),"")</f>
        <v/>
      </c>
      <c r="F589" s="11" t="s">
        <v>128</v>
      </c>
      <c r="G589" s="9">
        <v>4</v>
      </c>
      <c r="H589" s="10">
        <v>1.7</v>
      </c>
      <c r="I589" s="147"/>
    </row>
    <row r="590" spans="1:9" x14ac:dyDescent="0.2">
      <c r="A590" s="3">
        <f>VLOOKUP(F590,CODIGOSPLACAS!$A$1:$B$38,2,FALSE)</f>
        <v>36</v>
      </c>
      <c r="B590" s="17">
        <v>44774</v>
      </c>
      <c r="C590" s="18">
        <f t="shared" si="62"/>
        <v>8</v>
      </c>
      <c r="D590" s="18">
        <f t="shared" si="63"/>
        <v>2022</v>
      </c>
      <c r="E590" s="18" t="str">
        <f>IFERROR(VLOOKUP(F590,#REF!,3,FALSE),"")</f>
        <v/>
      </c>
      <c r="F590" s="11" t="s">
        <v>35</v>
      </c>
      <c r="G590" s="9">
        <v>5</v>
      </c>
      <c r="H590" s="10">
        <v>2.5</v>
      </c>
      <c r="I590" s="147"/>
    </row>
    <row r="591" spans="1:9" x14ac:dyDescent="0.2">
      <c r="A591" s="3">
        <f>VLOOKUP(F591,CODIGOSPLACAS!$A$1:$B$38,2,FALSE)</f>
        <v>35</v>
      </c>
      <c r="B591" s="17">
        <v>44774</v>
      </c>
      <c r="C591" s="18">
        <f t="shared" si="62"/>
        <v>8</v>
      </c>
      <c r="D591" s="18">
        <f t="shared" si="63"/>
        <v>2022</v>
      </c>
      <c r="E591" s="18" t="str">
        <f>IFERROR(VLOOKUP(F591,#REF!,3,FALSE),"")</f>
        <v/>
      </c>
      <c r="F591" s="11" t="s">
        <v>34</v>
      </c>
      <c r="G591" s="9">
        <v>5</v>
      </c>
      <c r="H591" s="10">
        <v>2.5</v>
      </c>
      <c r="I591" s="147"/>
    </row>
    <row r="592" spans="1:9" x14ac:dyDescent="0.2">
      <c r="E592" s="18" t="str">
        <f>IFERROR(VLOOKUP(F592,#REF!,3,FALSE),"")</f>
        <v/>
      </c>
      <c r="F592" s="214" t="s">
        <v>39</v>
      </c>
      <c r="G592" s="214"/>
      <c r="H592" s="214"/>
      <c r="I592" s="150"/>
    </row>
    <row r="593" spans="1:9" x14ac:dyDescent="0.2">
      <c r="A593" s="3">
        <f>VLOOKUP(F593,CODIGOSPLACAS!$A$1:$B$38,2,FALSE)</f>
        <v>2</v>
      </c>
      <c r="B593" s="17">
        <v>44805</v>
      </c>
      <c r="C593" s="18">
        <f t="shared" ref="C593:C611" si="64">MONTH(B593)</f>
        <v>9</v>
      </c>
      <c r="D593" s="18">
        <f t="shared" ref="D593:D611" si="65">YEAR(B593)</f>
        <v>2022</v>
      </c>
      <c r="E593" s="18" t="str">
        <f>IFERROR(VLOOKUP(F593,#REF!,3,FALSE),"")</f>
        <v/>
      </c>
      <c r="F593" s="6" t="s">
        <v>24</v>
      </c>
      <c r="G593" s="6">
        <v>4</v>
      </c>
      <c r="H593" s="7">
        <v>1.7</v>
      </c>
      <c r="I593" s="147"/>
    </row>
    <row r="594" spans="1:9" x14ac:dyDescent="0.2">
      <c r="A594" s="3">
        <f>VLOOKUP(F594,CODIGOSPLACAS!$A$1:$B$38,2,FALSE)</f>
        <v>1</v>
      </c>
      <c r="B594" s="17">
        <v>44805</v>
      </c>
      <c r="C594" s="18">
        <f t="shared" si="64"/>
        <v>9</v>
      </c>
      <c r="D594" s="18">
        <f t="shared" si="65"/>
        <v>2022</v>
      </c>
      <c r="E594" s="18" t="str">
        <f>IFERROR(VLOOKUP(F594,#REF!,3,FALSE),"")</f>
        <v/>
      </c>
      <c r="F594" s="6" t="s">
        <v>26</v>
      </c>
      <c r="G594" s="6">
        <v>4</v>
      </c>
      <c r="H594" s="7">
        <v>1.7</v>
      </c>
      <c r="I594" s="147"/>
    </row>
    <row r="595" spans="1:9" x14ac:dyDescent="0.2">
      <c r="A595" s="3">
        <f>VLOOKUP(F595,CODIGOSPLACAS!$A$1:$B$38,2,FALSE)</f>
        <v>3</v>
      </c>
      <c r="B595" s="17">
        <v>44805</v>
      </c>
      <c r="C595" s="18">
        <f t="shared" si="64"/>
        <v>9</v>
      </c>
      <c r="D595" s="18">
        <f t="shared" si="65"/>
        <v>2022</v>
      </c>
      <c r="E595" s="18" t="str">
        <f>IFERROR(VLOOKUP(F595,#REF!,3,FALSE),"")</f>
        <v/>
      </c>
      <c r="F595" s="6" t="s">
        <v>28</v>
      </c>
      <c r="G595" s="6">
        <v>4</v>
      </c>
      <c r="H595" s="7">
        <v>1.7</v>
      </c>
      <c r="I595" s="147"/>
    </row>
    <row r="596" spans="1:9" x14ac:dyDescent="0.2">
      <c r="A596" s="3">
        <f>VLOOKUP(F596,CODIGOSPLACAS!$A$1:$B$38,2,FALSE)</f>
        <v>4</v>
      </c>
      <c r="B596" s="17">
        <v>44805</v>
      </c>
      <c r="C596" s="18">
        <f t="shared" si="64"/>
        <v>9</v>
      </c>
      <c r="D596" s="18">
        <f t="shared" si="65"/>
        <v>2022</v>
      </c>
      <c r="E596" s="18" t="str">
        <f>IFERROR(VLOOKUP(F596,#REF!,3,FALSE),"")</f>
        <v/>
      </c>
      <c r="F596" s="5" t="s">
        <v>30</v>
      </c>
      <c r="G596" s="6">
        <v>4</v>
      </c>
      <c r="H596" s="7">
        <v>1.7</v>
      </c>
      <c r="I596" s="147"/>
    </row>
    <row r="597" spans="1:9" x14ac:dyDescent="0.2">
      <c r="A597" s="3">
        <f>VLOOKUP(F597,CODIGOSPLACAS!$A$1:$B$38,2,FALSE)</f>
        <v>5</v>
      </c>
      <c r="B597" s="17">
        <v>44805</v>
      </c>
      <c r="C597" s="18">
        <f t="shared" si="64"/>
        <v>9</v>
      </c>
      <c r="D597" s="18">
        <f t="shared" si="65"/>
        <v>2022</v>
      </c>
      <c r="E597" s="18" t="str">
        <f>IFERROR(VLOOKUP(F597,#REF!,3,FALSE),"")</f>
        <v/>
      </c>
      <c r="F597" s="5" t="s">
        <v>33</v>
      </c>
      <c r="G597" s="6">
        <v>4</v>
      </c>
      <c r="H597" s="7">
        <v>1.7</v>
      </c>
      <c r="I597" s="147"/>
    </row>
    <row r="598" spans="1:9" x14ac:dyDescent="0.2">
      <c r="A598" s="3">
        <f>VLOOKUP(F598,CODIGOSPLACAS!$A$1:$B$38,2,FALSE)</f>
        <v>6</v>
      </c>
      <c r="B598" s="17">
        <v>44805</v>
      </c>
      <c r="C598" s="18">
        <f t="shared" si="64"/>
        <v>9</v>
      </c>
      <c r="D598" s="18">
        <f t="shared" si="65"/>
        <v>2022</v>
      </c>
      <c r="E598" s="18" t="str">
        <f>IFERROR(VLOOKUP(F598,#REF!,3,FALSE),"")</f>
        <v/>
      </c>
      <c r="F598" s="5" t="s">
        <v>31</v>
      </c>
      <c r="G598" s="6">
        <v>4</v>
      </c>
      <c r="H598" s="7">
        <v>1.7</v>
      </c>
      <c r="I598" s="147"/>
    </row>
    <row r="599" spans="1:9" x14ac:dyDescent="0.2">
      <c r="A599" s="3">
        <f>VLOOKUP(F599,CODIGOSPLACAS!$A$1:$B$38,2,FALSE)</f>
        <v>7</v>
      </c>
      <c r="B599" s="17">
        <v>44805</v>
      </c>
      <c r="C599" s="18">
        <f t="shared" si="64"/>
        <v>9</v>
      </c>
      <c r="D599" s="18">
        <f t="shared" si="65"/>
        <v>2022</v>
      </c>
      <c r="E599" s="18" t="str">
        <f>IFERROR(VLOOKUP(F599,#REF!,3,FALSE),"")</f>
        <v/>
      </c>
      <c r="F599" s="5" t="s">
        <v>124</v>
      </c>
      <c r="G599" s="6">
        <v>4</v>
      </c>
      <c r="H599" s="7">
        <v>1.7</v>
      </c>
      <c r="I599" s="147"/>
    </row>
    <row r="600" spans="1:9" x14ac:dyDescent="0.2">
      <c r="A600" s="3">
        <f>VLOOKUP(F600,CODIGOSPLACAS!$A$1:$B$38,2,FALSE)</f>
        <v>8</v>
      </c>
      <c r="B600" s="17">
        <v>44805</v>
      </c>
      <c r="C600" s="18">
        <f t="shared" si="64"/>
        <v>9</v>
      </c>
      <c r="D600" s="18">
        <f t="shared" si="65"/>
        <v>2022</v>
      </c>
      <c r="E600" s="18" t="str">
        <f>IFERROR(VLOOKUP(F600,#REF!,3,FALSE),"")</f>
        <v/>
      </c>
      <c r="F600" s="6" t="s">
        <v>27</v>
      </c>
      <c r="G600" s="6">
        <v>4</v>
      </c>
      <c r="H600" s="7">
        <v>1.7</v>
      </c>
      <c r="I600" s="147"/>
    </row>
    <row r="601" spans="1:9" x14ac:dyDescent="0.2">
      <c r="A601" s="3">
        <f>VLOOKUP(F601,CODIGOSPLACAS!$A$1:$B$38,2,FALSE)</f>
        <v>9</v>
      </c>
      <c r="B601" s="17">
        <v>44805</v>
      </c>
      <c r="C601" s="18">
        <f t="shared" si="64"/>
        <v>9</v>
      </c>
      <c r="D601" s="18">
        <f t="shared" si="65"/>
        <v>2022</v>
      </c>
      <c r="E601" s="18" t="str">
        <f>IFERROR(VLOOKUP(F601,#REF!,3,FALSE),"")</f>
        <v/>
      </c>
      <c r="F601" s="6" t="s">
        <v>126</v>
      </c>
      <c r="G601" s="6">
        <v>4</v>
      </c>
      <c r="H601" s="7">
        <v>1.7</v>
      </c>
      <c r="I601" s="147"/>
    </row>
    <row r="602" spans="1:9" x14ac:dyDescent="0.2">
      <c r="A602" s="3">
        <f>VLOOKUP(F602,CODIGOSPLACAS!$A$1:$B$38,2,FALSE)</f>
        <v>10</v>
      </c>
      <c r="B602" s="17">
        <v>44805</v>
      </c>
      <c r="C602" s="18">
        <f t="shared" si="64"/>
        <v>9</v>
      </c>
      <c r="D602" s="18">
        <f t="shared" si="65"/>
        <v>2022</v>
      </c>
      <c r="E602" s="18" t="str">
        <f>IFERROR(VLOOKUP(F602,#REF!,3,FALSE),"")</f>
        <v/>
      </c>
      <c r="F602" s="5" t="s">
        <v>32</v>
      </c>
      <c r="G602" s="6">
        <v>4</v>
      </c>
      <c r="H602" s="7">
        <v>1.7</v>
      </c>
      <c r="I602" s="147"/>
    </row>
    <row r="603" spans="1:9" x14ac:dyDescent="0.2">
      <c r="A603" s="3">
        <f>VLOOKUP(F603,CODIGOSPLACAS!$A$1:$B$38,2,FALSE)</f>
        <v>11</v>
      </c>
      <c r="B603" s="17">
        <v>44805</v>
      </c>
      <c r="C603" s="18">
        <f t="shared" si="64"/>
        <v>9</v>
      </c>
      <c r="D603" s="18">
        <f t="shared" si="65"/>
        <v>2022</v>
      </c>
      <c r="E603" s="18" t="str">
        <f>IFERROR(VLOOKUP(F603,#REF!,3,FALSE),"")</f>
        <v/>
      </c>
      <c r="F603" s="5" t="s">
        <v>29</v>
      </c>
      <c r="G603" s="6">
        <v>4</v>
      </c>
      <c r="H603" s="7">
        <v>1.7</v>
      </c>
      <c r="I603" s="147"/>
    </row>
    <row r="604" spans="1:9" x14ac:dyDescent="0.2">
      <c r="A604" s="3">
        <f>VLOOKUP(F604,CODIGOSPLACAS!$A$1:$B$38,2,FALSE)</f>
        <v>16</v>
      </c>
      <c r="B604" s="17">
        <v>44805</v>
      </c>
      <c r="C604" s="18">
        <f t="shared" si="64"/>
        <v>9</v>
      </c>
      <c r="D604" s="18">
        <f t="shared" si="65"/>
        <v>2022</v>
      </c>
      <c r="E604" s="18" t="str">
        <f>IFERROR(VLOOKUP(F604,#REF!,3,FALSE),"")</f>
        <v/>
      </c>
      <c r="F604" s="6" t="s">
        <v>130</v>
      </c>
      <c r="G604" s="6">
        <v>4</v>
      </c>
      <c r="H604" s="7">
        <v>1.7</v>
      </c>
      <c r="I604" s="147"/>
    </row>
    <row r="605" spans="1:9" x14ac:dyDescent="0.2">
      <c r="A605" s="3">
        <f>VLOOKUP(F605,CODIGOSPLACAS!$A$1:$B$38,2,FALSE)</f>
        <v>23</v>
      </c>
      <c r="B605" s="17">
        <v>44805</v>
      </c>
      <c r="C605" s="18">
        <f t="shared" si="64"/>
        <v>9</v>
      </c>
      <c r="D605" s="18">
        <f t="shared" si="65"/>
        <v>2022</v>
      </c>
      <c r="E605" s="18" t="str">
        <f>IFERROR(VLOOKUP(F605,#REF!,3,FALSE),"")</f>
        <v/>
      </c>
      <c r="F605" s="19" t="s">
        <v>23</v>
      </c>
      <c r="G605" s="19">
        <v>4</v>
      </c>
      <c r="H605" s="20">
        <v>1.7</v>
      </c>
      <c r="I605" s="147"/>
    </row>
    <row r="606" spans="1:9" x14ac:dyDescent="0.2">
      <c r="A606" s="3">
        <f>VLOOKUP(F606,CODIGOSPLACAS!$A$1:$B$38,2,FALSE)</f>
        <v>33</v>
      </c>
      <c r="B606" s="17">
        <v>44805</v>
      </c>
      <c r="C606" s="18">
        <f t="shared" si="64"/>
        <v>9</v>
      </c>
      <c r="D606" s="18">
        <f t="shared" si="65"/>
        <v>2022</v>
      </c>
      <c r="E606" s="18" t="str">
        <f>IFERROR(VLOOKUP(F606,#REF!,3,FALSE),"")</f>
        <v/>
      </c>
      <c r="F606" s="6" t="s">
        <v>127</v>
      </c>
      <c r="G606" s="6">
        <v>3</v>
      </c>
      <c r="H606" s="7">
        <v>1.9</v>
      </c>
      <c r="I606" s="147"/>
    </row>
    <row r="607" spans="1:9" x14ac:dyDescent="0.2">
      <c r="A607" s="3">
        <f>VLOOKUP(F607,CODIGOSPLACAS!$A$1:$B$38,2,FALSE)</f>
        <v>34</v>
      </c>
      <c r="B607" s="17">
        <v>44805</v>
      </c>
      <c r="C607" s="18">
        <f t="shared" si="64"/>
        <v>9</v>
      </c>
      <c r="D607" s="18">
        <f t="shared" si="65"/>
        <v>2022</v>
      </c>
      <c r="E607" s="18" t="str">
        <f>IFERROR(VLOOKUP(F607,#REF!,3,FALSE),"")</f>
        <v/>
      </c>
      <c r="F607" s="6" t="s">
        <v>22</v>
      </c>
      <c r="G607" s="6">
        <v>3</v>
      </c>
      <c r="H607" s="7">
        <v>1.9</v>
      </c>
      <c r="I607" s="147"/>
    </row>
    <row r="608" spans="1:9" x14ac:dyDescent="0.2">
      <c r="A608" s="3">
        <f>VLOOKUP(F608,CODIGOSPLACAS!$A$1:$B$38,2,FALSE)</f>
        <v>30</v>
      </c>
      <c r="B608" s="17">
        <v>44805</v>
      </c>
      <c r="C608" s="18">
        <f t="shared" si="64"/>
        <v>9</v>
      </c>
      <c r="D608" s="18">
        <f t="shared" si="65"/>
        <v>2022</v>
      </c>
      <c r="E608" s="18" t="str">
        <f>IFERROR(VLOOKUP(F608,#REF!,3,FALSE),"")</f>
        <v/>
      </c>
      <c r="F608" s="11" t="s">
        <v>25</v>
      </c>
      <c r="G608" s="9">
        <v>4</v>
      </c>
      <c r="H608" s="10">
        <v>1.7</v>
      </c>
      <c r="I608" s="147"/>
    </row>
    <row r="609" spans="1:9" x14ac:dyDescent="0.2">
      <c r="A609" s="3">
        <f>VLOOKUP(F609,CODIGOSPLACAS!$A$1:$B$38,2,FALSE)</f>
        <v>31</v>
      </c>
      <c r="B609" s="17">
        <v>44805</v>
      </c>
      <c r="C609" s="18">
        <f t="shared" si="64"/>
        <v>9</v>
      </c>
      <c r="D609" s="18">
        <f t="shared" si="65"/>
        <v>2022</v>
      </c>
      <c r="E609" s="18" t="str">
        <f>IFERROR(VLOOKUP(F609,#REF!,3,FALSE),"")</f>
        <v/>
      </c>
      <c r="F609" s="11" t="s">
        <v>128</v>
      </c>
      <c r="G609" s="9">
        <v>4</v>
      </c>
      <c r="H609" s="10">
        <v>1.7</v>
      </c>
      <c r="I609" s="147"/>
    </row>
    <row r="610" spans="1:9" x14ac:dyDescent="0.2">
      <c r="A610" s="3">
        <f>VLOOKUP(F610,CODIGOSPLACAS!$A$1:$B$38,2,FALSE)</f>
        <v>36</v>
      </c>
      <c r="B610" s="17">
        <v>44805</v>
      </c>
      <c r="C610" s="18">
        <f t="shared" si="64"/>
        <v>9</v>
      </c>
      <c r="D610" s="18">
        <f t="shared" si="65"/>
        <v>2022</v>
      </c>
      <c r="E610" s="18" t="str">
        <f>IFERROR(VLOOKUP(F610,#REF!,3,FALSE),"")</f>
        <v/>
      </c>
      <c r="F610" s="11" t="s">
        <v>35</v>
      </c>
      <c r="G610" s="9">
        <v>5</v>
      </c>
      <c r="H610" s="10">
        <v>2.5</v>
      </c>
      <c r="I610" s="147"/>
    </row>
    <row r="611" spans="1:9" x14ac:dyDescent="0.2">
      <c r="A611" s="3">
        <f>VLOOKUP(F611,CODIGOSPLACAS!$A$1:$B$38,2,FALSE)</f>
        <v>35</v>
      </c>
      <c r="B611" s="17">
        <v>44805</v>
      </c>
      <c r="C611" s="18">
        <f t="shared" si="64"/>
        <v>9</v>
      </c>
      <c r="D611" s="18">
        <f t="shared" si="65"/>
        <v>2022</v>
      </c>
      <c r="E611" s="18" t="str">
        <f>IFERROR(VLOOKUP(F611,#REF!,3,FALSE),"")</f>
        <v/>
      </c>
      <c r="F611" s="11" t="s">
        <v>34</v>
      </c>
      <c r="G611" s="9">
        <v>5</v>
      </c>
      <c r="H611" s="10">
        <v>2.5</v>
      </c>
      <c r="I611" s="147"/>
    </row>
    <row r="612" spans="1:9" x14ac:dyDescent="0.2">
      <c r="E612" s="18" t="str">
        <f>IFERROR(VLOOKUP(F612,#REF!,3,FALSE),"")</f>
        <v/>
      </c>
      <c r="F612" s="214" t="s">
        <v>39</v>
      </c>
      <c r="G612" s="214"/>
      <c r="H612" s="214"/>
      <c r="I612" s="150"/>
    </row>
    <row r="613" spans="1:9" x14ac:dyDescent="0.2">
      <c r="A613" s="3">
        <f>VLOOKUP(F613,CODIGOSPLACAS!$A$1:$B$38,2,FALSE)</f>
        <v>2</v>
      </c>
      <c r="B613" s="17">
        <v>44835</v>
      </c>
      <c r="C613" s="18">
        <f t="shared" ref="C613:C632" si="66">MONTH(B613)</f>
        <v>10</v>
      </c>
      <c r="D613" s="18">
        <f t="shared" ref="D613:D632" si="67">YEAR(B613)</f>
        <v>2022</v>
      </c>
      <c r="E613" s="18" t="str">
        <f>IFERROR(VLOOKUP(F613,#REF!,3,FALSE),"")</f>
        <v/>
      </c>
      <c r="F613" s="6" t="s">
        <v>24</v>
      </c>
      <c r="G613" s="6">
        <v>4</v>
      </c>
      <c r="H613" s="7">
        <v>1.7</v>
      </c>
      <c r="I613" s="147"/>
    </row>
    <row r="614" spans="1:9" x14ac:dyDescent="0.2">
      <c r="A614" s="3">
        <f>VLOOKUP(F614,CODIGOSPLACAS!$A$1:$B$38,2,FALSE)</f>
        <v>32</v>
      </c>
      <c r="B614" s="17">
        <v>44835</v>
      </c>
      <c r="C614" s="18">
        <f t="shared" ref="C614" si="68">MONTH(B614)</f>
        <v>10</v>
      </c>
      <c r="D614" s="18">
        <f t="shared" ref="D614" si="69">YEAR(B614)</f>
        <v>2022</v>
      </c>
      <c r="E614" s="18" t="str">
        <f>IFERROR(VLOOKUP(F614,#REF!,3,FALSE),"")</f>
        <v/>
      </c>
      <c r="F614" s="6" t="s">
        <v>131</v>
      </c>
      <c r="G614" s="6">
        <v>4</v>
      </c>
      <c r="H614" s="7">
        <v>1.7</v>
      </c>
      <c r="I614" s="147"/>
    </row>
    <row r="615" spans="1:9" x14ac:dyDescent="0.2">
      <c r="A615" s="3">
        <f>VLOOKUP(F615,CODIGOSPLACAS!$A$1:$B$38,2,FALSE)</f>
        <v>1</v>
      </c>
      <c r="B615" s="17">
        <v>44835</v>
      </c>
      <c r="C615" s="18">
        <f t="shared" si="66"/>
        <v>10</v>
      </c>
      <c r="D615" s="18">
        <f t="shared" si="67"/>
        <v>2022</v>
      </c>
      <c r="E615" s="18" t="str">
        <f>IFERROR(VLOOKUP(F615,#REF!,3,FALSE),"")</f>
        <v/>
      </c>
      <c r="F615" s="6" t="s">
        <v>26</v>
      </c>
      <c r="G615" s="6">
        <v>4</v>
      </c>
      <c r="H615" s="7">
        <v>1.7</v>
      </c>
      <c r="I615" s="147"/>
    </row>
    <row r="616" spans="1:9" x14ac:dyDescent="0.2">
      <c r="A616" s="3">
        <f>VLOOKUP(F616,CODIGOSPLACAS!$A$1:$B$38,2,FALSE)</f>
        <v>3</v>
      </c>
      <c r="B616" s="17">
        <v>44835</v>
      </c>
      <c r="C616" s="18">
        <f t="shared" si="66"/>
        <v>10</v>
      </c>
      <c r="D616" s="18">
        <f t="shared" si="67"/>
        <v>2022</v>
      </c>
      <c r="E616" s="18" t="str">
        <f>IFERROR(VLOOKUP(F616,#REF!,3,FALSE),"")</f>
        <v/>
      </c>
      <c r="F616" s="6" t="s">
        <v>28</v>
      </c>
      <c r="G616" s="6">
        <v>4</v>
      </c>
      <c r="H616" s="7">
        <v>1.7</v>
      </c>
      <c r="I616" s="147"/>
    </row>
    <row r="617" spans="1:9" x14ac:dyDescent="0.2">
      <c r="A617" s="3">
        <f>VLOOKUP(F617,CODIGOSPLACAS!$A$1:$B$38,2,FALSE)</f>
        <v>4</v>
      </c>
      <c r="B617" s="17">
        <v>44835</v>
      </c>
      <c r="C617" s="18">
        <f t="shared" si="66"/>
        <v>10</v>
      </c>
      <c r="D617" s="18">
        <f t="shared" si="67"/>
        <v>2022</v>
      </c>
      <c r="E617" s="18" t="str">
        <f>IFERROR(VLOOKUP(F617,#REF!,3,FALSE),"")</f>
        <v/>
      </c>
      <c r="F617" s="5" t="s">
        <v>30</v>
      </c>
      <c r="G617" s="6">
        <v>4</v>
      </c>
      <c r="H617" s="7">
        <v>1.7</v>
      </c>
      <c r="I617" s="147"/>
    </row>
    <row r="618" spans="1:9" x14ac:dyDescent="0.2">
      <c r="A618" s="3">
        <f>VLOOKUP(F618,CODIGOSPLACAS!$A$1:$B$38,2,FALSE)</f>
        <v>5</v>
      </c>
      <c r="B618" s="17">
        <v>44835</v>
      </c>
      <c r="C618" s="18">
        <f t="shared" si="66"/>
        <v>10</v>
      </c>
      <c r="D618" s="18">
        <f t="shared" si="67"/>
        <v>2022</v>
      </c>
      <c r="E618" s="18" t="str">
        <f>IFERROR(VLOOKUP(F618,#REF!,3,FALSE),"")</f>
        <v/>
      </c>
      <c r="F618" s="5" t="s">
        <v>33</v>
      </c>
      <c r="G618" s="6">
        <v>4</v>
      </c>
      <c r="H618" s="7">
        <v>1.7</v>
      </c>
      <c r="I618" s="147"/>
    </row>
    <row r="619" spans="1:9" x14ac:dyDescent="0.2">
      <c r="A619" s="3">
        <f>VLOOKUP(F619,CODIGOSPLACAS!$A$1:$B$38,2,FALSE)</f>
        <v>6</v>
      </c>
      <c r="B619" s="17">
        <v>44835</v>
      </c>
      <c r="C619" s="18">
        <f t="shared" si="66"/>
        <v>10</v>
      </c>
      <c r="D619" s="18">
        <f t="shared" si="67"/>
        <v>2022</v>
      </c>
      <c r="E619" s="18" t="str">
        <f>IFERROR(VLOOKUP(F619,#REF!,3,FALSE),"")</f>
        <v/>
      </c>
      <c r="F619" s="5" t="s">
        <v>31</v>
      </c>
      <c r="G619" s="6">
        <v>4</v>
      </c>
      <c r="H619" s="7">
        <v>1.7</v>
      </c>
      <c r="I619" s="147"/>
    </row>
    <row r="620" spans="1:9" x14ac:dyDescent="0.2">
      <c r="A620" s="3">
        <f>VLOOKUP(F620,CODIGOSPLACAS!$A$1:$B$38,2,FALSE)</f>
        <v>7</v>
      </c>
      <c r="B620" s="17">
        <v>44835</v>
      </c>
      <c r="C620" s="18">
        <f t="shared" si="66"/>
        <v>10</v>
      </c>
      <c r="D620" s="18">
        <f t="shared" si="67"/>
        <v>2022</v>
      </c>
      <c r="E620" s="18" t="str">
        <f>IFERROR(VLOOKUP(F620,#REF!,3,FALSE),"")</f>
        <v/>
      </c>
      <c r="F620" s="5" t="s">
        <v>124</v>
      </c>
      <c r="G620" s="6">
        <v>4</v>
      </c>
      <c r="H620" s="7">
        <v>1.7</v>
      </c>
      <c r="I620" s="147"/>
    </row>
    <row r="621" spans="1:9" x14ac:dyDescent="0.2">
      <c r="A621" s="3">
        <f>VLOOKUP(F621,CODIGOSPLACAS!$A$1:$B$38,2,FALSE)</f>
        <v>8</v>
      </c>
      <c r="B621" s="17">
        <v>44835</v>
      </c>
      <c r="C621" s="18">
        <f t="shared" si="66"/>
        <v>10</v>
      </c>
      <c r="D621" s="18">
        <f t="shared" si="67"/>
        <v>2022</v>
      </c>
      <c r="E621" s="18" t="str">
        <f>IFERROR(VLOOKUP(F621,#REF!,3,FALSE),"")</f>
        <v/>
      </c>
      <c r="F621" s="6" t="s">
        <v>27</v>
      </c>
      <c r="G621" s="6">
        <v>4</v>
      </c>
      <c r="H621" s="7">
        <v>1.7</v>
      </c>
      <c r="I621" s="147"/>
    </row>
    <row r="622" spans="1:9" x14ac:dyDescent="0.2">
      <c r="A622" s="3">
        <f>VLOOKUP(F622,CODIGOSPLACAS!$A$1:$B$38,2,FALSE)</f>
        <v>9</v>
      </c>
      <c r="B622" s="17">
        <v>44835</v>
      </c>
      <c r="C622" s="18">
        <f t="shared" si="66"/>
        <v>10</v>
      </c>
      <c r="D622" s="18">
        <f t="shared" si="67"/>
        <v>2022</v>
      </c>
      <c r="E622" s="18" t="str">
        <f>IFERROR(VLOOKUP(F622,#REF!,3,FALSE),"")</f>
        <v/>
      </c>
      <c r="F622" s="6" t="s">
        <v>126</v>
      </c>
      <c r="G622" s="6">
        <v>4</v>
      </c>
      <c r="H622" s="7">
        <v>1.7</v>
      </c>
      <c r="I622" s="147"/>
    </row>
    <row r="623" spans="1:9" x14ac:dyDescent="0.2">
      <c r="A623" s="3">
        <f>VLOOKUP(F623,CODIGOSPLACAS!$A$1:$B$38,2,FALSE)</f>
        <v>10</v>
      </c>
      <c r="B623" s="17">
        <v>44835</v>
      </c>
      <c r="C623" s="18">
        <f t="shared" si="66"/>
        <v>10</v>
      </c>
      <c r="D623" s="18">
        <f t="shared" si="67"/>
        <v>2022</v>
      </c>
      <c r="E623" s="18" t="str">
        <f>IFERROR(VLOOKUP(F623,#REF!,3,FALSE),"")</f>
        <v/>
      </c>
      <c r="F623" s="5" t="s">
        <v>32</v>
      </c>
      <c r="G623" s="6">
        <v>4</v>
      </c>
      <c r="H623" s="7">
        <v>1.7</v>
      </c>
      <c r="I623" s="147"/>
    </row>
    <row r="624" spans="1:9" x14ac:dyDescent="0.2">
      <c r="A624" s="3">
        <f>VLOOKUP(F624,CODIGOSPLACAS!$A$1:$B$38,2,FALSE)</f>
        <v>11</v>
      </c>
      <c r="B624" s="17">
        <v>44835</v>
      </c>
      <c r="C624" s="18">
        <f t="shared" si="66"/>
        <v>10</v>
      </c>
      <c r="D624" s="18">
        <f t="shared" si="67"/>
        <v>2022</v>
      </c>
      <c r="E624" s="18" t="str">
        <f>IFERROR(VLOOKUP(F624,#REF!,3,FALSE),"")</f>
        <v/>
      </c>
      <c r="F624" s="5" t="s">
        <v>29</v>
      </c>
      <c r="G624" s="6">
        <v>4</v>
      </c>
      <c r="H624" s="7">
        <v>1.7</v>
      </c>
      <c r="I624" s="147"/>
    </row>
    <row r="625" spans="1:9" x14ac:dyDescent="0.2">
      <c r="A625" s="3">
        <f>VLOOKUP(F625,CODIGOSPLACAS!$A$1:$B$38,2,FALSE)</f>
        <v>16</v>
      </c>
      <c r="B625" s="17">
        <v>44835</v>
      </c>
      <c r="C625" s="18">
        <f t="shared" si="66"/>
        <v>10</v>
      </c>
      <c r="D625" s="18">
        <f t="shared" si="67"/>
        <v>2022</v>
      </c>
      <c r="E625" s="18" t="str">
        <f>IFERROR(VLOOKUP(F625,#REF!,3,FALSE),"")</f>
        <v/>
      </c>
      <c r="F625" s="6" t="s">
        <v>130</v>
      </c>
      <c r="G625" s="6">
        <v>4</v>
      </c>
      <c r="H625" s="7">
        <v>1.7</v>
      </c>
      <c r="I625" s="147"/>
    </row>
    <row r="626" spans="1:9" x14ac:dyDescent="0.2">
      <c r="A626" s="3">
        <f>VLOOKUP(F626,CODIGOSPLACAS!$A$1:$B$38,2,FALSE)</f>
        <v>23</v>
      </c>
      <c r="B626" s="17">
        <v>44835</v>
      </c>
      <c r="C626" s="18">
        <f t="shared" si="66"/>
        <v>10</v>
      </c>
      <c r="D626" s="18">
        <f t="shared" si="67"/>
        <v>2022</v>
      </c>
      <c r="E626" s="18" t="str">
        <f>IFERROR(VLOOKUP(F626,#REF!,3,FALSE),"")</f>
        <v/>
      </c>
      <c r="F626" s="19" t="s">
        <v>23</v>
      </c>
      <c r="G626" s="19">
        <v>4</v>
      </c>
      <c r="H626" s="20">
        <v>1.7</v>
      </c>
      <c r="I626" s="147"/>
    </row>
    <row r="627" spans="1:9" x14ac:dyDescent="0.2">
      <c r="A627" s="3">
        <f>VLOOKUP(F627,CODIGOSPLACAS!$A$1:$B$38,2,FALSE)</f>
        <v>33</v>
      </c>
      <c r="B627" s="17">
        <v>44835</v>
      </c>
      <c r="C627" s="18">
        <f t="shared" si="66"/>
        <v>10</v>
      </c>
      <c r="D627" s="18">
        <f t="shared" si="67"/>
        <v>2022</v>
      </c>
      <c r="E627" s="18" t="str">
        <f>IFERROR(VLOOKUP(F627,#REF!,3,FALSE),"")</f>
        <v/>
      </c>
      <c r="F627" s="6" t="s">
        <v>127</v>
      </c>
      <c r="G627" s="6">
        <v>3</v>
      </c>
      <c r="H627" s="7">
        <v>1.9</v>
      </c>
      <c r="I627" s="147"/>
    </row>
    <row r="628" spans="1:9" x14ac:dyDescent="0.2">
      <c r="A628" s="3">
        <f>VLOOKUP(F628,CODIGOSPLACAS!$A$1:$B$38,2,FALSE)</f>
        <v>34</v>
      </c>
      <c r="B628" s="17">
        <v>44835</v>
      </c>
      <c r="C628" s="18">
        <f t="shared" si="66"/>
        <v>10</v>
      </c>
      <c r="D628" s="18">
        <f t="shared" si="67"/>
        <v>2022</v>
      </c>
      <c r="E628" s="18" t="str">
        <f>IFERROR(VLOOKUP(F628,#REF!,3,FALSE),"")</f>
        <v/>
      </c>
      <c r="F628" s="6" t="s">
        <v>22</v>
      </c>
      <c r="G628" s="6">
        <v>3</v>
      </c>
      <c r="H628" s="7">
        <v>1.9</v>
      </c>
      <c r="I628" s="147"/>
    </row>
    <row r="629" spans="1:9" x14ac:dyDescent="0.2">
      <c r="A629" s="3">
        <f>VLOOKUP(F629,CODIGOSPLACAS!$A$1:$B$38,2,FALSE)</f>
        <v>30</v>
      </c>
      <c r="B629" s="17">
        <v>44835</v>
      </c>
      <c r="C629" s="18">
        <f t="shared" si="66"/>
        <v>10</v>
      </c>
      <c r="D629" s="18">
        <f t="shared" si="67"/>
        <v>2022</v>
      </c>
      <c r="E629" s="18" t="str">
        <f>IFERROR(VLOOKUP(F629,#REF!,3,FALSE),"")</f>
        <v/>
      </c>
      <c r="F629" s="11" t="s">
        <v>25</v>
      </c>
      <c r="G629" s="9">
        <v>4</v>
      </c>
      <c r="H629" s="10">
        <v>1.7</v>
      </c>
      <c r="I629" s="147"/>
    </row>
    <row r="630" spans="1:9" x14ac:dyDescent="0.2">
      <c r="A630" s="3">
        <f>VLOOKUP(F630,CODIGOSPLACAS!$A$1:$B$38,2,FALSE)</f>
        <v>31</v>
      </c>
      <c r="B630" s="17">
        <v>44835</v>
      </c>
      <c r="C630" s="18">
        <f t="shared" si="66"/>
        <v>10</v>
      </c>
      <c r="D630" s="18">
        <f t="shared" si="67"/>
        <v>2022</v>
      </c>
      <c r="E630" s="18" t="str">
        <f>IFERROR(VLOOKUP(F630,#REF!,3,FALSE),"")</f>
        <v/>
      </c>
      <c r="F630" s="11" t="s">
        <v>128</v>
      </c>
      <c r="G630" s="9">
        <v>4</v>
      </c>
      <c r="H630" s="10">
        <v>1.7</v>
      </c>
      <c r="I630" s="147"/>
    </row>
    <row r="631" spans="1:9" x14ac:dyDescent="0.2">
      <c r="A631" s="3">
        <f>VLOOKUP(F631,CODIGOSPLACAS!$A$1:$B$38,2,FALSE)</f>
        <v>36</v>
      </c>
      <c r="B631" s="17">
        <v>44835</v>
      </c>
      <c r="C631" s="18">
        <f t="shared" si="66"/>
        <v>10</v>
      </c>
      <c r="D631" s="18">
        <f t="shared" si="67"/>
        <v>2022</v>
      </c>
      <c r="E631" s="18" t="str">
        <f>IFERROR(VLOOKUP(F631,#REF!,3,FALSE),"")</f>
        <v/>
      </c>
      <c r="F631" s="11" t="s">
        <v>35</v>
      </c>
      <c r="G631" s="9">
        <v>5</v>
      </c>
      <c r="H631" s="10">
        <v>2.5</v>
      </c>
      <c r="I631" s="147"/>
    </row>
    <row r="632" spans="1:9" x14ac:dyDescent="0.2">
      <c r="A632" s="3">
        <f>VLOOKUP(F632,CODIGOSPLACAS!$A$1:$B$38,2,FALSE)</f>
        <v>35</v>
      </c>
      <c r="B632" s="17">
        <v>44835</v>
      </c>
      <c r="C632" s="18">
        <f t="shared" si="66"/>
        <v>10</v>
      </c>
      <c r="D632" s="18">
        <f t="shared" si="67"/>
        <v>2022</v>
      </c>
      <c r="E632" s="18" t="str">
        <f>IFERROR(VLOOKUP(F632,#REF!,3,FALSE),"")</f>
        <v/>
      </c>
      <c r="F632" s="11" t="s">
        <v>34</v>
      </c>
      <c r="G632" s="9">
        <v>5</v>
      </c>
      <c r="H632" s="10">
        <v>2.5</v>
      </c>
      <c r="I632" s="147"/>
    </row>
    <row r="633" spans="1:9" x14ac:dyDescent="0.2">
      <c r="E633" s="18" t="str">
        <f>IFERROR(VLOOKUP(F633,#REF!,3,FALSE),"")</f>
        <v/>
      </c>
      <c r="F633" s="214" t="s">
        <v>39</v>
      </c>
      <c r="G633" s="214"/>
      <c r="H633" s="214"/>
      <c r="I633" s="150"/>
    </row>
    <row r="634" spans="1:9" x14ac:dyDescent="0.2">
      <c r="A634" s="3">
        <f>IF((COUNTIFS(DIESEL!D:D,B634,DIESEL!F:F,MSOLICITADA!F634))=0,"",VLOOKUP(F634,CODIGOSPLACAS!$A$1:$B$38,2,FALSE))</f>
        <v>2</v>
      </c>
      <c r="B634" s="17">
        <v>44866</v>
      </c>
      <c r="C634" s="18">
        <f t="shared" ref="C634:C653" si="70">MONTH(B634)</f>
        <v>11</v>
      </c>
      <c r="D634" s="18">
        <f t="shared" ref="D634:D653" si="71">YEAR(B634)</f>
        <v>2022</v>
      </c>
      <c r="E634" s="18" t="str">
        <f>IFERROR(VLOOKUP(F634,#REF!,3,FALSE),"")</f>
        <v/>
      </c>
      <c r="F634" s="6" t="s">
        <v>24</v>
      </c>
      <c r="G634" s="6">
        <v>4</v>
      </c>
      <c r="H634" s="7">
        <v>1.7</v>
      </c>
      <c r="I634" s="147">
        <v>16</v>
      </c>
    </row>
    <row r="635" spans="1:9" x14ac:dyDescent="0.2">
      <c r="A635" s="3">
        <f>IF((COUNTIFS(DIESEL!D:D,B635,DIESEL!F:F,MSOLICITADA!F635))=0,"",VLOOKUP(F635,CODIGOSPLACAS!$A$1:$B$38,2,FALSE))</f>
        <v>32</v>
      </c>
      <c r="B635" s="17">
        <v>44866</v>
      </c>
      <c r="C635" s="18">
        <f t="shared" ref="C635" si="72">MONTH(B635)</f>
        <v>11</v>
      </c>
      <c r="D635" s="18">
        <f t="shared" ref="D635" si="73">YEAR(B635)</f>
        <v>2022</v>
      </c>
      <c r="E635" s="18" t="str">
        <f>IFERROR(VLOOKUP(F635,#REF!,3,FALSE),"")</f>
        <v/>
      </c>
      <c r="F635" s="6" t="s">
        <v>131</v>
      </c>
      <c r="G635" s="6">
        <v>4</v>
      </c>
      <c r="H635" s="7">
        <v>1.7</v>
      </c>
      <c r="I635" s="147">
        <v>2</v>
      </c>
    </row>
    <row r="636" spans="1:9" x14ac:dyDescent="0.2">
      <c r="A636" s="3">
        <f>IF((COUNTIFS(DIESEL!D:D,B636,DIESEL!F:F,MSOLICITADA!F636))=0,"",VLOOKUP(F636,CODIGOSPLACAS!$A$1:$B$38,2,FALSE))</f>
        <v>1</v>
      </c>
      <c r="B636" s="17">
        <v>44866</v>
      </c>
      <c r="C636" s="18">
        <f t="shared" si="70"/>
        <v>11</v>
      </c>
      <c r="D636" s="18">
        <f t="shared" si="71"/>
        <v>2022</v>
      </c>
      <c r="E636" s="18" t="str">
        <f>IFERROR(VLOOKUP(F636,#REF!,3,FALSE),"")</f>
        <v/>
      </c>
      <c r="F636" s="6" t="s">
        <v>26</v>
      </c>
      <c r="G636" s="6">
        <v>4</v>
      </c>
      <c r="H636" s="7">
        <v>1.7</v>
      </c>
      <c r="I636" s="147">
        <v>5</v>
      </c>
    </row>
    <row r="637" spans="1:9" x14ac:dyDescent="0.2">
      <c r="A637" s="3">
        <f>IF((COUNTIFS(DIESEL!D:D,B637,DIESEL!F:F,MSOLICITADA!F637))=0,"",VLOOKUP(F637,CODIGOSPLACAS!$A$1:$B$38,2,FALSE))</f>
        <v>3</v>
      </c>
      <c r="B637" s="17">
        <v>44866</v>
      </c>
      <c r="C637" s="18">
        <f t="shared" si="70"/>
        <v>11</v>
      </c>
      <c r="D637" s="18">
        <f t="shared" si="71"/>
        <v>2022</v>
      </c>
      <c r="E637" s="18" t="str">
        <f>IFERROR(VLOOKUP(F637,#REF!,3,FALSE),"")</f>
        <v/>
      </c>
      <c r="F637" s="6" t="s">
        <v>28</v>
      </c>
      <c r="G637" s="6">
        <v>4</v>
      </c>
      <c r="H637" s="7">
        <v>1.7</v>
      </c>
      <c r="I637" s="147">
        <v>18</v>
      </c>
    </row>
    <row r="638" spans="1:9" x14ac:dyDescent="0.2">
      <c r="A638" s="3">
        <f>IF((COUNTIFS(DIESEL!D:D,B638,DIESEL!F:F,MSOLICITADA!F638))=0,"",VLOOKUP(F638,CODIGOSPLACAS!$A$1:$B$38,2,FALSE))</f>
        <v>4</v>
      </c>
      <c r="B638" s="17">
        <v>44866</v>
      </c>
      <c r="C638" s="18">
        <f t="shared" si="70"/>
        <v>11</v>
      </c>
      <c r="D638" s="18">
        <f t="shared" si="71"/>
        <v>2022</v>
      </c>
      <c r="E638" s="18" t="str">
        <f>IFERROR(VLOOKUP(F638,#REF!,3,FALSE),"")</f>
        <v/>
      </c>
      <c r="F638" s="5" t="s">
        <v>30</v>
      </c>
      <c r="G638" s="6">
        <v>4</v>
      </c>
      <c r="H638" s="7">
        <v>1.7</v>
      </c>
      <c r="I638" s="147">
        <v>17</v>
      </c>
    </row>
    <row r="639" spans="1:9" x14ac:dyDescent="0.2">
      <c r="A639" s="3">
        <f>IF((COUNTIFS(DIESEL!D:D,B639,DIESEL!F:F,MSOLICITADA!F639))=0,"",VLOOKUP(F639,CODIGOSPLACAS!$A$1:$B$38,2,FALSE))</f>
        <v>5</v>
      </c>
      <c r="B639" s="17">
        <v>44866</v>
      </c>
      <c r="C639" s="18">
        <f t="shared" si="70"/>
        <v>11</v>
      </c>
      <c r="D639" s="18">
        <f t="shared" si="71"/>
        <v>2022</v>
      </c>
      <c r="E639" s="18" t="str">
        <f>IFERROR(VLOOKUP(F639,#REF!,3,FALSE),"")</f>
        <v/>
      </c>
      <c r="F639" s="5" t="s">
        <v>33</v>
      </c>
      <c r="G639" s="6">
        <v>4</v>
      </c>
      <c r="H639" s="7">
        <v>1.7</v>
      </c>
      <c r="I639" s="147">
        <v>15</v>
      </c>
    </row>
    <row r="640" spans="1:9" x14ac:dyDescent="0.2">
      <c r="A640" s="3">
        <f>IF((COUNTIFS(DIESEL!D:D,B640,DIESEL!F:F,MSOLICITADA!F640))=0,"",VLOOKUP(F640,CODIGOSPLACAS!$A$1:$B$38,2,FALSE))</f>
        <v>6</v>
      </c>
      <c r="B640" s="17">
        <v>44866</v>
      </c>
      <c r="C640" s="18">
        <f t="shared" si="70"/>
        <v>11</v>
      </c>
      <c r="D640" s="18">
        <f t="shared" si="71"/>
        <v>2022</v>
      </c>
      <c r="E640" s="18" t="str">
        <f>IFERROR(VLOOKUP(F640,#REF!,3,FALSE),"")</f>
        <v/>
      </c>
      <c r="F640" s="5" t="s">
        <v>31</v>
      </c>
      <c r="G640" s="6">
        <v>4</v>
      </c>
      <c r="H640" s="7">
        <v>1.7</v>
      </c>
      <c r="I640" s="147">
        <v>4</v>
      </c>
    </row>
    <row r="641" spans="1:9" x14ac:dyDescent="0.2">
      <c r="A641" s="3">
        <f>IF((COUNTIFS(DIESEL!D:D,B641,DIESEL!F:F,MSOLICITADA!F641))=0,"",VLOOKUP(F641,CODIGOSPLACAS!$A$1:$B$38,2,FALSE))</f>
        <v>7</v>
      </c>
      <c r="B641" s="17">
        <v>44866</v>
      </c>
      <c r="C641" s="18">
        <f t="shared" si="70"/>
        <v>11</v>
      </c>
      <c r="D641" s="18">
        <f t="shared" si="71"/>
        <v>2022</v>
      </c>
      <c r="E641" s="18" t="str">
        <f>IFERROR(VLOOKUP(F641,#REF!,3,FALSE),"")</f>
        <v/>
      </c>
      <c r="F641" s="5" t="s">
        <v>124</v>
      </c>
      <c r="G641" s="6">
        <v>4</v>
      </c>
      <c r="H641" s="7">
        <v>1.7</v>
      </c>
      <c r="I641" s="147">
        <v>13</v>
      </c>
    </row>
    <row r="642" spans="1:9" x14ac:dyDescent="0.2">
      <c r="A642" s="3">
        <f>IF((COUNTIFS(DIESEL!D:D,B642,DIESEL!F:F,MSOLICITADA!F642))=0,"",VLOOKUP(F642,CODIGOSPLACAS!$A$1:$B$38,2,FALSE))</f>
        <v>8</v>
      </c>
      <c r="B642" s="17">
        <v>44866</v>
      </c>
      <c r="C642" s="18">
        <f t="shared" si="70"/>
        <v>11</v>
      </c>
      <c r="D642" s="18">
        <f t="shared" si="71"/>
        <v>2022</v>
      </c>
      <c r="E642" s="18" t="str">
        <f>IFERROR(VLOOKUP(F642,#REF!,3,FALSE),"")</f>
        <v/>
      </c>
      <c r="F642" s="6" t="s">
        <v>27</v>
      </c>
      <c r="G642" s="6">
        <v>4</v>
      </c>
      <c r="H642" s="7">
        <v>1.7</v>
      </c>
      <c r="I642" s="147">
        <v>3</v>
      </c>
    </row>
    <row r="643" spans="1:9" x14ac:dyDescent="0.2">
      <c r="A643" s="3">
        <f>IF((COUNTIFS(DIESEL!D:D,B643,DIESEL!F:F,MSOLICITADA!F643))=0,"",VLOOKUP(F643,CODIGOSPLACAS!$A$1:$B$38,2,FALSE))</f>
        <v>9</v>
      </c>
      <c r="B643" s="17">
        <v>44866</v>
      </c>
      <c r="C643" s="18">
        <f t="shared" si="70"/>
        <v>11</v>
      </c>
      <c r="D643" s="18">
        <f t="shared" si="71"/>
        <v>2022</v>
      </c>
      <c r="E643" s="18" t="str">
        <f>IFERROR(VLOOKUP(F643,#REF!,3,FALSE),"")</f>
        <v/>
      </c>
      <c r="F643" s="6" t="s">
        <v>126</v>
      </c>
      <c r="G643" s="6">
        <v>4</v>
      </c>
      <c r="H643" s="7">
        <v>1.7</v>
      </c>
      <c r="I643" s="147">
        <v>14</v>
      </c>
    </row>
    <row r="644" spans="1:9" x14ac:dyDescent="0.2">
      <c r="A644" s="3">
        <f>IF((COUNTIFS(DIESEL!D:D,B644,DIESEL!F:F,MSOLICITADA!F644))=0,"",VLOOKUP(F644,CODIGOSPLACAS!$A$1:$B$38,2,FALSE))</f>
        <v>10</v>
      </c>
      <c r="B644" s="17">
        <v>44866</v>
      </c>
      <c r="C644" s="18">
        <f t="shared" si="70"/>
        <v>11</v>
      </c>
      <c r="D644" s="18">
        <f t="shared" si="71"/>
        <v>2022</v>
      </c>
      <c r="E644" s="18" t="str">
        <f>IFERROR(VLOOKUP(F644,#REF!,3,FALSE),"")</f>
        <v/>
      </c>
      <c r="F644" s="5" t="s">
        <v>32</v>
      </c>
      <c r="G644" s="6">
        <v>4</v>
      </c>
      <c r="H644" s="7">
        <v>1.7</v>
      </c>
      <c r="I644" s="147">
        <v>1</v>
      </c>
    </row>
    <row r="645" spans="1:9" x14ac:dyDescent="0.2">
      <c r="A645" s="3">
        <f>IF((COUNTIFS(DIESEL!D:D,B645,DIESEL!F:F,MSOLICITADA!F645))=0,"",VLOOKUP(F645,CODIGOSPLACAS!$A$1:$B$38,2,FALSE))</f>
        <v>11</v>
      </c>
      <c r="B645" s="17">
        <v>44866</v>
      </c>
      <c r="C645" s="18">
        <f t="shared" si="70"/>
        <v>11</v>
      </c>
      <c r="D645" s="18">
        <f t="shared" si="71"/>
        <v>2022</v>
      </c>
      <c r="E645" s="18" t="str">
        <f>IFERROR(VLOOKUP(F645,#REF!,3,FALSE),"")</f>
        <v/>
      </c>
      <c r="F645" s="5" t="s">
        <v>29</v>
      </c>
      <c r="G645" s="6">
        <v>4</v>
      </c>
      <c r="H645" s="7">
        <v>1.7</v>
      </c>
      <c r="I645" s="147">
        <v>6</v>
      </c>
    </row>
    <row r="646" spans="1:9" x14ac:dyDescent="0.2">
      <c r="A646" s="3">
        <f>IF((COUNTIFS(DIESEL!D:D,B646,DIESEL!F:F,MSOLICITADA!F646))=0,"",VLOOKUP(F646,CODIGOSPLACAS!$A$1:$B$38,2,FALSE))</f>
        <v>16</v>
      </c>
      <c r="B646" s="17">
        <v>44866</v>
      </c>
      <c r="C646" s="18">
        <f t="shared" si="70"/>
        <v>11</v>
      </c>
      <c r="D646" s="18">
        <f t="shared" si="71"/>
        <v>2022</v>
      </c>
      <c r="E646" s="18" t="str">
        <f>IFERROR(VLOOKUP(F646,#REF!,3,FALSE),"")</f>
        <v/>
      </c>
      <c r="F646" s="6" t="s">
        <v>130</v>
      </c>
      <c r="G646" s="6">
        <v>4</v>
      </c>
      <c r="H646" s="7">
        <v>1.7</v>
      </c>
      <c r="I646" s="147">
        <v>9</v>
      </c>
    </row>
    <row r="647" spans="1:9" x14ac:dyDescent="0.2">
      <c r="A647" s="3">
        <f>IF((COUNTIFS(DIESEL!D:D,B647,DIESEL!F:F,MSOLICITADA!F647))=0,"",VLOOKUP(F647,CODIGOSPLACAS!$A$1:$B$38,2,FALSE))</f>
        <v>23</v>
      </c>
      <c r="B647" s="17">
        <v>44866</v>
      </c>
      <c r="C647" s="18">
        <f t="shared" si="70"/>
        <v>11</v>
      </c>
      <c r="D647" s="18">
        <f t="shared" si="71"/>
        <v>2022</v>
      </c>
      <c r="E647" s="18" t="str">
        <f>IFERROR(VLOOKUP(F647,#REF!,3,FALSE),"")</f>
        <v/>
      </c>
      <c r="F647" s="19" t="s">
        <v>23</v>
      </c>
      <c r="G647" s="19">
        <v>4</v>
      </c>
      <c r="H647" s="20">
        <v>1.7</v>
      </c>
      <c r="I647" s="147">
        <v>12</v>
      </c>
    </row>
    <row r="648" spans="1:9" x14ac:dyDescent="0.2">
      <c r="A648" s="3">
        <f>IF((COUNTIFS(DIESEL!D:D,B648,DIESEL!F:F,MSOLICITADA!F648))=0,"",VLOOKUP(F648,CODIGOSPLACAS!$A$1:$B$38,2,FALSE))</f>
        <v>33</v>
      </c>
      <c r="B648" s="17">
        <v>44866</v>
      </c>
      <c r="C648" s="18">
        <f t="shared" si="70"/>
        <v>11</v>
      </c>
      <c r="D648" s="18">
        <f t="shared" si="71"/>
        <v>2022</v>
      </c>
      <c r="E648" s="18" t="str">
        <f>IFERROR(VLOOKUP(F648,#REF!,3,FALSE),"")</f>
        <v/>
      </c>
      <c r="F648" s="6" t="s">
        <v>127</v>
      </c>
      <c r="G648" s="6">
        <v>3</v>
      </c>
      <c r="H648" s="7">
        <v>1.9</v>
      </c>
      <c r="I648" s="147">
        <v>10</v>
      </c>
    </row>
    <row r="649" spans="1:9" x14ac:dyDescent="0.2">
      <c r="A649" s="3">
        <f>IF((COUNTIFS(DIESEL!D:D,B649,DIESEL!F:F,MSOLICITADA!F649))=0,"",VLOOKUP(F649,CODIGOSPLACAS!$A$1:$B$38,2,FALSE))</f>
        <v>34</v>
      </c>
      <c r="B649" s="17">
        <v>44866</v>
      </c>
      <c r="C649" s="18">
        <f t="shared" si="70"/>
        <v>11</v>
      </c>
      <c r="D649" s="18">
        <f t="shared" si="71"/>
        <v>2022</v>
      </c>
      <c r="E649" s="18" t="str">
        <f>IFERROR(VLOOKUP(F649,#REF!,3,FALSE),"")</f>
        <v/>
      </c>
      <c r="F649" s="6" t="s">
        <v>22</v>
      </c>
      <c r="G649" s="6">
        <v>3</v>
      </c>
      <c r="H649" s="7">
        <v>1.9</v>
      </c>
      <c r="I649" s="147">
        <v>11</v>
      </c>
    </row>
    <row r="650" spans="1:9" x14ac:dyDescent="0.2">
      <c r="A650" s="3">
        <f>IF((COUNTIFS(DIESEL!D:D,B650,DIESEL!F:F,MSOLICITADA!F650))=0,"",VLOOKUP(F650,CODIGOSPLACAS!$A$1:$B$38,2,FALSE))</f>
        <v>30</v>
      </c>
      <c r="B650" s="17">
        <v>44866</v>
      </c>
      <c r="C650" s="18">
        <f t="shared" si="70"/>
        <v>11</v>
      </c>
      <c r="D650" s="18">
        <f t="shared" si="71"/>
        <v>2022</v>
      </c>
      <c r="E650" s="18" t="str">
        <f>IFERROR(VLOOKUP(F650,#REF!,3,FALSE),"")</f>
        <v/>
      </c>
      <c r="F650" s="11" t="s">
        <v>25</v>
      </c>
      <c r="G650" s="9">
        <v>4</v>
      </c>
      <c r="H650" s="10">
        <v>1.7</v>
      </c>
      <c r="I650" s="147">
        <v>7</v>
      </c>
    </row>
    <row r="651" spans="1:9" x14ac:dyDescent="0.2">
      <c r="A651" s="3">
        <f>IF((COUNTIFS(DIESEL!D:D,B651,DIESEL!F:F,MSOLICITADA!F651))=0,"",VLOOKUP(F651,CODIGOSPLACAS!$A$1:$B$38,2,FALSE))</f>
        <v>31</v>
      </c>
      <c r="B651" s="17">
        <v>44866</v>
      </c>
      <c r="C651" s="18">
        <f t="shared" si="70"/>
        <v>11</v>
      </c>
      <c r="D651" s="18">
        <f t="shared" si="71"/>
        <v>2022</v>
      </c>
      <c r="E651" s="18" t="str">
        <f>IFERROR(VLOOKUP(F651,#REF!,3,FALSE),"")</f>
        <v/>
      </c>
      <c r="F651" s="11" t="s">
        <v>128</v>
      </c>
      <c r="G651" s="9">
        <v>4</v>
      </c>
      <c r="H651" s="10">
        <v>1.7</v>
      </c>
      <c r="I651" s="147">
        <v>8</v>
      </c>
    </row>
    <row r="652" spans="1:9" x14ac:dyDescent="0.2">
      <c r="A652" s="3">
        <f>IF((COUNTIFS(DIESEL!D:D,B652,DIESEL!F:F,MSOLICITADA!F652))=0,"",VLOOKUP(F652,CODIGOSPLACAS!$A$1:$B$38,2,FALSE))</f>
        <v>36</v>
      </c>
      <c r="B652" s="17">
        <v>44866</v>
      </c>
      <c r="C652" s="18">
        <f t="shared" si="70"/>
        <v>11</v>
      </c>
      <c r="D652" s="18">
        <f t="shared" si="71"/>
        <v>2022</v>
      </c>
      <c r="E652" s="18" t="str">
        <f>IFERROR(VLOOKUP(F652,#REF!,3,FALSE),"")</f>
        <v/>
      </c>
      <c r="F652" s="11" t="s">
        <v>35</v>
      </c>
      <c r="G652" s="9">
        <v>5</v>
      </c>
      <c r="H652" s="10">
        <v>2.5</v>
      </c>
      <c r="I652" s="147">
        <v>20</v>
      </c>
    </row>
    <row r="653" spans="1:9" x14ac:dyDescent="0.2">
      <c r="A653" s="3">
        <f>IF((COUNTIFS(DIESEL!D:D,B653,DIESEL!F:F,MSOLICITADA!F653))=0,"",VLOOKUP(F653,CODIGOSPLACAS!$A$1:$B$38,2,FALSE))</f>
        <v>35</v>
      </c>
      <c r="B653" s="17">
        <v>44866</v>
      </c>
      <c r="C653" s="18">
        <f t="shared" si="70"/>
        <v>11</v>
      </c>
      <c r="D653" s="18">
        <f t="shared" si="71"/>
        <v>2022</v>
      </c>
      <c r="E653" s="18" t="str">
        <f>IFERROR(VLOOKUP(F653,#REF!,3,FALSE),"")</f>
        <v/>
      </c>
      <c r="F653" s="11" t="s">
        <v>34</v>
      </c>
      <c r="G653" s="9">
        <v>5</v>
      </c>
      <c r="H653" s="10">
        <v>2.5</v>
      </c>
      <c r="I653" s="147">
        <v>19</v>
      </c>
    </row>
    <row r="654" spans="1:9" x14ac:dyDescent="0.2">
      <c r="A654" s="3" t="str">
        <f>IF((COUNTIFS(DIESEL!D:D,B654,DIESEL!F:F,MSOLICITADA!F654))=0,"",VLOOKUP(F654,CODIGOSPLACAS!$A$1:$B$38,2,FALSE))</f>
        <v/>
      </c>
      <c r="E654" s="18" t="str">
        <f>IFERROR(VLOOKUP(F654,#REF!,3,FALSE),"")</f>
        <v/>
      </c>
      <c r="F654" s="214" t="s">
        <v>39</v>
      </c>
      <c r="G654" s="214"/>
      <c r="H654" s="214"/>
      <c r="I654" s="150"/>
    </row>
    <row r="655" spans="1:9" x14ac:dyDescent="0.2">
      <c r="A655" s="3">
        <f>IF((COUNTIFS(DIESEL!D:D,B655,DIESEL!F:F,MSOLICITADA!F655))=0,"",VLOOKUP(F655,CODIGOSPLACAS!$A$1:$B$38,2,FALSE))</f>
        <v>2</v>
      </c>
      <c r="B655" s="17">
        <v>44896</v>
      </c>
      <c r="C655" s="18">
        <f t="shared" ref="C655:C672" si="74">MONTH(B655)</f>
        <v>12</v>
      </c>
      <c r="D655" s="18">
        <f t="shared" ref="D655:D672" si="75">YEAR(B655)</f>
        <v>2022</v>
      </c>
      <c r="E655" s="18" t="str">
        <f>IFERROR(VLOOKUP(F655,#REF!,3,FALSE),"")</f>
        <v/>
      </c>
      <c r="F655" s="6" t="s">
        <v>24</v>
      </c>
      <c r="G655" s="6">
        <v>4</v>
      </c>
      <c r="H655" s="7">
        <v>1.7</v>
      </c>
      <c r="I655" s="148">
        <v>16</v>
      </c>
    </row>
    <row r="656" spans="1:9" x14ac:dyDescent="0.2">
      <c r="A656" s="3">
        <f>IF((COUNTIFS(DIESEL!D:D,B656,DIESEL!F:F,MSOLICITADA!F656))=0,"",VLOOKUP(F656,CODIGOSPLACAS!$A$1:$B$38,2,FALSE))</f>
        <v>32</v>
      </c>
      <c r="B656" s="17">
        <v>44896</v>
      </c>
      <c r="C656" s="18">
        <f t="shared" ref="C656" si="76">MONTH(B656)</f>
        <v>12</v>
      </c>
      <c r="D656" s="18">
        <f t="shared" ref="D656" si="77">YEAR(B656)</f>
        <v>2022</v>
      </c>
      <c r="E656" s="18" t="str">
        <f>IFERROR(VLOOKUP(F656,#REF!,3,FALSE),"")</f>
        <v/>
      </c>
      <c r="F656" s="6" t="s">
        <v>131</v>
      </c>
      <c r="G656" s="6">
        <v>4</v>
      </c>
      <c r="H656" s="7">
        <v>1.7</v>
      </c>
      <c r="I656" s="148">
        <v>2</v>
      </c>
    </row>
    <row r="657" spans="1:9" x14ac:dyDescent="0.2">
      <c r="A657" s="3">
        <f>IF((COUNTIFS(DIESEL!D:D,B657,DIESEL!F:F,MSOLICITADA!F657))=0,"",VLOOKUP(F657,CODIGOSPLACAS!$A$1:$B$38,2,FALSE))</f>
        <v>1</v>
      </c>
      <c r="B657" s="17">
        <v>44896</v>
      </c>
      <c r="C657" s="18">
        <f t="shared" si="74"/>
        <v>12</v>
      </c>
      <c r="D657" s="18">
        <f t="shared" si="75"/>
        <v>2022</v>
      </c>
      <c r="E657" s="18" t="str">
        <f>IFERROR(VLOOKUP(F657,#REF!,3,FALSE),"")</f>
        <v/>
      </c>
      <c r="F657" s="6" t="s">
        <v>26</v>
      </c>
      <c r="G657" s="6">
        <v>4</v>
      </c>
      <c r="H657" s="7">
        <v>1.7</v>
      </c>
      <c r="I657" s="148">
        <v>5</v>
      </c>
    </row>
    <row r="658" spans="1:9" x14ac:dyDescent="0.2">
      <c r="A658" s="3">
        <f>IF((COUNTIFS(DIESEL!D:D,B658,DIESEL!F:F,MSOLICITADA!F658))=0,"",VLOOKUP(F658,CODIGOSPLACAS!$A$1:$B$38,2,FALSE))</f>
        <v>3</v>
      </c>
      <c r="B658" s="17">
        <v>44896</v>
      </c>
      <c r="C658" s="18">
        <f t="shared" si="74"/>
        <v>12</v>
      </c>
      <c r="D658" s="18">
        <f t="shared" si="75"/>
        <v>2022</v>
      </c>
      <c r="E658" s="18" t="str">
        <f>IFERROR(VLOOKUP(F658,#REF!,3,FALSE),"")</f>
        <v/>
      </c>
      <c r="F658" s="6" t="s">
        <v>28</v>
      </c>
      <c r="G658" s="6">
        <v>4</v>
      </c>
      <c r="H658" s="7">
        <v>1.7</v>
      </c>
      <c r="I658" s="148">
        <v>18</v>
      </c>
    </row>
    <row r="659" spans="1:9" x14ac:dyDescent="0.2">
      <c r="A659" s="3">
        <f>IF((COUNTIFS(DIESEL!D:D,B659,DIESEL!F:F,MSOLICITADA!F659))=0,"",VLOOKUP(F659,CODIGOSPLACAS!$A$1:$B$38,2,FALSE))</f>
        <v>4</v>
      </c>
      <c r="B659" s="17">
        <v>44896</v>
      </c>
      <c r="C659" s="18">
        <f t="shared" si="74"/>
        <v>12</v>
      </c>
      <c r="D659" s="18">
        <f t="shared" si="75"/>
        <v>2022</v>
      </c>
      <c r="E659" s="18" t="str">
        <f>IFERROR(VLOOKUP(F659,#REF!,3,FALSE),"")</f>
        <v/>
      </c>
      <c r="F659" s="5" t="s">
        <v>30</v>
      </c>
      <c r="G659" s="6">
        <v>4</v>
      </c>
      <c r="H659" s="7">
        <v>1.7</v>
      </c>
      <c r="I659" s="148">
        <v>17</v>
      </c>
    </row>
    <row r="660" spans="1:9" x14ac:dyDescent="0.2">
      <c r="A660" s="3">
        <f>IF((COUNTIFS(DIESEL!D:D,B660,DIESEL!F:F,MSOLICITADA!F660))=0,"",VLOOKUP(F660,CODIGOSPLACAS!$A$1:$B$38,2,FALSE))</f>
        <v>5</v>
      </c>
      <c r="B660" s="17">
        <v>44896</v>
      </c>
      <c r="C660" s="18">
        <f t="shared" si="74"/>
        <v>12</v>
      </c>
      <c r="D660" s="18">
        <f t="shared" si="75"/>
        <v>2022</v>
      </c>
      <c r="E660" s="18" t="str">
        <f>IFERROR(VLOOKUP(F660,#REF!,3,FALSE),"")</f>
        <v/>
      </c>
      <c r="F660" s="5" t="s">
        <v>33</v>
      </c>
      <c r="G660" s="6">
        <v>4</v>
      </c>
      <c r="H660" s="7">
        <v>1.7</v>
      </c>
      <c r="I660" s="148">
        <v>15</v>
      </c>
    </row>
    <row r="661" spans="1:9" x14ac:dyDescent="0.2">
      <c r="A661" s="3">
        <f>IF((COUNTIFS(DIESEL!D:D,B661,DIESEL!F:F,MSOLICITADA!F661))=0,"",VLOOKUP(F661,CODIGOSPLACAS!$A$1:$B$38,2,FALSE))</f>
        <v>6</v>
      </c>
      <c r="B661" s="17">
        <v>44896</v>
      </c>
      <c r="C661" s="18">
        <f t="shared" si="74"/>
        <v>12</v>
      </c>
      <c r="D661" s="18">
        <f t="shared" si="75"/>
        <v>2022</v>
      </c>
      <c r="E661" s="18" t="str">
        <f>IFERROR(VLOOKUP(F661,#REF!,3,FALSE),"")</f>
        <v/>
      </c>
      <c r="F661" s="5" t="s">
        <v>31</v>
      </c>
      <c r="G661" s="6">
        <v>4</v>
      </c>
      <c r="H661" s="7">
        <v>1.7</v>
      </c>
      <c r="I661" s="148">
        <v>4</v>
      </c>
    </row>
    <row r="662" spans="1:9" x14ac:dyDescent="0.2">
      <c r="A662" s="3">
        <f>IF((COUNTIFS(DIESEL!D:D,B662,DIESEL!F:F,MSOLICITADA!F662))=0,"",VLOOKUP(F662,CODIGOSPLACAS!$A$1:$B$38,2,FALSE))</f>
        <v>7</v>
      </c>
      <c r="B662" s="17">
        <v>44896</v>
      </c>
      <c r="C662" s="18">
        <f t="shared" si="74"/>
        <v>12</v>
      </c>
      <c r="D662" s="18">
        <f t="shared" si="75"/>
        <v>2022</v>
      </c>
      <c r="E662" s="18" t="str">
        <f>IFERROR(VLOOKUP(F662,#REF!,3,FALSE),"")</f>
        <v/>
      </c>
      <c r="F662" s="5" t="s">
        <v>124</v>
      </c>
      <c r="G662" s="6">
        <v>4</v>
      </c>
      <c r="H662" s="7">
        <v>1.7</v>
      </c>
      <c r="I662" s="148">
        <v>13</v>
      </c>
    </row>
    <row r="663" spans="1:9" x14ac:dyDescent="0.2">
      <c r="A663" s="3">
        <f>IF((COUNTIFS(DIESEL!D:D,B663,DIESEL!F:F,MSOLICITADA!F663))=0,"",VLOOKUP(F663,CODIGOSPLACAS!$A$1:$B$38,2,FALSE))</f>
        <v>8</v>
      </c>
      <c r="B663" s="17">
        <v>44896</v>
      </c>
      <c r="C663" s="18">
        <f t="shared" si="74"/>
        <v>12</v>
      </c>
      <c r="D663" s="18">
        <f t="shared" si="75"/>
        <v>2022</v>
      </c>
      <c r="E663" s="18" t="str">
        <f>IFERROR(VLOOKUP(F663,#REF!,3,FALSE),"")</f>
        <v/>
      </c>
      <c r="F663" s="6" t="s">
        <v>27</v>
      </c>
      <c r="G663" s="6">
        <v>4</v>
      </c>
      <c r="H663" s="7">
        <v>1.7</v>
      </c>
      <c r="I663" s="148">
        <v>3</v>
      </c>
    </row>
    <row r="664" spans="1:9" x14ac:dyDescent="0.2">
      <c r="A664" s="3">
        <f>IF((COUNTIFS(DIESEL!D:D,B664,DIESEL!F:F,MSOLICITADA!F664))=0,"",VLOOKUP(F664,CODIGOSPLACAS!$A$1:$B$38,2,FALSE))</f>
        <v>9</v>
      </c>
      <c r="B664" s="17">
        <v>44896</v>
      </c>
      <c r="C664" s="18">
        <f t="shared" si="74"/>
        <v>12</v>
      </c>
      <c r="D664" s="18">
        <f t="shared" si="75"/>
        <v>2022</v>
      </c>
      <c r="E664" s="18" t="str">
        <f>IFERROR(VLOOKUP(F664,#REF!,3,FALSE),"")</f>
        <v/>
      </c>
      <c r="F664" s="6" t="s">
        <v>126</v>
      </c>
      <c r="G664" s="6">
        <v>4</v>
      </c>
      <c r="H664" s="7">
        <v>1.7</v>
      </c>
      <c r="I664" s="148">
        <v>14</v>
      </c>
    </row>
    <row r="665" spans="1:9" x14ac:dyDescent="0.2">
      <c r="A665" s="3">
        <f>IF((COUNTIFS(DIESEL!D:D,B665,DIESEL!F:F,MSOLICITADA!F665))=0,"",VLOOKUP(F665,CODIGOSPLACAS!$A$1:$B$38,2,FALSE))</f>
        <v>10</v>
      </c>
      <c r="B665" s="17">
        <v>44896</v>
      </c>
      <c r="C665" s="18">
        <f t="shared" si="74"/>
        <v>12</v>
      </c>
      <c r="D665" s="18">
        <f t="shared" si="75"/>
        <v>2022</v>
      </c>
      <c r="E665" s="18" t="str">
        <f>IFERROR(VLOOKUP(F665,#REF!,3,FALSE),"")</f>
        <v/>
      </c>
      <c r="F665" s="5" t="s">
        <v>32</v>
      </c>
      <c r="G665" s="6">
        <v>4</v>
      </c>
      <c r="H665" s="7">
        <v>1.7</v>
      </c>
      <c r="I665" s="148">
        <v>1</v>
      </c>
    </row>
    <row r="666" spans="1:9" x14ac:dyDescent="0.2">
      <c r="A666" s="3">
        <f>IF((COUNTIFS(DIESEL!D:D,B666,DIESEL!F:F,MSOLICITADA!F666))=0,"",VLOOKUP(F666,CODIGOSPLACAS!$A$1:$B$38,2,FALSE))</f>
        <v>11</v>
      </c>
      <c r="B666" s="17">
        <v>44896</v>
      </c>
      <c r="C666" s="18">
        <f t="shared" si="74"/>
        <v>12</v>
      </c>
      <c r="D666" s="18">
        <f t="shared" si="75"/>
        <v>2022</v>
      </c>
      <c r="E666" s="18" t="str">
        <f>IFERROR(VLOOKUP(F666,#REF!,3,FALSE),"")</f>
        <v/>
      </c>
      <c r="F666" s="5" t="s">
        <v>29</v>
      </c>
      <c r="G666" s="6">
        <v>4</v>
      </c>
      <c r="H666" s="7">
        <v>1.7</v>
      </c>
      <c r="I666" s="148">
        <v>6</v>
      </c>
    </row>
    <row r="667" spans="1:9" x14ac:dyDescent="0.2">
      <c r="A667" s="3">
        <f>IF((COUNTIFS(DIESEL!D:D,B667,DIESEL!F:F,MSOLICITADA!F667))=0,"",VLOOKUP(F667,CODIGOSPLACAS!$A$1:$B$38,2,FALSE))</f>
        <v>23</v>
      </c>
      <c r="B667" s="17">
        <v>44896</v>
      </c>
      <c r="C667" s="18">
        <f t="shared" si="74"/>
        <v>12</v>
      </c>
      <c r="D667" s="18">
        <f t="shared" si="75"/>
        <v>2022</v>
      </c>
      <c r="E667" s="18" t="str">
        <f>IFERROR(VLOOKUP(F667,#REF!,3,FALSE),"")</f>
        <v/>
      </c>
      <c r="F667" s="19" t="s">
        <v>23</v>
      </c>
      <c r="G667" s="19">
        <v>4</v>
      </c>
      <c r="H667" s="7">
        <v>1.7</v>
      </c>
      <c r="I667" s="148">
        <v>12</v>
      </c>
    </row>
    <row r="668" spans="1:9" x14ac:dyDescent="0.2">
      <c r="A668" s="3">
        <f>IF((COUNTIFS(DIESEL!D:D,B668,DIESEL!F:F,MSOLICITADA!F668))=0,"",VLOOKUP(F668,CODIGOSPLACAS!$A$1:$B$38,2,FALSE))</f>
        <v>33</v>
      </c>
      <c r="B668" s="17">
        <v>44896</v>
      </c>
      <c r="C668" s="18">
        <f t="shared" si="74"/>
        <v>12</v>
      </c>
      <c r="D668" s="18">
        <f t="shared" si="75"/>
        <v>2022</v>
      </c>
      <c r="E668" s="18" t="str">
        <f>IFERROR(VLOOKUP(F668,#REF!,3,FALSE),"")</f>
        <v/>
      </c>
      <c r="F668" s="6" t="s">
        <v>127</v>
      </c>
      <c r="G668" s="6">
        <v>3</v>
      </c>
      <c r="H668" s="7">
        <v>1.9</v>
      </c>
      <c r="I668" s="148">
        <v>10</v>
      </c>
    </row>
    <row r="669" spans="1:9" x14ac:dyDescent="0.2">
      <c r="A669" s="3">
        <f>IF((COUNTIFS(DIESEL!D:D,B669,DIESEL!F:F,MSOLICITADA!F669))=0,"",VLOOKUP(F669,CODIGOSPLACAS!$A$1:$B$38,2,FALSE))</f>
        <v>30</v>
      </c>
      <c r="B669" s="17">
        <v>44896</v>
      </c>
      <c r="C669" s="18">
        <f t="shared" si="74"/>
        <v>12</v>
      </c>
      <c r="D669" s="18">
        <f t="shared" si="75"/>
        <v>2022</v>
      </c>
      <c r="E669" s="18" t="str">
        <f>IFERROR(VLOOKUP(F669,#REF!,3,FALSE),"")</f>
        <v/>
      </c>
      <c r="F669" s="11" t="s">
        <v>25</v>
      </c>
      <c r="G669" s="9">
        <v>4</v>
      </c>
      <c r="H669" s="7">
        <v>1.7</v>
      </c>
      <c r="I669" s="148">
        <v>7</v>
      </c>
    </row>
    <row r="670" spans="1:9" x14ac:dyDescent="0.2">
      <c r="A670" s="3">
        <f>IF((COUNTIFS(DIESEL!D:D,B670,DIESEL!F:F,MSOLICITADA!F670))=0,"",VLOOKUP(F670,CODIGOSPLACAS!$A$1:$B$38,2,FALSE))</f>
        <v>31</v>
      </c>
      <c r="B670" s="17">
        <v>44896</v>
      </c>
      <c r="C670" s="18">
        <f t="shared" si="74"/>
        <v>12</v>
      </c>
      <c r="D670" s="18">
        <f t="shared" si="75"/>
        <v>2022</v>
      </c>
      <c r="E670" s="18" t="str">
        <f>IFERROR(VLOOKUP(F670,#REF!,3,FALSE),"")</f>
        <v/>
      </c>
      <c r="F670" s="11" t="s">
        <v>128</v>
      </c>
      <c r="G670" s="9">
        <v>4</v>
      </c>
      <c r="H670" s="7">
        <v>1.7</v>
      </c>
      <c r="I670" s="148">
        <v>8</v>
      </c>
    </row>
    <row r="671" spans="1:9" x14ac:dyDescent="0.2">
      <c r="A671" s="3">
        <f>IF((COUNTIFS(DIESEL!D:D,B671,DIESEL!F:F,MSOLICITADA!F671))=0,"",VLOOKUP(F671,CODIGOSPLACAS!$A$1:$B$38,2,FALSE))</f>
        <v>36</v>
      </c>
      <c r="B671" s="17">
        <v>44896</v>
      </c>
      <c r="C671" s="18">
        <f t="shared" si="74"/>
        <v>12</v>
      </c>
      <c r="D671" s="18">
        <f t="shared" si="75"/>
        <v>2022</v>
      </c>
      <c r="E671" s="18" t="str">
        <f>IFERROR(VLOOKUP(F671,#REF!,3,FALSE),"")</f>
        <v/>
      </c>
      <c r="F671" s="11" t="s">
        <v>35</v>
      </c>
      <c r="G671" s="9">
        <v>5</v>
      </c>
      <c r="H671" s="10">
        <v>2.5</v>
      </c>
      <c r="I671" s="148">
        <v>20</v>
      </c>
    </row>
    <row r="672" spans="1:9" x14ac:dyDescent="0.2">
      <c r="A672" s="3">
        <f>IF((COUNTIFS(DIESEL!D:D,B672,DIESEL!F:F,MSOLICITADA!F672))=0,"",VLOOKUP(F672,CODIGOSPLACAS!$A$1:$B$38,2,FALSE))</f>
        <v>35</v>
      </c>
      <c r="B672" s="17">
        <v>44896</v>
      </c>
      <c r="C672" s="18">
        <f t="shared" si="74"/>
        <v>12</v>
      </c>
      <c r="D672" s="18">
        <f t="shared" si="75"/>
        <v>2022</v>
      </c>
      <c r="E672" s="18" t="str">
        <f>IFERROR(VLOOKUP(F672,#REF!,3,FALSE),"")</f>
        <v/>
      </c>
      <c r="F672" s="11" t="s">
        <v>34</v>
      </c>
      <c r="G672" s="9">
        <v>5</v>
      </c>
      <c r="H672" s="10">
        <v>2.5</v>
      </c>
      <c r="I672" s="148">
        <v>19</v>
      </c>
    </row>
    <row r="673" spans="1:9" x14ac:dyDescent="0.2">
      <c r="A673" s="3" t="str">
        <f>IF((COUNTIFS(DIESEL!D:D,B673,DIESEL!F:F,MSOLICITADA!F673))=0,"",VLOOKUP(F673,CODIGOSPLACAS!$A$1:$B$38,2,FALSE))</f>
        <v/>
      </c>
      <c r="E673" s="18" t="str">
        <f>IFERROR(VLOOKUP(F673,#REF!,3,FALSE),"")</f>
        <v/>
      </c>
      <c r="F673" s="214" t="s">
        <v>39</v>
      </c>
      <c r="G673" s="214"/>
      <c r="H673" s="214"/>
      <c r="I673" s="150"/>
    </row>
    <row r="674" spans="1:9" x14ac:dyDescent="0.2">
      <c r="A674" s="3">
        <f>IF((COUNTIFS(DIESEL!D:D,B674,DIESEL!F:F,MSOLICITADA!F674))=0,"",VLOOKUP(F674,CODIGOSPLACAS!$A$1:$B$38,2,FALSE))</f>
        <v>2</v>
      </c>
      <c r="B674" s="17">
        <v>44927</v>
      </c>
      <c r="C674" s="18">
        <f t="shared" ref="C674:C693" si="78">MONTH(B674)</f>
        <v>1</v>
      </c>
      <c r="D674" s="18">
        <f t="shared" ref="D674:D693" si="79">YEAR(B674)</f>
        <v>2023</v>
      </c>
      <c r="E674" s="18" t="str">
        <f>IFERROR(VLOOKUP(F674,#REF!,3,FALSE),"")</f>
        <v/>
      </c>
      <c r="F674" s="6" t="s">
        <v>24</v>
      </c>
      <c r="G674" s="6">
        <v>4</v>
      </c>
      <c r="H674" s="7">
        <v>1.6</v>
      </c>
      <c r="I674" s="149">
        <v>16</v>
      </c>
    </row>
    <row r="675" spans="1:9" x14ac:dyDescent="0.2">
      <c r="A675" s="3">
        <f>IF((COUNTIFS(DIESEL!D:D,B675,DIESEL!F:F,MSOLICITADA!F675))=0,"",VLOOKUP(F675,CODIGOSPLACAS!$A$1:$B$38,2,FALSE))</f>
        <v>32</v>
      </c>
      <c r="B675" s="17">
        <v>44927</v>
      </c>
      <c r="C675" s="18">
        <f t="shared" si="78"/>
        <v>1</v>
      </c>
      <c r="D675" s="18">
        <f t="shared" si="79"/>
        <v>2023</v>
      </c>
      <c r="E675" s="18" t="str">
        <f>IFERROR(VLOOKUP(F675,#REF!,3,FALSE),"")</f>
        <v/>
      </c>
      <c r="F675" s="6" t="s">
        <v>131</v>
      </c>
      <c r="G675" s="6">
        <v>4</v>
      </c>
      <c r="H675" s="7">
        <v>1.6</v>
      </c>
      <c r="I675" s="149">
        <v>2</v>
      </c>
    </row>
    <row r="676" spans="1:9" x14ac:dyDescent="0.2">
      <c r="A676" s="3">
        <f>IF((COUNTIFS(DIESEL!D:D,B676,DIESEL!F:F,MSOLICITADA!F676))=0,"",VLOOKUP(F676,CODIGOSPLACAS!$A$1:$B$38,2,FALSE))</f>
        <v>1</v>
      </c>
      <c r="B676" s="17">
        <v>44927</v>
      </c>
      <c r="C676" s="18">
        <f t="shared" si="78"/>
        <v>1</v>
      </c>
      <c r="D676" s="18">
        <f t="shared" si="79"/>
        <v>2023</v>
      </c>
      <c r="E676" s="18" t="str">
        <f>IFERROR(VLOOKUP(F676,#REF!,3,FALSE),"")</f>
        <v/>
      </c>
      <c r="F676" s="6" t="s">
        <v>26</v>
      </c>
      <c r="G676" s="6">
        <v>4</v>
      </c>
      <c r="H676" s="7">
        <v>1.6</v>
      </c>
      <c r="I676" s="149">
        <v>5</v>
      </c>
    </row>
    <row r="677" spans="1:9" x14ac:dyDescent="0.2">
      <c r="A677" s="3">
        <f>IF((COUNTIFS(DIESEL!D:D,B677,DIESEL!F:F,MSOLICITADA!F677))=0,"",VLOOKUP(F677,CODIGOSPLACAS!$A$1:$B$38,2,FALSE))</f>
        <v>3</v>
      </c>
      <c r="B677" s="17">
        <v>44927</v>
      </c>
      <c r="C677" s="18">
        <f t="shared" si="78"/>
        <v>1</v>
      </c>
      <c r="D677" s="18">
        <f t="shared" si="79"/>
        <v>2023</v>
      </c>
      <c r="E677" s="18" t="str">
        <f>IFERROR(VLOOKUP(F677,#REF!,3,FALSE),"")</f>
        <v/>
      </c>
      <c r="F677" s="6" t="s">
        <v>28</v>
      </c>
      <c r="G677" s="6">
        <v>4</v>
      </c>
      <c r="H677" s="7">
        <v>1.6</v>
      </c>
      <c r="I677" s="149">
        <v>18</v>
      </c>
    </row>
    <row r="678" spans="1:9" x14ac:dyDescent="0.2">
      <c r="A678" s="3">
        <f>IF((COUNTIFS(DIESEL!D:D,B678,DIESEL!F:F,MSOLICITADA!F678))=0,"",VLOOKUP(F678,CODIGOSPLACAS!$A$1:$B$38,2,FALSE))</f>
        <v>4</v>
      </c>
      <c r="B678" s="17">
        <v>44927</v>
      </c>
      <c r="C678" s="18">
        <f t="shared" si="78"/>
        <v>1</v>
      </c>
      <c r="D678" s="18">
        <f t="shared" si="79"/>
        <v>2023</v>
      </c>
      <c r="E678" s="18" t="str">
        <f>IFERROR(VLOOKUP(F678,#REF!,3,FALSE),"")</f>
        <v/>
      </c>
      <c r="F678" s="5" t="s">
        <v>30</v>
      </c>
      <c r="G678" s="6">
        <v>4</v>
      </c>
      <c r="H678" s="7">
        <v>1.6</v>
      </c>
      <c r="I678" s="149">
        <v>17</v>
      </c>
    </row>
    <row r="679" spans="1:9" x14ac:dyDescent="0.2">
      <c r="A679" s="3">
        <f>IF((COUNTIFS(DIESEL!D:D,B679,DIESEL!F:F,MSOLICITADA!F679))=0,"",VLOOKUP(F679,CODIGOSPLACAS!$A$1:$B$38,2,FALSE))</f>
        <v>5</v>
      </c>
      <c r="B679" s="17">
        <v>44927</v>
      </c>
      <c r="C679" s="18">
        <f t="shared" si="78"/>
        <v>1</v>
      </c>
      <c r="D679" s="18">
        <f t="shared" si="79"/>
        <v>2023</v>
      </c>
      <c r="E679" s="18" t="str">
        <f>IFERROR(VLOOKUP(F679,#REF!,3,FALSE),"")</f>
        <v/>
      </c>
      <c r="F679" s="5" t="s">
        <v>33</v>
      </c>
      <c r="G679" s="6">
        <v>4</v>
      </c>
      <c r="H679" s="7">
        <v>1.6</v>
      </c>
      <c r="I679" s="149">
        <v>15</v>
      </c>
    </row>
    <row r="680" spans="1:9" x14ac:dyDescent="0.2">
      <c r="A680" s="3" t="str">
        <f>IF((COUNTIFS(DIESEL!D:D,B680,DIESEL!F:F,MSOLICITADA!F680))=0,"",VLOOKUP(F680,CODIGOSPLACAS!$A$1:$B$38,2,FALSE))</f>
        <v/>
      </c>
      <c r="B680" s="17">
        <v>44927</v>
      </c>
      <c r="C680" s="18">
        <f t="shared" si="78"/>
        <v>1</v>
      </c>
      <c r="D680" s="18">
        <f t="shared" si="79"/>
        <v>2023</v>
      </c>
      <c r="E680" s="18" t="str">
        <f>IFERROR(VLOOKUP(F680,#REF!,3,FALSE),"")</f>
        <v/>
      </c>
      <c r="F680" s="5" t="s">
        <v>31</v>
      </c>
      <c r="G680" s="6">
        <v>4</v>
      </c>
      <c r="H680" s="7">
        <v>1.6</v>
      </c>
      <c r="I680" s="149">
        <v>4</v>
      </c>
    </row>
    <row r="681" spans="1:9" x14ac:dyDescent="0.2">
      <c r="A681" s="3">
        <f>IF((COUNTIFS(DIESEL!D:D,B681,DIESEL!F:F,MSOLICITADA!F681))=0,"",VLOOKUP(F681,CODIGOSPLACAS!$A$1:$B$38,2,FALSE))</f>
        <v>7</v>
      </c>
      <c r="B681" s="17">
        <v>44927</v>
      </c>
      <c r="C681" s="18">
        <f t="shared" si="78"/>
        <v>1</v>
      </c>
      <c r="D681" s="18">
        <f t="shared" si="79"/>
        <v>2023</v>
      </c>
      <c r="E681" s="18" t="str">
        <f>IFERROR(VLOOKUP(F681,#REF!,3,FALSE),"")</f>
        <v/>
      </c>
      <c r="F681" s="5" t="s">
        <v>124</v>
      </c>
      <c r="G681" s="6">
        <v>4</v>
      </c>
      <c r="H681" s="7">
        <v>1.6</v>
      </c>
      <c r="I681" s="149">
        <v>13</v>
      </c>
    </row>
    <row r="682" spans="1:9" x14ac:dyDescent="0.2">
      <c r="A682" s="3">
        <f>IF((COUNTIFS(DIESEL!D:D,B682,DIESEL!F:F,MSOLICITADA!F682))=0,"",VLOOKUP(F682,CODIGOSPLACAS!$A$1:$B$38,2,FALSE))</f>
        <v>8</v>
      </c>
      <c r="B682" s="17">
        <v>44927</v>
      </c>
      <c r="C682" s="18">
        <f t="shared" si="78"/>
        <v>1</v>
      </c>
      <c r="D682" s="18">
        <f t="shared" si="79"/>
        <v>2023</v>
      </c>
      <c r="E682" s="18" t="str">
        <f>IFERROR(VLOOKUP(F682,#REF!,3,FALSE),"")</f>
        <v/>
      </c>
      <c r="F682" s="6" t="s">
        <v>27</v>
      </c>
      <c r="G682" s="6">
        <v>4</v>
      </c>
      <c r="H682" s="7">
        <v>1.6</v>
      </c>
      <c r="I682" s="149">
        <v>3</v>
      </c>
    </row>
    <row r="683" spans="1:9" x14ac:dyDescent="0.2">
      <c r="A683" s="3">
        <f>IF((COUNTIFS(DIESEL!D:D,B683,DIESEL!F:F,MSOLICITADA!F683))=0,"",VLOOKUP(F683,CODIGOSPLACAS!$A$1:$B$38,2,FALSE))</f>
        <v>9</v>
      </c>
      <c r="B683" s="17">
        <v>44927</v>
      </c>
      <c r="C683" s="18">
        <f t="shared" si="78"/>
        <v>1</v>
      </c>
      <c r="D683" s="18">
        <f t="shared" si="79"/>
        <v>2023</v>
      </c>
      <c r="E683" s="18" t="str">
        <f>IFERROR(VLOOKUP(F683,#REF!,3,FALSE),"")</f>
        <v/>
      </c>
      <c r="F683" s="6" t="s">
        <v>126</v>
      </c>
      <c r="G683" s="6">
        <v>4</v>
      </c>
      <c r="H683" s="7">
        <v>1.6</v>
      </c>
      <c r="I683" s="149">
        <v>14</v>
      </c>
    </row>
    <row r="684" spans="1:9" x14ac:dyDescent="0.2">
      <c r="A684" s="3">
        <f>IF((COUNTIFS(DIESEL!D:D,B684,DIESEL!F:F,MSOLICITADA!F684))=0,"",VLOOKUP(F684,CODIGOSPLACAS!$A$1:$B$38,2,FALSE))</f>
        <v>10</v>
      </c>
      <c r="B684" s="17">
        <v>44927</v>
      </c>
      <c r="C684" s="18">
        <f t="shared" si="78"/>
        <v>1</v>
      </c>
      <c r="D684" s="18">
        <f t="shared" si="79"/>
        <v>2023</v>
      </c>
      <c r="E684" s="18" t="str">
        <f>IFERROR(VLOOKUP(F684,#REF!,3,FALSE),"")</f>
        <v/>
      </c>
      <c r="F684" s="5" t="s">
        <v>32</v>
      </c>
      <c r="G684" s="6">
        <v>4</v>
      </c>
      <c r="H684" s="7">
        <v>1.6</v>
      </c>
      <c r="I684" s="149">
        <v>1</v>
      </c>
    </row>
    <row r="685" spans="1:9" x14ac:dyDescent="0.2">
      <c r="A685" s="3">
        <f>IF((COUNTIFS(DIESEL!D:D,B685,DIESEL!F:F,MSOLICITADA!F685))=0,"",VLOOKUP(F685,CODIGOSPLACAS!$A$1:$B$38,2,FALSE))</f>
        <v>11</v>
      </c>
      <c r="B685" s="17">
        <v>44927</v>
      </c>
      <c r="C685" s="18">
        <f t="shared" si="78"/>
        <v>1</v>
      </c>
      <c r="D685" s="18">
        <f t="shared" si="79"/>
        <v>2023</v>
      </c>
      <c r="E685" s="18" t="str">
        <f>IFERROR(VLOOKUP(F685,#REF!,3,FALSE),"")</f>
        <v/>
      </c>
      <c r="F685" s="5" t="s">
        <v>29</v>
      </c>
      <c r="G685" s="6">
        <v>4</v>
      </c>
      <c r="H685" s="7">
        <v>1.6</v>
      </c>
      <c r="I685" s="149">
        <v>6</v>
      </c>
    </row>
    <row r="686" spans="1:9" x14ac:dyDescent="0.2">
      <c r="A686" s="3" t="str">
        <f>IF((COUNTIFS(DIESEL!D:D,B686,DIESEL!F:F,MSOLICITADA!F686))=0,"",VLOOKUP(F686,CODIGOSPLACAS!$A$1:$B$38,2,FALSE))</f>
        <v/>
      </c>
      <c r="B686" s="17">
        <v>44927</v>
      </c>
      <c r="C686" s="18">
        <f t="shared" si="78"/>
        <v>1</v>
      </c>
      <c r="D686" s="18">
        <f t="shared" si="79"/>
        <v>2023</v>
      </c>
      <c r="E686" s="18" t="str">
        <f>IFERROR(VLOOKUP(F686,#REF!,3,FALSE),"")</f>
        <v/>
      </c>
      <c r="F686" s="6" t="s">
        <v>130</v>
      </c>
      <c r="G686" s="6">
        <v>4</v>
      </c>
      <c r="H686" s="7">
        <v>1.6</v>
      </c>
      <c r="I686" s="149">
        <v>9</v>
      </c>
    </row>
    <row r="687" spans="1:9" x14ac:dyDescent="0.2">
      <c r="A687" s="3">
        <f>IF((COUNTIFS(DIESEL!D:D,B687,DIESEL!F:F,MSOLICITADA!F687))=0,"",VLOOKUP(F687,CODIGOSPLACAS!$A$1:$B$38,2,FALSE))</f>
        <v>23</v>
      </c>
      <c r="B687" s="17">
        <v>44927</v>
      </c>
      <c r="C687" s="18">
        <f t="shared" si="78"/>
        <v>1</v>
      </c>
      <c r="D687" s="18">
        <f t="shared" si="79"/>
        <v>2023</v>
      </c>
      <c r="E687" s="18" t="str">
        <f>IFERROR(VLOOKUP(F687,#REF!,3,FALSE),"")</f>
        <v/>
      </c>
      <c r="F687" s="19" t="s">
        <v>23</v>
      </c>
      <c r="G687" s="19">
        <v>4</v>
      </c>
      <c r="H687" s="7">
        <v>1.6</v>
      </c>
      <c r="I687" s="149">
        <v>12</v>
      </c>
    </row>
    <row r="688" spans="1:9" x14ac:dyDescent="0.2">
      <c r="A688" s="3">
        <f>IF((COUNTIFS(DIESEL!D:D,B688,DIESEL!F:F,MSOLICITADA!F688))=0,"",VLOOKUP(F688,CODIGOSPLACAS!$A$1:$B$38,2,FALSE))</f>
        <v>33</v>
      </c>
      <c r="B688" s="17">
        <v>44927</v>
      </c>
      <c r="C688" s="18">
        <f t="shared" si="78"/>
        <v>1</v>
      </c>
      <c r="D688" s="18">
        <f t="shared" si="79"/>
        <v>2023</v>
      </c>
      <c r="E688" s="18" t="str">
        <f>IFERROR(VLOOKUP(F688,#REF!,3,FALSE),"")</f>
        <v/>
      </c>
      <c r="F688" s="6" t="s">
        <v>127</v>
      </c>
      <c r="G688" s="6">
        <v>3</v>
      </c>
      <c r="H688" s="7">
        <v>1.9</v>
      </c>
      <c r="I688" s="149">
        <v>10</v>
      </c>
    </row>
    <row r="689" spans="1:9" x14ac:dyDescent="0.2">
      <c r="A689" s="3">
        <f>IF((COUNTIFS(DIESEL!D:D,B689,DIESEL!F:F,MSOLICITADA!F689))=0,"",VLOOKUP(F689,CODIGOSPLACAS!$A$1:$B$38,2,FALSE))</f>
        <v>34</v>
      </c>
      <c r="B689" s="17">
        <v>44927</v>
      </c>
      <c r="C689" s="18">
        <f t="shared" si="78"/>
        <v>1</v>
      </c>
      <c r="D689" s="18">
        <f t="shared" si="79"/>
        <v>2023</v>
      </c>
      <c r="E689" s="18" t="str">
        <f>IFERROR(VLOOKUP(F689,#REF!,3,FALSE),"")</f>
        <v/>
      </c>
      <c r="F689" s="6" t="s">
        <v>22</v>
      </c>
      <c r="G689" s="6">
        <v>3</v>
      </c>
      <c r="H689" s="7">
        <v>1.9</v>
      </c>
      <c r="I689" s="149">
        <v>11</v>
      </c>
    </row>
    <row r="690" spans="1:9" x14ac:dyDescent="0.2">
      <c r="A690" s="3">
        <f>IF((COUNTIFS(DIESEL!D:D,B690,DIESEL!F:F,MSOLICITADA!F690))=0,"",VLOOKUP(F690,CODIGOSPLACAS!$A$1:$B$38,2,FALSE))</f>
        <v>30</v>
      </c>
      <c r="B690" s="17">
        <v>44927</v>
      </c>
      <c r="C690" s="18">
        <f t="shared" si="78"/>
        <v>1</v>
      </c>
      <c r="D690" s="18">
        <f t="shared" si="79"/>
        <v>2023</v>
      </c>
      <c r="E690" s="18" t="str">
        <f>IFERROR(VLOOKUP(F690,#REF!,3,FALSE),"")</f>
        <v/>
      </c>
      <c r="F690" s="11" t="s">
        <v>25</v>
      </c>
      <c r="G690" s="9">
        <v>4</v>
      </c>
      <c r="H690" s="7">
        <v>1.6</v>
      </c>
      <c r="I690" s="149">
        <v>7</v>
      </c>
    </row>
    <row r="691" spans="1:9" x14ac:dyDescent="0.2">
      <c r="A691" s="3">
        <f>IF((COUNTIFS(DIESEL!D:D,B691,DIESEL!F:F,MSOLICITADA!F691))=0,"",VLOOKUP(F691,CODIGOSPLACAS!$A$1:$B$38,2,FALSE))</f>
        <v>31</v>
      </c>
      <c r="B691" s="17">
        <v>44927</v>
      </c>
      <c r="C691" s="18">
        <f t="shared" si="78"/>
        <v>1</v>
      </c>
      <c r="D691" s="18">
        <f t="shared" si="79"/>
        <v>2023</v>
      </c>
      <c r="E691" s="18" t="str">
        <f>IFERROR(VLOOKUP(F691,#REF!,3,FALSE),"")</f>
        <v/>
      </c>
      <c r="F691" s="11" t="s">
        <v>128</v>
      </c>
      <c r="G691" s="9">
        <v>4</v>
      </c>
      <c r="H691" s="7">
        <v>1.6</v>
      </c>
      <c r="I691" s="149">
        <v>8</v>
      </c>
    </row>
    <row r="692" spans="1:9" x14ac:dyDescent="0.2">
      <c r="A692" s="3">
        <f>IF((COUNTIFS(DIESEL!D:D,B692,DIESEL!F:F,MSOLICITADA!F692))=0,"",VLOOKUP(F692,CODIGOSPLACAS!$A$1:$B$38,2,FALSE))</f>
        <v>36</v>
      </c>
      <c r="B692" s="17">
        <v>44927</v>
      </c>
      <c r="C692" s="18">
        <f t="shared" si="78"/>
        <v>1</v>
      </c>
      <c r="D692" s="18">
        <f t="shared" si="79"/>
        <v>2023</v>
      </c>
      <c r="E692" s="18" t="str">
        <f>IFERROR(VLOOKUP(F692,#REF!,3,FALSE),"")</f>
        <v/>
      </c>
      <c r="F692" s="11" t="s">
        <v>35</v>
      </c>
      <c r="G692" s="9">
        <v>5</v>
      </c>
      <c r="H692" s="10">
        <v>2.5</v>
      </c>
      <c r="I692" s="148">
        <v>20</v>
      </c>
    </row>
    <row r="693" spans="1:9" x14ac:dyDescent="0.2">
      <c r="A693" s="3">
        <f>IF((COUNTIFS(DIESEL!D:D,B693,DIESEL!F:F,MSOLICITADA!F693))=0,"",VLOOKUP(F693,CODIGOSPLACAS!$A$1:$B$38,2,FALSE))</f>
        <v>35</v>
      </c>
      <c r="B693" s="17">
        <v>44927</v>
      </c>
      <c r="C693" s="18">
        <f t="shared" si="78"/>
        <v>1</v>
      </c>
      <c r="D693" s="18">
        <f t="shared" si="79"/>
        <v>2023</v>
      </c>
      <c r="E693" s="18" t="str">
        <f>IFERROR(VLOOKUP(F693,#REF!,3,FALSE),"")</f>
        <v/>
      </c>
      <c r="F693" s="11" t="s">
        <v>34</v>
      </c>
      <c r="G693" s="9">
        <v>5</v>
      </c>
      <c r="H693" s="10">
        <v>2.5</v>
      </c>
      <c r="I693" s="148">
        <v>19</v>
      </c>
    </row>
    <row r="694" spans="1:9" x14ac:dyDescent="0.2">
      <c r="A694" s="3" t="str">
        <f>IF((COUNTIFS(DIESEL!D:D,B694,DIESEL!F:F,MSOLICITADA!F694))=0,"",VLOOKUP(F694,CODIGOSPLACAS!$A$1:$B$38,2,FALSE))</f>
        <v/>
      </c>
      <c r="E694" s="18" t="str">
        <f>IFERROR(VLOOKUP(F694,#REF!,3,FALSE),"")</f>
        <v/>
      </c>
      <c r="F694" s="214" t="s">
        <v>39</v>
      </c>
      <c r="G694" s="214"/>
      <c r="H694" s="214"/>
      <c r="I694" s="150"/>
    </row>
    <row r="695" spans="1:9" x14ac:dyDescent="0.2">
      <c r="A695" s="3">
        <f>IF((COUNTIFS(DIESEL!D:D,B695,DIESEL!F:F,MSOLICITADA!F695))=0,"",VLOOKUP(F695,CODIGOSPLACAS!$A$1:$B$38,2,FALSE))</f>
        <v>2</v>
      </c>
      <c r="B695" s="17">
        <v>44958</v>
      </c>
      <c r="C695" s="18">
        <f t="shared" ref="C695:C714" si="80">MONTH(B695)</f>
        <v>2</v>
      </c>
      <c r="D695" s="18">
        <f t="shared" ref="D695:D714" si="81">YEAR(B695)</f>
        <v>2023</v>
      </c>
      <c r="E695" s="18" t="str">
        <f>IFERROR(VLOOKUP(F695,#REF!,3,FALSE),"")</f>
        <v/>
      </c>
      <c r="F695" s="6" t="s">
        <v>24</v>
      </c>
      <c r="G695" s="6">
        <v>4</v>
      </c>
      <c r="H695" s="7">
        <v>1.6</v>
      </c>
      <c r="I695" s="149">
        <v>16</v>
      </c>
    </row>
    <row r="696" spans="1:9" x14ac:dyDescent="0.2">
      <c r="A696" s="3" t="str">
        <f>IF((COUNTIFS(DIESEL!D:D,B696,DIESEL!F:F,MSOLICITADA!F696))=0,"",VLOOKUP(F696,CODIGOSPLACAS!$A$1:$B$38,2,FALSE))</f>
        <v/>
      </c>
      <c r="B696" s="17">
        <v>44958</v>
      </c>
      <c r="C696" s="18">
        <f t="shared" si="80"/>
        <v>2</v>
      </c>
      <c r="D696" s="18">
        <f t="shared" si="81"/>
        <v>2023</v>
      </c>
      <c r="E696" s="18" t="str">
        <f>IFERROR(VLOOKUP(F696,#REF!,3,FALSE),"")</f>
        <v/>
      </c>
      <c r="F696" s="6" t="s">
        <v>131</v>
      </c>
      <c r="G696" s="6">
        <v>4</v>
      </c>
      <c r="H696" s="7">
        <v>1.6</v>
      </c>
      <c r="I696" s="149">
        <v>2</v>
      </c>
    </row>
    <row r="697" spans="1:9" x14ac:dyDescent="0.2">
      <c r="A697" s="3">
        <f>IF((COUNTIFS(DIESEL!D:D,B697,DIESEL!F:F,MSOLICITADA!F697))=0,"",VLOOKUP(F697,CODIGOSPLACAS!$A$1:$B$38,2,FALSE))</f>
        <v>1</v>
      </c>
      <c r="B697" s="17">
        <v>44958</v>
      </c>
      <c r="C697" s="18">
        <f t="shared" si="80"/>
        <v>2</v>
      </c>
      <c r="D697" s="18">
        <f t="shared" si="81"/>
        <v>2023</v>
      </c>
      <c r="E697" s="18" t="str">
        <f>IFERROR(VLOOKUP(F697,#REF!,3,FALSE),"")</f>
        <v/>
      </c>
      <c r="F697" s="6" t="s">
        <v>26</v>
      </c>
      <c r="G697" s="6">
        <v>4</v>
      </c>
      <c r="H697" s="7">
        <v>1.6</v>
      </c>
      <c r="I697" s="149">
        <v>5</v>
      </c>
    </row>
    <row r="698" spans="1:9" x14ac:dyDescent="0.2">
      <c r="A698" s="3" t="str">
        <f>IF((COUNTIFS(DIESEL!D:D,B698,DIESEL!F:F,MSOLICITADA!F698))=0,"",VLOOKUP(F698,CODIGOSPLACAS!$A$1:$B$38,2,FALSE))</f>
        <v/>
      </c>
      <c r="B698" s="17">
        <v>44958</v>
      </c>
      <c r="C698" s="18">
        <f t="shared" si="80"/>
        <v>2</v>
      </c>
      <c r="D698" s="18">
        <f t="shared" si="81"/>
        <v>2023</v>
      </c>
      <c r="E698" s="18" t="str">
        <f>IFERROR(VLOOKUP(F698,#REF!,3,FALSE),"")</f>
        <v/>
      </c>
      <c r="F698" s="6" t="s">
        <v>28</v>
      </c>
      <c r="G698" s="6">
        <v>4</v>
      </c>
      <c r="H698" s="7">
        <v>1.6</v>
      </c>
      <c r="I698" s="149">
        <v>18</v>
      </c>
    </row>
    <row r="699" spans="1:9" x14ac:dyDescent="0.2">
      <c r="A699" s="3" t="str">
        <f>IF((COUNTIFS(DIESEL!D:D,B699,DIESEL!F:F,MSOLICITADA!F699))=0,"",VLOOKUP(F699,CODIGOSPLACAS!$A$1:$B$38,2,FALSE))</f>
        <v/>
      </c>
      <c r="B699" s="17">
        <v>44958</v>
      </c>
      <c r="C699" s="18">
        <f t="shared" si="80"/>
        <v>2</v>
      </c>
      <c r="D699" s="18">
        <f t="shared" si="81"/>
        <v>2023</v>
      </c>
      <c r="E699" s="18" t="str">
        <f>IFERROR(VLOOKUP(F699,#REF!,3,FALSE),"")</f>
        <v/>
      </c>
      <c r="F699" s="5" t="s">
        <v>30</v>
      </c>
      <c r="G699" s="6">
        <v>4</v>
      </c>
      <c r="H699" s="7">
        <v>1.6</v>
      </c>
      <c r="I699" s="149">
        <v>17</v>
      </c>
    </row>
    <row r="700" spans="1:9" x14ac:dyDescent="0.2">
      <c r="A700" s="3" t="str">
        <f>IF((COUNTIFS(DIESEL!D:D,B700,DIESEL!F:F,MSOLICITADA!F700))=0,"",VLOOKUP(F700,CODIGOSPLACAS!$A$1:$B$38,2,FALSE))</f>
        <v/>
      </c>
      <c r="B700" s="17">
        <v>44958</v>
      </c>
      <c r="C700" s="18">
        <f t="shared" si="80"/>
        <v>2</v>
      </c>
      <c r="D700" s="18">
        <f t="shared" si="81"/>
        <v>2023</v>
      </c>
      <c r="E700" s="18" t="str">
        <f>IFERROR(VLOOKUP(F700,#REF!,3,FALSE),"")</f>
        <v/>
      </c>
      <c r="F700" s="5" t="s">
        <v>33</v>
      </c>
      <c r="G700" s="6">
        <v>4</v>
      </c>
      <c r="H700" s="7">
        <v>1.6</v>
      </c>
      <c r="I700" s="149">
        <v>15</v>
      </c>
    </row>
    <row r="701" spans="1:9" x14ac:dyDescent="0.2">
      <c r="A701" s="3">
        <f>IF((COUNTIFS(DIESEL!D:D,B701,DIESEL!F:F,MSOLICITADA!F701))=0,"",VLOOKUP(F701,CODIGOSPLACAS!$A$1:$B$38,2,FALSE))</f>
        <v>6</v>
      </c>
      <c r="B701" s="17">
        <v>44958</v>
      </c>
      <c r="C701" s="18">
        <f t="shared" si="80"/>
        <v>2</v>
      </c>
      <c r="D701" s="18">
        <f t="shared" si="81"/>
        <v>2023</v>
      </c>
      <c r="E701" s="18" t="str">
        <f>IFERROR(VLOOKUP(F701,#REF!,3,FALSE),"")</f>
        <v/>
      </c>
      <c r="F701" s="5" t="s">
        <v>31</v>
      </c>
      <c r="G701" s="6">
        <v>4</v>
      </c>
      <c r="H701" s="7">
        <v>1.6</v>
      </c>
      <c r="I701" s="149">
        <v>4</v>
      </c>
    </row>
    <row r="702" spans="1:9" x14ac:dyDescent="0.2">
      <c r="A702" s="3" t="str">
        <f>IF((COUNTIFS(DIESEL!D:D,B702,DIESEL!F:F,MSOLICITADA!F702))=0,"",VLOOKUP(F702,CODIGOSPLACAS!$A$1:$B$38,2,FALSE))</f>
        <v/>
      </c>
      <c r="B702" s="17">
        <v>44958</v>
      </c>
      <c r="C702" s="18">
        <f t="shared" si="80"/>
        <v>2</v>
      </c>
      <c r="D702" s="18">
        <f t="shared" si="81"/>
        <v>2023</v>
      </c>
      <c r="E702" s="18" t="str">
        <f>IFERROR(VLOOKUP(F702,#REF!,3,FALSE),"")</f>
        <v/>
      </c>
      <c r="F702" s="5" t="s">
        <v>124</v>
      </c>
      <c r="G702" s="6">
        <v>4</v>
      </c>
      <c r="H702" s="7">
        <v>1.6</v>
      </c>
      <c r="I702" s="149">
        <v>13</v>
      </c>
    </row>
    <row r="703" spans="1:9" x14ac:dyDescent="0.2">
      <c r="A703" s="3" t="str">
        <f>IF((COUNTIFS(DIESEL!D:D,B703,DIESEL!F:F,MSOLICITADA!F703))=0,"",VLOOKUP(F703,CODIGOSPLACAS!$A$1:$B$38,2,FALSE))</f>
        <v/>
      </c>
      <c r="B703" s="17">
        <v>44958</v>
      </c>
      <c r="C703" s="18">
        <f t="shared" si="80"/>
        <v>2</v>
      </c>
      <c r="D703" s="18">
        <f t="shared" si="81"/>
        <v>2023</v>
      </c>
      <c r="E703" s="18" t="str">
        <f>IFERROR(VLOOKUP(F703,#REF!,3,FALSE),"")</f>
        <v/>
      </c>
      <c r="F703" s="6" t="s">
        <v>27</v>
      </c>
      <c r="G703" s="6">
        <v>4</v>
      </c>
      <c r="H703" s="7">
        <v>1.6</v>
      </c>
      <c r="I703" s="149">
        <v>3</v>
      </c>
    </row>
    <row r="704" spans="1:9" x14ac:dyDescent="0.2">
      <c r="A704" s="3" t="str">
        <f>IF((COUNTIFS(DIESEL!D:D,B704,DIESEL!F:F,MSOLICITADA!F704))=0,"",VLOOKUP(F704,CODIGOSPLACAS!$A$1:$B$38,2,FALSE))</f>
        <v/>
      </c>
      <c r="B704" s="17">
        <v>44958</v>
      </c>
      <c r="C704" s="18">
        <f t="shared" si="80"/>
        <v>2</v>
      </c>
      <c r="D704" s="18">
        <f t="shared" si="81"/>
        <v>2023</v>
      </c>
      <c r="E704" s="18" t="str">
        <f>IFERROR(VLOOKUP(F704,#REF!,3,FALSE),"")</f>
        <v/>
      </c>
      <c r="F704" s="6" t="s">
        <v>126</v>
      </c>
      <c r="G704" s="6">
        <v>4</v>
      </c>
      <c r="H704" s="7">
        <v>1.6</v>
      </c>
      <c r="I704" s="149">
        <v>14</v>
      </c>
    </row>
    <row r="705" spans="1:9" x14ac:dyDescent="0.2">
      <c r="A705" s="3" t="str">
        <f>IF((COUNTIFS(DIESEL!D:D,B705,DIESEL!F:F,MSOLICITADA!F705))=0,"",VLOOKUP(F705,CODIGOSPLACAS!$A$1:$B$38,2,FALSE))</f>
        <v/>
      </c>
      <c r="B705" s="17">
        <v>44958</v>
      </c>
      <c r="C705" s="18">
        <f t="shared" si="80"/>
        <v>2</v>
      </c>
      <c r="D705" s="18">
        <f t="shared" si="81"/>
        <v>2023</v>
      </c>
      <c r="E705" s="18" t="str">
        <f>IFERROR(VLOOKUP(F705,#REF!,3,FALSE),"")</f>
        <v/>
      </c>
      <c r="F705" s="5" t="s">
        <v>32</v>
      </c>
      <c r="G705" s="6">
        <v>4</v>
      </c>
      <c r="H705" s="7">
        <v>1.6</v>
      </c>
      <c r="I705" s="149">
        <v>1</v>
      </c>
    </row>
    <row r="706" spans="1:9" x14ac:dyDescent="0.2">
      <c r="A706" s="3">
        <f>IF((COUNTIFS(DIESEL!D:D,B706,DIESEL!F:F,MSOLICITADA!F706))=0,"",VLOOKUP(F706,CODIGOSPLACAS!$A$1:$B$38,2,FALSE))</f>
        <v>11</v>
      </c>
      <c r="B706" s="17">
        <v>44958</v>
      </c>
      <c r="C706" s="18">
        <f t="shared" si="80"/>
        <v>2</v>
      </c>
      <c r="D706" s="18">
        <f t="shared" si="81"/>
        <v>2023</v>
      </c>
      <c r="E706" s="18" t="str">
        <f>IFERROR(VLOOKUP(F706,#REF!,3,FALSE),"")</f>
        <v/>
      </c>
      <c r="F706" s="5" t="s">
        <v>29</v>
      </c>
      <c r="G706" s="6">
        <v>4</v>
      </c>
      <c r="H706" s="7">
        <v>1.6</v>
      </c>
      <c r="I706" s="149">
        <v>6</v>
      </c>
    </row>
    <row r="707" spans="1:9" x14ac:dyDescent="0.2">
      <c r="A707" s="3" t="str">
        <f>IF((COUNTIFS(DIESEL!D:D,B707,DIESEL!F:F,MSOLICITADA!F707))=0,"",VLOOKUP(F707,CODIGOSPLACAS!$A$1:$B$38,2,FALSE))</f>
        <v/>
      </c>
      <c r="B707" s="17">
        <v>44958</v>
      </c>
      <c r="C707" s="18">
        <f t="shared" si="80"/>
        <v>2</v>
      </c>
      <c r="D707" s="18">
        <f t="shared" si="81"/>
        <v>2023</v>
      </c>
      <c r="E707" s="18" t="str">
        <f>IFERROR(VLOOKUP(F707,#REF!,3,FALSE),"")</f>
        <v/>
      </c>
      <c r="F707" s="6" t="s">
        <v>130</v>
      </c>
      <c r="G707" s="6">
        <v>4</v>
      </c>
      <c r="H707" s="7">
        <v>1.6</v>
      </c>
      <c r="I707" s="149">
        <v>9</v>
      </c>
    </row>
    <row r="708" spans="1:9" x14ac:dyDescent="0.2">
      <c r="A708" s="3">
        <f>IF((COUNTIFS(DIESEL!D:D,B708,DIESEL!F:F,MSOLICITADA!F708))=0,"",VLOOKUP(F708,CODIGOSPLACAS!$A$1:$B$38,2,FALSE))</f>
        <v>23</v>
      </c>
      <c r="B708" s="17">
        <v>44958</v>
      </c>
      <c r="C708" s="18">
        <f t="shared" si="80"/>
        <v>2</v>
      </c>
      <c r="D708" s="18">
        <f t="shared" si="81"/>
        <v>2023</v>
      </c>
      <c r="E708" s="18" t="str">
        <f>IFERROR(VLOOKUP(F708,#REF!,3,FALSE),"")</f>
        <v/>
      </c>
      <c r="F708" s="19" t="s">
        <v>23</v>
      </c>
      <c r="G708" s="19">
        <v>4</v>
      </c>
      <c r="H708" s="7">
        <v>1.6</v>
      </c>
      <c r="I708" s="149">
        <v>12</v>
      </c>
    </row>
    <row r="709" spans="1:9" x14ac:dyDescent="0.2">
      <c r="A709" s="3" t="str">
        <f>IF((COUNTIFS(DIESEL!D:D,B709,DIESEL!F:F,MSOLICITADA!F709))=0,"",VLOOKUP(F709,CODIGOSPLACAS!$A$1:$B$38,2,FALSE))</f>
        <v/>
      </c>
      <c r="B709" s="17">
        <v>44958</v>
      </c>
      <c r="C709" s="18">
        <f t="shared" si="80"/>
        <v>2</v>
      </c>
      <c r="D709" s="18">
        <f t="shared" si="81"/>
        <v>2023</v>
      </c>
      <c r="E709" s="18" t="str">
        <f>IFERROR(VLOOKUP(F709,#REF!,3,FALSE),"")</f>
        <v/>
      </c>
      <c r="F709" s="6" t="s">
        <v>127</v>
      </c>
      <c r="G709" s="6">
        <v>3</v>
      </c>
      <c r="H709" s="7">
        <v>1.9</v>
      </c>
      <c r="I709" s="149">
        <v>10</v>
      </c>
    </row>
    <row r="710" spans="1:9" x14ac:dyDescent="0.2">
      <c r="A710" s="3" t="str">
        <f>IF((COUNTIFS(DIESEL!D:D,B710,DIESEL!F:F,MSOLICITADA!F710))=0,"",VLOOKUP(F710,CODIGOSPLACAS!$A$1:$B$38,2,FALSE))</f>
        <v/>
      </c>
      <c r="B710" s="17">
        <v>44958</v>
      </c>
      <c r="C710" s="18">
        <f t="shared" si="80"/>
        <v>2</v>
      </c>
      <c r="D710" s="18">
        <f t="shared" si="81"/>
        <v>2023</v>
      </c>
      <c r="E710" s="18" t="str">
        <f>IFERROR(VLOOKUP(F710,#REF!,3,FALSE),"")</f>
        <v/>
      </c>
      <c r="F710" s="6" t="s">
        <v>22</v>
      </c>
      <c r="G710" s="6">
        <v>3</v>
      </c>
      <c r="H710" s="7">
        <v>1.9</v>
      </c>
      <c r="I710" s="149">
        <v>11</v>
      </c>
    </row>
    <row r="711" spans="1:9" x14ac:dyDescent="0.2">
      <c r="A711" s="3" t="str">
        <f>IF((COUNTIFS(DIESEL!D:D,B711,DIESEL!F:F,MSOLICITADA!F711))=0,"",VLOOKUP(F711,CODIGOSPLACAS!$A$1:$B$38,2,FALSE))</f>
        <v/>
      </c>
      <c r="B711" s="17">
        <v>44958</v>
      </c>
      <c r="C711" s="18">
        <f t="shared" si="80"/>
        <v>2</v>
      </c>
      <c r="D711" s="18">
        <f t="shared" si="81"/>
        <v>2023</v>
      </c>
      <c r="E711" s="18" t="str">
        <f>IFERROR(VLOOKUP(F711,#REF!,3,FALSE),"")</f>
        <v/>
      </c>
      <c r="F711" s="11" t="s">
        <v>25</v>
      </c>
      <c r="G711" s="9">
        <v>4</v>
      </c>
      <c r="H711" s="7">
        <v>1.6</v>
      </c>
      <c r="I711" s="149">
        <v>7</v>
      </c>
    </row>
    <row r="712" spans="1:9" x14ac:dyDescent="0.2">
      <c r="A712" s="3" t="str">
        <f>IF((COUNTIFS(DIESEL!D:D,B712,DIESEL!F:F,MSOLICITADA!F712))=0,"",VLOOKUP(F712,CODIGOSPLACAS!$A$1:$B$38,2,FALSE))</f>
        <v/>
      </c>
      <c r="B712" s="17">
        <v>44958</v>
      </c>
      <c r="C712" s="18">
        <f t="shared" si="80"/>
        <v>2</v>
      </c>
      <c r="D712" s="18">
        <f t="shared" si="81"/>
        <v>2023</v>
      </c>
      <c r="E712" s="18" t="str">
        <f>IFERROR(VLOOKUP(F712,#REF!,3,FALSE),"")</f>
        <v/>
      </c>
      <c r="F712" s="11" t="s">
        <v>128</v>
      </c>
      <c r="G712" s="9">
        <v>4</v>
      </c>
      <c r="H712" s="7">
        <v>1.6</v>
      </c>
      <c r="I712" s="149">
        <v>8</v>
      </c>
    </row>
    <row r="713" spans="1:9" x14ac:dyDescent="0.2">
      <c r="A713" s="3" t="str">
        <f>IF((COUNTIFS(DIESEL!D:D,B713,DIESEL!F:F,MSOLICITADA!F713))=0,"",VLOOKUP(F713,CODIGOSPLACAS!$A$1:$B$38,2,FALSE))</f>
        <v/>
      </c>
      <c r="B713" s="17">
        <v>44958</v>
      </c>
      <c r="C713" s="18">
        <f t="shared" si="80"/>
        <v>2</v>
      </c>
      <c r="D713" s="18">
        <f t="shared" si="81"/>
        <v>2023</v>
      </c>
      <c r="E713" s="18" t="str">
        <f>IFERROR(VLOOKUP(F713,#REF!,3,FALSE),"")</f>
        <v/>
      </c>
      <c r="F713" s="11" t="s">
        <v>35</v>
      </c>
      <c r="G713" s="9">
        <v>5</v>
      </c>
      <c r="H713" s="10">
        <v>2.5</v>
      </c>
      <c r="I713" s="148">
        <v>20</v>
      </c>
    </row>
    <row r="714" spans="1:9" x14ac:dyDescent="0.2">
      <c r="A714" s="3" t="str">
        <f>IF((COUNTIFS(DIESEL!D:D,B714,DIESEL!F:F,MSOLICITADA!F714))=0,"",VLOOKUP(F714,CODIGOSPLACAS!$A$1:$B$38,2,FALSE))</f>
        <v/>
      </c>
      <c r="B714" s="17">
        <v>44958</v>
      </c>
      <c r="C714" s="18">
        <f t="shared" si="80"/>
        <v>2</v>
      </c>
      <c r="D714" s="18">
        <f t="shared" si="81"/>
        <v>2023</v>
      </c>
      <c r="E714" s="18" t="str">
        <f>IFERROR(VLOOKUP(F714,#REF!,3,FALSE),"")</f>
        <v/>
      </c>
      <c r="F714" s="11" t="s">
        <v>34</v>
      </c>
      <c r="G714" s="9">
        <v>5</v>
      </c>
      <c r="H714" s="10">
        <v>2.5</v>
      </c>
      <c r="I714" s="148">
        <v>19</v>
      </c>
    </row>
  </sheetData>
  <sortState xmlns:xlrd2="http://schemas.microsoft.com/office/spreadsheetml/2017/richdata2" ref="F363:H380">
    <sortCondition ref="F363:F380"/>
  </sortState>
  <mergeCells count="38">
    <mergeCell ref="F694:H694"/>
    <mergeCell ref="F164:H164"/>
    <mergeCell ref="F201:H201"/>
    <mergeCell ref="F221:H221"/>
    <mergeCell ref="F243:H243"/>
    <mergeCell ref="F264:H264"/>
    <mergeCell ref="F182:H182"/>
    <mergeCell ref="F400:H400"/>
    <mergeCell ref="F285:H285"/>
    <mergeCell ref="F305:H305"/>
    <mergeCell ref="F325:H325"/>
    <mergeCell ref="F343:H343"/>
    <mergeCell ref="F381:H381"/>
    <mergeCell ref="F362:H362"/>
    <mergeCell ref="F532:H532"/>
    <mergeCell ref="F512:H512"/>
    <mergeCell ref="F81:H81"/>
    <mergeCell ref="F97:H97"/>
    <mergeCell ref="F113:H113"/>
    <mergeCell ref="F130:H130"/>
    <mergeCell ref="F147:H147"/>
    <mergeCell ref="F1:H1"/>
    <mergeCell ref="F17:H17"/>
    <mergeCell ref="F33:H33"/>
    <mergeCell ref="F49:H49"/>
    <mergeCell ref="F65:H65"/>
    <mergeCell ref="F456:H456"/>
    <mergeCell ref="F438:H438"/>
    <mergeCell ref="F419:H419"/>
    <mergeCell ref="F493:H493"/>
    <mergeCell ref="F474:H474"/>
    <mergeCell ref="F673:H673"/>
    <mergeCell ref="F654:H654"/>
    <mergeCell ref="F552:H552"/>
    <mergeCell ref="F572:H572"/>
    <mergeCell ref="F592:H592"/>
    <mergeCell ref="F612:H612"/>
    <mergeCell ref="F633:H633"/>
  </mergeCells>
  <phoneticPr fontId="4" type="noConversion"/>
  <conditionalFormatting sqref="I674:I691">
    <cfRule type="duplicateValues" dxfId="54" priority="140"/>
  </conditionalFormatting>
  <conditionalFormatting sqref="I695:I712">
    <cfRule type="duplicateValues" dxfId="53" priority="1"/>
  </conditionalFormatting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D7C-6BDC-4944-B4C1-CF9D6FC4D6B7}">
  <sheetPr codeName="Planilha2"/>
  <dimension ref="A1:N29"/>
  <sheetViews>
    <sheetView topLeftCell="A2" workbookViewId="0">
      <selection activeCell="B3" sqref="B3:M3"/>
    </sheetView>
  </sheetViews>
  <sheetFormatPr defaultRowHeight="11.25" x14ac:dyDescent="0.2"/>
  <cols>
    <col min="1" max="1" width="7.5703125" style="104" bestFit="1" customWidth="1"/>
    <col min="2" max="2" width="7" style="56" bestFit="1" customWidth="1"/>
    <col min="3" max="3" width="6.85546875" style="56" bestFit="1" customWidth="1"/>
    <col min="4" max="4" width="7.5703125" style="56" bestFit="1" customWidth="1"/>
    <col min="5" max="5" width="7.140625" style="56" bestFit="1" customWidth="1"/>
    <col min="6" max="6" width="7.42578125" style="56" bestFit="1" customWidth="1"/>
    <col min="7" max="7" width="7" style="56" bestFit="1" customWidth="1"/>
    <col min="8" max="8" width="6.5703125" style="56" bestFit="1" customWidth="1"/>
    <col min="9" max="9" width="7.28515625" style="56" bestFit="1" customWidth="1"/>
    <col min="10" max="10" width="7" style="56" bestFit="1" customWidth="1"/>
    <col min="11" max="11" width="7.140625" style="56" bestFit="1" customWidth="1"/>
    <col min="12" max="12" width="7.28515625" style="56" bestFit="1" customWidth="1"/>
    <col min="13" max="13" width="7.140625" style="56" bestFit="1" customWidth="1"/>
    <col min="14" max="16384" width="9.140625" style="56"/>
  </cols>
  <sheetData>
    <row r="1" spans="1:13" hidden="1" x14ac:dyDescent="0.2">
      <c r="B1" s="102">
        <v>44562</v>
      </c>
      <c r="C1" s="102">
        <v>44593</v>
      </c>
      <c r="D1" s="102">
        <v>44621</v>
      </c>
      <c r="E1" s="102">
        <v>44652</v>
      </c>
      <c r="F1" s="102">
        <v>44682</v>
      </c>
      <c r="G1" s="102">
        <v>44713</v>
      </c>
      <c r="H1" s="102">
        <v>44743</v>
      </c>
      <c r="I1" s="102">
        <v>44774</v>
      </c>
      <c r="J1" s="102">
        <v>44805</v>
      </c>
      <c r="K1" s="102">
        <v>44835</v>
      </c>
      <c r="L1" s="102">
        <v>44866</v>
      </c>
    </row>
    <row r="2" spans="1:13" s="104" customFormat="1" x14ac:dyDescent="0.2">
      <c r="B2" s="108">
        <v>44592</v>
      </c>
      <c r="C2" s="108">
        <v>44620</v>
      </c>
      <c r="D2" s="108">
        <v>44651</v>
      </c>
      <c r="E2" s="108">
        <v>44681</v>
      </c>
      <c r="F2" s="108">
        <v>44712</v>
      </c>
      <c r="G2" s="108">
        <v>44742</v>
      </c>
      <c r="H2" s="108">
        <v>44773</v>
      </c>
      <c r="I2" s="108">
        <v>44804</v>
      </c>
      <c r="J2" s="108">
        <v>44834</v>
      </c>
      <c r="K2" s="108">
        <v>44865</v>
      </c>
      <c r="L2" s="108">
        <v>44895</v>
      </c>
      <c r="M2" s="182">
        <v>44896</v>
      </c>
    </row>
    <row r="3" spans="1:13" x14ac:dyDescent="0.2">
      <c r="A3" s="106" t="s">
        <v>25</v>
      </c>
      <c r="B3" s="107">
        <v>1.6586388639183101</v>
      </c>
      <c r="C3" s="107">
        <v>1.3394289184417574</v>
      </c>
      <c r="D3" s="107">
        <v>1.3575340916621526</v>
      </c>
      <c r="E3" s="107">
        <v>1.3410276910206884</v>
      </c>
      <c r="F3" s="107">
        <v>1.3616847690138785</v>
      </c>
      <c r="G3" s="107">
        <v>1.3634502045799384</v>
      </c>
      <c r="H3" s="107">
        <v>1.6690159950838488</v>
      </c>
      <c r="I3" s="107">
        <v>1.2973007280026727</v>
      </c>
      <c r="J3" s="107">
        <v>1.3449400241692802</v>
      </c>
      <c r="K3" s="107">
        <v>1.4801292577681084</v>
      </c>
      <c r="L3" s="107">
        <v>1.3341085750688548</v>
      </c>
      <c r="M3" s="107">
        <v>1.50166194031773</v>
      </c>
    </row>
    <row r="4" spans="1:13" x14ac:dyDescent="0.2">
      <c r="A4" s="105" t="s">
        <v>30</v>
      </c>
      <c r="B4" s="103">
        <v>1.6526188601397334</v>
      </c>
      <c r="C4" s="103">
        <v>1.580950909149343</v>
      </c>
      <c r="D4" s="103">
        <v>1.4852763460962433</v>
      </c>
      <c r="E4" s="103">
        <v>1.4418606297853895</v>
      </c>
      <c r="F4" s="103">
        <v>1.4740338934059949</v>
      </c>
      <c r="G4" s="103">
        <v>1.4287852042996569</v>
      </c>
      <c r="H4" s="103">
        <v>2.5904555777229623</v>
      </c>
      <c r="I4" s="103">
        <v>1.4903040512051839</v>
      </c>
      <c r="J4" s="103">
        <v>1.5700323439284225</v>
      </c>
      <c r="K4" s="103">
        <v>1.5382073352713679</v>
      </c>
      <c r="L4" s="103">
        <v>1.5437507822073508</v>
      </c>
      <c r="M4" s="103">
        <v>1.5093777841757006</v>
      </c>
    </row>
    <row r="5" spans="1:13" x14ac:dyDescent="0.2">
      <c r="A5" s="106" t="s">
        <v>33</v>
      </c>
      <c r="B5" s="107">
        <v>1.722547438301282</v>
      </c>
      <c r="C5" s="107">
        <v>1.5436942642146256</v>
      </c>
      <c r="D5" s="107">
        <v>1.5849471517598093</v>
      </c>
      <c r="E5" s="107">
        <v>1.5687173813885857</v>
      </c>
      <c r="F5" s="107">
        <v>1.5459967888753212</v>
      </c>
      <c r="G5" s="107">
        <v>1.5749554918250968</v>
      </c>
      <c r="H5" s="107">
        <v>2.130390334310754</v>
      </c>
      <c r="I5" s="107">
        <v>1.6008627999134364</v>
      </c>
      <c r="J5" s="107">
        <v>1.6880036024160339</v>
      </c>
      <c r="K5" s="107">
        <v>1.7203081849004596</v>
      </c>
      <c r="L5" s="107">
        <v>1.7536501513367952</v>
      </c>
      <c r="M5" s="107">
        <v>1.6210900048214474</v>
      </c>
    </row>
    <row r="6" spans="1:13" x14ac:dyDescent="0.2">
      <c r="A6" s="105" t="s">
        <v>28</v>
      </c>
      <c r="B6" s="103">
        <v>1.8784139140307037</v>
      </c>
      <c r="C6" s="103">
        <v>1.6490238758678606</v>
      </c>
      <c r="D6" s="103">
        <v>1.5729304962109105</v>
      </c>
      <c r="E6" s="103">
        <v>1.4946740845681397</v>
      </c>
      <c r="F6" s="103">
        <v>1.4719387926109597</v>
      </c>
      <c r="G6" s="103">
        <v>1.4757192791642528</v>
      </c>
      <c r="H6" s="103">
        <v>2.0061482424513879</v>
      </c>
      <c r="I6" s="103">
        <v>1.4300883328979577</v>
      </c>
      <c r="J6" s="103">
        <v>1.4967045004432891</v>
      </c>
      <c r="K6" s="103">
        <v>1.4449193985769637</v>
      </c>
      <c r="L6" s="103">
        <v>1.3984370494002425</v>
      </c>
      <c r="M6" s="103">
        <v>1.5503831077411701</v>
      </c>
    </row>
    <row r="7" spans="1:13" x14ac:dyDescent="0.2">
      <c r="A7" s="106" t="s">
        <v>22</v>
      </c>
      <c r="B7" s="107">
        <v>1.9487870068573445</v>
      </c>
      <c r="C7" s="107">
        <v>1.8033985452924517</v>
      </c>
      <c r="D7" s="107">
        <v>1.6914307916599898</v>
      </c>
      <c r="E7" s="107">
        <v>1.6848577501933815</v>
      </c>
      <c r="F7" s="107">
        <v>1.6271585970917184</v>
      </c>
      <c r="G7" s="107">
        <v>1.6819336514338863</v>
      </c>
      <c r="H7" s="107">
        <v>2.0629370424705917</v>
      </c>
      <c r="I7" s="107">
        <v>1.7290492213595274</v>
      </c>
      <c r="J7" s="107" t="s">
        <v>236</v>
      </c>
      <c r="K7" s="107" t="s">
        <v>236</v>
      </c>
      <c r="L7" s="107">
        <v>1.7591747451720028</v>
      </c>
      <c r="M7" s="107"/>
    </row>
    <row r="8" spans="1:13" x14ac:dyDescent="0.2">
      <c r="A8" s="105" t="s">
        <v>24</v>
      </c>
      <c r="B8" s="103">
        <v>1.4644473799576283</v>
      </c>
      <c r="C8" s="103">
        <v>1.4424205171374336</v>
      </c>
      <c r="D8" s="103">
        <v>1.4816501350109044</v>
      </c>
      <c r="E8" s="103">
        <v>1.4335343209679352</v>
      </c>
      <c r="F8" s="103">
        <v>1.3487647792974393</v>
      </c>
      <c r="G8" s="103">
        <v>1.3469999056114417</v>
      </c>
      <c r="H8" s="103">
        <v>2.0046275896183974</v>
      </c>
      <c r="I8" s="103">
        <v>1.384616849321245</v>
      </c>
      <c r="J8" s="103">
        <v>1.394541893210993</v>
      </c>
      <c r="K8" s="103">
        <v>1.5447847223256173</v>
      </c>
      <c r="L8" s="103">
        <v>1.4770603223392504</v>
      </c>
      <c r="M8" s="103">
        <v>1.5280797985385988</v>
      </c>
    </row>
    <row r="9" spans="1:13" x14ac:dyDescent="0.2">
      <c r="A9" s="106" t="s">
        <v>31</v>
      </c>
      <c r="B9" s="107">
        <v>1.6947293636052614</v>
      </c>
      <c r="C9" s="107">
        <v>1.5828301420126922</v>
      </c>
      <c r="D9" s="107">
        <v>1.5717875313460332</v>
      </c>
      <c r="E9" s="107">
        <v>1.5228701354300451</v>
      </c>
      <c r="F9" s="107">
        <v>1.488004405107705</v>
      </c>
      <c r="G9" s="107">
        <v>1.5021239145720278</v>
      </c>
      <c r="H9" s="107">
        <v>1.8914804989108032</v>
      </c>
      <c r="I9" s="107">
        <v>1.4924814508006108</v>
      </c>
      <c r="J9" s="107">
        <v>1.6160972426667826</v>
      </c>
      <c r="K9" s="107">
        <v>1.8253336482471256</v>
      </c>
      <c r="L9" s="107">
        <v>1.5954100443595183</v>
      </c>
      <c r="M9" s="107">
        <v>1.4905351021016544</v>
      </c>
    </row>
    <row r="10" spans="1:13" x14ac:dyDescent="0.2">
      <c r="A10" s="105" t="s">
        <v>124</v>
      </c>
      <c r="B10" s="103">
        <v>1.6165692381712411</v>
      </c>
      <c r="C10" s="103">
        <v>1.555437287553767</v>
      </c>
      <c r="D10" s="103">
        <v>1.4435695909518191</v>
      </c>
      <c r="E10" s="103">
        <v>1.4353369282705244</v>
      </c>
      <c r="F10" s="103">
        <v>1.43139434060112</v>
      </c>
      <c r="G10" s="103">
        <v>1.4832272094245553</v>
      </c>
      <c r="H10" s="103">
        <v>1.870229357820316</v>
      </c>
      <c r="I10" s="103">
        <v>1.4716648306159728</v>
      </c>
      <c r="J10" s="103">
        <v>1.7111840338158211</v>
      </c>
      <c r="K10" s="103">
        <v>1.638657909335075</v>
      </c>
      <c r="L10" s="103">
        <v>1.6088550748112644</v>
      </c>
      <c r="M10" s="103">
        <v>1.6396894062131062</v>
      </c>
    </row>
    <row r="11" spans="1:13" x14ac:dyDescent="0.2">
      <c r="A11" s="106" t="s">
        <v>29</v>
      </c>
      <c r="B11" s="107">
        <v>1.5658440493013674</v>
      </c>
      <c r="C11" s="107">
        <v>1.4612930488755949</v>
      </c>
      <c r="D11" s="107">
        <v>1.4390823957870857</v>
      </c>
      <c r="E11" s="107">
        <v>1.4338317767098867</v>
      </c>
      <c r="F11" s="107">
        <v>1.4073467844673306</v>
      </c>
      <c r="G11" s="107">
        <v>1.5448584790976847</v>
      </c>
      <c r="H11" s="107">
        <v>1.6807195435767266</v>
      </c>
      <c r="I11" s="107">
        <v>1.4867975851117348</v>
      </c>
      <c r="J11" s="107">
        <v>1.5389938434040018</v>
      </c>
      <c r="K11" s="107">
        <v>1.6746600721071785</v>
      </c>
      <c r="L11" s="107">
        <v>1.5376336591995328</v>
      </c>
      <c r="M11" s="107">
        <v>1.5750677554084309</v>
      </c>
    </row>
    <row r="12" spans="1:13" x14ac:dyDescent="0.2">
      <c r="A12" s="105" t="s">
        <v>26</v>
      </c>
      <c r="B12" s="103" t="s">
        <v>236</v>
      </c>
      <c r="C12" s="103" t="s">
        <v>236</v>
      </c>
      <c r="D12" s="103" t="s">
        <v>236</v>
      </c>
      <c r="E12" s="103" t="s">
        <v>236</v>
      </c>
      <c r="F12" s="103">
        <v>1.4350881147257251</v>
      </c>
      <c r="G12" s="103">
        <v>1.372354476090778</v>
      </c>
      <c r="H12" s="103">
        <v>2.2609066661082569</v>
      </c>
      <c r="I12" s="103">
        <v>1.4196696553066837</v>
      </c>
      <c r="J12" s="103">
        <v>1.4360501516077959</v>
      </c>
      <c r="K12" s="103">
        <v>1.5111056893473336</v>
      </c>
      <c r="L12" s="103">
        <v>1.4215213058096179</v>
      </c>
      <c r="M12" s="103">
        <v>1.42982167893118</v>
      </c>
    </row>
    <row r="13" spans="1:13" x14ac:dyDescent="0.2">
      <c r="A13" s="106" t="s">
        <v>32</v>
      </c>
      <c r="B13" s="107">
        <v>1.7887010338309364</v>
      </c>
      <c r="C13" s="107">
        <v>1.6259593635671763</v>
      </c>
      <c r="D13" s="107">
        <v>1.5860546666148934</v>
      </c>
      <c r="E13" s="107">
        <v>1.5839885959166569</v>
      </c>
      <c r="F13" s="107">
        <v>1.5595136901632285</v>
      </c>
      <c r="G13" s="107">
        <v>1.5101404564121141</v>
      </c>
      <c r="H13" s="107">
        <v>1.8394545883608517</v>
      </c>
      <c r="I13" s="107">
        <v>1.3481176189529587</v>
      </c>
      <c r="J13" s="107">
        <v>1.5815011940263004</v>
      </c>
      <c r="K13" s="107">
        <v>1.6952450105876815</v>
      </c>
      <c r="L13" s="107">
        <v>1.518200707495146</v>
      </c>
      <c r="M13" s="107">
        <v>1.7045945118851598</v>
      </c>
    </row>
    <row r="14" spans="1:13" x14ac:dyDescent="0.2">
      <c r="A14" s="105" t="s">
        <v>126</v>
      </c>
      <c r="B14" s="103">
        <v>1.4750150732807463</v>
      </c>
      <c r="C14" s="103">
        <v>1.3966600827821929</v>
      </c>
      <c r="D14" s="103">
        <v>1.4140171216711248</v>
      </c>
      <c r="E14" s="103">
        <v>1.3056476440562867</v>
      </c>
      <c r="F14" s="103">
        <v>1.349986087869798</v>
      </c>
      <c r="G14" s="103">
        <v>1.3577096260991823</v>
      </c>
      <c r="H14" s="103">
        <v>1.7729920233351804</v>
      </c>
      <c r="I14" s="103">
        <v>1.3814666872151158</v>
      </c>
      <c r="J14" s="103">
        <v>1.3277186400803884</v>
      </c>
      <c r="K14" s="103">
        <v>1.4720248199740478</v>
      </c>
      <c r="L14" s="103">
        <v>1.4310423058843909</v>
      </c>
      <c r="M14" s="103">
        <v>1.5097907680030693</v>
      </c>
    </row>
    <row r="15" spans="1:13" x14ac:dyDescent="0.2">
      <c r="A15" s="106" t="s">
        <v>27</v>
      </c>
      <c r="B15" s="107">
        <v>1.4741188883725893</v>
      </c>
      <c r="C15" s="107">
        <v>1.4517518944883046</v>
      </c>
      <c r="D15" s="107">
        <v>1.2953858763427197</v>
      </c>
      <c r="E15" s="107">
        <v>1.2662846884803354</v>
      </c>
      <c r="F15" s="107">
        <v>1.3056846727759057</v>
      </c>
      <c r="G15" s="107">
        <v>1.2994209134875327</v>
      </c>
      <c r="H15" s="107">
        <v>1.6328449971148848</v>
      </c>
      <c r="I15" s="107">
        <v>1.3486169807362476</v>
      </c>
      <c r="J15" s="107">
        <v>1.4415847157961403</v>
      </c>
      <c r="K15" s="107">
        <v>1.5234956646562525</v>
      </c>
      <c r="L15" s="107">
        <v>1.4523329442596113</v>
      </c>
      <c r="M15" s="107">
        <v>1.4435398773633086</v>
      </c>
    </row>
    <row r="16" spans="1:13" x14ac:dyDescent="0.2">
      <c r="A16" s="105" t="s">
        <v>35</v>
      </c>
      <c r="B16" s="103">
        <v>1.9908675799086757</v>
      </c>
      <c r="C16" s="103">
        <v>2.7204457364341086</v>
      </c>
      <c r="D16" s="103">
        <v>1.5724719376501151</v>
      </c>
      <c r="E16" s="103">
        <v>2.027761311993677</v>
      </c>
      <c r="F16" s="103">
        <v>1.8925386961052995</v>
      </c>
      <c r="G16" s="103">
        <v>1.7667336972134442</v>
      </c>
      <c r="H16" s="103">
        <v>10.188149859712825</v>
      </c>
      <c r="I16" s="103">
        <v>1.9159663865546219</v>
      </c>
      <c r="J16" s="103">
        <v>1.541070598211111</v>
      </c>
      <c r="K16" s="103">
        <v>1.5697351828499371</v>
      </c>
      <c r="L16" s="103">
        <v>1.6705128205128204</v>
      </c>
      <c r="M16" s="103">
        <v>2.5478603603603602</v>
      </c>
    </row>
    <row r="17" spans="1:14" x14ac:dyDescent="0.2">
      <c r="A17" s="106" t="s">
        <v>74</v>
      </c>
      <c r="B17" s="107">
        <v>2.2701149425287355</v>
      </c>
      <c r="C17" s="107" t="s">
        <v>236</v>
      </c>
      <c r="D17" s="107">
        <v>1.2059883559744939</v>
      </c>
      <c r="E17" s="107">
        <v>1.7010266254903599</v>
      </c>
      <c r="F17" s="107">
        <v>1.9159323648487734</v>
      </c>
      <c r="G17" s="107">
        <v>1.912773485450213</v>
      </c>
      <c r="H17" s="107">
        <v>9.7201492537313428</v>
      </c>
      <c r="I17" s="107">
        <v>1.81462946459176</v>
      </c>
      <c r="J17" s="107">
        <v>1.8460902372215617</v>
      </c>
      <c r="K17" s="107">
        <v>1.3735108619481431</v>
      </c>
      <c r="L17" s="107" t="s">
        <v>236</v>
      </c>
      <c r="M17" s="107"/>
    </row>
    <row r="18" spans="1:14" x14ac:dyDescent="0.2">
      <c r="A18" s="105" t="s">
        <v>130</v>
      </c>
      <c r="B18" s="103">
        <v>1.4315352494157949</v>
      </c>
      <c r="C18" s="103">
        <v>1.3647279310704865</v>
      </c>
      <c r="D18" s="103">
        <v>1.3985555570963393</v>
      </c>
      <c r="E18" s="103">
        <v>1.3741310945893996</v>
      </c>
      <c r="F18" s="103">
        <v>1.3763825071866278</v>
      </c>
      <c r="G18" s="103">
        <v>1.3300167727857479</v>
      </c>
      <c r="H18" s="103">
        <v>1.584689643854325</v>
      </c>
      <c r="I18" s="103">
        <v>1.281147298395646</v>
      </c>
      <c r="J18" s="103">
        <v>1.4197961365221392</v>
      </c>
      <c r="K18" s="103">
        <v>1.5407290435329357</v>
      </c>
      <c r="L18" s="103">
        <v>1.5084119948669905</v>
      </c>
      <c r="M18" s="103"/>
    </row>
    <row r="19" spans="1:14" x14ac:dyDescent="0.2">
      <c r="A19" s="106" t="s">
        <v>23</v>
      </c>
      <c r="B19" s="107">
        <v>1.6703144267759429</v>
      </c>
      <c r="C19" s="107">
        <v>1.5081877584524428</v>
      </c>
      <c r="D19" s="107">
        <v>1.4790249202240664</v>
      </c>
      <c r="E19" s="107">
        <v>1.4241558420406639</v>
      </c>
      <c r="F19" s="107">
        <v>1.307403419503461</v>
      </c>
      <c r="G19" s="107">
        <v>1.4000292984561769</v>
      </c>
      <c r="H19" s="107">
        <v>1.5788424286505853</v>
      </c>
      <c r="I19" s="107">
        <v>1.2693491182142047</v>
      </c>
      <c r="J19" s="107">
        <v>1.4100656220643033</v>
      </c>
      <c r="K19" s="107">
        <v>1.531329621936669</v>
      </c>
      <c r="L19" s="107">
        <v>1.4537991005516073</v>
      </c>
      <c r="M19" s="107">
        <v>1.5720509549919661</v>
      </c>
    </row>
    <row r="20" spans="1:14" x14ac:dyDescent="0.2">
      <c r="A20" s="105" t="s">
        <v>34</v>
      </c>
      <c r="B20" s="103">
        <v>2.0850536746490507</v>
      </c>
      <c r="C20" s="103">
        <v>2.0973466283589657</v>
      </c>
      <c r="D20" s="103">
        <v>1.6875264270613108</v>
      </c>
      <c r="E20" s="103">
        <v>1.3531403940886699</v>
      </c>
      <c r="F20" s="103">
        <v>1.6264247656302691</v>
      </c>
      <c r="G20" s="103">
        <v>1.8394507078070692</v>
      </c>
      <c r="H20" s="103">
        <v>17.328358208955223</v>
      </c>
      <c r="I20" s="103">
        <v>2.3149937001259975</v>
      </c>
      <c r="J20" s="103">
        <v>2.4656716417910447</v>
      </c>
      <c r="K20" s="103">
        <v>2.1046919352145599</v>
      </c>
      <c r="L20" s="103">
        <v>1.928921568627451</v>
      </c>
      <c r="M20" s="103">
        <v>1.8961748633879782</v>
      </c>
    </row>
    <row r="21" spans="1:14" x14ac:dyDescent="0.2">
      <c r="A21" s="106" t="s">
        <v>127</v>
      </c>
      <c r="B21" s="107">
        <v>1.9513892530789219</v>
      </c>
      <c r="C21" s="107">
        <v>1.8458808439230916</v>
      </c>
      <c r="D21" s="107">
        <v>1.7641569239894326</v>
      </c>
      <c r="E21" s="107">
        <v>1.7692082698261848</v>
      </c>
      <c r="F21" s="107">
        <v>1.7140100730105514</v>
      </c>
      <c r="G21" s="107">
        <v>1.8518013656485428</v>
      </c>
      <c r="H21" s="107">
        <v>2.6482334304820219</v>
      </c>
      <c r="I21" s="107">
        <v>1.7438772733157712</v>
      </c>
      <c r="J21" s="107">
        <v>1.7631442460516793</v>
      </c>
      <c r="K21" s="107">
        <v>1.9511587457377568</v>
      </c>
      <c r="L21" s="107">
        <v>1.8434307437405129</v>
      </c>
      <c r="M21" s="107">
        <v>1.9282732243128911</v>
      </c>
    </row>
    <row r="22" spans="1:14" x14ac:dyDescent="0.2">
      <c r="A22" s="105" t="s">
        <v>128</v>
      </c>
      <c r="B22" s="103" t="s">
        <v>236</v>
      </c>
      <c r="C22" s="103">
        <v>2.1270611398235064</v>
      </c>
      <c r="D22" s="103">
        <v>1.2897745644449627</v>
      </c>
      <c r="E22" s="103">
        <v>1.4573416178983143</v>
      </c>
      <c r="F22" s="103">
        <v>1.5114511569756244</v>
      </c>
      <c r="G22" s="103">
        <v>1.5583651246850307</v>
      </c>
      <c r="H22" s="103">
        <v>2.1289271984478</v>
      </c>
      <c r="I22" s="103">
        <v>1.5888678842556792</v>
      </c>
      <c r="J22" s="103">
        <v>1.5996082174597683</v>
      </c>
      <c r="K22" s="103">
        <v>1.6744752620252186</v>
      </c>
      <c r="L22" s="103">
        <v>1.6394783012697074</v>
      </c>
      <c r="M22" s="103">
        <v>1.703484050067618</v>
      </c>
    </row>
    <row r="23" spans="1:14" x14ac:dyDescent="0.2">
      <c r="A23" s="106" t="s">
        <v>131</v>
      </c>
      <c r="B23" s="107" t="s">
        <v>236</v>
      </c>
      <c r="C23" s="107" t="s">
        <v>236</v>
      </c>
      <c r="D23" s="107" t="s">
        <v>236</v>
      </c>
      <c r="E23" s="107" t="s">
        <v>236</v>
      </c>
      <c r="F23" s="107" t="s">
        <v>236</v>
      </c>
      <c r="G23" s="107">
        <v>2.3076923076923075</v>
      </c>
      <c r="H23" s="107">
        <v>2.7096219240950199</v>
      </c>
      <c r="I23" s="107">
        <v>1.5112396273103845</v>
      </c>
      <c r="J23" s="107">
        <v>1.5306553736192063</v>
      </c>
      <c r="K23" s="107">
        <v>1.6106906948026989</v>
      </c>
      <c r="L23" s="107">
        <v>1.4647911440136672</v>
      </c>
      <c r="M23" s="107">
        <v>1.6628833870031143</v>
      </c>
    </row>
    <row r="25" spans="1:14" x14ac:dyDescent="0.2">
      <c r="A25" s="36">
        <f t="shared" ref="A25:K25" si="0">COUNTIFS(A3:A23,"&gt;"&amp;1.6,$A$3:$A$23,"&lt;&gt;"&amp;"OPM8J51",$A$3:$A$23,"&lt;&gt;"&amp;"QXI8065",$A$3:$A$23,"&lt;&gt;"&amp;"QNP3A97")</f>
        <v>0</v>
      </c>
      <c r="B25" s="36">
        <f t="shared" si="0"/>
        <v>10</v>
      </c>
      <c r="C25" s="36">
        <f t="shared" si="0"/>
        <v>4</v>
      </c>
      <c r="D25" s="36">
        <f t="shared" si="0"/>
        <v>1</v>
      </c>
      <c r="E25" s="36">
        <f t="shared" si="0"/>
        <v>2</v>
      </c>
      <c r="F25" s="36">
        <f t="shared" si="0"/>
        <v>2</v>
      </c>
      <c r="G25" s="36">
        <f>COUNTIFS(G3:G23,"&gt;"&amp;1.6,$A$3:$A$23,"&lt;&gt;"&amp;"OPM8J51",$A$3:$A$23,"&lt;&gt;"&amp;"QXI8065",$A$3:$A$23,"&lt;&gt;"&amp;"QNP3A97")</f>
        <v>3</v>
      </c>
      <c r="H25" s="36"/>
      <c r="I25" s="36">
        <f>COUNTIFS(I3:I23,"&gt;"&amp;1.6,$A$3:$A$23,"&lt;&gt;"&amp;"OPM8J51",$A$3:$A$23,"&lt;&gt;"&amp;"QXI8065",$A$3:$A$23,"&lt;&gt;"&amp;"QNP3A97")</f>
        <v>3</v>
      </c>
      <c r="J25" s="36">
        <f t="shared" si="0"/>
        <v>4</v>
      </c>
      <c r="K25" s="36">
        <f t="shared" si="0"/>
        <v>7</v>
      </c>
      <c r="L25" s="36">
        <f>COUNTIFS(L3:L23,"&gt;"&amp;1.6,$A$3:$A$23,"&lt;&gt;"&amp;"OPM8J51",$A$3:$A$23,"&lt;&gt;"&amp;"QXI8065",$A$3:$A$23,"&lt;&gt;"&amp;"QNP3A97")</f>
        <v>4</v>
      </c>
      <c r="M25" s="36">
        <f>COUNTIFS(M3:M23,"&gt;"&amp;1.6,$A$3:$A$23,"&lt;&gt;"&amp;"OPM8J51",$A$3:$A$23,"&lt;&gt;"&amp;"QXI8065",$A$3:$A$23,"&lt;&gt;"&amp;"QNP3A97")</f>
        <v>5</v>
      </c>
      <c r="N25" s="139" t="s">
        <v>247</v>
      </c>
    </row>
    <row r="26" spans="1:14" x14ac:dyDescent="0.2">
      <c r="A26" s="138">
        <f t="shared" ref="A26:K26" si="1">(A25+A27)/16</f>
        <v>0</v>
      </c>
      <c r="B26" s="138">
        <f t="shared" si="1"/>
        <v>0.6875</v>
      </c>
      <c r="C26" s="138">
        <f t="shared" si="1"/>
        <v>0.25</v>
      </c>
      <c r="D26" s="138">
        <f t="shared" si="1"/>
        <v>6.25E-2</v>
      </c>
      <c r="E26" s="138">
        <f t="shared" si="1"/>
        <v>0.125</v>
      </c>
      <c r="F26" s="138">
        <f t="shared" si="1"/>
        <v>0.125</v>
      </c>
      <c r="G26" s="138">
        <f t="shared" si="1"/>
        <v>0.1875</v>
      </c>
      <c r="H26" s="138"/>
      <c r="I26" s="138">
        <f t="shared" si="1"/>
        <v>0.1875</v>
      </c>
      <c r="J26" s="138">
        <f t="shared" si="1"/>
        <v>0.25</v>
      </c>
      <c r="K26" s="138">
        <f t="shared" si="1"/>
        <v>0.5</v>
      </c>
      <c r="L26" s="138">
        <f>(L25+L27)/16</f>
        <v>0.25</v>
      </c>
      <c r="M26" s="138">
        <f>(M25+M27)/16</f>
        <v>0.375</v>
      </c>
      <c r="N26" s="139"/>
    </row>
    <row r="27" spans="1:14" x14ac:dyDescent="0.2">
      <c r="A27" s="36">
        <f t="shared" ref="A27:L27" si="2">COUNTIFS(A3:A23,"&gt;"&amp;1.9,$A$3:$A$23,"OPM8J51")</f>
        <v>0</v>
      </c>
      <c r="B27" s="36">
        <f t="shared" si="2"/>
        <v>1</v>
      </c>
      <c r="C27" s="36">
        <f t="shared" si="2"/>
        <v>0</v>
      </c>
      <c r="D27" s="36">
        <f t="shared" si="2"/>
        <v>0</v>
      </c>
      <c r="E27" s="36">
        <f t="shared" si="2"/>
        <v>0</v>
      </c>
      <c r="F27" s="36">
        <f t="shared" si="2"/>
        <v>0</v>
      </c>
      <c r="G27" s="36">
        <f t="shared" si="2"/>
        <v>0</v>
      </c>
      <c r="H27" s="36"/>
      <c r="I27" s="36">
        <f t="shared" si="2"/>
        <v>0</v>
      </c>
      <c r="J27" s="36">
        <f t="shared" si="2"/>
        <v>0</v>
      </c>
      <c r="K27" s="36">
        <f t="shared" si="2"/>
        <v>1</v>
      </c>
      <c r="L27" s="36">
        <f t="shared" si="2"/>
        <v>0</v>
      </c>
      <c r="M27" s="36">
        <f>COUNTIFS(M3:M23,"&gt;"&amp;1.9,$A$3:$A$23,"OPM8J51")</f>
        <v>1</v>
      </c>
      <c r="N27" s="139" t="s">
        <v>248</v>
      </c>
    </row>
    <row r="29" spans="1:14" x14ac:dyDescent="0.2">
      <c r="A29" s="140">
        <f t="shared" ref="A29:K29" si="3">SUM(A25+A27)</f>
        <v>0</v>
      </c>
      <c r="B29" s="140">
        <f t="shared" si="3"/>
        <v>11</v>
      </c>
      <c r="C29" s="140">
        <f t="shared" si="3"/>
        <v>4</v>
      </c>
      <c r="D29" s="140">
        <f t="shared" si="3"/>
        <v>1</v>
      </c>
      <c r="E29" s="140">
        <f t="shared" si="3"/>
        <v>2</v>
      </c>
      <c r="F29" s="140">
        <f t="shared" si="3"/>
        <v>2</v>
      </c>
      <c r="G29" s="140">
        <f t="shared" si="3"/>
        <v>3</v>
      </c>
      <c r="H29" s="140"/>
      <c r="I29" s="140">
        <f t="shared" si="3"/>
        <v>3</v>
      </c>
      <c r="J29" s="140">
        <f t="shared" si="3"/>
        <v>4</v>
      </c>
      <c r="K29" s="140">
        <f t="shared" si="3"/>
        <v>8</v>
      </c>
      <c r="L29" s="140">
        <f>SUM(L25+L27)</f>
        <v>4</v>
      </c>
      <c r="M29" s="140">
        <f>SUM(M25+M27)</f>
        <v>6</v>
      </c>
      <c r="N29" s="104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" verticalDpi="72" r:id="rId1"/>
  <ignoredErrors>
    <ignoredError sqref="G25 I25 M25 G27 M27 I2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7C82-933D-4DDF-BE07-5E9D404C6F74}">
  <sheetPr codeName="Planilha1"/>
  <dimension ref="A1:AJ1279"/>
  <sheetViews>
    <sheetView workbookViewId="0">
      <selection activeCell="K33" sqref="K33"/>
    </sheetView>
  </sheetViews>
  <sheetFormatPr defaultColWidth="9.28515625" defaultRowHeight="11.25" x14ac:dyDescent="0.2"/>
  <cols>
    <col min="1" max="1" width="13.28515625" style="62" bestFit="1" customWidth="1"/>
    <col min="2" max="2" width="9.7109375" style="56" bestFit="1" customWidth="1"/>
    <col min="3" max="3" width="9.7109375" style="56" customWidth="1"/>
    <col min="4" max="4" width="11.140625" style="56" bestFit="1" customWidth="1"/>
    <col min="5" max="5" width="12.140625" style="56" bestFit="1" customWidth="1"/>
    <col min="6" max="6" width="11.5703125" style="56" bestFit="1" customWidth="1"/>
    <col min="7" max="7" width="14.42578125" style="56" bestFit="1" customWidth="1"/>
    <col min="8" max="8" width="8.5703125" style="56" bestFit="1" customWidth="1"/>
    <col min="9" max="9" width="11.140625" style="56" customWidth="1"/>
    <col min="10" max="10" width="19.7109375" style="56" bestFit="1" customWidth="1"/>
    <col min="11" max="11" width="18.85546875" style="56" bestFit="1" customWidth="1"/>
    <col min="12" max="12" width="19.140625" style="56" bestFit="1" customWidth="1"/>
    <col min="13" max="13" width="9.28515625" style="56" bestFit="1" customWidth="1"/>
    <col min="14" max="14" width="13.28515625" style="56" bestFit="1" customWidth="1"/>
    <col min="15" max="15" width="9.140625" style="56" bestFit="1" customWidth="1"/>
    <col min="16" max="16" width="15.140625" style="56" bestFit="1" customWidth="1"/>
    <col min="17" max="17" width="18.42578125" style="56" bestFit="1" customWidth="1"/>
    <col min="18" max="18" width="37.5703125" style="56" bestFit="1" customWidth="1"/>
    <col min="19" max="19" width="41.42578125" style="56" bestFit="1" customWidth="1"/>
    <col min="20" max="20" width="22" style="56" bestFit="1" customWidth="1"/>
    <col min="21" max="21" width="11.5703125" style="56" bestFit="1" customWidth="1"/>
    <col min="22" max="22" width="10.85546875" style="56" bestFit="1" customWidth="1"/>
    <col min="23" max="23" width="12.7109375" style="56" bestFit="1" customWidth="1"/>
    <col min="24" max="24" width="14.7109375" style="56" bestFit="1" customWidth="1"/>
    <col min="25" max="25" width="23.140625" style="56" bestFit="1" customWidth="1"/>
    <col min="26" max="26" width="10.85546875" style="56" bestFit="1" customWidth="1"/>
    <col min="27" max="27" width="12.85546875" style="56" bestFit="1" customWidth="1"/>
    <col min="28" max="28" width="21.28515625" style="56" bestFit="1" customWidth="1"/>
    <col min="29" max="29" width="9.42578125" style="56" bestFit="1" customWidth="1"/>
    <col min="30" max="30" width="11.42578125" style="56" bestFit="1" customWidth="1"/>
    <col min="31" max="31" width="10.5703125" style="56" bestFit="1" customWidth="1"/>
    <col min="32" max="32" width="21.42578125" style="56" bestFit="1" customWidth="1"/>
    <col min="33" max="33" width="11.42578125" style="56" bestFit="1" customWidth="1"/>
    <col min="34" max="34" width="8.42578125" style="56" bestFit="1" customWidth="1"/>
    <col min="35" max="35" width="12.5703125" style="56" bestFit="1" customWidth="1"/>
    <col min="36" max="36" width="10" style="56" bestFit="1" customWidth="1"/>
    <col min="37" max="16384" width="9.28515625" style="56"/>
  </cols>
  <sheetData>
    <row r="1" spans="1:36" x14ac:dyDescent="0.2">
      <c r="A1" s="109" t="s">
        <v>101</v>
      </c>
      <c r="B1" s="110" t="s">
        <v>3</v>
      </c>
      <c r="C1" s="110"/>
      <c r="D1" s="110" t="s">
        <v>125</v>
      </c>
      <c r="E1" s="110" t="s">
        <v>102</v>
      </c>
      <c r="F1" s="110" t="s">
        <v>103</v>
      </c>
      <c r="G1" s="110" t="s">
        <v>104</v>
      </c>
      <c r="H1" s="110" t="s">
        <v>105</v>
      </c>
      <c r="J1" s="60" t="s">
        <v>285</v>
      </c>
      <c r="K1" s="55" t="s">
        <v>133</v>
      </c>
      <c r="L1" s="55" t="s">
        <v>134</v>
      </c>
      <c r="M1" s="55" t="s">
        <v>135</v>
      </c>
      <c r="N1" s="55" t="s">
        <v>136</v>
      </c>
      <c r="O1" s="55" t="s">
        <v>137</v>
      </c>
      <c r="P1" s="55" t="s">
        <v>162</v>
      </c>
      <c r="Q1" s="55" t="s">
        <v>138</v>
      </c>
      <c r="R1" s="55" t="s">
        <v>139</v>
      </c>
      <c r="S1" s="55" t="s">
        <v>140</v>
      </c>
      <c r="T1" s="55" t="s">
        <v>141</v>
      </c>
      <c r="U1" s="55" t="s">
        <v>142</v>
      </c>
      <c r="V1" s="55" t="s">
        <v>143</v>
      </c>
      <c r="W1" s="55" t="s">
        <v>144</v>
      </c>
      <c r="X1" s="55" t="s">
        <v>145</v>
      </c>
      <c r="Y1" s="55" t="s">
        <v>146</v>
      </c>
      <c r="Z1" s="55" t="s">
        <v>147</v>
      </c>
      <c r="AA1" s="55" t="s">
        <v>148</v>
      </c>
      <c r="AB1" s="55" t="s">
        <v>149</v>
      </c>
      <c r="AC1" s="55" t="s">
        <v>150</v>
      </c>
      <c r="AD1" s="55" t="s">
        <v>151</v>
      </c>
      <c r="AE1" s="55" t="s">
        <v>152</v>
      </c>
      <c r="AF1" s="55" t="s">
        <v>153</v>
      </c>
      <c r="AG1" s="55" t="s">
        <v>154</v>
      </c>
      <c r="AH1" s="55" t="s">
        <v>155</v>
      </c>
      <c r="AI1" s="55" t="s">
        <v>156</v>
      </c>
      <c r="AJ1" s="55" t="s">
        <v>157</v>
      </c>
    </row>
    <row r="2" spans="1:36" x14ac:dyDescent="0.2">
      <c r="A2" s="61">
        <f t="shared" ref="A2:A65" si="0">J2</f>
        <v>44866.75</v>
      </c>
      <c r="B2" s="55" t="str">
        <f t="shared" ref="B2:B65" si="1">M2</f>
        <v>QXI8065</v>
      </c>
      <c r="C2" s="55"/>
      <c r="D2" s="55"/>
      <c r="E2" s="55">
        <f t="shared" ref="E2:E65" si="2">V2</f>
        <v>109783</v>
      </c>
      <c r="F2" s="55">
        <f t="shared" ref="F2:F65" si="3">Z2</f>
        <v>203</v>
      </c>
      <c r="G2" s="55">
        <f t="shared" ref="G2:G65" si="4">AH2</f>
        <v>1241.3699999999999</v>
      </c>
      <c r="H2" s="55" t="str">
        <f t="shared" ref="H2:H65" si="5">IF(Q2&gt;1,IF(Q2=2,"I","E"),"")</f>
        <v>I</v>
      </c>
      <c r="J2" s="61">
        <f t="shared" ref="J2:J65" si="6">P2*1</f>
        <v>44866.75</v>
      </c>
      <c r="K2" s="55" t="s">
        <v>158</v>
      </c>
      <c r="L2" s="55" t="s">
        <v>446</v>
      </c>
      <c r="M2" s="55" t="s">
        <v>34</v>
      </c>
      <c r="N2" s="55" t="s">
        <v>160</v>
      </c>
      <c r="O2" s="55">
        <v>6613</v>
      </c>
      <c r="P2" s="55" t="s">
        <v>447</v>
      </c>
      <c r="Q2" s="55">
        <v>2</v>
      </c>
      <c r="R2" s="55" t="s">
        <v>289</v>
      </c>
      <c r="S2" s="55" t="s">
        <v>290</v>
      </c>
      <c r="T2" s="55" t="s">
        <v>291</v>
      </c>
      <c r="U2" s="55" t="s">
        <v>38</v>
      </c>
      <c r="V2" s="55">
        <v>109783</v>
      </c>
      <c r="W2" s="55">
        <v>407</v>
      </c>
      <c r="X2" s="55">
        <v>407</v>
      </c>
      <c r="Y2" s="55"/>
      <c r="Z2" s="55">
        <v>203</v>
      </c>
      <c r="AA2" s="55">
        <v>203</v>
      </c>
      <c r="AB2" s="55"/>
      <c r="AC2" s="55">
        <v>2</v>
      </c>
      <c r="AD2" s="55">
        <v>2</v>
      </c>
      <c r="AE2" s="55">
        <v>6.1151299999999997</v>
      </c>
      <c r="AF2" s="55">
        <v>6.1151231527093595</v>
      </c>
      <c r="AG2" s="55">
        <v>0</v>
      </c>
      <c r="AH2" s="55">
        <v>1241.3699999999999</v>
      </c>
      <c r="AI2" s="55">
        <v>0</v>
      </c>
      <c r="AJ2" s="55" t="s">
        <v>159</v>
      </c>
    </row>
    <row r="3" spans="1:36" x14ac:dyDescent="0.2">
      <c r="A3" s="61">
        <f t="shared" si="0"/>
        <v>44886.364583333336</v>
      </c>
      <c r="B3" s="55" t="str">
        <f t="shared" si="1"/>
        <v>QXI8065</v>
      </c>
      <c r="C3" s="55"/>
      <c r="D3" s="55"/>
      <c r="E3" s="55">
        <f t="shared" si="2"/>
        <v>110163</v>
      </c>
      <c r="F3" s="55">
        <f t="shared" si="3"/>
        <v>205</v>
      </c>
      <c r="G3" s="55">
        <f t="shared" si="4"/>
        <v>1262.79</v>
      </c>
      <c r="H3" s="55" t="str">
        <f t="shared" si="5"/>
        <v>I</v>
      </c>
      <c r="J3" s="61">
        <f t="shared" si="6"/>
        <v>44886.364583333336</v>
      </c>
      <c r="K3" s="55" t="s">
        <v>158</v>
      </c>
      <c r="L3" s="55" t="s">
        <v>446</v>
      </c>
      <c r="M3" s="55" t="s">
        <v>34</v>
      </c>
      <c r="N3" s="55" t="s">
        <v>160</v>
      </c>
      <c r="O3" s="55">
        <v>8234</v>
      </c>
      <c r="P3" s="55" t="s">
        <v>448</v>
      </c>
      <c r="Q3" s="55">
        <v>2</v>
      </c>
      <c r="R3" s="55" t="s">
        <v>289</v>
      </c>
      <c r="S3" s="55" t="s">
        <v>290</v>
      </c>
      <c r="T3" s="55" t="s">
        <v>291</v>
      </c>
      <c r="U3" s="55" t="s">
        <v>38</v>
      </c>
      <c r="V3" s="55">
        <v>110163</v>
      </c>
      <c r="W3" s="55">
        <v>380</v>
      </c>
      <c r="X3" s="55">
        <v>380</v>
      </c>
      <c r="Y3" s="55">
        <v>380</v>
      </c>
      <c r="Z3" s="55">
        <v>205</v>
      </c>
      <c r="AA3" s="55">
        <v>205</v>
      </c>
      <c r="AB3" s="55">
        <v>205</v>
      </c>
      <c r="AC3" s="55">
        <v>1.85</v>
      </c>
      <c r="AD3" s="55">
        <v>1.85</v>
      </c>
      <c r="AE3" s="55">
        <v>6.1599399999999997</v>
      </c>
      <c r="AF3" s="55">
        <v>6.1599512195121955</v>
      </c>
      <c r="AG3" s="55">
        <v>0</v>
      </c>
      <c r="AH3" s="55">
        <v>1262.79</v>
      </c>
      <c r="AI3" s="55">
        <v>0</v>
      </c>
      <c r="AJ3" s="55" t="s">
        <v>159</v>
      </c>
    </row>
    <row r="4" spans="1:36" x14ac:dyDescent="0.2">
      <c r="A4" s="61">
        <f t="shared" si="0"/>
        <v>44914.309027777781</v>
      </c>
      <c r="B4" s="55" t="str">
        <f t="shared" si="1"/>
        <v>QXI8065</v>
      </c>
      <c r="C4" s="55"/>
      <c r="D4" s="55"/>
      <c r="E4" s="55">
        <f t="shared" si="2"/>
        <v>110510</v>
      </c>
      <c r="F4" s="55">
        <f t="shared" si="3"/>
        <v>183</v>
      </c>
      <c r="G4" s="55">
        <f t="shared" si="4"/>
        <v>1126.6300000000001</v>
      </c>
      <c r="H4" s="55" t="str">
        <f t="shared" si="5"/>
        <v>I</v>
      </c>
      <c r="J4" s="61">
        <f t="shared" si="6"/>
        <v>44914.309027777781</v>
      </c>
      <c r="K4" s="55" t="s">
        <v>158</v>
      </c>
      <c r="L4" s="55" t="s">
        <v>446</v>
      </c>
      <c r="M4" s="55" t="s">
        <v>34</v>
      </c>
      <c r="N4" s="55" t="s">
        <v>160</v>
      </c>
      <c r="O4" s="55">
        <v>10514</v>
      </c>
      <c r="P4" s="55" t="s">
        <v>449</v>
      </c>
      <c r="Q4" s="55">
        <v>2</v>
      </c>
      <c r="R4" s="55" t="s">
        <v>289</v>
      </c>
      <c r="S4" s="55" t="s">
        <v>290</v>
      </c>
      <c r="T4" s="55" t="s">
        <v>291</v>
      </c>
      <c r="U4" s="55" t="s">
        <v>38</v>
      </c>
      <c r="V4" s="55">
        <v>110510</v>
      </c>
      <c r="W4" s="55">
        <v>347</v>
      </c>
      <c r="X4" s="55">
        <v>347</v>
      </c>
      <c r="Y4" s="55">
        <v>347</v>
      </c>
      <c r="Z4" s="55">
        <v>183</v>
      </c>
      <c r="AA4" s="55">
        <v>183</v>
      </c>
      <c r="AB4" s="55">
        <v>183</v>
      </c>
      <c r="AC4" s="55">
        <v>1.9</v>
      </c>
      <c r="AD4" s="55">
        <v>1.9</v>
      </c>
      <c r="AE4" s="55">
        <v>6.1564699999999997</v>
      </c>
      <c r="AF4" s="55">
        <v>6.156448087431694</v>
      </c>
      <c r="AG4" s="55">
        <v>0</v>
      </c>
      <c r="AH4" s="55">
        <v>1126.6300000000001</v>
      </c>
      <c r="AI4" s="55">
        <v>0</v>
      </c>
      <c r="AJ4" s="55" t="s">
        <v>159</v>
      </c>
    </row>
    <row r="5" spans="1:36" x14ac:dyDescent="0.2">
      <c r="A5" s="61">
        <f t="shared" si="0"/>
        <v>44917.725694444445</v>
      </c>
      <c r="B5" s="55" t="str">
        <f t="shared" si="1"/>
        <v>QXI8065</v>
      </c>
      <c r="C5" s="55"/>
      <c r="D5" s="55"/>
      <c r="E5" s="55">
        <f t="shared" si="2"/>
        <v>111020</v>
      </c>
      <c r="F5" s="55">
        <f t="shared" si="3"/>
        <v>215.9</v>
      </c>
      <c r="G5" s="55">
        <f t="shared" si="4"/>
        <v>1329.18</v>
      </c>
      <c r="H5" s="55" t="str">
        <f t="shared" si="5"/>
        <v>I</v>
      </c>
      <c r="J5" s="61">
        <f t="shared" si="6"/>
        <v>44917.725694444445</v>
      </c>
      <c r="K5" s="55" t="s">
        <v>158</v>
      </c>
      <c r="L5" s="55" t="s">
        <v>446</v>
      </c>
      <c r="M5" s="55" t="s">
        <v>34</v>
      </c>
      <c r="N5" s="55" t="s">
        <v>160</v>
      </c>
      <c r="O5" s="55">
        <v>11230</v>
      </c>
      <c r="P5" s="55" t="s">
        <v>450</v>
      </c>
      <c r="Q5" s="55">
        <v>2</v>
      </c>
      <c r="R5" s="55" t="s">
        <v>289</v>
      </c>
      <c r="S5" s="55" t="s">
        <v>290</v>
      </c>
      <c r="T5" s="55" t="s">
        <v>291</v>
      </c>
      <c r="U5" s="55" t="s">
        <v>38</v>
      </c>
      <c r="V5" s="55">
        <v>111020</v>
      </c>
      <c r="W5" s="55">
        <v>510</v>
      </c>
      <c r="X5" s="55">
        <v>510</v>
      </c>
      <c r="Y5" s="55">
        <v>510</v>
      </c>
      <c r="Z5" s="55">
        <v>215.9</v>
      </c>
      <c r="AA5" s="55">
        <v>215.9</v>
      </c>
      <c r="AB5" s="55">
        <v>215.9</v>
      </c>
      <c r="AC5" s="55">
        <v>2.36</v>
      </c>
      <c r="AD5" s="55">
        <v>2.36</v>
      </c>
      <c r="AE5" s="55">
        <v>6.1564699999999997</v>
      </c>
      <c r="AF5" s="55">
        <v>6.1564613246873554</v>
      </c>
      <c r="AG5" s="55">
        <v>0</v>
      </c>
      <c r="AH5" s="55">
        <v>1329.18</v>
      </c>
      <c r="AI5" s="55">
        <v>0</v>
      </c>
      <c r="AJ5" s="55" t="s">
        <v>159</v>
      </c>
    </row>
    <row r="6" spans="1:36" x14ac:dyDescent="0.2">
      <c r="A6" s="61">
        <f t="shared" si="0"/>
        <v>44929.698611111111</v>
      </c>
      <c r="B6" s="55" t="str">
        <f t="shared" si="1"/>
        <v>QXI8065</v>
      </c>
      <c r="C6" s="55"/>
      <c r="D6" s="55"/>
      <c r="E6" s="55">
        <f t="shared" si="2"/>
        <v>111444</v>
      </c>
      <c r="F6" s="55">
        <f t="shared" si="3"/>
        <v>180.8</v>
      </c>
      <c r="G6" s="55">
        <f t="shared" si="4"/>
        <v>1056.28</v>
      </c>
      <c r="H6" s="55" t="str">
        <f t="shared" si="5"/>
        <v>I</v>
      </c>
      <c r="J6" s="61">
        <f t="shared" si="6"/>
        <v>44929.698611111111</v>
      </c>
      <c r="K6" s="55" t="s">
        <v>158</v>
      </c>
      <c r="L6" s="55" t="s">
        <v>446</v>
      </c>
      <c r="M6" s="55" t="s">
        <v>34</v>
      </c>
      <c r="N6" s="55" t="s">
        <v>160</v>
      </c>
      <c r="O6" s="55">
        <v>11803</v>
      </c>
      <c r="P6" s="55" t="s">
        <v>451</v>
      </c>
      <c r="Q6" s="55">
        <v>2</v>
      </c>
      <c r="R6" s="55" t="s">
        <v>289</v>
      </c>
      <c r="S6" s="55" t="s">
        <v>290</v>
      </c>
      <c r="T6" s="55" t="s">
        <v>291</v>
      </c>
      <c r="U6" s="55" t="s">
        <v>38</v>
      </c>
      <c r="V6" s="55">
        <v>111444</v>
      </c>
      <c r="W6" s="55">
        <v>424</v>
      </c>
      <c r="X6" s="55">
        <v>424</v>
      </c>
      <c r="Y6" s="55">
        <v>424</v>
      </c>
      <c r="Z6" s="55">
        <v>180.8</v>
      </c>
      <c r="AA6" s="55">
        <v>180.8</v>
      </c>
      <c r="AB6" s="55">
        <v>180.8</v>
      </c>
      <c r="AC6" s="55">
        <v>2.35</v>
      </c>
      <c r="AD6" s="55">
        <v>2.35</v>
      </c>
      <c r="AE6" s="55">
        <v>5.8422599999999996</v>
      </c>
      <c r="AF6" s="55">
        <v>5.8422566371681413</v>
      </c>
      <c r="AG6" s="55">
        <v>0</v>
      </c>
      <c r="AH6" s="55">
        <v>1056.28</v>
      </c>
      <c r="AI6" s="55">
        <v>0</v>
      </c>
      <c r="AJ6" s="55" t="s">
        <v>159</v>
      </c>
    </row>
    <row r="7" spans="1:36" x14ac:dyDescent="0.2">
      <c r="A7" s="61">
        <f t="shared" si="0"/>
        <v>44947.340277777781</v>
      </c>
      <c r="B7" s="55" t="str">
        <f t="shared" si="1"/>
        <v>QXI8065</v>
      </c>
      <c r="C7" s="55"/>
      <c r="D7" s="55"/>
      <c r="E7" s="55">
        <f t="shared" si="2"/>
        <v>111942</v>
      </c>
      <c r="F7" s="55">
        <f t="shared" si="3"/>
        <v>259.2</v>
      </c>
      <c r="G7" s="55">
        <f t="shared" si="4"/>
        <v>1499.75</v>
      </c>
      <c r="H7" s="55" t="str">
        <f t="shared" si="5"/>
        <v>I</v>
      </c>
      <c r="J7" s="61">
        <f t="shared" si="6"/>
        <v>44947.340277777781</v>
      </c>
      <c r="K7" s="55" t="s">
        <v>158</v>
      </c>
      <c r="L7" s="55" t="s">
        <v>446</v>
      </c>
      <c r="M7" s="55" t="s">
        <v>34</v>
      </c>
      <c r="N7" s="55" t="s">
        <v>160</v>
      </c>
      <c r="O7" s="55">
        <v>13578</v>
      </c>
      <c r="P7" s="55" t="s">
        <v>452</v>
      </c>
      <c r="Q7" s="55">
        <v>2</v>
      </c>
      <c r="R7" s="55" t="s">
        <v>289</v>
      </c>
      <c r="S7" s="55" t="s">
        <v>290</v>
      </c>
      <c r="T7" s="55" t="s">
        <v>291</v>
      </c>
      <c r="U7" s="55" t="s">
        <v>38</v>
      </c>
      <c r="V7" s="55">
        <v>111942</v>
      </c>
      <c r="W7" s="55">
        <v>498</v>
      </c>
      <c r="X7" s="55">
        <v>498</v>
      </c>
      <c r="Y7" s="55">
        <v>498</v>
      </c>
      <c r="Z7" s="55">
        <v>259.2</v>
      </c>
      <c r="AA7" s="55">
        <v>259.2</v>
      </c>
      <c r="AB7" s="55">
        <v>259.2</v>
      </c>
      <c r="AC7" s="55">
        <v>1.92</v>
      </c>
      <c r="AD7" s="55">
        <v>1.92</v>
      </c>
      <c r="AE7" s="55">
        <v>5.7860899999999997</v>
      </c>
      <c r="AF7" s="55">
        <v>5.7860725308641978</v>
      </c>
      <c r="AG7" s="55">
        <v>0</v>
      </c>
      <c r="AH7" s="55">
        <v>1499.75</v>
      </c>
      <c r="AI7" s="55">
        <v>0</v>
      </c>
      <c r="AJ7" s="55" t="s">
        <v>159</v>
      </c>
    </row>
    <row r="8" spans="1:36" x14ac:dyDescent="0.2">
      <c r="A8" s="61">
        <f t="shared" si="0"/>
        <v>44951.378472222219</v>
      </c>
      <c r="B8" s="55" t="str">
        <f t="shared" si="1"/>
        <v>QXI8065</v>
      </c>
      <c r="C8" s="55"/>
      <c r="D8" s="55"/>
      <c r="E8" s="55">
        <f t="shared" si="2"/>
        <v>112042</v>
      </c>
      <c r="F8" s="55">
        <f t="shared" si="3"/>
        <v>86.3</v>
      </c>
      <c r="G8" s="55">
        <f t="shared" si="4"/>
        <v>499.34</v>
      </c>
      <c r="H8" s="55" t="str">
        <f t="shared" si="5"/>
        <v>I</v>
      </c>
      <c r="J8" s="61">
        <f t="shared" si="6"/>
        <v>44951.378472222219</v>
      </c>
      <c r="K8" s="55" t="s">
        <v>158</v>
      </c>
      <c r="L8" s="55" t="s">
        <v>446</v>
      </c>
      <c r="M8" s="55" t="s">
        <v>34</v>
      </c>
      <c r="N8" s="55" t="s">
        <v>160</v>
      </c>
      <c r="O8" s="55">
        <v>13853</v>
      </c>
      <c r="P8" s="55" t="s">
        <v>453</v>
      </c>
      <c r="Q8" s="55">
        <v>2</v>
      </c>
      <c r="R8" s="55" t="s">
        <v>289</v>
      </c>
      <c r="S8" s="55" t="s">
        <v>290</v>
      </c>
      <c r="T8" s="55" t="s">
        <v>291</v>
      </c>
      <c r="U8" s="55" t="s">
        <v>38</v>
      </c>
      <c r="V8" s="55">
        <v>112042</v>
      </c>
      <c r="W8" s="55">
        <v>100</v>
      </c>
      <c r="X8" s="55">
        <v>100</v>
      </c>
      <c r="Y8" s="55">
        <v>100</v>
      </c>
      <c r="Z8" s="55">
        <v>86.3</v>
      </c>
      <c r="AA8" s="55">
        <v>86.3</v>
      </c>
      <c r="AB8" s="55">
        <v>86.3</v>
      </c>
      <c r="AC8" s="55">
        <v>1.1599999999999999</v>
      </c>
      <c r="AD8" s="55">
        <v>1.1599999999999999</v>
      </c>
      <c r="AE8" s="55">
        <v>5.7860899999999997</v>
      </c>
      <c r="AF8" s="55">
        <v>5.7860950173812284</v>
      </c>
      <c r="AG8" s="55">
        <v>0</v>
      </c>
      <c r="AH8" s="55">
        <v>499.34</v>
      </c>
      <c r="AI8" s="55">
        <v>0</v>
      </c>
      <c r="AJ8" s="55" t="s">
        <v>159</v>
      </c>
    </row>
    <row r="9" spans="1:36" x14ac:dyDescent="0.2">
      <c r="A9" s="61">
        <f t="shared" si="0"/>
        <v>44951.78125</v>
      </c>
      <c r="B9" s="55" t="str">
        <f t="shared" si="1"/>
        <v>QXI8065</v>
      </c>
      <c r="C9" s="55"/>
      <c r="D9" s="55"/>
      <c r="E9" s="55">
        <f t="shared" si="2"/>
        <v>112326</v>
      </c>
      <c r="F9" s="55">
        <f t="shared" si="3"/>
        <v>90.9</v>
      </c>
      <c r="G9" s="55">
        <f t="shared" si="4"/>
        <v>525.96</v>
      </c>
      <c r="H9" s="55" t="str">
        <f t="shared" si="5"/>
        <v>I</v>
      </c>
      <c r="J9" s="61">
        <f t="shared" si="6"/>
        <v>44951.78125</v>
      </c>
      <c r="K9" s="55" t="s">
        <v>158</v>
      </c>
      <c r="L9" s="55" t="s">
        <v>446</v>
      </c>
      <c r="M9" s="55" t="s">
        <v>34</v>
      </c>
      <c r="N9" s="55" t="s">
        <v>160</v>
      </c>
      <c r="O9" s="55">
        <v>13855</v>
      </c>
      <c r="P9" s="55" t="s">
        <v>454</v>
      </c>
      <c r="Q9" s="55">
        <v>2</v>
      </c>
      <c r="R9" s="55" t="s">
        <v>289</v>
      </c>
      <c r="S9" s="55" t="s">
        <v>290</v>
      </c>
      <c r="T9" s="55" t="s">
        <v>291</v>
      </c>
      <c r="U9" s="55" t="s">
        <v>38</v>
      </c>
      <c r="V9" s="55">
        <v>112326</v>
      </c>
      <c r="W9" s="55">
        <v>284</v>
      </c>
      <c r="X9" s="55">
        <v>284</v>
      </c>
      <c r="Y9" s="55">
        <v>284</v>
      </c>
      <c r="Z9" s="55">
        <v>90.9</v>
      </c>
      <c r="AA9" s="55">
        <v>90.9</v>
      </c>
      <c r="AB9" s="55">
        <v>90.9</v>
      </c>
      <c r="AC9" s="55">
        <v>3.12</v>
      </c>
      <c r="AD9" s="55">
        <v>3.12</v>
      </c>
      <c r="AE9" s="55">
        <v>5.7860899999999997</v>
      </c>
      <c r="AF9" s="55">
        <v>5.7861386138613859</v>
      </c>
      <c r="AG9" s="55">
        <v>0</v>
      </c>
      <c r="AH9" s="55">
        <v>525.96</v>
      </c>
      <c r="AI9" s="55">
        <v>0</v>
      </c>
      <c r="AJ9" s="55" t="s">
        <v>159</v>
      </c>
    </row>
    <row r="10" spans="1:36" x14ac:dyDescent="0.2">
      <c r="A10" s="61">
        <f t="shared" si="0"/>
        <v>0</v>
      </c>
      <c r="B10" s="55">
        <f t="shared" si="1"/>
        <v>0</v>
      </c>
      <c r="C10" s="55"/>
      <c r="D10" s="55"/>
      <c r="E10" s="55">
        <f t="shared" si="2"/>
        <v>0</v>
      </c>
      <c r="F10" s="55">
        <f t="shared" si="3"/>
        <v>0</v>
      </c>
      <c r="G10" s="55">
        <f t="shared" si="4"/>
        <v>0</v>
      </c>
      <c r="H10" s="55" t="str">
        <f t="shared" si="5"/>
        <v/>
      </c>
      <c r="J10" s="61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</row>
    <row r="11" spans="1:36" x14ac:dyDescent="0.2">
      <c r="A11" s="61">
        <f t="shared" si="0"/>
        <v>0</v>
      </c>
      <c r="B11" s="55">
        <f t="shared" si="1"/>
        <v>0</v>
      </c>
      <c r="C11" s="55"/>
      <c r="D11" s="55"/>
      <c r="E11" s="55">
        <f t="shared" si="2"/>
        <v>0</v>
      </c>
      <c r="F11" s="55">
        <f t="shared" si="3"/>
        <v>0</v>
      </c>
      <c r="G11" s="55">
        <f t="shared" si="4"/>
        <v>0</v>
      </c>
      <c r="H11" s="55" t="str">
        <f t="shared" si="5"/>
        <v/>
      </c>
      <c r="J11" s="61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</row>
    <row r="12" spans="1:36" x14ac:dyDescent="0.2">
      <c r="A12" s="61">
        <f t="shared" si="0"/>
        <v>0</v>
      </c>
      <c r="B12" s="55">
        <f t="shared" si="1"/>
        <v>0</v>
      </c>
      <c r="C12" s="55"/>
      <c r="D12" s="55"/>
      <c r="E12" s="55">
        <f t="shared" si="2"/>
        <v>0</v>
      </c>
      <c r="F12" s="55">
        <f t="shared" si="3"/>
        <v>0</v>
      </c>
      <c r="G12" s="55">
        <f t="shared" si="4"/>
        <v>0</v>
      </c>
      <c r="H12" s="55" t="str">
        <f t="shared" si="5"/>
        <v/>
      </c>
      <c r="J12" s="61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</row>
    <row r="13" spans="1:36" x14ac:dyDescent="0.2">
      <c r="A13" s="61">
        <f t="shared" si="0"/>
        <v>0</v>
      </c>
      <c r="B13" s="55">
        <f t="shared" si="1"/>
        <v>0</v>
      </c>
      <c r="C13" s="55"/>
      <c r="D13" s="55"/>
      <c r="E13" s="55">
        <f t="shared" si="2"/>
        <v>0</v>
      </c>
      <c r="F13" s="55">
        <f t="shared" si="3"/>
        <v>0</v>
      </c>
      <c r="G13" s="55">
        <f t="shared" si="4"/>
        <v>0</v>
      </c>
      <c r="H13" s="55" t="str">
        <f t="shared" si="5"/>
        <v/>
      </c>
      <c r="J13" s="61">
        <f t="shared" si="6"/>
        <v>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</row>
    <row r="14" spans="1:36" x14ac:dyDescent="0.2">
      <c r="A14" s="61">
        <f t="shared" si="0"/>
        <v>0</v>
      </c>
      <c r="B14" s="55">
        <f t="shared" si="1"/>
        <v>0</v>
      </c>
      <c r="C14" s="55"/>
      <c r="D14" s="55"/>
      <c r="E14" s="55">
        <f t="shared" si="2"/>
        <v>0</v>
      </c>
      <c r="F14" s="55">
        <f t="shared" si="3"/>
        <v>0</v>
      </c>
      <c r="G14" s="55">
        <f t="shared" si="4"/>
        <v>0</v>
      </c>
      <c r="H14" s="55" t="str">
        <f t="shared" si="5"/>
        <v/>
      </c>
      <c r="J14" s="61">
        <f t="shared" si="6"/>
        <v>0</v>
      </c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</row>
    <row r="15" spans="1:36" x14ac:dyDescent="0.2">
      <c r="A15" s="61">
        <f t="shared" si="0"/>
        <v>0</v>
      </c>
      <c r="B15" s="55">
        <f t="shared" si="1"/>
        <v>0</v>
      </c>
      <c r="C15" s="55"/>
      <c r="D15" s="55"/>
      <c r="E15" s="55">
        <f t="shared" si="2"/>
        <v>0</v>
      </c>
      <c r="F15" s="55">
        <f t="shared" si="3"/>
        <v>0</v>
      </c>
      <c r="G15" s="55">
        <f t="shared" si="4"/>
        <v>0</v>
      </c>
      <c r="H15" s="55" t="str">
        <f t="shared" si="5"/>
        <v/>
      </c>
      <c r="J15" s="61">
        <f t="shared" si="6"/>
        <v>0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</row>
    <row r="16" spans="1:36" x14ac:dyDescent="0.2">
      <c r="A16" s="61">
        <f t="shared" si="0"/>
        <v>0</v>
      </c>
      <c r="B16" s="55">
        <f t="shared" si="1"/>
        <v>0</v>
      </c>
      <c r="C16" s="55"/>
      <c r="D16" s="55"/>
      <c r="E16" s="55">
        <f t="shared" si="2"/>
        <v>0</v>
      </c>
      <c r="F16" s="55">
        <f t="shared" si="3"/>
        <v>0</v>
      </c>
      <c r="G16" s="55">
        <f t="shared" si="4"/>
        <v>0</v>
      </c>
      <c r="H16" s="55" t="str">
        <f t="shared" si="5"/>
        <v/>
      </c>
      <c r="J16" s="61">
        <f t="shared" si="6"/>
        <v>0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</row>
    <row r="17" spans="1:36" x14ac:dyDescent="0.2">
      <c r="A17" s="61">
        <f t="shared" si="0"/>
        <v>0</v>
      </c>
      <c r="B17" s="55">
        <f t="shared" si="1"/>
        <v>0</v>
      </c>
      <c r="C17" s="55"/>
      <c r="D17" s="55"/>
      <c r="E17" s="55">
        <f t="shared" si="2"/>
        <v>0</v>
      </c>
      <c r="F17" s="55">
        <f t="shared" si="3"/>
        <v>0</v>
      </c>
      <c r="G17" s="55">
        <f t="shared" si="4"/>
        <v>0</v>
      </c>
      <c r="H17" s="55" t="str">
        <f t="shared" si="5"/>
        <v/>
      </c>
      <c r="J17" s="61">
        <f t="shared" si="6"/>
        <v>0</v>
      </c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</row>
    <row r="18" spans="1:36" x14ac:dyDescent="0.2">
      <c r="A18" s="61">
        <f t="shared" si="0"/>
        <v>0</v>
      </c>
      <c r="B18" s="55">
        <f t="shared" si="1"/>
        <v>0</v>
      </c>
      <c r="C18" s="55"/>
      <c r="D18" s="55"/>
      <c r="E18" s="55">
        <f t="shared" si="2"/>
        <v>0</v>
      </c>
      <c r="F18" s="55">
        <f t="shared" si="3"/>
        <v>0</v>
      </c>
      <c r="G18" s="55">
        <f t="shared" si="4"/>
        <v>0</v>
      </c>
      <c r="H18" s="55" t="str">
        <f t="shared" si="5"/>
        <v/>
      </c>
      <c r="J18" s="61">
        <f t="shared" si="6"/>
        <v>0</v>
      </c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</row>
    <row r="19" spans="1:36" x14ac:dyDescent="0.2">
      <c r="A19" s="61">
        <f t="shared" si="0"/>
        <v>0</v>
      </c>
      <c r="B19" s="55">
        <f t="shared" si="1"/>
        <v>0</v>
      </c>
      <c r="C19" s="55"/>
      <c r="D19" s="55"/>
      <c r="E19" s="55">
        <f t="shared" si="2"/>
        <v>0</v>
      </c>
      <c r="F19" s="55">
        <f t="shared" si="3"/>
        <v>0</v>
      </c>
      <c r="G19" s="55">
        <f t="shared" si="4"/>
        <v>0</v>
      </c>
      <c r="H19" s="55" t="str">
        <f t="shared" si="5"/>
        <v/>
      </c>
      <c r="J19" s="61">
        <f t="shared" si="6"/>
        <v>0</v>
      </c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</row>
    <row r="20" spans="1:36" x14ac:dyDescent="0.2">
      <c r="A20" s="61">
        <f t="shared" si="0"/>
        <v>0</v>
      </c>
      <c r="B20" s="55">
        <f t="shared" si="1"/>
        <v>0</v>
      </c>
      <c r="C20" s="55"/>
      <c r="D20" s="55"/>
      <c r="E20" s="55">
        <f t="shared" si="2"/>
        <v>0</v>
      </c>
      <c r="F20" s="55">
        <f t="shared" si="3"/>
        <v>0</v>
      </c>
      <c r="G20" s="55">
        <f t="shared" si="4"/>
        <v>0</v>
      </c>
      <c r="H20" s="55" t="str">
        <f t="shared" si="5"/>
        <v/>
      </c>
      <c r="J20" s="61">
        <f t="shared" si="6"/>
        <v>0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</row>
    <row r="21" spans="1:36" x14ac:dyDescent="0.2">
      <c r="A21" s="61">
        <f t="shared" si="0"/>
        <v>0</v>
      </c>
      <c r="B21" s="55">
        <f t="shared" si="1"/>
        <v>0</v>
      </c>
      <c r="C21" s="55"/>
      <c r="D21" s="55"/>
      <c r="E21" s="55">
        <f t="shared" si="2"/>
        <v>0</v>
      </c>
      <c r="F21" s="55">
        <f t="shared" si="3"/>
        <v>0</v>
      </c>
      <c r="G21" s="55">
        <f t="shared" si="4"/>
        <v>0</v>
      </c>
      <c r="H21" s="55" t="str">
        <f t="shared" si="5"/>
        <v/>
      </c>
      <c r="J21" s="61">
        <f t="shared" si="6"/>
        <v>0</v>
      </c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</row>
    <row r="22" spans="1:36" x14ac:dyDescent="0.2">
      <c r="A22" s="61">
        <f t="shared" si="0"/>
        <v>0</v>
      </c>
      <c r="B22" s="55">
        <f t="shared" si="1"/>
        <v>0</v>
      </c>
      <c r="C22" s="55"/>
      <c r="D22" s="55"/>
      <c r="E22" s="55">
        <f t="shared" si="2"/>
        <v>0</v>
      </c>
      <c r="F22" s="55">
        <f t="shared" si="3"/>
        <v>0</v>
      </c>
      <c r="G22" s="55">
        <f t="shared" si="4"/>
        <v>0</v>
      </c>
      <c r="H22" s="55" t="str">
        <f t="shared" si="5"/>
        <v/>
      </c>
      <c r="J22" s="61">
        <f t="shared" si="6"/>
        <v>0</v>
      </c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x14ac:dyDescent="0.2">
      <c r="A23" s="61">
        <f t="shared" si="0"/>
        <v>0</v>
      </c>
      <c r="B23" s="55">
        <f t="shared" si="1"/>
        <v>0</v>
      </c>
      <c r="C23" s="55"/>
      <c r="D23" s="55"/>
      <c r="E23" s="55">
        <f t="shared" si="2"/>
        <v>0</v>
      </c>
      <c r="F23" s="55">
        <f t="shared" si="3"/>
        <v>0</v>
      </c>
      <c r="G23" s="55">
        <f t="shared" si="4"/>
        <v>0</v>
      </c>
      <c r="H23" s="55" t="str">
        <f t="shared" si="5"/>
        <v/>
      </c>
      <c r="J23" s="61">
        <f t="shared" si="6"/>
        <v>0</v>
      </c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x14ac:dyDescent="0.2">
      <c r="A24" s="61">
        <f t="shared" si="0"/>
        <v>0</v>
      </c>
      <c r="B24" s="55">
        <f t="shared" si="1"/>
        <v>0</v>
      </c>
      <c r="C24" s="55"/>
      <c r="D24" s="55"/>
      <c r="E24" s="55">
        <f t="shared" si="2"/>
        <v>0</v>
      </c>
      <c r="F24" s="55">
        <f t="shared" si="3"/>
        <v>0</v>
      </c>
      <c r="G24" s="55">
        <f t="shared" si="4"/>
        <v>0</v>
      </c>
      <c r="H24" s="55" t="str">
        <f t="shared" si="5"/>
        <v/>
      </c>
      <c r="J24" s="61">
        <f t="shared" si="6"/>
        <v>0</v>
      </c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x14ac:dyDescent="0.2">
      <c r="A25" s="61">
        <f t="shared" si="0"/>
        <v>0</v>
      </c>
      <c r="B25" s="55">
        <f t="shared" si="1"/>
        <v>0</v>
      </c>
      <c r="C25" s="55"/>
      <c r="D25" s="55"/>
      <c r="E25" s="55">
        <f t="shared" si="2"/>
        <v>0</v>
      </c>
      <c r="F25" s="55">
        <f t="shared" si="3"/>
        <v>0</v>
      </c>
      <c r="G25" s="55">
        <f t="shared" si="4"/>
        <v>0</v>
      </c>
      <c r="H25" s="55" t="str">
        <f t="shared" si="5"/>
        <v/>
      </c>
      <c r="J25" s="61">
        <f t="shared" si="6"/>
        <v>0</v>
      </c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x14ac:dyDescent="0.2">
      <c r="A26" s="61">
        <f t="shared" si="0"/>
        <v>0</v>
      </c>
      <c r="B26" s="55">
        <f t="shared" si="1"/>
        <v>0</v>
      </c>
      <c r="C26" s="55"/>
      <c r="D26" s="55"/>
      <c r="E26" s="55">
        <f t="shared" si="2"/>
        <v>0</v>
      </c>
      <c r="F26" s="55">
        <f t="shared" si="3"/>
        <v>0</v>
      </c>
      <c r="G26" s="55">
        <f t="shared" si="4"/>
        <v>0</v>
      </c>
      <c r="H26" s="55" t="str">
        <f t="shared" si="5"/>
        <v/>
      </c>
      <c r="J26" s="61">
        <f t="shared" si="6"/>
        <v>0</v>
      </c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x14ac:dyDescent="0.2">
      <c r="A27" s="61">
        <f t="shared" si="0"/>
        <v>0</v>
      </c>
      <c r="B27" s="55">
        <f t="shared" si="1"/>
        <v>0</v>
      </c>
      <c r="C27" s="55"/>
      <c r="D27" s="55"/>
      <c r="E27" s="55">
        <f t="shared" si="2"/>
        <v>0</v>
      </c>
      <c r="F27" s="55">
        <f t="shared" si="3"/>
        <v>0</v>
      </c>
      <c r="G27" s="55">
        <f t="shared" si="4"/>
        <v>0</v>
      </c>
      <c r="H27" s="55" t="str">
        <f t="shared" si="5"/>
        <v/>
      </c>
      <c r="J27" s="61">
        <f t="shared" si="6"/>
        <v>0</v>
      </c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x14ac:dyDescent="0.2">
      <c r="A28" s="61">
        <f t="shared" si="0"/>
        <v>0</v>
      </c>
      <c r="B28" s="55">
        <f t="shared" si="1"/>
        <v>0</v>
      </c>
      <c r="C28" s="55"/>
      <c r="D28" s="55"/>
      <c r="E28" s="55">
        <f t="shared" si="2"/>
        <v>0</v>
      </c>
      <c r="F28" s="55">
        <f t="shared" si="3"/>
        <v>0</v>
      </c>
      <c r="G28" s="55">
        <f t="shared" si="4"/>
        <v>0</v>
      </c>
      <c r="H28" s="55" t="str">
        <f t="shared" si="5"/>
        <v/>
      </c>
      <c r="J28" s="61">
        <f t="shared" si="6"/>
        <v>0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</row>
    <row r="29" spans="1:36" x14ac:dyDescent="0.2">
      <c r="A29" s="61">
        <f t="shared" si="0"/>
        <v>0</v>
      </c>
      <c r="B29" s="55">
        <f t="shared" si="1"/>
        <v>0</v>
      </c>
      <c r="C29" s="55"/>
      <c r="D29" s="55"/>
      <c r="E29" s="55">
        <f t="shared" si="2"/>
        <v>0</v>
      </c>
      <c r="F29" s="55">
        <f t="shared" si="3"/>
        <v>0</v>
      </c>
      <c r="G29" s="55">
        <f t="shared" si="4"/>
        <v>0</v>
      </c>
      <c r="H29" s="55" t="str">
        <f t="shared" si="5"/>
        <v/>
      </c>
      <c r="J29" s="61">
        <f t="shared" si="6"/>
        <v>0</v>
      </c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</row>
    <row r="30" spans="1:36" x14ac:dyDescent="0.2">
      <c r="A30" s="61">
        <f t="shared" si="0"/>
        <v>0</v>
      </c>
      <c r="B30" s="55">
        <f t="shared" si="1"/>
        <v>0</v>
      </c>
      <c r="C30" s="55"/>
      <c r="D30" s="55"/>
      <c r="E30" s="55">
        <f t="shared" si="2"/>
        <v>0</v>
      </c>
      <c r="F30" s="55">
        <f t="shared" si="3"/>
        <v>0</v>
      </c>
      <c r="G30" s="55">
        <f t="shared" si="4"/>
        <v>0</v>
      </c>
      <c r="H30" s="55" t="str">
        <f t="shared" si="5"/>
        <v/>
      </c>
      <c r="J30" s="61">
        <f t="shared" si="6"/>
        <v>0</v>
      </c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</row>
    <row r="31" spans="1:36" x14ac:dyDescent="0.2">
      <c r="A31" s="61">
        <f t="shared" si="0"/>
        <v>0</v>
      </c>
      <c r="B31" s="55">
        <f t="shared" si="1"/>
        <v>0</v>
      </c>
      <c r="C31" s="55"/>
      <c r="D31" s="55"/>
      <c r="E31" s="55">
        <f t="shared" si="2"/>
        <v>0</v>
      </c>
      <c r="F31" s="55">
        <f t="shared" si="3"/>
        <v>0</v>
      </c>
      <c r="G31" s="55">
        <f t="shared" si="4"/>
        <v>0</v>
      </c>
      <c r="H31" s="55" t="str">
        <f t="shared" si="5"/>
        <v/>
      </c>
      <c r="J31" s="61">
        <f t="shared" si="6"/>
        <v>0</v>
      </c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</row>
    <row r="32" spans="1:36" x14ac:dyDescent="0.2">
      <c r="A32" s="61">
        <f t="shared" si="0"/>
        <v>0</v>
      </c>
      <c r="B32" s="55">
        <f t="shared" si="1"/>
        <v>0</v>
      </c>
      <c r="C32" s="55"/>
      <c r="D32" s="55"/>
      <c r="E32" s="55">
        <f t="shared" si="2"/>
        <v>0</v>
      </c>
      <c r="F32" s="55">
        <f t="shared" si="3"/>
        <v>0</v>
      </c>
      <c r="G32" s="55">
        <f t="shared" si="4"/>
        <v>0</v>
      </c>
      <c r="H32" s="55" t="str">
        <f t="shared" si="5"/>
        <v/>
      </c>
      <c r="J32" s="61">
        <f t="shared" si="6"/>
        <v>0</v>
      </c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</row>
    <row r="33" spans="1:36" x14ac:dyDescent="0.2">
      <c r="A33" s="61">
        <f t="shared" si="0"/>
        <v>0</v>
      </c>
      <c r="B33" s="55">
        <f t="shared" si="1"/>
        <v>0</v>
      </c>
      <c r="C33" s="55"/>
      <c r="D33" s="55"/>
      <c r="E33" s="55">
        <f t="shared" si="2"/>
        <v>0</v>
      </c>
      <c r="F33" s="55">
        <f t="shared" si="3"/>
        <v>0</v>
      </c>
      <c r="G33" s="55">
        <f t="shared" si="4"/>
        <v>0</v>
      </c>
      <c r="H33" s="55" t="str">
        <f t="shared" si="5"/>
        <v/>
      </c>
      <c r="J33" s="61">
        <f t="shared" si="6"/>
        <v>0</v>
      </c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</row>
    <row r="34" spans="1:36" x14ac:dyDescent="0.2">
      <c r="A34" s="61">
        <f t="shared" si="0"/>
        <v>0</v>
      </c>
      <c r="B34" s="55">
        <f t="shared" si="1"/>
        <v>0</v>
      </c>
      <c r="C34" s="55"/>
      <c r="D34" s="55"/>
      <c r="E34" s="55">
        <f t="shared" si="2"/>
        <v>0</v>
      </c>
      <c r="F34" s="55">
        <f t="shared" si="3"/>
        <v>0</v>
      </c>
      <c r="G34" s="55">
        <f t="shared" si="4"/>
        <v>0</v>
      </c>
      <c r="H34" s="55" t="str">
        <f t="shared" si="5"/>
        <v/>
      </c>
      <c r="J34" s="61">
        <f t="shared" si="6"/>
        <v>0</v>
      </c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</row>
    <row r="35" spans="1:36" x14ac:dyDescent="0.2">
      <c r="A35" s="61">
        <f t="shared" si="0"/>
        <v>0</v>
      </c>
      <c r="B35" s="55">
        <f t="shared" si="1"/>
        <v>0</v>
      </c>
      <c r="C35" s="55"/>
      <c r="D35" s="55"/>
      <c r="E35" s="55">
        <f t="shared" si="2"/>
        <v>0</v>
      </c>
      <c r="F35" s="55">
        <f t="shared" si="3"/>
        <v>0</v>
      </c>
      <c r="G35" s="55">
        <f t="shared" si="4"/>
        <v>0</v>
      </c>
      <c r="H35" s="55" t="str">
        <f t="shared" si="5"/>
        <v/>
      </c>
      <c r="J35" s="61">
        <f t="shared" si="6"/>
        <v>0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</row>
    <row r="36" spans="1:36" x14ac:dyDescent="0.2">
      <c r="A36" s="61">
        <f t="shared" si="0"/>
        <v>0</v>
      </c>
      <c r="B36" s="55">
        <f t="shared" si="1"/>
        <v>0</v>
      </c>
      <c r="C36" s="55"/>
      <c r="D36" s="55"/>
      <c r="E36" s="55">
        <f t="shared" si="2"/>
        <v>0</v>
      </c>
      <c r="F36" s="55">
        <f t="shared" si="3"/>
        <v>0</v>
      </c>
      <c r="G36" s="55">
        <f t="shared" si="4"/>
        <v>0</v>
      </c>
      <c r="H36" s="55" t="str">
        <f t="shared" si="5"/>
        <v/>
      </c>
      <c r="J36" s="61">
        <f t="shared" si="6"/>
        <v>0</v>
      </c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</row>
    <row r="37" spans="1:36" x14ac:dyDescent="0.2">
      <c r="A37" s="61">
        <f t="shared" si="0"/>
        <v>0</v>
      </c>
      <c r="B37" s="55">
        <f t="shared" si="1"/>
        <v>0</v>
      </c>
      <c r="C37" s="55"/>
      <c r="D37" s="55"/>
      <c r="E37" s="55">
        <f t="shared" si="2"/>
        <v>0</v>
      </c>
      <c r="F37" s="55">
        <f t="shared" si="3"/>
        <v>0</v>
      </c>
      <c r="G37" s="55">
        <f t="shared" si="4"/>
        <v>0</v>
      </c>
      <c r="H37" s="55" t="str">
        <f t="shared" si="5"/>
        <v/>
      </c>
      <c r="J37" s="61">
        <f t="shared" si="6"/>
        <v>0</v>
      </c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</row>
    <row r="38" spans="1:36" x14ac:dyDescent="0.2">
      <c r="A38" s="61">
        <f t="shared" si="0"/>
        <v>0</v>
      </c>
      <c r="B38" s="55">
        <f t="shared" si="1"/>
        <v>0</v>
      </c>
      <c r="C38" s="55"/>
      <c r="D38" s="55"/>
      <c r="E38" s="55">
        <f t="shared" si="2"/>
        <v>0</v>
      </c>
      <c r="F38" s="55">
        <f t="shared" si="3"/>
        <v>0</v>
      </c>
      <c r="G38" s="55">
        <f t="shared" si="4"/>
        <v>0</v>
      </c>
      <c r="H38" s="55" t="str">
        <f t="shared" si="5"/>
        <v/>
      </c>
      <c r="J38" s="61">
        <f t="shared" si="6"/>
        <v>0</v>
      </c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</row>
    <row r="39" spans="1:36" x14ac:dyDescent="0.2">
      <c r="A39" s="61">
        <f t="shared" si="0"/>
        <v>0</v>
      </c>
      <c r="B39" s="55">
        <f t="shared" si="1"/>
        <v>0</v>
      </c>
      <c r="C39" s="55"/>
      <c r="D39" s="55"/>
      <c r="E39" s="55">
        <f t="shared" si="2"/>
        <v>0</v>
      </c>
      <c r="F39" s="55">
        <f t="shared" si="3"/>
        <v>0</v>
      </c>
      <c r="G39" s="55">
        <f t="shared" si="4"/>
        <v>0</v>
      </c>
      <c r="H39" s="55" t="str">
        <f t="shared" si="5"/>
        <v/>
      </c>
      <c r="J39" s="61">
        <f t="shared" si="6"/>
        <v>0</v>
      </c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</row>
    <row r="40" spans="1:36" x14ac:dyDescent="0.2">
      <c r="A40" s="61">
        <f t="shared" si="0"/>
        <v>0</v>
      </c>
      <c r="B40" s="55">
        <f t="shared" si="1"/>
        <v>0</v>
      </c>
      <c r="C40" s="55"/>
      <c r="D40" s="55"/>
      <c r="E40" s="55">
        <f t="shared" si="2"/>
        <v>0</v>
      </c>
      <c r="F40" s="55">
        <f t="shared" si="3"/>
        <v>0</v>
      </c>
      <c r="G40" s="55">
        <f t="shared" si="4"/>
        <v>0</v>
      </c>
      <c r="H40" s="55" t="str">
        <f t="shared" si="5"/>
        <v/>
      </c>
      <c r="J40" s="61">
        <f t="shared" si="6"/>
        <v>0</v>
      </c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</row>
    <row r="41" spans="1:36" x14ac:dyDescent="0.2">
      <c r="A41" s="61">
        <f t="shared" si="0"/>
        <v>0</v>
      </c>
      <c r="B41" s="55">
        <f t="shared" si="1"/>
        <v>0</v>
      </c>
      <c r="C41" s="55"/>
      <c r="D41" s="55"/>
      <c r="E41" s="55">
        <f t="shared" si="2"/>
        <v>0</v>
      </c>
      <c r="F41" s="55">
        <f t="shared" si="3"/>
        <v>0</v>
      </c>
      <c r="G41" s="55">
        <f t="shared" si="4"/>
        <v>0</v>
      </c>
      <c r="H41" s="55" t="str">
        <f t="shared" si="5"/>
        <v/>
      </c>
      <c r="J41" s="61">
        <f t="shared" si="6"/>
        <v>0</v>
      </c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</row>
    <row r="42" spans="1:36" x14ac:dyDescent="0.2">
      <c r="A42" s="61">
        <f t="shared" si="0"/>
        <v>0</v>
      </c>
      <c r="B42" s="55">
        <f t="shared" si="1"/>
        <v>0</v>
      </c>
      <c r="C42" s="55"/>
      <c r="D42" s="55"/>
      <c r="E42" s="55">
        <f t="shared" si="2"/>
        <v>0</v>
      </c>
      <c r="F42" s="55">
        <f t="shared" si="3"/>
        <v>0</v>
      </c>
      <c r="G42" s="55">
        <f t="shared" si="4"/>
        <v>0</v>
      </c>
      <c r="H42" s="55" t="str">
        <f t="shared" si="5"/>
        <v/>
      </c>
      <c r="J42" s="61">
        <f t="shared" si="6"/>
        <v>0</v>
      </c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</row>
    <row r="43" spans="1:36" x14ac:dyDescent="0.2">
      <c r="A43" s="61">
        <f t="shared" si="0"/>
        <v>0</v>
      </c>
      <c r="B43" s="55">
        <f t="shared" si="1"/>
        <v>0</v>
      </c>
      <c r="C43" s="55"/>
      <c r="D43" s="55"/>
      <c r="E43" s="55">
        <f t="shared" si="2"/>
        <v>0</v>
      </c>
      <c r="F43" s="55">
        <f t="shared" si="3"/>
        <v>0</v>
      </c>
      <c r="G43" s="55">
        <f t="shared" si="4"/>
        <v>0</v>
      </c>
      <c r="H43" s="55" t="str">
        <f t="shared" si="5"/>
        <v/>
      </c>
      <c r="J43" s="61">
        <f t="shared" si="6"/>
        <v>0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</row>
    <row r="44" spans="1:36" x14ac:dyDescent="0.2">
      <c r="A44" s="61">
        <f t="shared" si="0"/>
        <v>0</v>
      </c>
      <c r="B44" s="55">
        <f t="shared" si="1"/>
        <v>0</v>
      </c>
      <c r="C44" s="55"/>
      <c r="D44" s="55"/>
      <c r="E44" s="55">
        <f t="shared" si="2"/>
        <v>0</v>
      </c>
      <c r="F44" s="55">
        <f t="shared" si="3"/>
        <v>0</v>
      </c>
      <c r="G44" s="55">
        <f t="shared" si="4"/>
        <v>0</v>
      </c>
      <c r="H44" s="55" t="str">
        <f t="shared" si="5"/>
        <v/>
      </c>
      <c r="J44" s="61">
        <f t="shared" si="6"/>
        <v>0</v>
      </c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</row>
    <row r="45" spans="1:36" x14ac:dyDescent="0.2">
      <c r="A45" s="61">
        <f t="shared" si="0"/>
        <v>0</v>
      </c>
      <c r="B45" s="55">
        <f t="shared" si="1"/>
        <v>0</v>
      </c>
      <c r="C45" s="55"/>
      <c r="D45" s="55"/>
      <c r="E45" s="55">
        <f t="shared" si="2"/>
        <v>0</v>
      </c>
      <c r="F45" s="55">
        <f t="shared" si="3"/>
        <v>0</v>
      </c>
      <c r="G45" s="55">
        <f t="shared" si="4"/>
        <v>0</v>
      </c>
      <c r="H45" s="55" t="str">
        <f t="shared" si="5"/>
        <v/>
      </c>
      <c r="J45" s="61">
        <f t="shared" si="6"/>
        <v>0</v>
      </c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</row>
    <row r="46" spans="1:36" x14ac:dyDescent="0.2">
      <c r="A46" s="61">
        <f t="shared" si="0"/>
        <v>0</v>
      </c>
      <c r="B46" s="55">
        <f t="shared" si="1"/>
        <v>0</v>
      </c>
      <c r="C46" s="55"/>
      <c r="D46" s="55"/>
      <c r="E46" s="55">
        <f t="shared" si="2"/>
        <v>0</v>
      </c>
      <c r="F46" s="55">
        <f t="shared" si="3"/>
        <v>0</v>
      </c>
      <c r="G46" s="55">
        <f t="shared" si="4"/>
        <v>0</v>
      </c>
      <c r="H46" s="55" t="str">
        <f t="shared" si="5"/>
        <v/>
      </c>
      <c r="J46" s="61">
        <f t="shared" si="6"/>
        <v>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</row>
    <row r="47" spans="1:36" x14ac:dyDescent="0.2">
      <c r="A47" s="61">
        <f t="shared" si="0"/>
        <v>0</v>
      </c>
      <c r="B47" s="55">
        <f t="shared" si="1"/>
        <v>0</v>
      </c>
      <c r="C47" s="55"/>
      <c r="D47" s="55"/>
      <c r="E47" s="55">
        <f t="shared" si="2"/>
        <v>0</v>
      </c>
      <c r="F47" s="55">
        <f t="shared" si="3"/>
        <v>0</v>
      </c>
      <c r="G47" s="55">
        <f t="shared" si="4"/>
        <v>0</v>
      </c>
      <c r="H47" s="55" t="str">
        <f t="shared" si="5"/>
        <v/>
      </c>
      <c r="J47" s="61">
        <f t="shared" si="6"/>
        <v>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</row>
    <row r="48" spans="1:36" x14ac:dyDescent="0.2">
      <c r="A48" s="61">
        <f t="shared" si="0"/>
        <v>0</v>
      </c>
      <c r="B48" s="55">
        <f t="shared" si="1"/>
        <v>0</v>
      </c>
      <c r="C48" s="55"/>
      <c r="D48" s="55"/>
      <c r="E48" s="55">
        <f t="shared" si="2"/>
        <v>0</v>
      </c>
      <c r="F48" s="55">
        <f t="shared" si="3"/>
        <v>0</v>
      </c>
      <c r="G48" s="55">
        <f t="shared" si="4"/>
        <v>0</v>
      </c>
      <c r="H48" s="55" t="str">
        <f t="shared" si="5"/>
        <v/>
      </c>
      <c r="J48" s="61">
        <f t="shared" si="6"/>
        <v>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</row>
    <row r="49" spans="1:36" x14ac:dyDescent="0.2">
      <c r="A49" s="61">
        <f t="shared" si="0"/>
        <v>0</v>
      </c>
      <c r="B49" s="55">
        <f t="shared" si="1"/>
        <v>0</v>
      </c>
      <c r="C49" s="55"/>
      <c r="D49" s="55"/>
      <c r="E49" s="55">
        <f t="shared" si="2"/>
        <v>0</v>
      </c>
      <c r="F49" s="55">
        <f t="shared" si="3"/>
        <v>0</v>
      </c>
      <c r="G49" s="55">
        <f t="shared" si="4"/>
        <v>0</v>
      </c>
      <c r="H49" s="55" t="str">
        <f t="shared" si="5"/>
        <v/>
      </c>
      <c r="J49" s="61">
        <f t="shared" si="6"/>
        <v>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</row>
    <row r="50" spans="1:36" x14ac:dyDescent="0.2">
      <c r="A50" s="61">
        <f t="shared" si="0"/>
        <v>0</v>
      </c>
      <c r="B50" s="55">
        <f t="shared" si="1"/>
        <v>0</v>
      </c>
      <c r="C50" s="55"/>
      <c r="D50" s="55"/>
      <c r="E50" s="55">
        <f t="shared" si="2"/>
        <v>0</v>
      </c>
      <c r="F50" s="55">
        <f t="shared" si="3"/>
        <v>0</v>
      </c>
      <c r="G50" s="55">
        <f t="shared" si="4"/>
        <v>0</v>
      </c>
      <c r="H50" s="55" t="str">
        <f t="shared" si="5"/>
        <v/>
      </c>
      <c r="J50" s="61">
        <f t="shared" si="6"/>
        <v>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</row>
    <row r="51" spans="1:36" x14ac:dyDescent="0.2">
      <c r="A51" s="61">
        <f t="shared" si="0"/>
        <v>0</v>
      </c>
      <c r="B51" s="55">
        <f t="shared" si="1"/>
        <v>0</v>
      </c>
      <c r="C51" s="55"/>
      <c r="D51" s="55"/>
      <c r="E51" s="55">
        <f t="shared" si="2"/>
        <v>0</v>
      </c>
      <c r="F51" s="55">
        <f t="shared" si="3"/>
        <v>0</v>
      </c>
      <c r="G51" s="55">
        <f t="shared" si="4"/>
        <v>0</v>
      </c>
      <c r="H51" s="55" t="str">
        <f t="shared" si="5"/>
        <v/>
      </c>
      <c r="J51" s="61">
        <f t="shared" si="6"/>
        <v>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</row>
    <row r="52" spans="1:36" x14ac:dyDescent="0.2">
      <c r="A52" s="61">
        <f t="shared" si="0"/>
        <v>0</v>
      </c>
      <c r="B52" s="55">
        <f t="shared" si="1"/>
        <v>0</v>
      </c>
      <c r="C52" s="55"/>
      <c r="D52" s="55"/>
      <c r="E52" s="55">
        <f t="shared" si="2"/>
        <v>0</v>
      </c>
      <c r="F52" s="55">
        <f t="shared" si="3"/>
        <v>0</v>
      </c>
      <c r="G52" s="55">
        <f t="shared" si="4"/>
        <v>0</v>
      </c>
      <c r="H52" s="55" t="str">
        <f t="shared" si="5"/>
        <v/>
      </c>
      <c r="J52" s="61">
        <f t="shared" si="6"/>
        <v>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</row>
    <row r="53" spans="1:36" x14ac:dyDescent="0.2">
      <c r="A53" s="61">
        <f t="shared" si="0"/>
        <v>0</v>
      </c>
      <c r="B53" s="55">
        <f t="shared" si="1"/>
        <v>0</v>
      </c>
      <c r="C53" s="55"/>
      <c r="D53" s="55"/>
      <c r="E53" s="55">
        <f t="shared" si="2"/>
        <v>0</v>
      </c>
      <c r="F53" s="55">
        <f t="shared" si="3"/>
        <v>0</v>
      </c>
      <c r="G53" s="55">
        <f t="shared" si="4"/>
        <v>0</v>
      </c>
      <c r="H53" s="55" t="str">
        <f t="shared" si="5"/>
        <v/>
      </c>
      <c r="J53" s="61">
        <f t="shared" si="6"/>
        <v>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</row>
    <row r="54" spans="1:36" x14ac:dyDescent="0.2">
      <c r="A54" s="61">
        <f t="shared" si="0"/>
        <v>0</v>
      </c>
      <c r="B54" s="55">
        <f t="shared" si="1"/>
        <v>0</v>
      </c>
      <c r="C54" s="55"/>
      <c r="D54" s="55"/>
      <c r="E54" s="55">
        <f t="shared" si="2"/>
        <v>0</v>
      </c>
      <c r="F54" s="55">
        <f t="shared" si="3"/>
        <v>0</v>
      </c>
      <c r="G54" s="55">
        <f t="shared" si="4"/>
        <v>0</v>
      </c>
      <c r="H54" s="55" t="str">
        <f t="shared" si="5"/>
        <v/>
      </c>
      <c r="J54" s="61">
        <f t="shared" si="6"/>
        <v>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</row>
    <row r="55" spans="1:36" x14ac:dyDescent="0.2">
      <c r="A55" s="61">
        <f t="shared" si="0"/>
        <v>0</v>
      </c>
      <c r="B55" s="55">
        <f t="shared" si="1"/>
        <v>0</v>
      </c>
      <c r="C55" s="55"/>
      <c r="D55" s="55"/>
      <c r="E55" s="55">
        <f t="shared" si="2"/>
        <v>0</v>
      </c>
      <c r="F55" s="55">
        <f t="shared" si="3"/>
        <v>0</v>
      </c>
      <c r="G55" s="55">
        <f t="shared" si="4"/>
        <v>0</v>
      </c>
      <c r="H55" s="55" t="str">
        <f t="shared" si="5"/>
        <v/>
      </c>
      <c r="J55" s="61">
        <f t="shared" si="6"/>
        <v>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</row>
    <row r="56" spans="1:36" x14ac:dyDescent="0.2">
      <c r="A56" s="61">
        <f t="shared" si="0"/>
        <v>0</v>
      </c>
      <c r="B56" s="55">
        <f t="shared" si="1"/>
        <v>0</v>
      </c>
      <c r="C56" s="55"/>
      <c r="D56" s="55"/>
      <c r="E56" s="55">
        <f t="shared" si="2"/>
        <v>0</v>
      </c>
      <c r="F56" s="55">
        <f t="shared" si="3"/>
        <v>0</v>
      </c>
      <c r="G56" s="55">
        <f t="shared" si="4"/>
        <v>0</v>
      </c>
      <c r="H56" s="55" t="str">
        <f t="shared" si="5"/>
        <v/>
      </c>
      <c r="J56" s="61">
        <f t="shared" si="6"/>
        <v>0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</row>
    <row r="57" spans="1:36" x14ac:dyDescent="0.2">
      <c r="A57" s="61">
        <f t="shared" si="0"/>
        <v>0</v>
      </c>
      <c r="B57" s="55">
        <f t="shared" si="1"/>
        <v>0</v>
      </c>
      <c r="C57" s="55"/>
      <c r="D57" s="55"/>
      <c r="E57" s="55">
        <f t="shared" si="2"/>
        <v>0</v>
      </c>
      <c r="F57" s="55">
        <f t="shared" si="3"/>
        <v>0</v>
      </c>
      <c r="G57" s="55">
        <f t="shared" si="4"/>
        <v>0</v>
      </c>
      <c r="H57" s="55" t="str">
        <f t="shared" si="5"/>
        <v/>
      </c>
      <c r="J57" s="61">
        <f t="shared" si="6"/>
        <v>0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</row>
    <row r="58" spans="1:36" x14ac:dyDescent="0.2">
      <c r="A58" s="61">
        <f t="shared" si="0"/>
        <v>0</v>
      </c>
      <c r="B58" s="55">
        <f t="shared" si="1"/>
        <v>0</v>
      </c>
      <c r="C58" s="55"/>
      <c r="D58" s="55"/>
      <c r="E58" s="55">
        <f t="shared" si="2"/>
        <v>0</v>
      </c>
      <c r="F58" s="55">
        <f t="shared" si="3"/>
        <v>0</v>
      </c>
      <c r="G58" s="55">
        <f t="shared" si="4"/>
        <v>0</v>
      </c>
      <c r="H58" s="55" t="str">
        <f t="shared" si="5"/>
        <v/>
      </c>
      <c r="J58" s="61">
        <f t="shared" si="6"/>
        <v>0</v>
      </c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</row>
    <row r="59" spans="1:36" x14ac:dyDescent="0.2">
      <c r="A59" s="61">
        <f t="shared" si="0"/>
        <v>0</v>
      </c>
      <c r="B59" s="55">
        <f t="shared" si="1"/>
        <v>0</v>
      </c>
      <c r="C59" s="55"/>
      <c r="D59" s="55"/>
      <c r="E59" s="55">
        <f t="shared" si="2"/>
        <v>0</v>
      </c>
      <c r="F59" s="55">
        <f t="shared" si="3"/>
        <v>0</v>
      </c>
      <c r="G59" s="55">
        <f t="shared" si="4"/>
        <v>0</v>
      </c>
      <c r="H59" s="55" t="str">
        <f t="shared" si="5"/>
        <v/>
      </c>
      <c r="J59" s="61">
        <f t="shared" si="6"/>
        <v>0</v>
      </c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</row>
    <row r="60" spans="1:36" x14ac:dyDescent="0.2">
      <c r="A60" s="61">
        <f t="shared" si="0"/>
        <v>0</v>
      </c>
      <c r="B60" s="55">
        <f t="shared" si="1"/>
        <v>0</v>
      </c>
      <c r="C60" s="55"/>
      <c r="D60" s="55"/>
      <c r="E60" s="55">
        <f t="shared" si="2"/>
        <v>0</v>
      </c>
      <c r="F60" s="55">
        <f t="shared" si="3"/>
        <v>0</v>
      </c>
      <c r="G60" s="55">
        <f t="shared" si="4"/>
        <v>0</v>
      </c>
      <c r="H60" s="55" t="str">
        <f t="shared" si="5"/>
        <v/>
      </c>
      <c r="J60" s="61">
        <f t="shared" si="6"/>
        <v>0</v>
      </c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</row>
    <row r="61" spans="1:36" x14ac:dyDescent="0.2">
      <c r="A61" s="61">
        <f t="shared" si="0"/>
        <v>0</v>
      </c>
      <c r="B61" s="55">
        <f t="shared" si="1"/>
        <v>0</v>
      </c>
      <c r="C61" s="55"/>
      <c r="D61" s="55"/>
      <c r="E61" s="55">
        <f t="shared" si="2"/>
        <v>0</v>
      </c>
      <c r="F61" s="55">
        <f t="shared" si="3"/>
        <v>0</v>
      </c>
      <c r="G61" s="55">
        <f t="shared" si="4"/>
        <v>0</v>
      </c>
      <c r="H61" s="55" t="str">
        <f t="shared" si="5"/>
        <v/>
      </c>
      <c r="J61" s="61">
        <f t="shared" si="6"/>
        <v>0</v>
      </c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</row>
    <row r="62" spans="1:36" x14ac:dyDescent="0.2">
      <c r="A62" s="61">
        <f t="shared" si="0"/>
        <v>0</v>
      </c>
      <c r="B62" s="55">
        <f t="shared" si="1"/>
        <v>0</v>
      </c>
      <c r="C62" s="55"/>
      <c r="D62" s="55"/>
      <c r="E62" s="55">
        <f t="shared" si="2"/>
        <v>0</v>
      </c>
      <c r="F62" s="55">
        <f t="shared" si="3"/>
        <v>0</v>
      </c>
      <c r="G62" s="55">
        <f t="shared" si="4"/>
        <v>0</v>
      </c>
      <c r="H62" s="55" t="str">
        <f t="shared" si="5"/>
        <v/>
      </c>
      <c r="J62" s="61">
        <f t="shared" si="6"/>
        <v>0</v>
      </c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</row>
    <row r="63" spans="1:36" x14ac:dyDescent="0.2">
      <c r="A63" s="61">
        <f t="shared" si="0"/>
        <v>0</v>
      </c>
      <c r="B63" s="55">
        <f t="shared" si="1"/>
        <v>0</v>
      </c>
      <c r="C63" s="55"/>
      <c r="D63" s="55"/>
      <c r="E63" s="55">
        <f t="shared" si="2"/>
        <v>0</v>
      </c>
      <c r="F63" s="55">
        <f t="shared" si="3"/>
        <v>0</v>
      </c>
      <c r="G63" s="55">
        <f t="shared" si="4"/>
        <v>0</v>
      </c>
      <c r="H63" s="55" t="str">
        <f t="shared" si="5"/>
        <v/>
      </c>
      <c r="J63" s="61">
        <f t="shared" si="6"/>
        <v>0</v>
      </c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</row>
    <row r="64" spans="1:36" x14ac:dyDescent="0.2">
      <c r="A64" s="61">
        <f t="shared" si="0"/>
        <v>0</v>
      </c>
      <c r="B64" s="55">
        <f t="shared" si="1"/>
        <v>0</v>
      </c>
      <c r="C64" s="55"/>
      <c r="D64" s="55"/>
      <c r="E64" s="55">
        <f t="shared" si="2"/>
        <v>0</v>
      </c>
      <c r="F64" s="55">
        <f t="shared" si="3"/>
        <v>0</v>
      </c>
      <c r="G64" s="55">
        <f t="shared" si="4"/>
        <v>0</v>
      </c>
      <c r="H64" s="55" t="str">
        <f t="shared" si="5"/>
        <v/>
      </c>
      <c r="J64" s="61">
        <f t="shared" si="6"/>
        <v>0</v>
      </c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</row>
    <row r="65" spans="1:36" x14ac:dyDescent="0.2">
      <c r="A65" s="61">
        <f t="shared" si="0"/>
        <v>0</v>
      </c>
      <c r="B65" s="55">
        <f t="shared" si="1"/>
        <v>0</v>
      </c>
      <c r="C65" s="55"/>
      <c r="D65" s="55"/>
      <c r="E65" s="55">
        <f t="shared" si="2"/>
        <v>0</v>
      </c>
      <c r="F65" s="55">
        <f t="shared" si="3"/>
        <v>0</v>
      </c>
      <c r="G65" s="55">
        <f t="shared" si="4"/>
        <v>0</v>
      </c>
      <c r="H65" s="55" t="str">
        <f t="shared" si="5"/>
        <v/>
      </c>
      <c r="J65" s="61">
        <f t="shared" si="6"/>
        <v>0</v>
      </c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</row>
    <row r="66" spans="1:36" x14ac:dyDescent="0.2">
      <c r="A66" s="61">
        <f t="shared" ref="A66:A129" si="7">J66</f>
        <v>0</v>
      </c>
      <c r="B66" s="55">
        <f t="shared" ref="B66:B129" si="8">M66</f>
        <v>0</v>
      </c>
      <c r="C66" s="55"/>
      <c r="D66" s="55"/>
      <c r="E66" s="55">
        <f t="shared" ref="E66:E129" si="9">V66</f>
        <v>0</v>
      </c>
      <c r="F66" s="55">
        <f t="shared" ref="F66:F129" si="10">Z66</f>
        <v>0</v>
      </c>
      <c r="G66" s="55">
        <f t="shared" ref="G66:G129" si="11">AH66</f>
        <v>0</v>
      </c>
      <c r="H66" s="55" t="str">
        <f t="shared" ref="H66:H129" si="12">IF(Q66&gt;1,IF(Q66=2,"I","E"),"")</f>
        <v/>
      </c>
      <c r="J66" s="61">
        <f t="shared" ref="J66:J129" si="13">P66*1</f>
        <v>0</v>
      </c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</row>
    <row r="67" spans="1:36" x14ac:dyDescent="0.2">
      <c r="A67" s="61">
        <f t="shared" si="7"/>
        <v>0</v>
      </c>
      <c r="B67" s="55">
        <f t="shared" si="8"/>
        <v>0</v>
      </c>
      <c r="C67" s="55"/>
      <c r="D67" s="55"/>
      <c r="E67" s="55">
        <f t="shared" si="9"/>
        <v>0</v>
      </c>
      <c r="F67" s="55">
        <f t="shared" si="10"/>
        <v>0</v>
      </c>
      <c r="G67" s="55">
        <f t="shared" si="11"/>
        <v>0</v>
      </c>
      <c r="H67" s="55" t="str">
        <f t="shared" si="12"/>
        <v/>
      </c>
      <c r="J67" s="61">
        <f t="shared" si="13"/>
        <v>0</v>
      </c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</row>
    <row r="68" spans="1:36" x14ac:dyDescent="0.2">
      <c r="A68" s="61">
        <f t="shared" si="7"/>
        <v>0</v>
      </c>
      <c r="B68" s="55">
        <f t="shared" si="8"/>
        <v>0</v>
      </c>
      <c r="C68" s="55"/>
      <c r="D68" s="55"/>
      <c r="E68" s="55">
        <f t="shared" si="9"/>
        <v>0</v>
      </c>
      <c r="F68" s="55">
        <f t="shared" si="10"/>
        <v>0</v>
      </c>
      <c r="G68" s="55">
        <f t="shared" si="11"/>
        <v>0</v>
      </c>
      <c r="H68" s="55" t="str">
        <f t="shared" si="12"/>
        <v/>
      </c>
      <c r="J68" s="61">
        <f t="shared" si="13"/>
        <v>0</v>
      </c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</row>
    <row r="69" spans="1:36" x14ac:dyDescent="0.2">
      <c r="A69" s="61">
        <f t="shared" si="7"/>
        <v>0</v>
      </c>
      <c r="B69" s="55">
        <f t="shared" si="8"/>
        <v>0</v>
      </c>
      <c r="C69" s="55"/>
      <c r="D69" s="55"/>
      <c r="E69" s="55">
        <f t="shared" si="9"/>
        <v>0</v>
      </c>
      <c r="F69" s="55">
        <f t="shared" si="10"/>
        <v>0</v>
      </c>
      <c r="G69" s="55">
        <f t="shared" si="11"/>
        <v>0</v>
      </c>
      <c r="H69" s="55" t="str">
        <f t="shared" si="12"/>
        <v/>
      </c>
      <c r="J69" s="61">
        <f t="shared" si="13"/>
        <v>0</v>
      </c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</row>
    <row r="70" spans="1:36" x14ac:dyDescent="0.2">
      <c r="A70" s="61">
        <f t="shared" si="7"/>
        <v>0</v>
      </c>
      <c r="B70" s="55">
        <f t="shared" si="8"/>
        <v>0</v>
      </c>
      <c r="C70" s="55"/>
      <c r="D70" s="55"/>
      <c r="E70" s="55">
        <f t="shared" si="9"/>
        <v>0</v>
      </c>
      <c r="F70" s="55">
        <f t="shared" si="10"/>
        <v>0</v>
      </c>
      <c r="G70" s="55">
        <f t="shared" si="11"/>
        <v>0</v>
      </c>
      <c r="H70" s="55" t="str">
        <f t="shared" si="12"/>
        <v/>
      </c>
      <c r="J70" s="61">
        <f t="shared" si="13"/>
        <v>0</v>
      </c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</row>
    <row r="71" spans="1:36" x14ac:dyDescent="0.2">
      <c r="A71" s="61">
        <f t="shared" si="7"/>
        <v>0</v>
      </c>
      <c r="B71" s="55">
        <f t="shared" si="8"/>
        <v>0</v>
      </c>
      <c r="C71" s="55"/>
      <c r="D71" s="55"/>
      <c r="E71" s="55">
        <f t="shared" si="9"/>
        <v>0</v>
      </c>
      <c r="F71" s="55">
        <f t="shared" si="10"/>
        <v>0</v>
      </c>
      <c r="G71" s="55">
        <f t="shared" si="11"/>
        <v>0</v>
      </c>
      <c r="H71" s="55" t="str">
        <f t="shared" si="12"/>
        <v/>
      </c>
      <c r="J71" s="61">
        <f t="shared" si="13"/>
        <v>0</v>
      </c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</row>
    <row r="72" spans="1:36" x14ac:dyDescent="0.2">
      <c r="A72" s="61">
        <f t="shared" si="7"/>
        <v>0</v>
      </c>
      <c r="B72" s="55">
        <f t="shared" si="8"/>
        <v>0</v>
      </c>
      <c r="C72" s="55"/>
      <c r="D72" s="55"/>
      <c r="E72" s="55">
        <f t="shared" si="9"/>
        <v>0</v>
      </c>
      <c r="F72" s="55">
        <f t="shared" si="10"/>
        <v>0</v>
      </c>
      <c r="G72" s="55">
        <f t="shared" si="11"/>
        <v>0</v>
      </c>
      <c r="H72" s="55" t="str">
        <f t="shared" si="12"/>
        <v/>
      </c>
      <c r="J72" s="61">
        <f t="shared" si="13"/>
        <v>0</v>
      </c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</row>
    <row r="73" spans="1:36" x14ac:dyDescent="0.2">
      <c r="A73" s="61">
        <f t="shared" si="7"/>
        <v>0</v>
      </c>
      <c r="B73" s="55">
        <f t="shared" si="8"/>
        <v>0</v>
      </c>
      <c r="C73" s="55"/>
      <c r="D73" s="55"/>
      <c r="E73" s="55">
        <f t="shared" si="9"/>
        <v>0</v>
      </c>
      <c r="F73" s="55">
        <f t="shared" si="10"/>
        <v>0</v>
      </c>
      <c r="G73" s="55">
        <f t="shared" si="11"/>
        <v>0</v>
      </c>
      <c r="H73" s="55" t="str">
        <f t="shared" si="12"/>
        <v/>
      </c>
      <c r="J73" s="61">
        <f t="shared" si="13"/>
        <v>0</v>
      </c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</row>
    <row r="74" spans="1:36" x14ac:dyDescent="0.2">
      <c r="A74" s="61">
        <f t="shared" si="7"/>
        <v>0</v>
      </c>
      <c r="B74" s="55">
        <f t="shared" si="8"/>
        <v>0</v>
      </c>
      <c r="C74" s="55"/>
      <c r="D74" s="55"/>
      <c r="E74" s="55">
        <f t="shared" si="9"/>
        <v>0</v>
      </c>
      <c r="F74" s="55">
        <f t="shared" si="10"/>
        <v>0</v>
      </c>
      <c r="G74" s="55">
        <f t="shared" si="11"/>
        <v>0</v>
      </c>
      <c r="H74" s="55" t="str">
        <f t="shared" si="12"/>
        <v/>
      </c>
      <c r="J74" s="61">
        <f t="shared" si="13"/>
        <v>0</v>
      </c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</row>
    <row r="75" spans="1:36" x14ac:dyDescent="0.2">
      <c r="A75" s="61">
        <f t="shared" si="7"/>
        <v>0</v>
      </c>
      <c r="B75" s="55">
        <f t="shared" si="8"/>
        <v>0</v>
      </c>
      <c r="C75" s="55"/>
      <c r="D75" s="55"/>
      <c r="E75" s="55">
        <f t="shared" si="9"/>
        <v>0</v>
      </c>
      <c r="F75" s="55">
        <f t="shared" si="10"/>
        <v>0</v>
      </c>
      <c r="G75" s="55">
        <f t="shared" si="11"/>
        <v>0</v>
      </c>
      <c r="H75" s="55" t="str">
        <f t="shared" si="12"/>
        <v/>
      </c>
      <c r="J75" s="61">
        <f t="shared" si="13"/>
        <v>0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</row>
    <row r="76" spans="1:36" x14ac:dyDescent="0.2">
      <c r="A76" s="61">
        <f t="shared" si="7"/>
        <v>0</v>
      </c>
      <c r="B76" s="55">
        <f t="shared" si="8"/>
        <v>0</v>
      </c>
      <c r="C76" s="55"/>
      <c r="D76" s="55"/>
      <c r="E76" s="55">
        <f t="shared" si="9"/>
        <v>0</v>
      </c>
      <c r="F76" s="55">
        <f t="shared" si="10"/>
        <v>0</v>
      </c>
      <c r="G76" s="55">
        <f t="shared" si="11"/>
        <v>0</v>
      </c>
      <c r="H76" s="55" t="str">
        <f t="shared" si="12"/>
        <v/>
      </c>
      <c r="J76" s="61">
        <f t="shared" si="13"/>
        <v>0</v>
      </c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</row>
    <row r="77" spans="1:36" x14ac:dyDescent="0.2">
      <c r="A77" s="61">
        <f t="shared" si="7"/>
        <v>0</v>
      </c>
      <c r="B77" s="55">
        <f t="shared" si="8"/>
        <v>0</v>
      </c>
      <c r="C77" s="55"/>
      <c r="D77" s="55"/>
      <c r="E77" s="55">
        <f t="shared" si="9"/>
        <v>0</v>
      </c>
      <c r="F77" s="55">
        <f t="shared" si="10"/>
        <v>0</v>
      </c>
      <c r="G77" s="55">
        <f t="shared" si="11"/>
        <v>0</v>
      </c>
      <c r="H77" s="55" t="str">
        <f t="shared" si="12"/>
        <v/>
      </c>
      <c r="J77" s="61">
        <f t="shared" si="13"/>
        <v>0</v>
      </c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</row>
    <row r="78" spans="1:36" x14ac:dyDescent="0.2">
      <c r="A78" s="61">
        <f t="shared" si="7"/>
        <v>0</v>
      </c>
      <c r="B78" s="55">
        <f t="shared" si="8"/>
        <v>0</v>
      </c>
      <c r="C78" s="55"/>
      <c r="D78" s="55"/>
      <c r="E78" s="55">
        <f t="shared" si="9"/>
        <v>0</v>
      </c>
      <c r="F78" s="55">
        <f t="shared" si="10"/>
        <v>0</v>
      </c>
      <c r="G78" s="55">
        <f t="shared" si="11"/>
        <v>0</v>
      </c>
      <c r="H78" s="55" t="str">
        <f t="shared" si="12"/>
        <v/>
      </c>
      <c r="J78" s="61">
        <f t="shared" si="13"/>
        <v>0</v>
      </c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</row>
    <row r="79" spans="1:36" x14ac:dyDescent="0.2">
      <c r="A79" s="61">
        <f t="shared" si="7"/>
        <v>0</v>
      </c>
      <c r="B79" s="55">
        <f t="shared" si="8"/>
        <v>0</v>
      </c>
      <c r="C79" s="55"/>
      <c r="D79" s="55"/>
      <c r="E79" s="55">
        <f t="shared" si="9"/>
        <v>0</v>
      </c>
      <c r="F79" s="55">
        <f t="shared" si="10"/>
        <v>0</v>
      </c>
      <c r="G79" s="55">
        <f t="shared" si="11"/>
        <v>0</v>
      </c>
      <c r="H79" s="55" t="str">
        <f t="shared" si="12"/>
        <v/>
      </c>
      <c r="J79" s="61">
        <f t="shared" si="13"/>
        <v>0</v>
      </c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</row>
    <row r="80" spans="1:36" x14ac:dyDescent="0.2">
      <c r="A80" s="61">
        <f t="shared" si="7"/>
        <v>0</v>
      </c>
      <c r="B80" s="55">
        <f t="shared" si="8"/>
        <v>0</v>
      </c>
      <c r="C80" s="55"/>
      <c r="D80" s="55"/>
      <c r="E80" s="55">
        <f t="shared" si="9"/>
        <v>0</v>
      </c>
      <c r="F80" s="55">
        <f t="shared" si="10"/>
        <v>0</v>
      </c>
      <c r="G80" s="55">
        <f t="shared" si="11"/>
        <v>0</v>
      </c>
      <c r="H80" s="55" t="str">
        <f t="shared" si="12"/>
        <v/>
      </c>
      <c r="J80" s="61">
        <f t="shared" si="13"/>
        <v>0</v>
      </c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</row>
    <row r="81" spans="1:36" x14ac:dyDescent="0.2">
      <c r="A81" s="61">
        <f t="shared" si="7"/>
        <v>0</v>
      </c>
      <c r="B81" s="55">
        <f t="shared" si="8"/>
        <v>0</v>
      </c>
      <c r="C81" s="55"/>
      <c r="D81" s="55"/>
      <c r="E81" s="55">
        <f t="shared" si="9"/>
        <v>0</v>
      </c>
      <c r="F81" s="55">
        <f t="shared" si="10"/>
        <v>0</v>
      </c>
      <c r="G81" s="55">
        <f t="shared" si="11"/>
        <v>0</v>
      </c>
      <c r="H81" s="55" t="str">
        <f t="shared" si="12"/>
        <v/>
      </c>
      <c r="J81" s="61">
        <f t="shared" si="13"/>
        <v>0</v>
      </c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</row>
    <row r="82" spans="1:36" x14ac:dyDescent="0.2">
      <c r="A82" s="61">
        <f t="shared" si="7"/>
        <v>0</v>
      </c>
      <c r="B82" s="55">
        <f t="shared" si="8"/>
        <v>0</v>
      </c>
      <c r="C82" s="55"/>
      <c r="D82" s="55"/>
      <c r="E82" s="55">
        <f t="shared" si="9"/>
        <v>0</v>
      </c>
      <c r="F82" s="55">
        <f t="shared" si="10"/>
        <v>0</v>
      </c>
      <c r="G82" s="55">
        <f t="shared" si="11"/>
        <v>0</v>
      </c>
      <c r="H82" s="55" t="str">
        <f t="shared" si="12"/>
        <v/>
      </c>
      <c r="J82" s="61">
        <f t="shared" si="13"/>
        <v>0</v>
      </c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</row>
    <row r="83" spans="1:36" x14ac:dyDescent="0.2">
      <c r="A83" s="61">
        <f t="shared" si="7"/>
        <v>0</v>
      </c>
      <c r="B83" s="55">
        <f t="shared" si="8"/>
        <v>0</v>
      </c>
      <c r="C83" s="55"/>
      <c r="D83" s="55"/>
      <c r="E83" s="55">
        <f t="shared" si="9"/>
        <v>0</v>
      </c>
      <c r="F83" s="55">
        <f t="shared" si="10"/>
        <v>0</v>
      </c>
      <c r="G83" s="55">
        <f t="shared" si="11"/>
        <v>0</v>
      </c>
      <c r="H83" s="55" t="str">
        <f t="shared" si="12"/>
        <v/>
      </c>
      <c r="J83" s="61">
        <f t="shared" si="13"/>
        <v>0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</row>
    <row r="84" spans="1:36" x14ac:dyDescent="0.2">
      <c r="A84" s="61">
        <f t="shared" si="7"/>
        <v>0</v>
      </c>
      <c r="B84" s="55">
        <f t="shared" si="8"/>
        <v>0</v>
      </c>
      <c r="C84" s="55"/>
      <c r="D84" s="55"/>
      <c r="E84" s="55">
        <f t="shared" si="9"/>
        <v>0</v>
      </c>
      <c r="F84" s="55">
        <f t="shared" si="10"/>
        <v>0</v>
      </c>
      <c r="G84" s="55">
        <f t="shared" si="11"/>
        <v>0</v>
      </c>
      <c r="H84" s="55" t="str">
        <f t="shared" si="12"/>
        <v/>
      </c>
      <c r="J84" s="61">
        <f t="shared" si="13"/>
        <v>0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</row>
    <row r="85" spans="1:36" x14ac:dyDescent="0.2">
      <c r="A85" s="61">
        <f t="shared" si="7"/>
        <v>0</v>
      </c>
      <c r="B85" s="55">
        <f t="shared" si="8"/>
        <v>0</v>
      </c>
      <c r="C85" s="55"/>
      <c r="D85" s="55"/>
      <c r="E85" s="55">
        <f t="shared" si="9"/>
        <v>0</v>
      </c>
      <c r="F85" s="55">
        <f t="shared" si="10"/>
        <v>0</v>
      </c>
      <c r="G85" s="55">
        <f t="shared" si="11"/>
        <v>0</v>
      </c>
      <c r="H85" s="55" t="str">
        <f t="shared" si="12"/>
        <v/>
      </c>
      <c r="J85" s="61">
        <f t="shared" si="13"/>
        <v>0</v>
      </c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</row>
    <row r="86" spans="1:36" x14ac:dyDescent="0.2">
      <c r="A86" s="61">
        <f t="shared" si="7"/>
        <v>0</v>
      </c>
      <c r="B86" s="55">
        <f t="shared" si="8"/>
        <v>0</v>
      </c>
      <c r="C86" s="55"/>
      <c r="D86" s="55"/>
      <c r="E86" s="55">
        <f t="shared" si="9"/>
        <v>0</v>
      </c>
      <c r="F86" s="55">
        <f t="shared" si="10"/>
        <v>0</v>
      </c>
      <c r="G86" s="55">
        <f t="shared" si="11"/>
        <v>0</v>
      </c>
      <c r="H86" s="55" t="str">
        <f t="shared" si="12"/>
        <v/>
      </c>
      <c r="J86" s="61">
        <f t="shared" si="13"/>
        <v>0</v>
      </c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</row>
    <row r="87" spans="1:36" x14ac:dyDescent="0.2">
      <c r="A87" s="61">
        <f t="shared" si="7"/>
        <v>0</v>
      </c>
      <c r="B87" s="55">
        <f t="shared" si="8"/>
        <v>0</v>
      </c>
      <c r="C87" s="55"/>
      <c r="D87" s="55"/>
      <c r="E87" s="55">
        <f t="shared" si="9"/>
        <v>0</v>
      </c>
      <c r="F87" s="55">
        <f t="shared" si="10"/>
        <v>0</v>
      </c>
      <c r="G87" s="55">
        <f t="shared" si="11"/>
        <v>0</v>
      </c>
      <c r="H87" s="55" t="str">
        <f t="shared" si="12"/>
        <v/>
      </c>
      <c r="J87" s="61">
        <f t="shared" si="13"/>
        <v>0</v>
      </c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</row>
    <row r="88" spans="1:36" x14ac:dyDescent="0.2">
      <c r="A88" s="61">
        <f t="shared" si="7"/>
        <v>0</v>
      </c>
      <c r="B88" s="55">
        <f t="shared" si="8"/>
        <v>0</v>
      </c>
      <c r="C88" s="55"/>
      <c r="D88" s="55"/>
      <c r="E88" s="55">
        <f t="shared" si="9"/>
        <v>0</v>
      </c>
      <c r="F88" s="55">
        <f t="shared" si="10"/>
        <v>0</v>
      </c>
      <c r="G88" s="55">
        <f t="shared" si="11"/>
        <v>0</v>
      </c>
      <c r="H88" s="55" t="str">
        <f t="shared" si="12"/>
        <v/>
      </c>
      <c r="J88" s="61">
        <f t="shared" si="13"/>
        <v>0</v>
      </c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</row>
    <row r="89" spans="1:36" x14ac:dyDescent="0.2">
      <c r="A89" s="61">
        <f t="shared" si="7"/>
        <v>0</v>
      </c>
      <c r="B89" s="55">
        <f t="shared" si="8"/>
        <v>0</v>
      </c>
      <c r="C89" s="55"/>
      <c r="D89" s="55"/>
      <c r="E89" s="55">
        <f t="shared" si="9"/>
        <v>0</v>
      </c>
      <c r="F89" s="55">
        <f t="shared" si="10"/>
        <v>0</v>
      </c>
      <c r="G89" s="55">
        <f t="shared" si="11"/>
        <v>0</v>
      </c>
      <c r="H89" s="55" t="str">
        <f t="shared" si="12"/>
        <v/>
      </c>
      <c r="J89" s="61">
        <f t="shared" si="13"/>
        <v>0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</row>
    <row r="90" spans="1:36" x14ac:dyDescent="0.2">
      <c r="A90" s="61">
        <f t="shared" si="7"/>
        <v>0</v>
      </c>
      <c r="B90" s="55">
        <f t="shared" si="8"/>
        <v>0</v>
      </c>
      <c r="C90" s="55"/>
      <c r="D90" s="55"/>
      <c r="E90" s="55">
        <f t="shared" si="9"/>
        <v>0</v>
      </c>
      <c r="F90" s="55">
        <f t="shared" si="10"/>
        <v>0</v>
      </c>
      <c r="G90" s="55">
        <f t="shared" si="11"/>
        <v>0</v>
      </c>
      <c r="H90" s="55" t="str">
        <f t="shared" si="12"/>
        <v/>
      </c>
      <c r="J90" s="61">
        <f t="shared" si="13"/>
        <v>0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1" spans="1:36" x14ac:dyDescent="0.2">
      <c r="A91" s="61">
        <f t="shared" si="7"/>
        <v>0</v>
      </c>
      <c r="B91" s="55">
        <f t="shared" si="8"/>
        <v>0</v>
      </c>
      <c r="C91" s="55"/>
      <c r="D91" s="55"/>
      <c r="E91" s="55">
        <f t="shared" si="9"/>
        <v>0</v>
      </c>
      <c r="F91" s="55">
        <f t="shared" si="10"/>
        <v>0</v>
      </c>
      <c r="G91" s="55">
        <f t="shared" si="11"/>
        <v>0</v>
      </c>
      <c r="H91" s="55" t="str">
        <f t="shared" si="12"/>
        <v/>
      </c>
      <c r="J91" s="61">
        <f t="shared" si="13"/>
        <v>0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</row>
    <row r="92" spans="1:36" x14ac:dyDescent="0.2">
      <c r="A92" s="61">
        <f t="shared" si="7"/>
        <v>0</v>
      </c>
      <c r="B92" s="55">
        <f t="shared" si="8"/>
        <v>0</v>
      </c>
      <c r="C92" s="55"/>
      <c r="D92" s="55"/>
      <c r="E92" s="55">
        <f t="shared" si="9"/>
        <v>0</v>
      </c>
      <c r="F92" s="55">
        <f t="shared" si="10"/>
        <v>0</v>
      </c>
      <c r="G92" s="55">
        <f t="shared" si="11"/>
        <v>0</v>
      </c>
      <c r="H92" s="55" t="str">
        <f t="shared" si="12"/>
        <v/>
      </c>
      <c r="J92" s="61">
        <f t="shared" si="13"/>
        <v>0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</row>
    <row r="93" spans="1:36" x14ac:dyDescent="0.2">
      <c r="A93" s="61">
        <f t="shared" si="7"/>
        <v>0</v>
      </c>
      <c r="B93" s="55">
        <f t="shared" si="8"/>
        <v>0</v>
      </c>
      <c r="C93" s="55"/>
      <c r="D93" s="55"/>
      <c r="E93" s="55">
        <f t="shared" si="9"/>
        <v>0</v>
      </c>
      <c r="F93" s="55">
        <f t="shared" si="10"/>
        <v>0</v>
      </c>
      <c r="G93" s="55">
        <f t="shared" si="11"/>
        <v>0</v>
      </c>
      <c r="H93" s="55" t="str">
        <f t="shared" si="12"/>
        <v/>
      </c>
      <c r="J93" s="61">
        <f t="shared" si="13"/>
        <v>0</v>
      </c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</row>
    <row r="94" spans="1:36" x14ac:dyDescent="0.2">
      <c r="A94" s="61">
        <f t="shared" si="7"/>
        <v>0</v>
      </c>
      <c r="B94" s="55">
        <f t="shared" si="8"/>
        <v>0</v>
      </c>
      <c r="C94" s="55"/>
      <c r="D94" s="55"/>
      <c r="E94" s="55">
        <f t="shared" si="9"/>
        <v>0</v>
      </c>
      <c r="F94" s="55">
        <f t="shared" si="10"/>
        <v>0</v>
      </c>
      <c r="G94" s="55">
        <f t="shared" si="11"/>
        <v>0</v>
      </c>
      <c r="H94" s="55" t="str">
        <f t="shared" si="12"/>
        <v/>
      </c>
      <c r="J94" s="61">
        <f t="shared" si="13"/>
        <v>0</v>
      </c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</row>
    <row r="95" spans="1:36" x14ac:dyDescent="0.2">
      <c r="A95" s="61">
        <f t="shared" si="7"/>
        <v>0</v>
      </c>
      <c r="B95" s="55">
        <f t="shared" si="8"/>
        <v>0</v>
      </c>
      <c r="C95" s="55"/>
      <c r="D95" s="55"/>
      <c r="E95" s="55">
        <f t="shared" si="9"/>
        <v>0</v>
      </c>
      <c r="F95" s="55">
        <f t="shared" si="10"/>
        <v>0</v>
      </c>
      <c r="G95" s="55">
        <f t="shared" si="11"/>
        <v>0</v>
      </c>
      <c r="H95" s="55" t="str">
        <f t="shared" si="12"/>
        <v/>
      </c>
      <c r="J95" s="61">
        <f t="shared" si="13"/>
        <v>0</v>
      </c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</row>
    <row r="96" spans="1:36" x14ac:dyDescent="0.2">
      <c r="A96" s="61">
        <f t="shared" si="7"/>
        <v>0</v>
      </c>
      <c r="B96" s="55">
        <f t="shared" si="8"/>
        <v>0</v>
      </c>
      <c r="C96" s="55"/>
      <c r="D96" s="55"/>
      <c r="E96" s="55">
        <f t="shared" si="9"/>
        <v>0</v>
      </c>
      <c r="F96" s="55">
        <f t="shared" si="10"/>
        <v>0</v>
      </c>
      <c r="G96" s="55">
        <f t="shared" si="11"/>
        <v>0</v>
      </c>
      <c r="H96" s="55" t="str">
        <f t="shared" si="12"/>
        <v/>
      </c>
      <c r="J96" s="61">
        <f t="shared" si="13"/>
        <v>0</v>
      </c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</row>
    <row r="97" spans="1:36" x14ac:dyDescent="0.2">
      <c r="A97" s="61">
        <f t="shared" si="7"/>
        <v>0</v>
      </c>
      <c r="B97" s="55">
        <f t="shared" si="8"/>
        <v>0</v>
      </c>
      <c r="C97" s="55"/>
      <c r="D97" s="55"/>
      <c r="E97" s="55">
        <f t="shared" si="9"/>
        <v>0</v>
      </c>
      <c r="F97" s="55">
        <f t="shared" si="10"/>
        <v>0</v>
      </c>
      <c r="G97" s="55">
        <f t="shared" si="11"/>
        <v>0</v>
      </c>
      <c r="H97" s="55" t="str">
        <f t="shared" si="12"/>
        <v/>
      </c>
      <c r="J97" s="61">
        <f t="shared" si="13"/>
        <v>0</v>
      </c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</row>
    <row r="98" spans="1:36" x14ac:dyDescent="0.2">
      <c r="A98" s="61">
        <f t="shared" si="7"/>
        <v>0</v>
      </c>
      <c r="B98" s="55">
        <f t="shared" si="8"/>
        <v>0</v>
      </c>
      <c r="C98" s="55"/>
      <c r="D98" s="55"/>
      <c r="E98" s="55">
        <f t="shared" si="9"/>
        <v>0</v>
      </c>
      <c r="F98" s="55">
        <f t="shared" si="10"/>
        <v>0</v>
      </c>
      <c r="G98" s="55">
        <f t="shared" si="11"/>
        <v>0</v>
      </c>
      <c r="H98" s="55" t="str">
        <f t="shared" si="12"/>
        <v/>
      </c>
      <c r="J98" s="61">
        <f t="shared" si="13"/>
        <v>0</v>
      </c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</row>
    <row r="99" spans="1:36" x14ac:dyDescent="0.2">
      <c r="A99" s="61">
        <f t="shared" si="7"/>
        <v>0</v>
      </c>
      <c r="B99" s="55">
        <f t="shared" si="8"/>
        <v>0</v>
      </c>
      <c r="C99" s="55"/>
      <c r="D99" s="55"/>
      <c r="E99" s="55">
        <f t="shared" si="9"/>
        <v>0</v>
      </c>
      <c r="F99" s="55">
        <f t="shared" si="10"/>
        <v>0</v>
      </c>
      <c r="G99" s="55">
        <f t="shared" si="11"/>
        <v>0</v>
      </c>
      <c r="H99" s="55" t="str">
        <f t="shared" si="12"/>
        <v/>
      </c>
      <c r="J99" s="61">
        <f t="shared" si="13"/>
        <v>0</v>
      </c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</row>
    <row r="100" spans="1:36" x14ac:dyDescent="0.2">
      <c r="A100" s="61">
        <f t="shared" si="7"/>
        <v>0</v>
      </c>
      <c r="B100" s="55">
        <f t="shared" si="8"/>
        <v>0</v>
      </c>
      <c r="C100" s="55"/>
      <c r="D100" s="55"/>
      <c r="E100" s="55">
        <f t="shared" si="9"/>
        <v>0</v>
      </c>
      <c r="F100" s="55">
        <f t="shared" si="10"/>
        <v>0</v>
      </c>
      <c r="G100" s="55">
        <f t="shared" si="11"/>
        <v>0</v>
      </c>
      <c r="H100" s="55" t="str">
        <f t="shared" si="12"/>
        <v/>
      </c>
      <c r="J100" s="61">
        <f t="shared" si="13"/>
        <v>0</v>
      </c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</row>
    <row r="101" spans="1:36" x14ac:dyDescent="0.2">
      <c r="A101" s="61">
        <f t="shared" si="7"/>
        <v>0</v>
      </c>
      <c r="B101" s="55">
        <f t="shared" si="8"/>
        <v>0</v>
      </c>
      <c r="C101" s="55"/>
      <c r="D101" s="55"/>
      <c r="E101" s="55">
        <f t="shared" si="9"/>
        <v>0</v>
      </c>
      <c r="F101" s="55">
        <f t="shared" si="10"/>
        <v>0</v>
      </c>
      <c r="G101" s="55">
        <f t="shared" si="11"/>
        <v>0</v>
      </c>
      <c r="H101" s="55" t="str">
        <f t="shared" si="12"/>
        <v/>
      </c>
      <c r="J101" s="61">
        <f t="shared" si="13"/>
        <v>0</v>
      </c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</row>
    <row r="102" spans="1:36" x14ac:dyDescent="0.2">
      <c r="A102" s="61">
        <f t="shared" si="7"/>
        <v>0</v>
      </c>
      <c r="B102" s="55">
        <f t="shared" si="8"/>
        <v>0</v>
      </c>
      <c r="C102" s="55"/>
      <c r="D102" s="55"/>
      <c r="E102" s="55">
        <f t="shared" si="9"/>
        <v>0</v>
      </c>
      <c r="F102" s="55">
        <f t="shared" si="10"/>
        <v>0</v>
      </c>
      <c r="G102" s="55">
        <f t="shared" si="11"/>
        <v>0</v>
      </c>
      <c r="H102" s="55" t="str">
        <f t="shared" si="12"/>
        <v/>
      </c>
      <c r="J102" s="61">
        <f t="shared" si="13"/>
        <v>0</v>
      </c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</row>
    <row r="103" spans="1:36" x14ac:dyDescent="0.2">
      <c r="A103" s="61">
        <f t="shared" si="7"/>
        <v>0</v>
      </c>
      <c r="B103" s="55">
        <f t="shared" si="8"/>
        <v>0</v>
      </c>
      <c r="C103" s="55"/>
      <c r="D103" s="55"/>
      <c r="E103" s="55">
        <f t="shared" si="9"/>
        <v>0</v>
      </c>
      <c r="F103" s="55">
        <f t="shared" si="10"/>
        <v>0</v>
      </c>
      <c r="G103" s="55">
        <f t="shared" si="11"/>
        <v>0</v>
      </c>
      <c r="H103" s="55" t="str">
        <f t="shared" si="12"/>
        <v/>
      </c>
      <c r="J103" s="61">
        <f t="shared" si="13"/>
        <v>0</v>
      </c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</row>
    <row r="104" spans="1:36" x14ac:dyDescent="0.2">
      <c r="A104" s="61">
        <f t="shared" si="7"/>
        <v>0</v>
      </c>
      <c r="B104" s="55">
        <f t="shared" si="8"/>
        <v>0</v>
      </c>
      <c r="C104" s="55"/>
      <c r="D104" s="55"/>
      <c r="E104" s="55">
        <f t="shared" si="9"/>
        <v>0</v>
      </c>
      <c r="F104" s="55">
        <f t="shared" si="10"/>
        <v>0</v>
      </c>
      <c r="G104" s="55">
        <f t="shared" si="11"/>
        <v>0</v>
      </c>
      <c r="H104" s="55" t="str">
        <f t="shared" si="12"/>
        <v/>
      </c>
      <c r="J104" s="61">
        <f t="shared" si="13"/>
        <v>0</v>
      </c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</row>
    <row r="105" spans="1:36" x14ac:dyDescent="0.2">
      <c r="A105" s="61">
        <f t="shared" si="7"/>
        <v>0</v>
      </c>
      <c r="B105" s="55">
        <f t="shared" si="8"/>
        <v>0</v>
      </c>
      <c r="C105" s="55"/>
      <c r="D105" s="55"/>
      <c r="E105" s="55">
        <f t="shared" si="9"/>
        <v>0</v>
      </c>
      <c r="F105" s="55">
        <f t="shared" si="10"/>
        <v>0</v>
      </c>
      <c r="G105" s="55">
        <f t="shared" si="11"/>
        <v>0</v>
      </c>
      <c r="H105" s="55" t="str">
        <f t="shared" si="12"/>
        <v/>
      </c>
      <c r="J105" s="61">
        <f t="shared" si="13"/>
        <v>0</v>
      </c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</row>
    <row r="106" spans="1:36" x14ac:dyDescent="0.2">
      <c r="A106" s="61">
        <f t="shared" si="7"/>
        <v>0</v>
      </c>
      <c r="B106" s="55">
        <f t="shared" si="8"/>
        <v>0</v>
      </c>
      <c r="C106" s="55"/>
      <c r="D106" s="55"/>
      <c r="E106" s="55">
        <f t="shared" si="9"/>
        <v>0</v>
      </c>
      <c r="F106" s="55">
        <f t="shared" si="10"/>
        <v>0</v>
      </c>
      <c r="G106" s="55">
        <f t="shared" si="11"/>
        <v>0</v>
      </c>
      <c r="H106" s="55" t="str">
        <f t="shared" si="12"/>
        <v/>
      </c>
      <c r="J106" s="61">
        <f t="shared" si="13"/>
        <v>0</v>
      </c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</row>
    <row r="107" spans="1:36" x14ac:dyDescent="0.2">
      <c r="A107" s="61">
        <f t="shared" si="7"/>
        <v>0</v>
      </c>
      <c r="B107" s="55">
        <f t="shared" si="8"/>
        <v>0</v>
      </c>
      <c r="C107" s="55"/>
      <c r="D107" s="55"/>
      <c r="E107" s="55">
        <f t="shared" si="9"/>
        <v>0</v>
      </c>
      <c r="F107" s="55">
        <f t="shared" si="10"/>
        <v>0</v>
      </c>
      <c r="G107" s="55">
        <f t="shared" si="11"/>
        <v>0</v>
      </c>
      <c r="H107" s="55" t="str">
        <f t="shared" si="12"/>
        <v/>
      </c>
      <c r="J107" s="61">
        <f t="shared" si="13"/>
        <v>0</v>
      </c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</row>
    <row r="108" spans="1:36" x14ac:dyDescent="0.2">
      <c r="A108" s="61">
        <f t="shared" si="7"/>
        <v>0</v>
      </c>
      <c r="B108" s="55">
        <f t="shared" si="8"/>
        <v>0</v>
      </c>
      <c r="C108" s="55"/>
      <c r="D108" s="55"/>
      <c r="E108" s="55">
        <f t="shared" si="9"/>
        <v>0</v>
      </c>
      <c r="F108" s="55">
        <f t="shared" si="10"/>
        <v>0</v>
      </c>
      <c r="G108" s="55">
        <f t="shared" si="11"/>
        <v>0</v>
      </c>
      <c r="H108" s="55" t="str">
        <f t="shared" si="12"/>
        <v/>
      </c>
      <c r="J108" s="61">
        <f t="shared" si="13"/>
        <v>0</v>
      </c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</row>
    <row r="109" spans="1:36" x14ac:dyDescent="0.2">
      <c r="A109" s="61">
        <f t="shared" si="7"/>
        <v>0</v>
      </c>
      <c r="B109" s="55">
        <f t="shared" si="8"/>
        <v>0</v>
      </c>
      <c r="C109" s="55"/>
      <c r="D109" s="55"/>
      <c r="E109" s="55">
        <f t="shared" si="9"/>
        <v>0</v>
      </c>
      <c r="F109" s="55">
        <f t="shared" si="10"/>
        <v>0</v>
      </c>
      <c r="G109" s="55">
        <f t="shared" si="11"/>
        <v>0</v>
      </c>
      <c r="H109" s="55" t="str">
        <f t="shared" si="12"/>
        <v/>
      </c>
      <c r="J109" s="61">
        <f t="shared" si="13"/>
        <v>0</v>
      </c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</row>
    <row r="110" spans="1:36" x14ac:dyDescent="0.2">
      <c r="A110" s="61">
        <f t="shared" si="7"/>
        <v>0</v>
      </c>
      <c r="B110" s="55">
        <f t="shared" si="8"/>
        <v>0</v>
      </c>
      <c r="C110" s="55"/>
      <c r="D110" s="55"/>
      <c r="E110" s="55">
        <f t="shared" si="9"/>
        <v>0</v>
      </c>
      <c r="F110" s="55">
        <f t="shared" si="10"/>
        <v>0</v>
      </c>
      <c r="G110" s="55">
        <f t="shared" si="11"/>
        <v>0</v>
      </c>
      <c r="H110" s="55" t="str">
        <f t="shared" si="12"/>
        <v/>
      </c>
      <c r="J110" s="61">
        <f t="shared" si="13"/>
        <v>0</v>
      </c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</row>
    <row r="111" spans="1:36" x14ac:dyDescent="0.2">
      <c r="A111" s="61">
        <f t="shared" si="7"/>
        <v>0</v>
      </c>
      <c r="B111" s="55">
        <f t="shared" si="8"/>
        <v>0</v>
      </c>
      <c r="C111" s="55"/>
      <c r="D111" s="55"/>
      <c r="E111" s="55">
        <f t="shared" si="9"/>
        <v>0</v>
      </c>
      <c r="F111" s="55">
        <f t="shared" si="10"/>
        <v>0</v>
      </c>
      <c r="G111" s="55">
        <f t="shared" si="11"/>
        <v>0</v>
      </c>
      <c r="H111" s="55" t="str">
        <f t="shared" si="12"/>
        <v/>
      </c>
      <c r="J111" s="61">
        <f t="shared" si="13"/>
        <v>0</v>
      </c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</row>
    <row r="112" spans="1:36" x14ac:dyDescent="0.2">
      <c r="A112" s="61">
        <f t="shared" si="7"/>
        <v>0</v>
      </c>
      <c r="B112" s="55">
        <f t="shared" si="8"/>
        <v>0</v>
      </c>
      <c r="C112" s="55"/>
      <c r="D112" s="55"/>
      <c r="E112" s="55">
        <f t="shared" si="9"/>
        <v>0</v>
      </c>
      <c r="F112" s="55">
        <f t="shared" si="10"/>
        <v>0</v>
      </c>
      <c r="G112" s="55">
        <f t="shared" si="11"/>
        <v>0</v>
      </c>
      <c r="H112" s="55" t="str">
        <f t="shared" si="12"/>
        <v/>
      </c>
      <c r="J112" s="61">
        <f t="shared" si="13"/>
        <v>0</v>
      </c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</row>
    <row r="113" spans="1:36" x14ac:dyDescent="0.2">
      <c r="A113" s="61">
        <f t="shared" si="7"/>
        <v>0</v>
      </c>
      <c r="B113" s="55">
        <f t="shared" si="8"/>
        <v>0</v>
      </c>
      <c r="C113" s="55"/>
      <c r="D113" s="55"/>
      <c r="E113" s="55">
        <f t="shared" si="9"/>
        <v>0</v>
      </c>
      <c r="F113" s="55">
        <f t="shared" si="10"/>
        <v>0</v>
      </c>
      <c r="G113" s="55">
        <f t="shared" si="11"/>
        <v>0</v>
      </c>
      <c r="H113" s="55" t="str">
        <f t="shared" si="12"/>
        <v/>
      </c>
      <c r="J113" s="61">
        <f t="shared" si="13"/>
        <v>0</v>
      </c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</row>
    <row r="114" spans="1:36" x14ac:dyDescent="0.2">
      <c r="A114" s="61">
        <f t="shared" si="7"/>
        <v>0</v>
      </c>
      <c r="B114" s="55">
        <f t="shared" si="8"/>
        <v>0</v>
      </c>
      <c r="C114" s="55"/>
      <c r="D114" s="55"/>
      <c r="E114" s="55">
        <f t="shared" si="9"/>
        <v>0</v>
      </c>
      <c r="F114" s="55">
        <f t="shared" si="10"/>
        <v>0</v>
      </c>
      <c r="G114" s="55">
        <f t="shared" si="11"/>
        <v>0</v>
      </c>
      <c r="H114" s="55" t="str">
        <f t="shared" si="12"/>
        <v/>
      </c>
      <c r="J114" s="61">
        <f t="shared" si="13"/>
        <v>0</v>
      </c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</row>
    <row r="115" spans="1:36" x14ac:dyDescent="0.2">
      <c r="A115" s="61">
        <f t="shared" si="7"/>
        <v>0</v>
      </c>
      <c r="B115" s="55">
        <f t="shared" si="8"/>
        <v>0</v>
      </c>
      <c r="C115" s="55"/>
      <c r="D115" s="55"/>
      <c r="E115" s="55">
        <f t="shared" si="9"/>
        <v>0</v>
      </c>
      <c r="F115" s="55">
        <f t="shared" si="10"/>
        <v>0</v>
      </c>
      <c r="G115" s="55">
        <f t="shared" si="11"/>
        <v>0</v>
      </c>
      <c r="H115" s="55" t="str">
        <f t="shared" si="12"/>
        <v/>
      </c>
      <c r="J115" s="61">
        <f t="shared" si="13"/>
        <v>0</v>
      </c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</row>
    <row r="116" spans="1:36" x14ac:dyDescent="0.2">
      <c r="A116" s="61">
        <f t="shared" si="7"/>
        <v>0</v>
      </c>
      <c r="B116" s="55">
        <f t="shared" si="8"/>
        <v>0</v>
      </c>
      <c r="C116" s="55"/>
      <c r="D116" s="55"/>
      <c r="E116" s="55">
        <f t="shared" si="9"/>
        <v>0</v>
      </c>
      <c r="F116" s="55">
        <f t="shared" si="10"/>
        <v>0</v>
      </c>
      <c r="G116" s="55">
        <f t="shared" si="11"/>
        <v>0</v>
      </c>
      <c r="H116" s="55" t="str">
        <f t="shared" si="12"/>
        <v/>
      </c>
      <c r="J116" s="61">
        <f t="shared" si="13"/>
        <v>0</v>
      </c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</row>
    <row r="117" spans="1:36" x14ac:dyDescent="0.2">
      <c r="A117" s="61">
        <f t="shared" si="7"/>
        <v>0</v>
      </c>
      <c r="B117" s="55">
        <f t="shared" si="8"/>
        <v>0</v>
      </c>
      <c r="C117" s="55"/>
      <c r="D117" s="55"/>
      <c r="E117" s="55">
        <f t="shared" si="9"/>
        <v>0</v>
      </c>
      <c r="F117" s="55">
        <f t="shared" si="10"/>
        <v>0</v>
      </c>
      <c r="G117" s="55">
        <f t="shared" si="11"/>
        <v>0</v>
      </c>
      <c r="H117" s="55" t="str">
        <f t="shared" si="12"/>
        <v/>
      </c>
      <c r="J117" s="61">
        <f t="shared" si="13"/>
        <v>0</v>
      </c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</row>
    <row r="118" spans="1:36" x14ac:dyDescent="0.2">
      <c r="A118" s="61">
        <f t="shared" si="7"/>
        <v>0</v>
      </c>
      <c r="B118" s="55">
        <f t="shared" si="8"/>
        <v>0</v>
      </c>
      <c r="C118" s="55"/>
      <c r="D118" s="55"/>
      <c r="E118" s="55">
        <f t="shared" si="9"/>
        <v>0</v>
      </c>
      <c r="F118" s="55">
        <f t="shared" si="10"/>
        <v>0</v>
      </c>
      <c r="G118" s="55">
        <f t="shared" si="11"/>
        <v>0</v>
      </c>
      <c r="H118" s="55" t="str">
        <f t="shared" si="12"/>
        <v/>
      </c>
      <c r="J118" s="61">
        <f t="shared" si="13"/>
        <v>0</v>
      </c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</row>
    <row r="119" spans="1:36" x14ac:dyDescent="0.2">
      <c r="A119" s="61">
        <f t="shared" si="7"/>
        <v>0</v>
      </c>
      <c r="B119" s="55">
        <f t="shared" si="8"/>
        <v>0</v>
      </c>
      <c r="C119" s="55"/>
      <c r="D119" s="55"/>
      <c r="E119" s="55">
        <f t="shared" si="9"/>
        <v>0</v>
      </c>
      <c r="F119" s="55">
        <f t="shared" si="10"/>
        <v>0</v>
      </c>
      <c r="G119" s="55">
        <f t="shared" si="11"/>
        <v>0</v>
      </c>
      <c r="H119" s="55" t="str">
        <f t="shared" si="12"/>
        <v/>
      </c>
      <c r="J119" s="61">
        <f t="shared" si="13"/>
        <v>0</v>
      </c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</row>
    <row r="120" spans="1:36" x14ac:dyDescent="0.2">
      <c r="A120" s="61">
        <f t="shared" si="7"/>
        <v>0</v>
      </c>
      <c r="B120" s="55">
        <f t="shared" si="8"/>
        <v>0</v>
      </c>
      <c r="C120" s="55"/>
      <c r="D120" s="55"/>
      <c r="E120" s="55">
        <f t="shared" si="9"/>
        <v>0</v>
      </c>
      <c r="F120" s="55">
        <f t="shared" si="10"/>
        <v>0</v>
      </c>
      <c r="G120" s="55">
        <f t="shared" si="11"/>
        <v>0</v>
      </c>
      <c r="H120" s="55" t="str">
        <f t="shared" si="12"/>
        <v/>
      </c>
      <c r="J120" s="61">
        <f t="shared" si="13"/>
        <v>0</v>
      </c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</row>
    <row r="121" spans="1:36" x14ac:dyDescent="0.2">
      <c r="A121" s="61">
        <f t="shared" si="7"/>
        <v>0</v>
      </c>
      <c r="B121" s="55">
        <f t="shared" si="8"/>
        <v>0</v>
      </c>
      <c r="C121" s="55"/>
      <c r="D121" s="55"/>
      <c r="E121" s="55">
        <f t="shared" si="9"/>
        <v>0</v>
      </c>
      <c r="F121" s="55">
        <f t="shared" si="10"/>
        <v>0</v>
      </c>
      <c r="G121" s="55">
        <f t="shared" si="11"/>
        <v>0</v>
      </c>
      <c r="H121" s="55" t="str">
        <f t="shared" si="12"/>
        <v/>
      </c>
      <c r="J121" s="61">
        <f t="shared" si="13"/>
        <v>0</v>
      </c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</row>
    <row r="122" spans="1:36" x14ac:dyDescent="0.2">
      <c r="A122" s="61">
        <f t="shared" si="7"/>
        <v>0</v>
      </c>
      <c r="B122" s="55">
        <f t="shared" si="8"/>
        <v>0</v>
      </c>
      <c r="C122" s="55"/>
      <c r="D122" s="55"/>
      <c r="E122" s="55">
        <f t="shared" si="9"/>
        <v>0</v>
      </c>
      <c r="F122" s="55">
        <f t="shared" si="10"/>
        <v>0</v>
      </c>
      <c r="G122" s="55">
        <f t="shared" si="11"/>
        <v>0</v>
      </c>
      <c r="H122" s="55" t="str">
        <f t="shared" si="12"/>
        <v/>
      </c>
      <c r="J122" s="61">
        <f t="shared" si="13"/>
        <v>0</v>
      </c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</row>
    <row r="123" spans="1:36" x14ac:dyDescent="0.2">
      <c r="A123" s="61">
        <f t="shared" si="7"/>
        <v>0</v>
      </c>
      <c r="B123" s="55">
        <f t="shared" si="8"/>
        <v>0</v>
      </c>
      <c r="C123" s="55"/>
      <c r="D123" s="55"/>
      <c r="E123" s="55">
        <f t="shared" si="9"/>
        <v>0</v>
      </c>
      <c r="F123" s="55">
        <f t="shared" si="10"/>
        <v>0</v>
      </c>
      <c r="G123" s="55">
        <f t="shared" si="11"/>
        <v>0</v>
      </c>
      <c r="H123" s="55" t="str">
        <f t="shared" si="12"/>
        <v/>
      </c>
      <c r="J123" s="61">
        <f t="shared" si="13"/>
        <v>0</v>
      </c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</row>
    <row r="124" spans="1:36" x14ac:dyDescent="0.2">
      <c r="A124" s="61">
        <f t="shared" si="7"/>
        <v>0</v>
      </c>
      <c r="B124" s="55">
        <f t="shared" si="8"/>
        <v>0</v>
      </c>
      <c r="C124" s="55"/>
      <c r="D124" s="55"/>
      <c r="E124" s="55">
        <f t="shared" si="9"/>
        <v>0</v>
      </c>
      <c r="F124" s="55">
        <f t="shared" si="10"/>
        <v>0</v>
      </c>
      <c r="G124" s="55">
        <f t="shared" si="11"/>
        <v>0</v>
      </c>
      <c r="H124" s="55" t="str">
        <f t="shared" si="12"/>
        <v/>
      </c>
      <c r="J124" s="61">
        <f t="shared" si="13"/>
        <v>0</v>
      </c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</row>
    <row r="125" spans="1:36" x14ac:dyDescent="0.2">
      <c r="A125" s="61">
        <f t="shared" si="7"/>
        <v>0</v>
      </c>
      <c r="B125" s="55">
        <f t="shared" si="8"/>
        <v>0</v>
      </c>
      <c r="C125" s="55"/>
      <c r="D125" s="55"/>
      <c r="E125" s="55">
        <f t="shared" si="9"/>
        <v>0</v>
      </c>
      <c r="F125" s="55">
        <f t="shared" si="10"/>
        <v>0</v>
      </c>
      <c r="G125" s="55">
        <f t="shared" si="11"/>
        <v>0</v>
      </c>
      <c r="H125" s="55" t="str">
        <f t="shared" si="12"/>
        <v/>
      </c>
      <c r="J125" s="61">
        <f t="shared" si="13"/>
        <v>0</v>
      </c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</row>
    <row r="126" spans="1:36" x14ac:dyDescent="0.2">
      <c r="A126" s="61">
        <f t="shared" si="7"/>
        <v>0</v>
      </c>
      <c r="B126" s="55">
        <f t="shared" si="8"/>
        <v>0</v>
      </c>
      <c r="C126" s="55"/>
      <c r="D126" s="55"/>
      <c r="E126" s="55">
        <f t="shared" si="9"/>
        <v>0</v>
      </c>
      <c r="F126" s="55">
        <f t="shared" si="10"/>
        <v>0</v>
      </c>
      <c r="G126" s="55">
        <f t="shared" si="11"/>
        <v>0</v>
      </c>
      <c r="H126" s="55" t="str">
        <f t="shared" si="12"/>
        <v/>
      </c>
      <c r="J126" s="61">
        <f t="shared" si="13"/>
        <v>0</v>
      </c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</row>
    <row r="127" spans="1:36" x14ac:dyDescent="0.2">
      <c r="A127" s="61">
        <f t="shared" si="7"/>
        <v>0</v>
      </c>
      <c r="B127" s="55">
        <f t="shared" si="8"/>
        <v>0</v>
      </c>
      <c r="C127" s="55"/>
      <c r="D127" s="55"/>
      <c r="E127" s="55">
        <f t="shared" si="9"/>
        <v>0</v>
      </c>
      <c r="F127" s="55">
        <f t="shared" si="10"/>
        <v>0</v>
      </c>
      <c r="G127" s="55">
        <f t="shared" si="11"/>
        <v>0</v>
      </c>
      <c r="H127" s="55" t="str">
        <f t="shared" si="12"/>
        <v/>
      </c>
      <c r="J127" s="61">
        <f t="shared" si="13"/>
        <v>0</v>
      </c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</row>
    <row r="128" spans="1:36" x14ac:dyDescent="0.2">
      <c r="A128" s="61">
        <f t="shared" si="7"/>
        <v>0</v>
      </c>
      <c r="B128" s="55">
        <f t="shared" si="8"/>
        <v>0</v>
      </c>
      <c r="C128" s="55"/>
      <c r="D128" s="55"/>
      <c r="E128" s="55">
        <f t="shared" si="9"/>
        <v>0</v>
      </c>
      <c r="F128" s="55">
        <f t="shared" si="10"/>
        <v>0</v>
      </c>
      <c r="G128" s="55">
        <f t="shared" si="11"/>
        <v>0</v>
      </c>
      <c r="H128" s="55" t="str">
        <f t="shared" si="12"/>
        <v/>
      </c>
      <c r="J128" s="61">
        <f t="shared" si="13"/>
        <v>0</v>
      </c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</row>
    <row r="129" spans="1:36" x14ac:dyDescent="0.2">
      <c r="A129" s="61">
        <f t="shared" si="7"/>
        <v>0</v>
      </c>
      <c r="B129" s="55">
        <f t="shared" si="8"/>
        <v>0</v>
      </c>
      <c r="C129" s="55"/>
      <c r="D129" s="55"/>
      <c r="E129" s="55">
        <f t="shared" si="9"/>
        <v>0</v>
      </c>
      <c r="F129" s="55">
        <f t="shared" si="10"/>
        <v>0</v>
      </c>
      <c r="G129" s="55">
        <f t="shared" si="11"/>
        <v>0</v>
      </c>
      <c r="H129" s="55" t="str">
        <f t="shared" si="12"/>
        <v/>
      </c>
      <c r="J129" s="61">
        <f t="shared" si="13"/>
        <v>0</v>
      </c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</row>
    <row r="130" spans="1:36" x14ac:dyDescent="0.2">
      <c r="A130" s="61">
        <f t="shared" ref="A130:A193" si="14">J130</f>
        <v>0</v>
      </c>
      <c r="B130" s="55">
        <f t="shared" ref="B130:B193" si="15">M130</f>
        <v>0</v>
      </c>
      <c r="C130" s="55"/>
      <c r="D130" s="55"/>
      <c r="E130" s="55">
        <f t="shared" ref="E130:E193" si="16">V130</f>
        <v>0</v>
      </c>
      <c r="F130" s="55">
        <f t="shared" ref="F130:F193" si="17">Z130</f>
        <v>0</v>
      </c>
      <c r="G130" s="55">
        <f t="shared" ref="G130:G193" si="18">AH130</f>
        <v>0</v>
      </c>
      <c r="H130" s="55" t="str">
        <f t="shared" ref="H130:H193" si="19">IF(Q130&gt;1,IF(Q130=2,"I","E"),"")</f>
        <v/>
      </c>
      <c r="J130" s="61">
        <f t="shared" ref="J130:J193" si="20">P130*1</f>
        <v>0</v>
      </c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</row>
    <row r="131" spans="1:36" x14ac:dyDescent="0.2">
      <c r="A131" s="61">
        <f t="shared" si="14"/>
        <v>0</v>
      </c>
      <c r="B131" s="55">
        <f t="shared" si="15"/>
        <v>0</v>
      </c>
      <c r="C131" s="55"/>
      <c r="D131" s="55"/>
      <c r="E131" s="55">
        <f t="shared" si="16"/>
        <v>0</v>
      </c>
      <c r="F131" s="55">
        <f t="shared" si="17"/>
        <v>0</v>
      </c>
      <c r="G131" s="55">
        <f t="shared" si="18"/>
        <v>0</v>
      </c>
      <c r="H131" s="55" t="str">
        <f t="shared" si="19"/>
        <v/>
      </c>
      <c r="J131" s="61">
        <f t="shared" si="20"/>
        <v>0</v>
      </c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</row>
    <row r="132" spans="1:36" x14ac:dyDescent="0.2">
      <c r="A132" s="61">
        <f t="shared" si="14"/>
        <v>0</v>
      </c>
      <c r="B132" s="55">
        <f t="shared" si="15"/>
        <v>0</v>
      </c>
      <c r="C132" s="55"/>
      <c r="D132" s="55"/>
      <c r="E132" s="55">
        <f t="shared" si="16"/>
        <v>0</v>
      </c>
      <c r="F132" s="55">
        <f t="shared" si="17"/>
        <v>0</v>
      </c>
      <c r="G132" s="55">
        <f t="shared" si="18"/>
        <v>0</v>
      </c>
      <c r="H132" s="55" t="str">
        <f t="shared" si="19"/>
        <v/>
      </c>
      <c r="J132" s="61">
        <f t="shared" si="20"/>
        <v>0</v>
      </c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</row>
    <row r="133" spans="1:36" x14ac:dyDescent="0.2">
      <c r="A133" s="61">
        <f t="shared" si="14"/>
        <v>0</v>
      </c>
      <c r="B133" s="55">
        <f t="shared" si="15"/>
        <v>0</v>
      </c>
      <c r="C133" s="55"/>
      <c r="D133" s="55"/>
      <c r="E133" s="55">
        <f t="shared" si="16"/>
        <v>0</v>
      </c>
      <c r="F133" s="55">
        <f t="shared" si="17"/>
        <v>0</v>
      </c>
      <c r="G133" s="55">
        <f t="shared" si="18"/>
        <v>0</v>
      </c>
      <c r="H133" s="55" t="str">
        <f t="shared" si="19"/>
        <v/>
      </c>
      <c r="J133" s="61">
        <f t="shared" si="20"/>
        <v>0</v>
      </c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</row>
    <row r="134" spans="1:36" x14ac:dyDescent="0.2">
      <c r="A134" s="61">
        <f t="shared" si="14"/>
        <v>0</v>
      </c>
      <c r="B134" s="55">
        <f t="shared" si="15"/>
        <v>0</v>
      </c>
      <c r="C134" s="55"/>
      <c r="D134" s="55"/>
      <c r="E134" s="55">
        <f t="shared" si="16"/>
        <v>0</v>
      </c>
      <c r="F134" s="55">
        <f t="shared" si="17"/>
        <v>0</v>
      </c>
      <c r="G134" s="55">
        <f t="shared" si="18"/>
        <v>0</v>
      </c>
      <c r="H134" s="55" t="str">
        <f t="shared" si="19"/>
        <v/>
      </c>
      <c r="J134" s="61">
        <f t="shared" si="20"/>
        <v>0</v>
      </c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</row>
    <row r="135" spans="1:36" x14ac:dyDescent="0.2">
      <c r="A135" s="61">
        <f t="shared" si="14"/>
        <v>0</v>
      </c>
      <c r="B135" s="55">
        <f t="shared" si="15"/>
        <v>0</v>
      </c>
      <c r="C135" s="55"/>
      <c r="D135" s="55"/>
      <c r="E135" s="55">
        <f t="shared" si="16"/>
        <v>0</v>
      </c>
      <c r="F135" s="55">
        <f t="shared" si="17"/>
        <v>0</v>
      </c>
      <c r="G135" s="55">
        <f t="shared" si="18"/>
        <v>0</v>
      </c>
      <c r="H135" s="55" t="str">
        <f t="shared" si="19"/>
        <v/>
      </c>
      <c r="J135" s="61">
        <f t="shared" si="20"/>
        <v>0</v>
      </c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</row>
    <row r="136" spans="1:36" x14ac:dyDescent="0.2">
      <c r="A136" s="61">
        <f t="shared" si="14"/>
        <v>0</v>
      </c>
      <c r="B136" s="55">
        <f t="shared" si="15"/>
        <v>0</v>
      </c>
      <c r="C136" s="55"/>
      <c r="D136" s="55"/>
      <c r="E136" s="55">
        <f t="shared" si="16"/>
        <v>0</v>
      </c>
      <c r="F136" s="55">
        <f t="shared" si="17"/>
        <v>0</v>
      </c>
      <c r="G136" s="55">
        <f t="shared" si="18"/>
        <v>0</v>
      </c>
      <c r="H136" s="55" t="str">
        <f t="shared" si="19"/>
        <v/>
      </c>
      <c r="J136" s="61">
        <f t="shared" si="20"/>
        <v>0</v>
      </c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</row>
    <row r="137" spans="1:36" x14ac:dyDescent="0.2">
      <c r="A137" s="61">
        <f t="shared" si="14"/>
        <v>0</v>
      </c>
      <c r="B137" s="55">
        <f t="shared" si="15"/>
        <v>0</v>
      </c>
      <c r="C137" s="55"/>
      <c r="D137" s="55"/>
      <c r="E137" s="55">
        <f t="shared" si="16"/>
        <v>0</v>
      </c>
      <c r="F137" s="55">
        <f t="shared" si="17"/>
        <v>0</v>
      </c>
      <c r="G137" s="55">
        <f t="shared" si="18"/>
        <v>0</v>
      </c>
      <c r="H137" s="55" t="str">
        <f t="shared" si="19"/>
        <v/>
      </c>
      <c r="J137" s="61">
        <f t="shared" si="20"/>
        <v>0</v>
      </c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</row>
    <row r="138" spans="1:36" x14ac:dyDescent="0.2">
      <c r="A138" s="61">
        <f t="shared" si="14"/>
        <v>0</v>
      </c>
      <c r="B138" s="55">
        <f t="shared" si="15"/>
        <v>0</v>
      </c>
      <c r="C138" s="55"/>
      <c r="D138" s="55"/>
      <c r="E138" s="55">
        <f t="shared" si="16"/>
        <v>0</v>
      </c>
      <c r="F138" s="55">
        <f t="shared" si="17"/>
        <v>0</v>
      </c>
      <c r="G138" s="55">
        <f t="shared" si="18"/>
        <v>0</v>
      </c>
      <c r="H138" s="55" t="str">
        <f t="shared" si="19"/>
        <v/>
      </c>
      <c r="J138" s="61">
        <f t="shared" si="20"/>
        <v>0</v>
      </c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</row>
    <row r="139" spans="1:36" x14ac:dyDescent="0.2">
      <c r="A139" s="61">
        <f t="shared" si="14"/>
        <v>0</v>
      </c>
      <c r="B139" s="55">
        <f t="shared" si="15"/>
        <v>0</v>
      </c>
      <c r="C139" s="55"/>
      <c r="D139" s="55"/>
      <c r="E139" s="55">
        <f t="shared" si="16"/>
        <v>0</v>
      </c>
      <c r="F139" s="55">
        <f t="shared" si="17"/>
        <v>0</v>
      </c>
      <c r="G139" s="55">
        <f t="shared" si="18"/>
        <v>0</v>
      </c>
      <c r="H139" s="55" t="str">
        <f t="shared" si="19"/>
        <v/>
      </c>
      <c r="J139" s="61">
        <f t="shared" si="20"/>
        <v>0</v>
      </c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</row>
    <row r="140" spans="1:36" x14ac:dyDescent="0.2">
      <c r="A140" s="61">
        <f t="shared" si="14"/>
        <v>0</v>
      </c>
      <c r="B140" s="55">
        <f t="shared" si="15"/>
        <v>0</v>
      </c>
      <c r="C140" s="55"/>
      <c r="D140" s="55"/>
      <c r="E140" s="55">
        <f t="shared" si="16"/>
        <v>0</v>
      </c>
      <c r="F140" s="55">
        <f t="shared" si="17"/>
        <v>0</v>
      </c>
      <c r="G140" s="55">
        <f t="shared" si="18"/>
        <v>0</v>
      </c>
      <c r="H140" s="55" t="str">
        <f t="shared" si="19"/>
        <v/>
      </c>
      <c r="J140" s="61">
        <f t="shared" si="20"/>
        <v>0</v>
      </c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</row>
    <row r="141" spans="1:36" x14ac:dyDescent="0.2">
      <c r="A141" s="61">
        <f t="shared" si="14"/>
        <v>0</v>
      </c>
      <c r="B141" s="55">
        <f t="shared" si="15"/>
        <v>0</v>
      </c>
      <c r="C141" s="55"/>
      <c r="D141" s="55"/>
      <c r="E141" s="55">
        <f t="shared" si="16"/>
        <v>0</v>
      </c>
      <c r="F141" s="55">
        <f t="shared" si="17"/>
        <v>0</v>
      </c>
      <c r="G141" s="55">
        <f t="shared" si="18"/>
        <v>0</v>
      </c>
      <c r="H141" s="55" t="str">
        <f t="shared" si="19"/>
        <v/>
      </c>
      <c r="J141" s="61">
        <f t="shared" si="20"/>
        <v>0</v>
      </c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</row>
    <row r="142" spans="1:36" x14ac:dyDescent="0.2">
      <c r="A142" s="61">
        <f t="shared" si="14"/>
        <v>0</v>
      </c>
      <c r="B142" s="55">
        <f t="shared" si="15"/>
        <v>0</v>
      </c>
      <c r="C142" s="55"/>
      <c r="D142" s="55"/>
      <c r="E142" s="55">
        <f t="shared" si="16"/>
        <v>0</v>
      </c>
      <c r="F142" s="55">
        <f t="shared" si="17"/>
        <v>0</v>
      </c>
      <c r="G142" s="55">
        <f t="shared" si="18"/>
        <v>0</v>
      </c>
      <c r="H142" s="55" t="str">
        <f t="shared" si="19"/>
        <v/>
      </c>
      <c r="J142" s="61">
        <f t="shared" si="20"/>
        <v>0</v>
      </c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</row>
    <row r="143" spans="1:36" x14ac:dyDescent="0.2">
      <c r="A143" s="61">
        <f t="shared" si="14"/>
        <v>0</v>
      </c>
      <c r="B143" s="55">
        <f t="shared" si="15"/>
        <v>0</v>
      </c>
      <c r="C143" s="55"/>
      <c r="D143" s="55"/>
      <c r="E143" s="55">
        <f t="shared" si="16"/>
        <v>0</v>
      </c>
      <c r="F143" s="55">
        <f t="shared" si="17"/>
        <v>0</v>
      </c>
      <c r="G143" s="55">
        <f t="shared" si="18"/>
        <v>0</v>
      </c>
      <c r="H143" s="55" t="str">
        <f t="shared" si="19"/>
        <v/>
      </c>
      <c r="J143" s="61">
        <f t="shared" si="20"/>
        <v>0</v>
      </c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</row>
    <row r="144" spans="1:36" x14ac:dyDescent="0.2">
      <c r="A144" s="61">
        <f t="shared" si="14"/>
        <v>0</v>
      </c>
      <c r="B144" s="55">
        <f t="shared" si="15"/>
        <v>0</v>
      </c>
      <c r="C144" s="55"/>
      <c r="D144" s="55"/>
      <c r="E144" s="55">
        <f t="shared" si="16"/>
        <v>0</v>
      </c>
      <c r="F144" s="55">
        <f t="shared" si="17"/>
        <v>0</v>
      </c>
      <c r="G144" s="55">
        <f t="shared" si="18"/>
        <v>0</v>
      </c>
      <c r="H144" s="55" t="str">
        <f t="shared" si="19"/>
        <v/>
      </c>
      <c r="J144" s="61">
        <f t="shared" si="20"/>
        <v>0</v>
      </c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</row>
    <row r="145" spans="1:36" x14ac:dyDescent="0.2">
      <c r="A145" s="61">
        <f t="shared" si="14"/>
        <v>0</v>
      </c>
      <c r="B145" s="55">
        <f t="shared" si="15"/>
        <v>0</v>
      </c>
      <c r="C145" s="55"/>
      <c r="D145" s="55"/>
      <c r="E145" s="55">
        <f t="shared" si="16"/>
        <v>0</v>
      </c>
      <c r="F145" s="55">
        <f t="shared" si="17"/>
        <v>0</v>
      </c>
      <c r="G145" s="55">
        <f t="shared" si="18"/>
        <v>0</v>
      </c>
      <c r="H145" s="55" t="str">
        <f t="shared" si="19"/>
        <v/>
      </c>
      <c r="J145" s="61">
        <f t="shared" si="20"/>
        <v>0</v>
      </c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</row>
    <row r="146" spans="1:36" x14ac:dyDescent="0.2">
      <c r="A146" s="61">
        <f t="shared" si="14"/>
        <v>0</v>
      </c>
      <c r="B146" s="55">
        <f t="shared" si="15"/>
        <v>0</v>
      </c>
      <c r="C146" s="55"/>
      <c r="D146" s="55"/>
      <c r="E146" s="55">
        <f t="shared" si="16"/>
        <v>0</v>
      </c>
      <c r="F146" s="55">
        <f t="shared" si="17"/>
        <v>0</v>
      </c>
      <c r="G146" s="55">
        <f t="shared" si="18"/>
        <v>0</v>
      </c>
      <c r="H146" s="55" t="str">
        <f t="shared" si="19"/>
        <v/>
      </c>
      <c r="J146" s="61">
        <f t="shared" si="20"/>
        <v>0</v>
      </c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</row>
    <row r="147" spans="1:36" x14ac:dyDescent="0.2">
      <c r="A147" s="61">
        <f t="shared" si="14"/>
        <v>0</v>
      </c>
      <c r="B147" s="55">
        <f t="shared" si="15"/>
        <v>0</v>
      </c>
      <c r="C147" s="55"/>
      <c r="D147" s="55"/>
      <c r="E147" s="55">
        <f t="shared" si="16"/>
        <v>0</v>
      </c>
      <c r="F147" s="55">
        <f t="shared" si="17"/>
        <v>0</v>
      </c>
      <c r="G147" s="55">
        <f t="shared" si="18"/>
        <v>0</v>
      </c>
      <c r="H147" s="55" t="str">
        <f t="shared" si="19"/>
        <v/>
      </c>
      <c r="J147" s="61">
        <f t="shared" si="20"/>
        <v>0</v>
      </c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</row>
    <row r="148" spans="1:36" x14ac:dyDescent="0.2">
      <c r="A148" s="61">
        <f t="shared" si="14"/>
        <v>0</v>
      </c>
      <c r="B148" s="55">
        <f t="shared" si="15"/>
        <v>0</v>
      </c>
      <c r="C148" s="55"/>
      <c r="D148" s="55"/>
      <c r="E148" s="55">
        <f t="shared" si="16"/>
        <v>0</v>
      </c>
      <c r="F148" s="55">
        <f t="shared" si="17"/>
        <v>0</v>
      </c>
      <c r="G148" s="55">
        <f t="shared" si="18"/>
        <v>0</v>
      </c>
      <c r="H148" s="55" t="str">
        <f t="shared" si="19"/>
        <v/>
      </c>
      <c r="J148" s="61">
        <f t="shared" si="20"/>
        <v>0</v>
      </c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</row>
    <row r="149" spans="1:36" x14ac:dyDescent="0.2">
      <c r="A149" s="61">
        <f t="shared" si="14"/>
        <v>0</v>
      </c>
      <c r="B149" s="55">
        <f t="shared" si="15"/>
        <v>0</v>
      </c>
      <c r="C149" s="55"/>
      <c r="D149" s="55"/>
      <c r="E149" s="55">
        <f t="shared" si="16"/>
        <v>0</v>
      </c>
      <c r="F149" s="55">
        <f t="shared" si="17"/>
        <v>0</v>
      </c>
      <c r="G149" s="55">
        <f t="shared" si="18"/>
        <v>0</v>
      </c>
      <c r="H149" s="55" t="str">
        <f t="shared" si="19"/>
        <v/>
      </c>
      <c r="J149" s="61">
        <f t="shared" si="20"/>
        <v>0</v>
      </c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</row>
    <row r="150" spans="1:36" x14ac:dyDescent="0.2">
      <c r="A150" s="61">
        <f t="shared" si="14"/>
        <v>0</v>
      </c>
      <c r="B150" s="55">
        <f t="shared" si="15"/>
        <v>0</v>
      </c>
      <c r="C150" s="55"/>
      <c r="D150" s="55"/>
      <c r="E150" s="55">
        <f t="shared" si="16"/>
        <v>0</v>
      </c>
      <c r="F150" s="55">
        <f t="shared" si="17"/>
        <v>0</v>
      </c>
      <c r="G150" s="55">
        <f t="shared" si="18"/>
        <v>0</v>
      </c>
      <c r="H150" s="55" t="str">
        <f t="shared" si="19"/>
        <v/>
      </c>
      <c r="J150" s="61">
        <f t="shared" si="20"/>
        <v>0</v>
      </c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</row>
    <row r="151" spans="1:36" x14ac:dyDescent="0.2">
      <c r="A151" s="61">
        <f t="shared" si="14"/>
        <v>0</v>
      </c>
      <c r="B151" s="55">
        <f t="shared" si="15"/>
        <v>0</v>
      </c>
      <c r="C151" s="55"/>
      <c r="D151" s="55"/>
      <c r="E151" s="55">
        <f t="shared" si="16"/>
        <v>0</v>
      </c>
      <c r="F151" s="55">
        <f t="shared" si="17"/>
        <v>0</v>
      </c>
      <c r="G151" s="55">
        <f t="shared" si="18"/>
        <v>0</v>
      </c>
      <c r="H151" s="55" t="str">
        <f t="shared" si="19"/>
        <v/>
      </c>
      <c r="J151" s="61">
        <f t="shared" si="20"/>
        <v>0</v>
      </c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</row>
    <row r="152" spans="1:36" x14ac:dyDescent="0.2">
      <c r="A152" s="61">
        <f t="shared" si="14"/>
        <v>0</v>
      </c>
      <c r="B152" s="55">
        <f t="shared" si="15"/>
        <v>0</v>
      </c>
      <c r="C152" s="55"/>
      <c r="D152" s="55"/>
      <c r="E152" s="55">
        <f t="shared" si="16"/>
        <v>0</v>
      </c>
      <c r="F152" s="55">
        <f t="shared" si="17"/>
        <v>0</v>
      </c>
      <c r="G152" s="55">
        <f t="shared" si="18"/>
        <v>0</v>
      </c>
      <c r="H152" s="55" t="str">
        <f t="shared" si="19"/>
        <v/>
      </c>
      <c r="J152" s="61">
        <f t="shared" si="20"/>
        <v>0</v>
      </c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</row>
    <row r="153" spans="1:36" x14ac:dyDescent="0.2">
      <c r="A153" s="61">
        <f t="shared" si="14"/>
        <v>0</v>
      </c>
      <c r="B153" s="55">
        <f t="shared" si="15"/>
        <v>0</v>
      </c>
      <c r="C153" s="55"/>
      <c r="D153" s="55"/>
      <c r="E153" s="55">
        <f t="shared" si="16"/>
        <v>0</v>
      </c>
      <c r="F153" s="55">
        <f t="shared" si="17"/>
        <v>0</v>
      </c>
      <c r="G153" s="55">
        <f t="shared" si="18"/>
        <v>0</v>
      </c>
      <c r="H153" s="55" t="str">
        <f t="shared" si="19"/>
        <v/>
      </c>
      <c r="J153" s="61">
        <f t="shared" si="20"/>
        <v>0</v>
      </c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</row>
    <row r="154" spans="1:36" x14ac:dyDescent="0.2">
      <c r="A154" s="61">
        <f t="shared" si="14"/>
        <v>0</v>
      </c>
      <c r="B154" s="55">
        <f t="shared" si="15"/>
        <v>0</v>
      </c>
      <c r="C154" s="55"/>
      <c r="D154" s="55"/>
      <c r="E154" s="55">
        <f t="shared" si="16"/>
        <v>0</v>
      </c>
      <c r="F154" s="55">
        <f t="shared" si="17"/>
        <v>0</v>
      </c>
      <c r="G154" s="55">
        <f t="shared" si="18"/>
        <v>0</v>
      </c>
      <c r="H154" s="55" t="str">
        <f t="shared" si="19"/>
        <v/>
      </c>
      <c r="J154" s="61">
        <f t="shared" si="20"/>
        <v>0</v>
      </c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</row>
    <row r="155" spans="1:36" x14ac:dyDescent="0.2">
      <c r="A155" s="61">
        <f t="shared" si="14"/>
        <v>0</v>
      </c>
      <c r="B155" s="55">
        <f t="shared" si="15"/>
        <v>0</v>
      </c>
      <c r="C155" s="55"/>
      <c r="D155" s="55"/>
      <c r="E155" s="55">
        <f t="shared" si="16"/>
        <v>0</v>
      </c>
      <c r="F155" s="55">
        <f t="shared" si="17"/>
        <v>0</v>
      </c>
      <c r="G155" s="55">
        <f t="shared" si="18"/>
        <v>0</v>
      </c>
      <c r="H155" s="55" t="str">
        <f t="shared" si="19"/>
        <v/>
      </c>
      <c r="J155" s="61">
        <f t="shared" si="20"/>
        <v>0</v>
      </c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</row>
    <row r="156" spans="1:36" x14ac:dyDescent="0.2">
      <c r="A156" s="61">
        <f t="shared" si="14"/>
        <v>0</v>
      </c>
      <c r="B156" s="55">
        <f t="shared" si="15"/>
        <v>0</v>
      </c>
      <c r="C156" s="55"/>
      <c r="D156" s="55"/>
      <c r="E156" s="55">
        <f t="shared" si="16"/>
        <v>0</v>
      </c>
      <c r="F156" s="55">
        <f t="shared" si="17"/>
        <v>0</v>
      </c>
      <c r="G156" s="55">
        <f t="shared" si="18"/>
        <v>0</v>
      </c>
      <c r="H156" s="55" t="str">
        <f t="shared" si="19"/>
        <v/>
      </c>
      <c r="J156" s="61">
        <f t="shared" si="20"/>
        <v>0</v>
      </c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</row>
    <row r="157" spans="1:36" x14ac:dyDescent="0.2">
      <c r="A157" s="61">
        <f t="shared" si="14"/>
        <v>0</v>
      </c>
      <c r="B157" s="55">
        <f t="shared" si="15"/>
        <v>0</v>
      </c>
      <c r="C157" s="55"/>
      <c r="D157" s="55"/>
      <c r="E157" s="55">
        <f t="shared" si="16"/>
        <v>0</v>
      </c>
      <c r="F157" s="55">
        <f t="shared" si="17"/>
        <v>0</v>
      </c>
      <c r="G157" s="55">
        <f t="shared" si="18"/>
        <v>0</v>
      </c>
      <c r="H157" s="55" t="str">
        <f t="shared" si="19"/>
        <v/>
      </c>
      <c r="J157" s="61">
        <f t="shared" si="20"/>
        <v>0</v>
      </c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</row>
    <row r="158" spans="1:36" x14ac:dyDescent="0.2">
      <c r="A158" s="61">
        <f t="shared" si="14"/>
        <v>0</v>
      </c>
      <c r="B158" s="55">
        <f t="shared" si="15"/>
        <v>0</v>
      </c>
      <c r="C158" s="55"/>
      <c r="D158" s="55"/>
      <c r="E158" s="55">
        <f t="shared" si="16"/>
        <v>0</v>
      </c>
      <c r="F158" s="55">
        <f t="shared" si="17"/>
        <v>0</v>
      </c>
      <c r="G158" s="55">
        <f t="shared" si="18"/>
        <v>0</v>
      </c>
      <c r="H158" s="55" t="str">
        <f t="shared" si="19"/>
        <v/>
      </c>
      <c r="J158" s="61">
        <f t="shared" si="20"/>
        <v>0</v>
      </c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</row>
    <row r="159" spans="1:36" x14ac:dyDescent="0.2">
      <c r="A159" s="61">
        <f t="shared" si="14"/>
        <v>0</v>
      </c>
      <c r="B159" s="55">
        <f t="shared" si="15"/>
        <v>0</v>
      </c>
      <c r="C159" s="55"/>
      <c r="D159" s="55"/>
      <c r="E159" s="55">
        <f t="shared" si="16"/>
        <v>0</v>
      </c>
      <c r="F159" s="55">
        <f t="shared" si="17"/>
        <v>0</v>
      </c>
      <c r="G159" s="55">
        <f t="shared" si="18"/>
        <v>0</v>
      </c>
      <c r="H159" s="55" t="str">
        <f t="shared" si="19"/>
        <v/>
      </c>
      <c r="J159" s="61">
        <f t="shared" si="20"/>
        <v>0</v>
      </c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</row>
    <row r="160" spans="1:36" x14ac:dyDescent="0.2">
      <c r="A160" s="61">
        <f t="shared" si="14"/>
        <v>0</v>
      </c>
      <c r="B160" s="55">
        <f t="shared" si="15"/>
        <v>0</v>
      </c>
      <c r="C160" s="55"/>
      <c r="D160" s="55"/>
      <c r="E160" s="55">
        <f t="shared" si="16"/>
        <v>0</v>
      </c>
      <c r="F160" s="55">
        <f t="shared" si="17"/>
        <v>0</v>
      </c>
      <c r="G160" s="55">
        <f t="shared" si="18"/>
        <v>0</v>
      </c>
      <c r="H160" s="55" t="str">
        <f t="shared" si="19"/>
        <v/>
      </c>
      <c r="J160" s="61">
        <f t="shared" si="20"/>
        <v>0</v>
      </c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</row>
    <row r="161" spans="1:36" x14ac:dyDescent="0.2">
      <c r="A161" s="61">
        <f t="shared" si="14"/>
        <v>0</v>
      </c>
      <c r="B161" s="55">
        <f t="shared" si="15"/>
        <v>0</v>
      </c>
      <c r="C161" s="55"/>
      <c r="D161" s="55"/>
      <c r="E161" s="55">
        <f t="shared" si="16"/>
        <v>0</v>
      </c>
      <c r="F161" s="55">
        <f t="shared" si="17"/>
        <v>0</v>
      </c>
      <c r="G161" s="55">
        <f t="shared" si="18"/>
        <v>0</v>
      </c>
      <c r="H161" s="55" t="str">
        <f t="shared" si="19"/>
        <v/>
      </c>
      <c r="J161" s="61">
        <f t="shared" si="20"/>
        <v>0</v>
      </c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</row>
    <row r="162" spans="1:36" x14ac:dyDescent="0.2">
      <c r="A162" s="61">
        <f t="shared" si="14"/>
        <v>0</v>
      </c>
      <c r="B162" s="55">
        <f t="shared" si="15"/>
        <v>0</v>
      </c>
      <c r="C162" s="55"/>
      <c r="D162" s="55"/>
      <c r="E162" s="55">
        <f t="shared" si="16"/>
        <v>0</v>
      </c>
      <c r="F162" s="55">
        <f t="shared" si="17"/>
        <v>0</v>
      </c>
      <c r="G162" s="55">
        <f t="shared" si="18"/>
        <v>0</v>
      </c>
      <c r="H162" s="55" t="str">
        <f t="shared" si="19"/>
        <v/>
      </c>
      <c r="J162" s="61">
        <f t="shared" si="20"/>
        <v>0</v>
      </c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</row>
    <row r="163" spans="1:36" x14ac:dyDescent="0.2">
      <c r="A163" s="61">
        <f t="shared" si="14"/>
        <v>0</v>
      </c>
      <c r="B163" s="55">
        <f t="shared" si="15"/>
        <v>0</v>
      </c>
      <c r="C163" s="55"/>
      <c r="D163" s="55"/>
      <c r="E163" s="55">
        <f t="shared" si="16"/>
        <v>0</v>
      </c>
      <c r="F163" s="55">
        <f t="shared" si="17"/>
        <v>0</v>
      </c>
      <c r="G163" s="55">
        <f t="shared" si="18"/>
        <v>0</v>
      </c>
      <c r="H163" s="55" t="str">
        <f t="shared" si="19"/>
        <v/>
      </c>
      <c r="J163" s="61">
        <f t="shared" si="20"/>
        <v>0</v>
      </c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</row>
    <row r="164" spans="1:36" x14ac:dyDescent="0.2">
      <c r="A164" s="61">
        <f t="shared" si="14"/>
        <v>0</v>
      </c>
      <c r="B164" s="55">
        <f t="shared" si="15"/>
        <v>0</v>
      </c>
      <c r="C164" s="55"/>
      <c r="D164" s="55"/>
      <c r="E164" s="55">
        <f t="shared" si="16"/>
        <v>0</v>
      </c>
      <c r="F164" s="55">
        <f t="shared" si="17"/>
        <v>0</v>
      </c>
      <c r="G164" s="55">
        <f t="shared" si="18"/>
        <v>0</v>
      </c>
      <c r="H164" s="55" t="str">
        <f t="shared" si="19"/>
        <v/>
      </c>
      <c r="J164" s="61">
        <f t="shared" si="20"/>
        <v>0</v>
      </c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</row>
    <row r="165" spans="1:36" x14ac:dyDescent="0.2">
      <c r="A165" s="61">
        <f t="shared" si="14"/>
        <v>0</v>
      </c>
      <c r="B165" s="55">
        <f t="shared" si="15"/>
        <v>0</v>
      </c>
      <c r="C165" s="55"/>
      <c r="D165" s="55"/>
      <c r="E165" s="55">
        <f t="shared" si="16"/>
        <v>0</v>
      </c>
      <c r="F165" s="55">
        <f t="shared" si="17"/>
        <v>0</v>
      </c>
      <c r="G165" s="55">
        <f t="shared" si="18"/>
        <v>0</v>
      </c>
      <c r="H165" s="55" t="str">
        <f t="shared" si="19"/>
        <v/>
      </c>
      <c r="J165" s="61">
        <f t="shared" si="20"/>
        <v>0</v>
      </c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</row>
    <row r="166" spans="1:36" x14ac:dyDescent="0.2">
      <c r="A166" s="61">
        <f t="shared" si="14"/>
        <v>0</v>
      </c>
      <c r="B166" s="55">
        <f t="shared" si="15"/>
        <v>0</v>
      </c>
      <c r="C166" s="55"/>
      <c r="D166" s="55"/>
      <c r="E166" s="55">
        <f t="shared" si="16"/>
        <v>0</v>
      </c>
      <c r="F166" s="55">
        <f t="shared" si="17"/>
        <v>0</v>
      </c>
      <c r="G166" s="55">
        <f t="shared" si="18"/>
        <v>0</v>
      </c>
      <c r="H166" s="55" t="str">
        <f t="shared" si="19"/>
        <v/>
      </c>
      <c r="J166" s="61">
        <f t="shared" si="20"/>
        <v>0</v>
      </c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</row>
    <row r="167" spans="1:36" x14ac:dyDescent="0.2">
      <c r="A167" s="61">
        <f t="shared" si="14"/>
        <v>0</v>
      </c>
      <c r="B167" s="55">
        <f t="shared" si="15"/>
        <v>0</v>
      </c>
      <c r="C167" s="55"/>
      <c r="D167" s="55"/>
      <c r="E167" s="55">
        <f t="shared" si="16"/>
        <v>0</v>
      </c>
      <c r="F167" s="55">
        <f t="shared" si="17"/>
        <v>0</v>
      </c>
      <c r="G167" s="55">
        <f t="shared" si="18"/>
        <v>0</v>
      </c>
      <c r="H167" s="55" t="str">
        <f t="shared" si="19"/>
        <v/>
      </c>
      <c r="J167" s="61">
        <f t="shared" si="20"/>
        <v>0</v>
      </c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</row>
    <row r="168" spans="1:36" x14ac:dyDescent="0.2">
      <c r="A168" s="61">
        <f t="shared" si="14"/>
        <v>0</v>
      </c>
      <c r="B168" s="55">
        <f t="shared" si="15"/>
        <v>0</v>
      </c>
      <c r="C168" s="55"/>
      <c r="D168" s="55"/>
      <c r="E168" s="55">
        <f t="shared" si="16"/>
        <v>0</v>
      </c>
      <c r="F168" s="55">
        <f t="shared" si="17"/>
        <v>0</v>
      </c>
      <c r="G168" s="55">
        <f t="shared" si="18"/>
        <v>0</v>
      </c>
      <c r="H168" s="55" t="str">
        <f t="shared" si="19"/>
        <v/>
      </c>
      <c r="J168" s="61">
        <f t="shared" si="20"/>
        <v>0</v>
      </c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</row>
    <row r="169" spans="1:36" x14ac:dyDescent="0.2">
      <c r="A169" s="61">
        <f t="shared" si="14"/>
        <v>0</v>
      </c>
      <c r="B169" s="55">
        <f t="shared" si="15"/>
        <v>0</v>
      </c>
      <c r="C169" s="55"/>
      <c r="D169" s="55"/>
      <c r="E169" s="55">
        <f t="shared" si="16"/>
        <v>0</v>
      </c>
      <c r="F169" s="55">
        <f t="shared" si="17"/>
        <v>0</v>
      </c>
      <c r="G169" s="55">
        <f t="shared" si="18"/>
        <v>0</v>
      </c>
      <c r="H169" s="55" t="str">
        <f t="shared" si="19"/>
        <v/>
      </c>
      <c r="J169" s="61">
        <f t="shared" si="20"/>
        <v>0</v>
      </c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</row>
    <row r="170" spans="1:36" x14ac:dyDescent="0.2">
      <c r="A170" s="61">
        <f t="shared" si="14"/>
        <v>0</v>
      </c>
      <c r="B170" s="55">
        <f t="shared" si="15"/>
        <v>0</v>
      </c>
      <c r="C170" s="55"/>
      <c r="D170" s="55"/>
      <c r="E170" s="55">
        <f t="shared" si="16"/>
        <v>0</v>
      </c>
      <c r="F170" s="55">
        <f t="shared" si="17"/>
        <v>0</v>
      </c>
      <c r="G170" s="55">
        <f t="shared" si="18"/>
        <v>0</v>
      </c>
      <c r="H170" s="55" t="str">
        <f t="shared" si="19"/>
        <v/>
      </c>
      <c r="J170" s="61">
        <f t="shared" si="20"/>
        <v>0</v>
      </c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</row>
    <row r="171" spans="1:36" x14ac:dyDescent="0.2">
      <c r="A171" s="61">
        <f t="shared" si="14"/>
        <v>0</v>
      </c>
      <c r="B171" s="55">
        <f t="shared" si="15"/>
        <v>0</v>
      </c>
      <c r="C171" s="55"/>
      <c r="D171" s="55"/>
      <c r="E171" s="55">
        <f t="shared" si="16"/>
        <v>0</v>
      </c>
      <c r="F171" s="55">
        <f t="shared" si="17"/>
        <v>0</v>
      </c>
      <c r="G171" s="55">
        <f t="shared" si="18"/>
        <v>0</v>
      </c>
      <c r="H171" s="55" t="str">
        <f t="shared" si="19"/>
        <v/>
      </c>
      <c r="J171" s="61">
        <f t="shared" si="20"/>
        <v>0</v>
      </c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</row>
    <row r="172" spans="1:36" x14ac:dyDescent="0.2">
      <c r="A172" s="61">
        <f t="shared" si="14"/>
        <v>0</v>
      </c>
      <c r="B172" s="55">
        <f t="shared" si="15"/>
        <v>0</v>
      </c>
      <c r="C172" s="55"/>
      <c r="D172" s="55"/>
      <c r="E172" s="55">
        <f t="shared" si="16"/>
        <v>0</v>
      </c>
      <c r="F172" s="55">
        <f t="shared" si="17"/>
        <v>0</v>
      </c>
      <c r="G172" s="55">
        <f t="shared" si="18"/>
        <v>0</v>
      </c>
      <c r="H172" s="55" t="str">
        <f t="shared" si="19"/>
        <v/>
      </c>
      <c r="J172" s="61">
        <f t="shared" si="20"/>
        <v>0</v>
      </c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</row>
    <row r="173" spans="1:36" x14ac:dyDescent="0.2">
      <c r="A173" s="61">
        <f t="shared" si="14"/>
        <v>0</v>
      </c>
      <c r="B173" s="55">
        <f t="shared" si="15"/>
        <v>0</v>
      </c>
      <c r="C173" s="55"/>
      <c r="D173" s="55"/>
      <c r="E173" s="55">
        <f t="shared" si="16"/>
        <v>0</v>
      </c>
      <c r="F173" s="55">
        <f t="shared" si="17"/>
        <v>0</v>
      </c>
      <c r="G173" s="55">
        <f t="shared" si="18"/>
        <v>0</v>
      </c>
      <c r="H173" s="55" t="str">
        <f t="shared" si="19"/>
        <v/>
      </c>
      <c r="J173" s="61">
        <f t="shared" si="20"/>
        <v>0</v>
      </c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</row>
    <row r="174" spans="1:36" x14ac:dyDescent="0.2">
      <c r="A174" s="61">
        <f t="shared" si="14"/>
        <v>0</v>
      </c>
      <c r="B174" s="55">
        <f t="shared" si="15"/>
        <v>0</v>
      </c>
      <c r="C174" s="55"/>
      <c r="D174" s="55"/>
      <c r="E174" s="55">
        <f t="shared" si="16"/>
        <v>0</v>
      </c>
      <c r="F174" s="55">
        <f t="shared" si="17"/>
        <v>0</v>
      </c>
      <c r="G174" s="55">
        <f t="shared" si="18"/>
        <v>0</v>
      </c>
      <c r="H174" s="55" t="str">
        <f t="shared" si="19"/>
        <v/>
      </c>
      <c r="J174" s="61">
        <f t="shared" si="20"/>
        <v>0</v>
      </c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</row>
    <row r="175" spans="1:36" x14ac:dyDescent="0.2">
      <c r="A175" s="61">
        <f t="shared" si="14"/>
        <v>0</v>
      </c>
      <c r="B175" s="55">
        <f t="shared" si="15"/>
        <v>0</v>
      </c>
      <c r="C175" s="55"/>
      <c r="D175" s="55"/>
      <c r="E175" s="55">
        <f t="shared" si="16"/>
        <v>0</v>
      </c>
      <c r="F175" s="55">
        <f t="shared" si="17"/>
        <v>0</v>
      </c>
      <c r="G175" s="55">
        <f t="shared" si="18"/>
        <v>0</v>
      </c>
      <c r="H175" s="55" t="str">
        <f t="shared" si="19"/>
        <v/>
      </c>
      <c r="J175" s="61">
        <f t="shared" si="20"/>
        <v>0</v>
      </c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</row>
    <row r="176" spans="1:36" x14ac:dyDescent="0.2">
      <c r="A176" s="61">
        <f t="shared" si="14"/>
        <v>0</v>
      </c>
      <c r="B176" s="55">
        <f t="shared" si="15"/>
        <v>0</v>
      </c>
      <c r="C176" s="55"/>
      <c r="D176" s="55"/>
      <c r="E176" s="55">
        <f t="shared" si="16"/>
        <v>0</v>
      </c>
      <c r="F176" s="55">
        <f t="shared" si="17"/>
        <v>0</v>
      </c>
      <c r="G176" s="55">
        <f t="shared" si="18"/>
        <v>0</v>
      </c>
      <c r="H176" s="55" t="str">
        <f t="shared" si="19"/>
        <v/>
      </c>
      <c r="J176" s="61">
        <f t="shared" si="20"/>
        <v>0</v>
      </c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</row>
    <row r="177" spans="1:36" x14ac:dyDescent="0.2">
      <c r="A177" s="61">
        <f t="shared" si="14"/>
        <v>0</v>
      </c>
      <c r="B177" s="55">
        <f t="shared" si="15"/>
        <v>0</v>
      </c>
      <c r="C177" s="55"/>
      <c r="D177" s="55"/>
      <c r="E177" s="55">
        <f t="shared" si="16"/>
        <v>0</v>
      </c>
      <c r="F177" s="55">
        <f t="shared" si="17"/>
        <v>0</v>
      </c>
      <c r="G177" s="55">
        <f t="shared" si="18"/>
        <v>0</v>
      </c>
      <c r="H177" s="55" t="str">
        <f t="shared" si="19"/>
        <v/>
      </c>
      <c r="J177" s="61">
        <f t="shared" si="20"/>
        <v>0</v>
      </c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</row>
    <row r="178" spans="1:36" x14ac:dyDescent="0.2">
      <c r="A178" s="61">
        <f t="shared" si="14"/>
        <v>0</v>
      </c>
      <c r="B178" s="55">
        <f t="shared" si="15"/>
        <v>0</v>
      </c>
      <c r="C178" s="55"/>
      <c r="D178" s="55"/>
      <c r="E178" s="55">
        <f t="shared" si="16"/>
        <v>0</v>
      </c>
      <c r="F178" s="55">
        <f t="shared" si="17"/>
        <v>0</v>
      </c>
      <c r="G178" s="55">
        <f t="shared" si="18"/>
        <v>0</v>
      </c>
      <c r="H178" s="55" t="str">
        <f t="shared" si="19"/>
        <v/>
      </c>
      <c r="J178" s="61">
        <f t="shared" si="20"/>
        <v>0</v>
      </c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</row>
    <row r="179" spans="1:36" x14ac:dyDescent="0.2">
      <c r="A179" s="61">
        <f t="shared" si="14"/>
        <v>0</v>
      </c>
      <c r="B179" s="55">
        <f t="shared" si="15"/>
        <v>0</v>
      </c>
      <c r="C179" s="55"/>
      <c r="D179" s="55"/>
      <c r="E179" s="55">
        <f t="shared" si="16"/>
        <v>0</v>
      </c>
      <c r="F179" s="55">
        <f t="shared" si="17"/>
        <v>0</v>
      </c>
      <c r="G179" s="55">
        <f t="shared" si="18"/>
        <v>0</v>
      </c>
      <c r="H179" s="55" t="str">
        <f t="shared" si="19"/>
        <v/>
      </c>
      <c r="J179" s="61">
        <f t="shared" si="20"/>
        <v>0</v>
      </c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</row>
    <row r="180" spans="1:36" x14ac:dyDescent="0.2">
      <c r="A180" s="61">
        <f t="shared" si="14"/>
        <v>0</v>
      </c>
      <c r="B180" s="55">
        <f t="shared" si="15"/>
        <v>0</v>
      </c>
      <c r="C180" s="55"/>
      <c r="D180" s="55"/>
      <c r="E180" s="55">
        <f t="shared" si="16"/>
        <v>0</v>
      </c>
      <c r="F180" s="55">
        <f t="shared" si="17"/>
        <v>0</v>
      </c>
      <c r="G180" s="55">
        <f t="shared" si="18"/>
        <v>0</v>
      </c>
      <c r="H180" s="55" t="str">
        <f t="shared" si="19"/>
        <v/>
      </c>
      <c r="J180" s="61">
        <f t="shared" si="20"/>
        <v>0</v>
      </c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</row>
    <row r="181" spans="1:36" x14ac:dyDescent="0.2">
      <c r="A181" s="61">
        <f t="shared" si="14"/>
        <v>0</v>
      </c>
      <c r="B181" s="55">
        <f t="shared" si="15"/>
        <v>0</v>
      </c>
      <c r="C181" s="55"/>
      <c r="D181" s="55"/>
      <c r="E181" s="55">
        <f t="shared" si="16"/>
        <v>0</v>
      </c>
      <c r="F181" s="55">
        <f t="shared" si="17"/>
        <v>0</v>
      </c>
      <c r="G181" s="55">
        <f t="shared" si="18"/>
        <v>0</v>
      </c>
      <c r="H181" s="55" t="str">
        <f t="shared" si="19"/>
        <v/>
      </c>
      <c r="J181" s="61">
        <f t="shared" si="20"/>
        <v>0</v>
      </c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</row>
    <row r="182" spans="1:36" x14ac:dyDescent="0.2">
      <c r="A182" s="61">
        <f t="shared" si="14"/>
        <v>0</v>
      </c>
      <c r="B182" s="55">
        <f t="shared" si="15"/>
        <v>0</v>
      </c>
      <c r="C182" s="55"/>
      <c r="D182" s="55"/>
      <c r="E182" s="55">
        <f t="shared" si="16"/>
        <v>0</v>
      </c>
      <c r="F182" s="55">
        <f t="shared" si="17"/>
        <v>0</v>
      </c>
      <c r="G182" s="55">
        <f t="shared" si="18"/>
        <v>0</v>
      </c>
      <c r="H182" s="55" t="str">
        <f t="shared" si="19"/>
        <v/>
      </c>
      <c r="J182" s="61">
        <f t="shared" si="20"/>
        <v>0</v>
      </c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</row>
    <row r="183" spans="1:36" x14ac:dyDescent="0.2">
      <c r="A183" s="61">
        <f t="shared" si="14"/>
        <v>0</v>
      </c>
      <c r="B183" s="55">
        <f t="shared" si="15"/>
        <v>0</v>
      </c>
      <c r="C183" s="55"/>
      <c r="D183" s="55"/>
      <c r="E183" s="55">
        <f t="shared" si="16"/>
        <v>0</v>
      </c>
      <c r="F183" s="55">
        <f t="shared" si="17"/>
        <v>0</v>
      </c>
      <c r="G183" s="55">
        <f t="shared" si="18"/>
        <v>0</v>
      </c>
      <c r="H183" s="55" t="str">
        <f t="shared" si="19"/>
        <v/>
      </c>
      <c r="J183" s="61">
        <f t="shared" si="20"/>
        <v>0</v>
      </c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</row>
    <row r="184" spans="1:36" x14ac:dyDescent="0.2">
      <c r="A184" s="61">
        <f t="shared" si="14"/>
        <v>0</v>
      </c>
      <c r="B184" s="55">
        <f t="shared" si="15"/>
        <v>0</v>
      </c>
      <c r="C184" s="55"/>
      <c r="D184" s="55"/>
      <c r="E184" s="55">
        <f t="shared" si="16"/>
        <v>0</v>
      </c>
      <c r="F184" s="55">
        <f t="shared" si="17"/>
        <v>0</v>
      </c>
      <c r="G184" s="55">
        <f t="shared" si="18"/>
        <v>0</v>
      </c>
      <c r="H184" s="55" t="str">
        <f t="shared" si="19"/>
        <v/>
      </c>
      <c r="J184" s="61">
        <f t="shared" si="20"/>
        <v>0</v>
      </c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</row>
    <row r="185" spans="1:36" x14ac:dyDescent="0.2">
      <c r="A185" s="61">
        <f t="shared" si="14"/>
        <v>0</v>
      </c>
      <c r="B185" s="55">
        <f t="shared" si="15"/>
        <v>0</v>
      </c>
      <c r="C185" s="55"/>
      <c r="D185" s="55"/>
      <c r="E185" s="55">
        <f t="shared" si="16"/>
        <v>0</v>
      </c>
      <c r="F185" s="55">
        <f t="shared" si="17"/>
        <v>0</v>
      </c>
      <c r="G185" s="55">
        <f t="shared" si="18"/>
        <v>0</v>
      </c>
      <c r="H185" s="55" t="str">
        <f t="shared" si="19"/>
        <v/>
      </c>
      <c r="J185" s="61">
        <f t="shared" si="20"/>
        <v>0</v>
      </c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</row>
    <row r="186" spans="1:36" x14ac:dyDescent="0.2">
      <c r="A186" s="61">
        <f t="shared" si="14"/>
        <v>0</v>
      </c>
      <c r="B186" s="55">
        <f t="shared" si="15"/>
        <v>0</v>
      </c>
      <c r="C186" s="55"/>
      <c r="D186" s="55"/>
      <c r="E186" s="55">
        <f t="shared" si="16"/>
        <v>0</v>
      </c>
      <c r="F186" s="55">
        <f t="shared" si="17"/>
        <v>0</v>
      </c>
      <c r="G186" s="55">
        <f t="shared" si="18"/>
        <v>0</v>
      </c>
      <c r="H186" s="55" t="str">
        <f t="shared" si="19"/>
        <v/>
      </c>
      <c r="J186" s="61">
        <f t="shared" si="20"/>
        <v>0</v>
      </c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</row>
    <row r="187" spans="1:36" x14ac:dyDescent="0.2">
      <c r="A187" s="61">
        <f t="shared" si="14"/>
        <v>0</v>
      </c>
      <c r="B187" s="55">
        <f t="shared" si="15"/>
        <v>0</v>
      </c>
      <c r="C187" s="55"/>
      <c r="D187" s="55"/>
      <c r="E187" s="55">
        <f t="shared" si="16"/>
        <v>0</v>
      </c>
      <c r="F187" s="55">
        <f t="shared" si="17"/>
        <v>0</v>
      </c>
      <c r="G187" s="55">
        <f t="shared" si="18"/>
        <v>0</v>
      </c>
      <c r="H187" s="55" t="str">
        <f t="shared" si="19"/>
        <v/>
      </c>
      <c r="J187" s="61">
        <f t="shared" si="20"/>
        <v>0</v>
      </c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</row>
    <row r="188" spans="1:36" x14ac:dyDescent="0.2">
      <c r="A188" s="61">
        <f t="shared" si="14"/>
        <v>0</v>
      </c>
      <c r="B188" s="55">
        <f t="shared" si="15"/>
        <v>0</v>
      </c>
      <c r="C188" s="55"/>
      <c r="D188" s="55"/>
      <c r="E188" s="55">
        <f t="shared" si="16"/>
        <v>0</v>
      </c>
      <c r="F188" s="55">
        <f t="shared" si="17"/>
        <v>0</v>
      </c>
      <c r="G188" s="55">
        <f t="shared" si="18"/>
        <v>0</v>
      </c>
      <c r="H188" s="55" t="str">
        <f t="shared" si="19"/>
        <v/>
      </c>
      <c r="J188" s="61">
        <f t="shared" si="20"/>
        <v>0</v>
      </c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</row>
    <row r="189" spans="1:36" x14ac:dyDescent="0.2">
      <c r="A189" s="61">
        <f t="shared" si="14"/>
        <v>0</v>
      </c>
      <c r="B189" s="55">
        <f t="shared" si="15"/>
        <v>0</v>
      </c>
      <c r="C189" s="55"/>
      <c r="D189" s="55"/>
      <c r="E189" s="55">
        <f t="shared" si="16"/>
        <v>0</v>
      </c>
      <c r="F189" s="55">
        <f t="shared" si="17"/>
        <v>0</v>
      </c>
      <c r="G189" s="55">
        <f t="shared" si="18"/>
        <v>0</v>
      </c>
      <c r="H189" s="55" t="str">
        <f t="shared" si="19"/>
        <v/>
      </c>
      <c r="J189" s="61">
        <f t="shared" si="20"/>
        <v>0</v>
      </c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</row>
    <row r="190" spans="1:36" x14ac:dyDescent="0.2">
      <c r="A190" s="61">
        <f t="shared" si="14"/>
        <v>0</v>
      </c>
      <c r="B190" s="55">
        <f t="shared" si="15"/>
        <v>0</v>
      </c>
      <c r="C190" s="55"/>
      <c r="D190" s="55"/>
      <c r="E190" s="55">
        <f t="shared" si="16"/>
        <v>0</v>
      </c>
      <c r="F190" s="55">
        <f t="shared" si="17"/>
        <v>0</v>
      </c>
      <c r="G190" s="55">
        <f t="shared" si="18"/>
        <v>0</v>
      </c>
      <c r="H190" s="55" t="str">
        <f t="shared" si="19"/>
        <v/>
      </c>
      <c r="J190" s="61">
        <f t="shared" si="20"/>
        <v>0</v>
      </c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</row>
    <row r="191" spans="1:36" x14ac:dyDescent="0.2">
      <c r="A191" s="61">
        <f t="shared" si="14"/>
        <v>0</v>
      </c>
      <c r="B191" s="55">
        <f t="shared" si="15"/>
        <v>0</v>
      </c>
      <c r="C191" s="55"/>
      <c r="D191" s="55"/>
      <c r="E191" s="55">
        <f t="shared" si="16"/>
        <v>0</v>
      </c>
      <c r="F191" s="55">
        <f t="shared" si="17"/>
        <v>0</v>
      </c>
      <c r="G191" s="55">
        <f t="shared" si="18"/>
        <v>0</v>
      </c>
      <c r="H191" s="55" t="str">
        <f t="shared" si="19"/>
        <v/>
      </c>
      <c r="J191" s="61">
        <f t="shared" si="20"/>
        <v>0</v>
      </c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</row>
    <row r="192" spans="1:36" x14ac:dyDescent="0.2">
      <c r="A192" s="61">
        <f t="shared" si="14"/>
        <v>0</v>
      </c>
      <c r="B192" s="55">
        <f t="shared" si="15"/>
        <v>0</v>
      </c>
      <c r="C192" s="55"/>
      <c r="D192" s="55"/>
      <c r="E192" s="55">
        <f t="shared" si="16"/>
        <v>0</v>
      </c>
      <c r="F192" s="55">
        <f t="shared" si="17"/>
        <v>0</v>
      </c>
      <c r="G192" s="55">
        <f t="shared" si="18"/>
        <v>0</v>
      </c>
      <c r="H192" s="55" t="str">
        <f t="shared" si="19"/>
        <v/>
      </c>
      <c r="J192" s="61">
        <f t="shared" si="20"/>
        <v>0</v>
      </c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</row>
    <row r="193" spans="1:36" x14ac:dyDescent="0.2">
      <c r="A193" s="61">
        <f t="shared" si="14"/>
        <v>0</v>
      </c>
      <c r="B193" s="55">
        <f t="shared" si="15"/>
        <v>0</v>
      </c>
      <c r="C193" s="55"/>
      <c r="D193" s="55"/>
      <c r="E193" s="55">
        <f t="shared" si="16"/>
        <v>0</v>
      </c>
      <c r="F193" s="55">
        <f t="shared" si="17"/>
        <v>0</v>
      </c>
      <c r="G193" s="55">
        <f t="shared" si="18"/>
        <v>0</v>
      </c>
      <c r="H193" s="55" t="str">
        <f t="shared" si="19"/>
        <v/>
      </c>
      <c r="J193" s="61">
        <f t="shared" si="20"/>
        <v>0</v>
      </c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</row>
    <row r="194" spans="1:36" x14ac:dyDescent="0.2">
      <c r="A194" s="61">
        <f t="shared" ref="A194:A257" si="21">J194</f>
        <v>0</v>
      </c>
      <c r="B194" s="55">
        <f t="shared" ref="B194:B257" si="22">M194</f>
        <v>0</v>
      </c>
      <c r="C194" s="55"/>
      <c r="D194" s="55"/>
      <c r="E194" s="55">
        <f t="shared" ref="E194:E257" si="23">V194</f>
        <v>0</v>
      </c>
      <c r="F194" s="55">
        <f t="shared" ref="F194:F257" si="24">Z194</f>
        <v>0</v>
      </c>
      <c r="G194" s="55">
        <f t="shared" ref="G194:G257" si="25">AH194</f>
        <v>0</v>
      </c>
      <c r="H194" s="55" t="str">
        <f t="shared" ref="H194:H257" si="26">IF(Q194&gt;1,IF(Q194=2,"I","E"),"")</f>
        <v/>
      </c>
      <c r="J194" s="61">
        <f t="shared" ref="J194:J257" si="27">P194*1</f>
        <v>0</v>
      </c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</row>
    <row r="195" spans="1:36" x14ac:dyDescent="0.2">
      <c r="A195" s="61">
        <f t="shared" si="21"/>
        <v>0</v>
      </c>
      <c r="B195" s="55">
        <f t="shared" si="22"/>
        <v>0</v>
      </c>
      <c r="C195" s="55"/>
      <c r="D195" s="55"/>
      <c r="E195" s="55">
        <f t="shared" si="23"/>
        <v>0</v>
      </c>
      <c r="F195" s="55">
        <f t="shared" si="24"/>
        <v>0</v>
      </c>
      <c r="G195" s="55">
        <f t="shared" si="25"/>
        <v>0</v>
      </c>
      <c r="H195" s="55" t="str">
        <f t="shared" si="26"/>
        <v/>
      </c>
      <c r="J195" s="61">
        <f t="shared" si="27"/>
        <v>0</v>
      </c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</row>
    <row r="196" spans="1:36" x14ac:dyDescent="0.2">
      <c r="A196" s="61">
        <f t="shared" si="21"/>
        <v>0</v>
      </c>
      <c r="B196" s="55">
        <f t="shared" si="22"/>
        <v>0</v>
      </c>
      <c r="C196" s="55"/>
      <c r="D196" s="55"/>
      <c r="E196" s="55">
        <f t="shared" si="23"/>
        <v>0</v>
      </c>
      <c r="F196" s="55">
        <f t="shared" si="24"/>
        <v>0</v>
      </c>
      <c r="G196" s="55">
        <f t="shared" si="25"/>
        <v>0</v>
      </c>
      <c r="H196" s="55" t="str">
        <f t="shared" si="26"/>
        <v/>
      </c>
      <c r="J196" s="61">
        <f t="shared" si="27"/>
        <v>0</v>
      </c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</row>
    <row r="197" spans="1:36" x14ac:dyDescent="0.2">
      <c r="A197" s="61">
        <f t="shared" si="21"/>
        <v>0</v>
      </c>
      <c r="B197" s="55">
        <f t="shared" si="22"/>
        <v>0</v>
      </c>
      <c r="C197" s="55"/>
      <c r="D197" s="55"/>
      <c r="E197" s="55">
        <f t="shared" si="23"/>
        <v>0</v>
      </c>
      <c r="F197" s="55">
        <f t="shared" si="24"/>
        <v>0</v>
      </c>
      <c r="G197" s="55">
        <f t="shared" si="25"/>
        <v>0</v>
      </c>
      <c r="H197" s="55" t="str">
        <f t="shared" si="26"/>
        <v/>
      </c>
      <c r="J197" s="61">
        <f t="shared" si="27"/>
        <v>0</v>
      </c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</row>
    <row r="198" spans="1:36" x14ac:dyDescent="0.2">
      <c r="A198" s="61">
        <f t="shared" si="21"/>
        <v>0</v>
      </c>
      <c r="B198" s="55">
        <f t="shared" si="22"/>
        <v>0</v>
      </c>
      <c r="C198" s="55"/>
      <c r="D198" s="55"/>
      <c r="E198" s="55">
        <f t="shared" si="23"/>
        <v>0</v>
      </c>
      <c r="F198" s="55">
        <f t="shared" si="24"/>
        <v>0</v>
      </c>
      <c r="G198" s="55">
        <f t="shared" si="25"/>
        <v>0</v>
      </c>
      <c r="H198" s="55" t="str">
        <f t="shared" si="26"/>
        <v/>
      </c>
      <c r="J198" s="61">
        <f t="shared" si="27"/>
        <v>0</v>
      </c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</row>
    <row r="199" spans="1:36" x14ac:dyDescent="0.2">
      <c r="A199" s="61">
        <f t="shared" si="21"/>
        <v>0</v>
      </c>
      <c r="B199" s="55">
        <f t="shared" si="22"/>
        <v>0</v>
      </c>
      <c r="C199" s="55"/>
      <c r="D199" s="55"/>
      <c r="E199" s="55">
        <f t="shared" si="23"/>
        <v>0</v>
      </c>
      <c r="F199" s="55">
        <f t="shared" si="24"/>
        <v>0</v>
      </c>
      <c r="G199" s="55">
        <f t="shared" si="25"/>
        <v>0</v>
      </c>
      <c r="H199" s="55" t="str">
        <f t="shared" si="26"/>
        <v/>
      </c>
      <c r="J199" s="61">
        <f t="shared" si="27"/>
        <v>0</v>
      </c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</row>
    <row r="200" spans="1:36" x14ac:dyDescent="0.2">
      <c r="A200" s="61">
        <f t="shared" si="21"/>
        <v>0</v>
      </c>
      <c r="B200" s="55">
        <f t="shared" si="22"/>
        <v>0</v>
      </c>
      <c r="C200" s="55"/>
      <c r="D200" s="55"/>
      <c r="E200" s="55">
        <f t="shared" si="23"/>
        <v>0</v>
      </c>
      <c r="F200" s="55">
        <f t="shared" si="24"/>
        <v>0</v>
      </c>
      <c r="G200" s="55">
        <f t="shared" si="25"/>
        <v>0</v>
      </c>
      <c r="H200" s="55" t="str">
        <f t="shared" si="26"/>
        <v/>
      </c>
      <c r="J200" s="61">
        <f t="shared" si="27"/>
        <v>0</v>
      </c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</row>
    <row r="201" spans="1:36" x14ac:dyDescent="0.2">
      <c r="A201" s="61">
        <f t="shared" si="21"/>
        <v>0</v>
      </c>
      <c r="B201" s="55">
        <f t="shared" si="22"/>
        <v>0</v>
      </c>
      <c r="C201" s="55"/>
      <c r="D201" s="55"/>
      <c r="E201" s="55">
        <f t="shared" si="23"/>
        <v>0</v>
      </c>
      <c r="F201" s="55">
        <f t="shared" si="24"/>
        <v>0</v>
      </c>
      <c r="G201" s="55">
        <f t="shared" si="25"/>
        <v>0</v>
      </c>
      <c r="H201" s="55" t="str">
        <f t="shared" si="26"/>
        <v/>
      </c>
      <c r="J201" s="61">
        <f t="shared" si="27"/>
        <v>0</v>
      </c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</row>
    <row r="202" spans="1:36" x14ac:dyDescent="0.2">
      <c r="A202" s="61">
        <f t="shared" si="21"/>
        <v>0</v>
      </c>
      <c r="B202" s="55">
        <f t="shared" si="22"/>
        <v>0</v>
      </c>
      <c r="C202" s="55"/>
      <c r="D202" s="55"/>
      <c r="E202" s="55">
        <f t="shared" si="23"/>
        <v>0</v>
      </c>
      <c r="F202" s="55">
        <f t="shared" si="24"/>
        <v>0</v>
      </c>
      <c r="G202" s="55">
        <f t="shared" si="25"/>
        <v>0</v>
      </c>
      <c r="H202" s="55" t="str">
        <f t="shared" si="26"/>
        <v/>
      </c>
      <c r="J202" s="61">
        <f t="shared" si="27"/>
        <v>0</v>
      </c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</row>
    <row r="203" spans="1:36" x14ac:dyDescent="0.2">
      <c r="A203" s="61">
        <f t="shared" si="21"/>
        <v>0</v>
      </c>
      <c r="B203" s="55">
        <f t="shared" si="22"/>
        <v>0</v>
      </c>
      <c r="C203" s="55"/>
      <c r="D203" s="55"/>
      <c r="E203" s="55">
        <f t="shared" si="23"/>
        <v>0</v>
      </c>
      <c r="F203" s="55">
        <f t="shared" si="24"/>
        <v>0</v>
      </c>
      <c r="G203" s="55">
        <f t="shared" si="25"/>
        <v>0</v>
      </c>
      <c r="H203" s="55" t="str">
        <f t="shared" si="26"/>
        <v/>
      </c>
      <c r="J203" s="61">
        <f t="shared" si="27"/>
        <v>0</v>
      </c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</row>
    <row r="204" spans="1:36" x14ac:dyDescent="0.2">
      <c r="A204" s="61">
        <f t="shared" si="21"/>
        <v>0</v>
      </c>
      <c r="B204" s="55">
        <f t="shared" si="22"/>
        <v>0</v>
      </c>
      <c r="C204" s="55"/>
      <c r="D204" s="55"/>
      <c r="E204" s="55">
        <f t="shared" si="23"/>
        <v>0</v>
      </c>
      <c r="F204" s="55">
        <f t="shared" si="24"/>
        <v>0</v>
      </c>
      <c r="G204" s="55">
        <f t="shared" si="25"/>
        <v>0</v>
      </c>
      <c r="H204" s="55" t="str">
        <f t="shared" si="26"/>
        <v/>
      </c>
      <c r="J204" s="61">
        <f t="shared" si="27"/>
        <v>0</v>
      </c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</row>
    <row r="205" spans="1:36" x14ac:dyDescent="0.2">
      <c r="A205" s="61">
        <f t="shared" si="21"/>
        <v>0</v>
      </c>
      <c r="B205" s="55">
        <f t="shared" si="22"/>
        <v>0</v>
      </c>
      <c r="C205" s="55"/>
      <c r="D205" s="55"/>
      <c r="E205" s="55">
        <f t="shared" si="23"/>
        <v>0</v>
      </c>
      <c r="F205" s="55">
        <f t="shared" si="24"/>
        <v>0</v>
      </c>
      <c r="G205" s="55">
        <f t="shared" si="25"/>
        <v>0</v>
      </c>
      <c r="H205" s="55" t="str">
        <f t="shared" si="26"/>
        <v/>
      </c>
      <c r="J205" s="61">
        <f t="shared" si="27"/>
        <v>0</v>
      </c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</row>
    <row r="206" spans="1:36" x14ac:dyDescent="0.2">
      <c r="A206" s="61">
        <f t="shared" si="21"/>
        <v>0</v>
      </c>
      <c r="B206" s="55">
        <f t="shared" si="22"/>
        <v>0</v>
      </c>
      <c r="C206" s="55"/>
      <c r="D206" s="55"/>
      <c r="E206" s="55">
        <f t="shared" si="23"/>
        <v>0</v>
      </c>
      <c r="F206" s="55">
        <f t="shared" si="24"/>
        <v>0</v>
      </c>
      <c r="G206" s="55">
        <f t="shared" si="25"/>
        <v>0</v>
      </c>
      <c r="H206" s="55" t="str">
        <f t="shared" si="26"/>
        <v/>
      </c>
      <c r="J206" s="61">
        <f t="shared" si="27"/>
        <v>0</v>
      </c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</row>
    <row r="207" spans="1:36" x14ac:dyDescent="0.2">
      <c r="A207" s="61">
        <f t="shared" si="21"/>
        <v>0</v>
      </c>
      <c r="B207" s="55">
        <f t="shared" si="22"/>
        <v>0</v>
      </c>
      <c r="C207" s="55"/>
      <c r="D207" s="55"/>
      <c r="E207" s="55">
        <f t="shared" si="23"/>
        <v>0</v>
      </c>
      <c r="F207" s="55">
        <f t="shared" si="24"/>
        <v>0</v>
      </c>
      <c r="G207" s="55">
        <f t="shared" si="25"/>
        <v>0</v>
      </c>
      <c r="H207" s="55" t="str">
        <f t="shared" si="26"/>
        <v/>
      </c>
      <c r="J207" s="61">
        <f t="shared" si="27"/>
        <v>0</v>
      </c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</row>
    <row r="208" spans="1:36" x14ac:dyDescent="0.2">
      <c r="A208" s="61">
        <f t="shared" si="21"/>
        <v>0</v>
      </c>
      <c r="B208" s="55">
        <f t="shared" si="22"/>
        <v>0</v>
      </c>
      <c r="C208" s="55"/>
      <c r="D208" s="55"/>
      <c r="E208" s="55">
        <f t="shared" si="23"/>
        <v>0</v>
      </c>
      <c r="F208" s="55">
        <f t="shared" si="24"/>
        <v>0</v>
      </c>
      <c r="G208" s="55">
        <f t="shared" si="25"/>
        <v>0</v>
      </c>
      <c r="H208" s="55" t="str">
        <f t="shared" si="26"/>
        <v/>
      </c>
      <c r="J208" s="61">
        <f t="shared" si="27"/>
        <v>0</v>
      </c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</row>
    <row r="209" spans="1:36" x14ac:dyDescent="0.2">
      <c r="A209" s="61">
        <f t="shared" si="21"/>
        <v>0</v>
      </c>
      <c r="B209" s="55">
        <f t="shared" si="22"/>
        <v>0</v>
      </c>
      <c r="C209" s="55"/>
      <c r="D209" s="55"/>
      <c r="E209" s="55">
        <f t="shared" si="23"/>
        <v>0</v>
      </c>
      <c r="F209" s="55">
        <f t="shared" si="24"/>
        <v>0</v>
      </c>
      <c r="G209" s="55">
        <f t="shared" si="25"/>
        <v>0</v>
      </c>
      <c r="H209" s="55" t="str">
        <f t="shared" si="26"/>
        <v/>
      </c>
      <c r="J209" s="61">
        <f t="shared" si="27"/>
        <v>0</v>
      </c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</row>
    <row r="210" spans="1:36" x14ac:dyDescent="0.2">
      <c r="A210" s="61">
        <f t="shared" si="21"/>
        <v>0</v>
      </c>
      <c r="B210" s="55">
        <f t="shared" si="22"/>
        <v>0</v>
      </c>
      <c r="C210" s="55"/>
      <c r="D210" s="55"/>
      <c r="E210" s="55">
        <f t="shared" si="23"/>
        <v>0</v>
      </c>
      <c r="F210" s="55">
        <f t="shared" si="24"/>
        <v>0</v>
      </c>
      <c r="G210" s="55">
        <f t="shared" si="25"/>
        <v>0</v>
      </c>
      <c r="H210" s="55" t="str">
        <f t="shared" si="26"/>
        <v/>
      </c>
      <c r="J210" s="61">
        <f t="shared" si="27"/>
        <v>0</v>
      </c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</row>
    <row r="211" spans="1:36" x14ac:dyDescent="0.2">
      <c r="A211" s="61">
        <f t="shared" si="21"/>
        <v>0</v>
      </c>
      <c r="B211" s="55">
        <f t="shared" si="22"/>
        <v>0</v>
      </c>
      <c r="C211" s="55"/>
      <c r="D211" s="55"/>
      <c r="E211" s="55">
        <f t="shared" si="23"/>
        <v>0</v>
      </c>
      <c r="F211" s="55">
        <f t="shared" si="24"/>
        <v>0</v>
      </c>
      <c r="G211" s="55">
        <f t="shared" si="25"/>
        <v>0</v>
      </c>
      <c r="H211" s="55" t="str">
        <f t="shared" si="26"/>
        <v/>
      </c>
      <c r="J211" s="61">
        <f t="shared" si="27"/>
        <v>0</v>
      </c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</row>
    <row r="212" spans="1:36" x14ac:dyDescent="0.2">
      <c r="A212" s="61">
        <f t="shared" si="21"/>
        <v>0</v>
      </c>
      <c r="B212" s="55">
        <f t="shared" si="22"/>
        <v>0</v>
      </c>
      <c r="C212" s="55"/>
      <c r="D212" s="55"/>
      <c r="E212" s="55">
        <f t="shared" si="23"/>
        <v>0</v>
      </c>
      <c r="F212" s="55">
        <f t="shared" si="24"/>
        <v>0</v>
      </c>
      <c r="G212" s="55">
        <f t="shared" si="25"/>
        <v>0</v>
      </c>
      <c r="H212" s="55" t="str">
        <f t="shared" si="26"/>
        <v/>
      </c>
      <c r="J212" s="61">
        <f t="shared" si="27"/>
        <v>0</v>
      </c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</row>
    <row r="213" spans="1:36" x14ac:dyDescent="0.2">
      <c r="A213" s="61">
        <f t="shared" si="21"/>
        <v>0</v>
      </c>
      <c r="B213" s="55">
        <f t="shared" si="22"/>
        <v>0</v>
      </c>
      <c r="C213" s="55"/>
      <c r="D213" s="55"/>
      <c r="E213" s="55">
        <f t="shared" si="23"/>
        <v>0</v>
      </c>
      <c r="F213" s="55">
        <f t="shared" si="24"/>
        <v>0</v>
      </c>
      <c r="G213" s="55">
        <f t="shared" si="25"/>
        <v>0</v>
      </c>
      <c r="H213" s="55" t="str">
        <f t="shared" si="26"/>
        <v/>
      </c>
      <c r="J213" s="61">
        <f t="shared" si="27"/>
        <v>0</v>
      </c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</row>
    <row r="214" spans="1:36" x14ac:dyDescent="0.2">
      <c r="A214" s="61">
        <f t="shared" si="21"/>
        <v>0</v>
      </c>
      <c r="B214" s="55">
        <f t="shared" si="22"/>
        <v>0</v>
      </c>
      <c r="C214" s="55"/>
      <c r="D214" s="55"/>
      <c r="E214" s="55">
        <f t="shared" si="23"/>
        <v>0</v>
      </c>
      <c r="F214" s="55">
        <f t="shared" si="24"/>
        <v>0</v>
      </c>
      <c r="G214" s="55">
        <f t="shared" si="25"/>
        <v>0</v>
      </c>
      <c r="H214" s="55" t="str">
        <f t="shared" si="26"/>
        <v/>
      </c>
      <c r="J214" s="61">
        <f t="shared" si="27"/>
        <v>0</v>
      </c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</row>
    <row r="215" spans="1:36" x14ac:dyDescent="0.2">
      <c r="A215" s="61">
        <f t="shared" si="21"/>
        <v>0</v>
      </c>
      <c r="B215" s="55">
        <f t="shared" si="22"/>
        <v>0</v>
      </c>
      <c r="C215" s="55"/>
      <c r="D215" s="55"/>
      <c r="E215" s="55">
        <f t="shared" si="23"/>
        <v>0</v>
      </c>
      <c r="F215" s="55">
        <f t="shared" si="24"/>
        <v>0</v>
      </c>
      <c r="G215" s="55">
        <f t="shared" si="25"/>
        <v>0</v>
      </c>
      <c r="H215" s="55" t="str">
        <f t="shared" si="26"/>
        <v/>
      </c>
      <c r="J215" s="61">
        <f t="shared" si="27"/>
        <v>0</v>
      </c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</row>
    <row r="216" spans="1:36" x14ac:dyDescent="0.2">
      <c r="A216" s="61">
        <f t="shared" si="21"/>
        <v>0</v>
      </c>
      <c r="B216" s="55">
        <f t="shared" si="22"/>
        <v>0</v>
      </c>
      <c r="C216" s="55"/>
      <c r="D216" s="55"/>
      <c r="E216" s="55">
        <f t="shared" si="23"/>
        <v>0</v>
      </c>
      <c r="F216" s="55">
        <f t="shared" si="24"/>
        <v>0</v>
      </c>
      <c r="G216" s="55">
        <f t="shared" si="25"/>
        <v>0</v>
      </c>
      <c r="H216" s="55" t="str">
        <f t="shared" si="26"/>
        <v/>
      </c>
      <c r="J216" s="61">
        <f t="shared" si="27"/>
        <v>0</v>
      </c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</row>
    <row r="217" spans="1:36" x14ac:dyDescent="0.2">
      <c r="A217" s="61">
        <f t="shared" si="21"/>
        <v>0</v>
      </c>
      <c r="B217" s="55">
        <f t="shared" si="22"/>
        <v>0</v>
      </c>
      <c r="C217" s="55"/>
      <c r="D217" s="55"/>
      <c r="E217" s="55">
        <f t="shared" si="23"/>
        <v>0</v>
      </c>
      <c r="F217" s="55">
        <f t="shared" si="24"/>
        <v>0</v>
      </c>
      <c r="G217" s="55">
        <f t="shared" si="25"/>
        <v>0</v>
      </c>
      <c r="H217" s="55" t="str">
        <f t="shared" si="26"/>
        <v/>
      </c>
      <c r="J217" s="61">
        <f t="shared" si="27"/>
        <v>0</v>
      </c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</row>
    <row r="218" spans="1:36" x14ac:dyDescent="0.2">
      <c r="A218" s="61">
        <f t="shared" si="21"/>
        <v>0</v>
      </c>
      <c r="B218" s="55">
        <f t="shared" si="22"/>
        <v>0</v>
      </c>
      <c r="C218" s="55"/>
      <c r="D218" s="55"/>
      <c r="E218" s="55">
        <f t="shared" si="23"/>
        <v>0</v>
      </c>
      <c r="F218" s="55">
        <f t="shared" si="24"/>
        <v>0</v>
      </c>
      <c r="G218" s="55">
        <f t="shared" si="25"/>
        <v>0</v>
      </c>
      <c r="H218" s="55" t="str">
        <f t="shared" si="26"/>
        <v/>
      </c>
      <c r="J218" s="61">
        <f t="shared" si="27"/>
        <v>0</v>
      </c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</row>
    <row r="219" spans="1:36" x14ac:dyDescent="0.2">
      <c r="A219" s="61">
        <f t="shared" si="21"/>
        <v>0</v>
      </c>
      <c r="B219" s="55">
        <f t="shared" si="22"/>
        <v>0</v>
      </c>
      <c r="C219" s="55"/>
      <c r="D219" s="55"/>
      <c r="E219" s="55">
        <f t="shared" si="23"/>
        <v>0</v>
      </c>
      <c r="F219" s="55">
        <f t="shared" si="24"/>
        <v>0</v>
      </c>
      <c r="G219" s="55">
        <f t="shared" si="25"/>
        <v>0</v>
      </c>
      <c r="H219" s="55" t="str">
        <f t="shared" si="26"/>
        <v/>
      </c>
      <c r="J219" s="61">
        <f t="shared" si="27"/>
        <v>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</row>
    <row r="220" spans="1:36" x14ac:dyDescent="0.2">
      <c r="A220" s="61">
        <f t="shared" si="21"/>
        <v>0</v>
      </c>
      <c r="B220" s="55">
        <f t="shared" si="22"/>
        <v>0</v>
      </c>
      <c r="C220" s="55"/>
      <c r="D220" s="55"/>
      <c r="E220" s="55">
        <f t="shared" si="23"/>
        <v>0</v>
      </c>
      <c r="F220" s="55">
        <f t="shared" si="24"/>
        <v>0</v>
      </c>
      <c r="G220" s="55">
        <f t="shared" si="25"/>
        <v>0</v>
      </c>
      <c r="H220" s="55" t="str">
        <f t="shared" si="26"/>
        <v/>
      </c>
      <c r="J220" s="61">
        <f t="shared" si="27"/>
        <v>0</v>
      </c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</row>
    <row r="221" spans="1:36" x14ac:dyDescent="0.2">
      <c r="A221" s="61">
        <f t="shared" si="21"/>
        <v>0</v>
      </c>
      <c r="B221" s="55">
        <f t="shared" si="22"/>
        <v>0</v>
      </c>
      <c r="C221" s="55"/>
      <c r="D221" s="55"/>
      <c r="E221" s="55">
        <f t="shared" si="23"/>
        <v>0</v>
      </c>
      <c r="F221" s="55">
        <f t="shared" si="24"/>
        <v>0</v>
      </c>
      <c r="G221" s="55">
        <f t="shared" si="25"/>
        <v>0</v>
      </c>
      <c r="H221" s="55" t="str">
        <f t="shared" si="26"/>
        <v/>
      </c>
      <c r="J221" s="61">
        <f t="shared" si="27"/>
        <v>0</v>
      </c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</row>
    <row r="222" spans="1:36" x14ac:dyDescent="0.2">
      <c r="A222" s="61">
        <f t="shared" si="21"/>
        <v>0</v>
      </c>
      <c r="B222" s="55">
        <f t="shared" si="22"/>
        <v>0</v>
      </c>
      <c r="C222" s="55"/>
      <c r="D222" s="55"/>
      <c r="E222" s="55">
        <f t="shared" si="23"/>
        <v>0</v>
      </c>
      <c r="F222" s="55">
        <f t="shared" si="24"/>
        <v>0</v>
      </c>
      <c r="G222" s="55">
        <f t="shared" si="25"/>
        <v>0</v>
      </c>
      <c r="H222" s="55" t="str">
        <f t="shared" si="26"/>
        <v/>
      </c>
      <c r="J222" s="61">
        <f t="shared" si="27"/>
        <v>0</v>
      </c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</row>
    <row r="223" spans="1:36" x14ac:dyDescent="0.2">
      <c r="A223" s="61">
        <f t="shared" si="21"/>
        <v>0</v>
      </c>
      <c r="B223" s="55">
        <f t="shared" si="22"/>
        <v>0</v>
      </c>
      <c r="C223" s="55"/>
      <c r="D223" s="55"/>
      <c r="E223" s="55">
        <f t="shared" si="23"/>
        <v>0</v>
      </c>
      <c r="F223" s="55">
        <f t="shared" si="24"/>
        <v>0</v>
      </c>
      <c r="G223" s="55">
        <f t="shared" si="25"/>
        <v>0</v>
      </c>
      <c r="H223" s="55" t="str">
        <f t="shared" si="26"/>
        <v/>
      </c>
      <c r="J223" s="61">
        <f t="shared" si="27"/>
        <v>0</v>
      </c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</row>
    <row r="224" spans="1:36" x14ac:dyDescent="0.2">
      <c r="A224" s="61">
        <f t="shared" si="21"/>
        <v>0</v>
      </c>
      <c r="B224" s="55">
        <f t="shared" si="22"/>
        <v>0</v>
      </c>
      <c r="C224" s="55"/>
      <c r="D224" s="55"/>
      <c r="E224" s="55">
        <f t="shared" si="23"/>
        <v>0</v>
      </c>
      <c r="F224" s="55">
        <f t="shared" si="24"/>
        <v>0</v>
      </c>
      <c r="G224" s="55">
        <f t="shared" si="25"/>
        <v>0</v>
      </c>
      <c r="H224" s="55" t="str">
        <f t="shared" si="26"/>
        <v/>
      </c>
      <c r="J224" s="61">
        <f t="shared" si="27"/>
        <v>0</v>
      </c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</row>
    <row r="225" spans="1:36" x14ac:dyDescent="0.2">
      <c r="A225" s="61">
        <f t="shared" si="21"/>
        <v>0</v>
      </c>
      <c r="B225" s="55">
        <f t="shared" si="22"/>
        <v>0</v>
      </c>
      <c r="C225" s="55"/>
      <c r="D225" s="55"/>
      <c r="E225" s="55">
        <f t="shared" si="23"/>
        <v>0</v>
      </c>
      <c r="F225" s="55">
        <f t="shared" si="24"/>
        <v>0</v>
      </c>
      <c r="G225" s="55">
        <f t="shared" si="25"/>
        <v>0</v>
      </c>
      <c r="H225" s="55" t="str">
        <f t="shared" si="26"/>
        <v/>
      </c>
      <c r="J225" s="61">
        <f t="shared" si="27"/>
        <v>0</v>
      </c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</row>
    <row r="226" spans="1:36" x14ac:dyDescent="0.2">
      <c r="A226" s="61">
        <f t="shared" si="21"/>
        <v>0</v>
      </c>
      <c r="B226" s="55">
        <f t="shared" si="22"/>
        <v>0</v>
      </c>
      <c r="C226" s="55"/>
      <c r="D226" s="55"/>
      <c r="E226" s="55">
        <f t="shared" si="23"/>
        <v>0</v>
      </c>
      <c r="F226" s="55">
        <f t="shared" si="24"/>
        <v>0</v>
      </c>
      <c r="G226" s="55">
        <f t="shared" si="25"/>
        <v>0</v>
      </c>
      <c r="H226" s="55" t="str">
        <f t="shared" si="26"/>
        <v/>
      </c>
      <c r="J226" s="61">
        <f t="shared" si="27"/>
        <v>0</v>
      </c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</row>
    <row r="227" spans="1:36" x14ac:dyDescent="0.2">
      <c r="A227" s="61">
        <f t="shared" si="21"/>
        <v>0</v>
      </c>
      <c r="B227" s="55">
        <f t="shared" si="22"/>
        <v>0</v>
      </c>
      <c r="C227" s="55"/>
      <c r="D227" s="55"/>
      <c r="E227" s="55">
        <f t="shared" si="23"/>
        <v>0</v>
      </c>
      <c r="F227" s="55">
        <f t="shared" si="24"/>
        <v>0</v>
      </c>
      <c r="G227" s="55">
        <f t="shared" si="25"/>
        <v>0</v>
      </c>
      <c r="H227" s="55" t="str">
        <f t="shared" si="26"/>
        <v/>
      </c>
      <c r="J227" s="61">
        <f t="shared" si="27"/>
        <v>0</v>
      </c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</row>
    <row r="228" spans="1:36" x14ac:dyDescent="0.2">
      <c r="A228" s="61">
        <f t="shared" si="21"/>
        <v>0</v>
      </c>
      <c r="B228" s="55">
        <f t="shared" si="22"/>
        <v>0</v>
      </c>
      <c r="C228" s="55"/>
      <c r="D228" s="55"/>
      <c r="E228" s="55">
        <f t="shared" si="23"/>
        <v>0</v>
      </c>
      <c r="F228" s="55">
        <f t="shared" si="24"/>
        <v>0</v>
      </c>
      <c r="G228" s="55">
        <f t="shared" si="25"/>
        <v>0</v>
      </c>
      <c r="H228" s="55" t="str">
        <f t="shared" si="26"/>
        <v/>
      </c>
      <c r="J228" s="61">
        <f t="shared" si="27"/>
        <v>0</v>
      </c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</row>
    <row r="229" spans="1:36" x14ac:dyDescent="0.2">
      <c r="A229" s="61">
        <f t="shared" si="21"/>
        <v>0</v>
      </c>
      <c r="B229" s="55">
        <f t="shared" si="22"/>
        <v>0</v>
      </c>
      <c r="C229" s="55"/>
      <c r="D229" s="55"/>
      <c r="E229" s="55">
        <f t="shared" si="23"/>
        <v>0</v>
      </c>
      <c r="F229" s="55">
        <f t="shared" si="24"/>
        <v>0</v>
      </c>
      <c r="G229" s="55">
        <f t="shared" si="25"/>
        <v>0</v>
      </c>
      <c r="H229" s="55" t="str">
        <f t="shared" si="26"/>
        <v/>
      </c>
      <c r="J229" s="61">
        <f t="shared" si="27"/>
        <v>0</v>
      </c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</row>
    <row r="230" spans="1:36" x14ac:dyDescent="0.2">
      <c r="A230" s="61">
        <f t="shared" si="21"/>
        <v>0</v>
      </c>
      <c r="B230" s="55">
        <f t="shared" si="22"/>
        <v>0</v>
      </c>
      <c r="C230" s="55"/>
      <c r="D230" s="55"/>
      <c r="E230" s="55">
        <f t="shared" si="23"/>
        <v>0</v>
      </c>
      <c r="F230" s="55">
        <f t="shared" si="24"/>
        <v>0</v>
      </c>
      <c r="G230" s="55">
        <f t="shared" si="25"/>
        <v>0</v>
      </c>
      <c r="H230" s="55" t="str">
        <f t="shared" si="26"/>
        <v/>
      </c>
      <c r="J230" s="61">
        <f t="shared" si="27"/>
        <v>0</v>
      </c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</row>
    <row r="231" spans="1:36" x14ac:dyDescent="0.2">
      <c r="A231" s="61">
        <f t="shared" si="21"/>
        <v>0</v>
      </c>
      <c r="B231" s="55">
        <f t="shared" si="22"/>
        <v>0</v>
      </c>
      <c r="C231" s="55"/>
      <c r="D231" s="55"/>
      <c r="E231" s="55">
        <f t="shared" si="23"/>
        <v>0</v>
      </c>
      <c r="F231" s="55">
        <f t="shared" si="24"/>
        <v>0</v>
      </c>
      <c r="G231" s="55">
        <f t="shared" si="25"/>
        <v>0</v>
      </c>
      <c r="H231" s="55" t="str">
        <f t="shared" si="26"/>
        <v/>
      </c>
      <c r="J231" s="61">
        <f t="shared" si="27"/>
        <v>0</v>
      </c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</row>
    <row r="232" spans="1:36" x14ac:dyDescent="0.2">
      <c r="A232" s="61">
        <f t="shared" si="21"/>
        <v>0</v>
      </c>
      <c r="B232" s="55">
        <f t="shared" si="22"/>
        <v>0</v>
      </c>
      <c r="C232" s="55"/>
      <c r="D232" s="55"/>
      <c r="E232" s="55">
        <f t="shared" si="23"/>
        <v>0</v>
      </c>
      <c r="F232" s="55">
        <f t="shared" si="24"/>
        <v>0</v>
      </c>
      <c r="G232" s="55">
        <f t="shared" si="25"/>
        <v>0</v>
      </c>
      <c r="H232" s="55" t="str">
        <f t="shared" si="26"/>
        <v/>
      </c>
      <c r="J232" s="61">
        <f t="shared" si="27"/>
        <v>0</v>
      </c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</row>
    <row r="233" spans="1:36" x14ac:dyDescent="0.2">
      <c r="A233" s="61">
        <f t="shared" si="21"/>
        <v>0</v>
      </c>
      <c r="B233" s="55">
        <f t="shared" si="22"/>
        <v>0</v>
      </c>
      <c r="C233" s="55"/>
      <c r="D233" s="55"/>
      <c r="E233" s="55">
        <f t="shared" si="23"/>
        <v>0</v>
      </c>
      <c r="F233" s="55">
        <f t="shared" si="24"/>
        <v>0</v>
      </c>
      <c r="G233" s="55">
        <f t="shared" si="25"/>
        <v>0</v>
      </c>
      <c r="H233" s="55" t="str">
        <f t="shared" si="26"/>
        <v/>
      </c>
      <c r="J233" s="61">
        <f t="shared" si="27"/>
        <v>0</v>
      </c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</row>
    <row r="234" spans="1:36" x14ac:dyDescent="0.2">
      <c r="A234" s="61">
        <f t="shared" si="21"/>
        <v>0</v>
      </c>
      <c r="B234" s="55">
        <f t="shared" si="22"/>
        <v>0</v>
      </c>
      <c r="C234" s="55"/>
      <c r="D234" s="55"/>
      <c r="E234" s="55">
        <f t="shared" si="23"/>
        <v>0</v>
      </c>
      <c r="F234" s="55">
        <f t="shared" si="24"/>
        <v>0</v>
      </c>
      <c r="G234" s="55">
        <f t="shared" si="25"/>
        <v>0</v>
      </c>
      <c r="H234" s="55" t="str">
        <f t="shared" si="26"/>
        <v/>
      </c>
      <c r="J234" s="61">
        <f t="shared" si="27"/>
        <v>0</v>
      </c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</row>
    <row r="235" spans="1:36" x14ac:dyDescent="0.2">
      <c r="A235" s="61">
        <f t="shared" si="21"/>
        <v>0</v>
      </c>
      <c r="B235" s="55">
        <f t="shared" si="22"/>
        <v>0</v>
      </c>
      <c r="C235" s="55"/>
      <c r="D235" s="55"/>
      <c r="E235" s="55">
        <f t="shared" si="23"/>
        <v>0</v>
      </c>
      <c r="F235" s="55">
        <f t="shared" si="24"/>
        <v>0</v>
      </c>
      <c r="G235" s="55">
        <f t="shared" si="25"/>
        <v>0</v>
      </c>
      <c r="H235" s="55" t="str">
        <f t="shared" si="26"/>
        <v/>
      </c>
      <c r="J235" s="61">
        <f t="shared" si="27"/>
        <v>0</v>
      </c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</row>
    <row r="236" spans="1:36" x14ac:dyDescent="0.2">
      <c r="A236" s="61">
        <f t="shared" si="21"/>
        <v>0</v>
      </c>
      <c r="B236" s="55">
        <f t="shared" si="22"/>
        <v>0</v>
      </c>
      <c r="C236" s="55"/>
      <c r="D236" s="55"/>
      <c r="E236" s="55">
        <f t="shared" si="23"/>
        <v>0</v>
      </c>
      <c r="F236" s="55">
        <f t="shared" si="24"/>
        <v>0</v>
      </c>
      <c r="G236" s="55">
        <f t="shared" si="25"/>
        <v>0</v>
      </c>
      <c r="H236" s="55" t="str">
        <f t="shared" si="26"/>
        <v/>
      </c>
      <c r="J236" s="61">
        <f t="shared" si="27"/>
        <v>0</v>
      </c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</row>
    <row r="237" spans="1:36" x14ac:dyDescent="0.2">
      <c r="A237" s="61">
        <f t="shared" si="21"/>
        <v>0</v>
      </c>
      <c r="B237" s="55">
        <f t="shared" si="22"/>
        <v>0</v>
      </c>
      <c r="C237" s="55"/>
      <c r="D237" s="55"/>
      <c r="E237" s="55">
        <f t="shared" si="23"/>
        <v>0</v>
      </c>
      <c r="F237" s="55">
        <f t="shared" si="24"/>
        <v>0</v>
      </c>
      <c r="G237" s="55">
        <f t="shared" si="25"/>
        <v>0</v>
      </c>
      <c r="H237" s="55" t="str">
        <f t="shared" si="26"/>
        <v/>
      </c>
      <c r="J237" s="61">
        <f t="shared" si="27"/>
        <v>0</v>
      </c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</row>
    <row r="238" spans="1:36" x14ac:dyDescent="0.2">
      <c r="A238" s="61">
        <f t="shared" si="21"/>
        <v>0</v>
      </c>
      <c r="B238" s="55">
        <f t="shared" si="22"/>
        <v>0</v>
      </c>
      <c r="C238" s="55"/>
      <c r="D238" s="55"/>
      <c r="E238" s="55">
        <f t="shared" si="23"/>
        <v>0</v>
      </c>
      <c r="F238" s="55">
        <f t="shared" si="24"/>
        <v>0</v>
      </c>
      <c r="G238" s="55">
        <f t="shared" si="25"/>
        <v>0</v>
      </c>
      <c r="H238" s="55" t="str">
        <f t="shared" si="26"/>
        <v/>
      </c>
      <c r="J238" s="61">
        <f t="shared" si="27"/>
        <v>0</v>
      </c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</row>
    <row r="239" spans="1:36" x14ac:dyDescent="0.2">
      <c r="A239" s="61">
        <f t="shared" si="21"/>
        <v>0</v>
      </c>
      <c r="B239" s="55">
        <f t="shared" si="22"/>
        <v>0</v>
      </c>
      <c r="C239" s="55"/>
      <c r="D239" s="55"/>
      <c r="E239" s="55">
        <f t="shared" si="23"/>
        <v>0</v>
      </c>
      <c r="F239" s="55">
        <f t="shared" si="24"/>
        <v>0</v>
      </c>
      <c r="G239" s="55">
        <f t="shared" si="25"/>
        <v>0</v>
      </c>
      <c r="H239" s="55" t="str">
        <f t="shared" si="26"/>
        <v/>
      </c>
      <c r="J239" s="61">
        <f t="shared" si="27"/>
        <v>0</v>
      </c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</row>
    <row r="240" spans="1:36" x14ac:dyDescent="0.2">
      <c r="A240" s="61">
        <f t="shared" si="21"/>
        <v>0</v>
      </c>
      <c r="B240" s="55">
        <f t="shared" si="22"/>
        <v>0</v>
      </c>
      <c r="C240" s="55"/>
      <c r="D240" s="55"/>
      <c r="E240" s="55">
        <f t="shared" si="23"/>
        <v>0</v>
      </c>
      <c r="F240" s="55">
        <f t="shared" si="24"/>
        <v>0</v>
      </c>
      <c r="G240" s="55">
        <f t="shared" si="25"/>
        <v>0</v>
      </c>
      <c r="H240" s="55" t="str">
        <f t="shared" si="26"/>
        <v/>
      </c>
      <c r="J240" s="61">
        <f t="shared" si="27"/>
        <v>0</v>
      </c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</row>
    <row r="241" spans="1:36" x14ac:dyDescent="0.2">
      <c r="A241" s="61">
        <f t="shared" si="21"/>
        <v>0</v>
      </c>
      <c r="B241" s="55">
        <f t="shared" si="22"/>
        <v>0</v>
      </c>
      <c r="C241" s="55"/>
      <c r="D241" s="55"/>
      <c r="E241" s="55">
        <f t="shared" si="23"/>
        <v>0</v>
      </c>
      <c r="F241" s="55">
        <f t="shared" si="24"/>
        <v>0</v>
      </c>
      <c r="G241" s="55">
        <f t="shared" si="25"/>
        <v>0</v>
      </c>
      <c r="H241" s="55" t="str">
        <f t="shared" si="26"/>
        <v/>
      </c>
      <c r="J241" s="61">
        <f t="shared" si="27"/>
        <v>0</v>
      </c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</row>
    <row r="242" spans="1:36" x14ac:dyDescent="0.2">
      <c r="A242" s="61">
        <f t="shared" si="21"/>
        <v>0</v>
      </c>
      <c r="B242" s="55">
        <f t="shared" si="22"/>
        <v>0</v>
      </c>
      <c r="C242" s="55"/>
      <c r="D242" s="55"/>
      <c r="E242" s="55">
        <f t="shared" si="23"/>
        <v>0</v>
      </c>
      <c r="F242" s="55">
        <f t="shared" si="24"/>
        <v>0</v>
      </c>
      <c r="G242" s="55">
        <f t="shared" si="25"/>
        <v>0</v>
      </c>
      <c r="H242" s="55" t="str">
        <f t="shared" si="26"/>
        <v/>
      </c>
      <c r="J242" s="61">
        <f t="shared" si="27"/>
        <v>0</v>
      </c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</row>
    <row r="243" spans="1:36" x14ac:dyDescent="0.2">
      <c r="A243" s="61">
        <f t="shared" si="21"/>
        <v>0</v>
      </c>
      <c r="B243" s="55">
        <f t="shared" si="22"/>
        <v>0</v>
      </c>
      <c r="C243" s="55"/>
      <c r="D243" s="55"/>
      <c r="E243" s="55">
        <f t="shared" si="23"/>
        <v>0</v>
      </c>
      <c r="F243" s="55">
        <f t="shared" si="24"/>
        <v>0</v>
      </c>
      <c r="G243" s="55">
        <f t="shared" si="25"/>
        <v>0</v>
      </c>
      <c r="H243" s="55" t="str">
        <f t="shared" si="26"/>
        <v/>
      </c>
      <c r="J243" s="61">
        <f t="shared" si="27"/>
        <v>0</v>
      </c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</row>
    <row r="244" spans="1:36" x14ac:dyDescent="0.2">
      <c r="A244" s="61">
        <f t="shared" si="21"/>
        <v>0</v>
      </c>
      <c r="B244" s="55">
        <f t="shared" si="22"/>
        <v>0</v>
      </c>
      <c r="C244" s="55"/>
      <c r="D244" s="55"/>
      <c r="E244" s="55">
        <f t="shared" si="23"/>
        <v>0</v>
      </c>
      <c r="F244" s="55">
        <f t="shared" si="24"/>
        <v>0</v>
      </c>
      <c r="G244" s="55">
        <f t="shared" si="25"/>
        <v>0</v>
      </c>
      <c r="H244" s="55" t="str">
        <f t="shared" si="26"/>
        <v/>
      </c>
      <c r="J244" s="61">
        <f t="shared" si="27"/>
        <v>0</v>
      </c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</row>
    <row r="245" spans="1:36" x14ac:dyDescent="0.2">
      <c r="A245" s="61">
        <f t="shared" si="21"/>
        <v>0</v>
      </c>
      <c r="B245" s="55">
        <f t="shared" si="22"/>
        <v>0</v>
      </c>
      <c r="C245" s="55"/>
      <c r="D245" s="55"/>
      <c r="E245" s="55">
        <f t="shared" si="23"/>
        <v>0</v>
      </c>
      <c r="F245" s="55">
        <f t="shared" si="24"/>
        <v>0</v>
      </c>
      <c r="G245" s="55">
        <f t="shared" si="25"/>
        <v>0</v>
      </c>
      <c r="H245" s="55" t="str">
        <f t="shared" si="26"/>
        <v/>
      </c>
      <c r="J245" s="61">
        <f t="shared" si="27"/>
        <v>0</v>
      </c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</row>
    <row r="246" spans="1:36" x14ac:dyDescent="0.2">
      <c r="A246" s="61">
        <f t="shared" si="21"/>
        <v>0</v>
      </c>
      <c r="B246" s="55">
        <f t="shared" si="22"/>
        <v>0</v>
      </c>
      <c r="C246" s="55"/>
      <c r="D246" s="55"/>
      <c r="E246" s="55">
        <f t="shared" si="23"/>
        <v>0</v>
      </c>
      <c r="F246" s="55">
        <f t="shared" si="24"/>
        <v>0</v>
      </c>
      <c r="G246" s="55">
        <f t="shared" si="25"/>
        <v>0</v>
      </c>
      <c r="H246" s="55" t="str">
        <f t="shared" si="26"/>
        <v/>
      </c>
      <c r="J246" s="61">
        <f t="shared" si="27"/>
        <v>0</v>
      </c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</row>
    <row r="247" spans="1:36" x14ac:dyDescent="0.2">
      <c r="A247" s="61">
        <f t="shared" si="21"/>
        <v>0</v>
      </c>
      <c r="B247" s="55">
        <f t="shared" si="22"/>
        <v>0</v>
      </c>
      <c r="C247" s="55"/>
      <c r="D247" s="55"/>
      <c r="E247" s="55">
        <f t="shared" si="23"/>
        <v>0</v>
      </c>
      <c r="F247" s="55">
        <f t="shared" si="24"/>
        <v>0</v>
      </c>
      <c r="G247" s="55">
        <f t="shared" si="25"/>
        <v>0</v>
      </c>
      <c r="H247" s="55" t="str">
        <f t="shared" si="26"/>
        <v/>
      </c>
      <c r="J247" s="61">
        <f t="shared" si="27"/>
        <v>0</v>
      </c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</row>
    <row r="248" spans="1:36" x14ac:dyDescent="0.2">
      <c r="A248" s="61">
        <f t="shared" si="21"/>
        <v>0</v>
      </c>
      <c r="B248" s="55">
        <f t="shared" si="22"/>
        <v>0</v>
      </c>
      <c r="C248" s="55"/>
      <c r="D248" s="55"/>
      <c r="E248" s="55">
        <f t="shared" si="23"/>
        <v>0</v>
      </c>
      <c r="F248" s="55">
        <f t="shared" si="24"/>
        <v>0</v>
      </c>
      <c r="G248" s="55">
        <f t="shared" si="25"/>
        <v>0</v>
      </c>
      <c r="H248" s="55" t="str">
        <f t="shared" si="26"/>
        <v/>
      </c>
      <c r="J248" s="61">
        <f t="shared" si="27"/>
        <v>0</v>
      </c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</row>
    <row r="249" spans="1:36" x14ac:dyDescent="0.2">
      <c r="A249" s="61">
        <f t="shared" si="21"/>
        <v>0</v>
      </c>
      <c r="B249" s="55">
        <f t="shared" si="22"/>
        <v>0</v>
      </c>
      <c r="C249" s="55"/>
      <c r="D249" s="55"/>
      <c r="E249" s="55">
        <f t="shared" si="23"/>
        <v>0</v>
      </c>
      <c r="F249" s="55">
        <f t="shared" si="24"/>
        <v>0</v>
      </c>
      <c r="G249" s="55">
        <f t="shared" si="25"/>
        <v>0</v>
      </c>
      <c r="H249" s="55" t="str">
        <f t="shared" si="26"/>
        <v/>
      </c>
      <c r="J249" s="61">
        <f t="shared" si="27"/>
        <v>0</v>
      </c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</row>
    <row r="250" spans="1:36" x14ac:dyDescent="0.2">
      <c r="A250" s="61">
        <f t="shared" si="21"/>
        <v>0</v>
      </c>
      <c r="B250" s="55">
        <f t="shared" si="22"/>
        <v>0</v>
      </c>
      <c r="C250" s="55"/>
      <c r="D250" s="55"/>
      <c r="E250" s="55">
        <f t="shared" si="23"/>
        <v>0</v>
      </c>
      <c r="F250" s="55">
        <f t="shared" si="24"/>
        <v>0</v>
      </c>
      <c r="G250" s="55">
        <f t="shared" si="25"/>
        <v>0</v>
      </c>
      <c r="H250" s="55" t="str">
        <f t="shared" si="26"/>
        <v/>
      </c>
      <c r="J250" s="61">
        <f t="shared" si="27"/>
        <v>0</v>
      </c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</row>
    <row r="251" spans="1:36" x14ac:dyDescent="0.2">
      <c r="A251" s="61">
        <f t="shared" si="21"/>
        <v>0</v>
      </c>
      <c r="B251" s="55">
        <f t="shared" si="22"/>
        <v>0</v>
      </c>
      <c r="C251" s="55"/>
      <c r="D251" s="55"/>
      <c r="E251" s="55">
        <f t="shared" si="23"/>
        <v>0</v>
      </c>
      <c r="F251" s="55">
        <f t="shared" si="24"/>
        <v>0</v>
      </c>
      <c r="G251" s="55">
        <f t="shared" si="25"/>
        <v>0</v>
      </c>
      <c r="H251" s="55" t="str">
        <f t="shared" si="26"/>
        <v/>
      </c>
      <c r="J251" s="61">
        <f t="shared" si="27"/>
        <v>0</v>
      </c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</row>
    <row r="252" spans="1:36" x14ac:dyDescent="0.2">
      <c r="A252" s="61">
        <f t="shared" si="21"/>
        <v>0</v>
      </c>
      <c r="B252" s="55">
        <f t="shared" si="22"/>
        <v>0</v>
      </c>
      <c r="C252" s="55"/>
      <c r="D252" s="55"/>
      <c r="E252" s="55">
        <f t="shared" si="23"/>
        <v>0</v>
      </c>
      <c r="F252" s="55">
        <f t="shared" si="24"/>
        <v>0</v>
      </c>
      <c r="G252" s="55">
        <f t="shared" si="25"/>
        <v>0</v>
      </c>
      <c r="H252" s="55" t="str">
        <f t="shared" si="26"/>
        <v/>
      </c>
      <c r="J252" s="61">
        <f t="shared" si="27"/>
        <v>0</v>
      </c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</row>
    <row r="253" spans="1:36" x14ac:dyDescent="0.2">
      <c r="A253" s="61">
        <f t="shared" si="21"/>
        <v>0</v>
      </c>
      <c r="B253" s="55">
        <f t="shared" si="22"/>
        <v>0</v>
      </c>
      <c r="C253" s="55"/>
      <c r="D253" s="55"/>
      <c r="E253" s="55">
        <f t="shared" si="23"/>
        <v>0</v>
      </c>
      <c r="F253" s="55">
        <f t="shared" si="24"/>
        <v>0</v>
      </c>
      <c r="G253" s="55">
        <f t="shared" si="25"/>
        <v>0</v>
      </c>
      <c r="H253" s="55" t="str">
        <f t="shared" si="26"/>
        <v/>
      </c>
      <c r="J253" s="61">
        <f t="shared" si="27"/>
        <v>0</v>
      </c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</row>
    <row r="254" spans="1:36" x14ac:dyDescent="0.2">
      <c r="A254" s="61">
        <f t="shared" si="21"/>
        <v>0</v>
      </c>
      <c r="B254" s="55">
        <f t="shared" si="22"/>
        <v>0</v>
      </c>
      <c r="C254" s="55"/>
      <c r="D254" s="55"/>
      <c r="E254" s="55">
        <f t="shared" si="23"/>
        <v>0</v>
      </c>
      <c r="F254" s="55">
        <f t="shared" si="24"/>
        <v>0</v>
      </c>
      <c r="G254" s="55">
        <f t="shared" si="25"/>
        <v>0</v>
      </c>
      <c r="H254" s="55" t="str">
        <f t="shared" si="26"/>
        <v/>
      </c>
      <c r="J254" s="61">
        <f t="shared" si="27"/>
        <v>0</v>
      </c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</row>
    <row r="255" spans="1:36" x14ac:dyDescent="0.2">
      <c r="A255" s="61">
        <f t="shared" si="21"/>
        <v>0</v>
      </c>
      <c r="B255" s="55">
        <f t="shared" si="22"/>
        <v>0</v>
      </c>
      <c r="C255" s="55"/>
      <c r="D255" s="55"/>
      <c r="E255" s="55">
        <f t="shared" si="23"/>
        <v>0</v>
      </c>
      <c r="F255" s="55">
        <f t="shared" si="24"/>
        <v>0</v>
      </c>
      <c r="G255" s="55">
        <f t="shared" si="25"/>
        <v>0</v>
      </c>
      <c r="H255" s="55" t="str">
        <f t="shared" si="26"/>
        <v/>
      </c>
      <c r="J255" s="61">
        <f t="shared" si="27"/>
        <v>0</v>
      </c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</row>
    <row r="256" spans="1:36" x14ac:dyDescent="0.2">
      <c r="A256" s="61">
        <f t="shared" si="21"/>
        <v>0</v>
      </c>
      <c r="B256" s="55">
        <f t="shared" si="22"/>
        <v>0</v>
      </c>
      <c r="C256" s="55"/>
      <c r="D256" s="55"/>
      <c r="E256" s="55">
        <f t="shared" si="23"/>
        <v>0</v>
      </c>
      <c r="F256" s="55">
        <f t="shared" si="24"/>
        <v>0</v>
      </c>
      <c r="G256" s="55">
        <f t="shared" si="25"/>
        <v>0</v>
      </c>
      <c r="H256" s="55" t="str">
        <f t="shared" si="26"/>
        <v/>
      </c>
      <c r="J256" s="61">
        <f t="shared" si="27"/>
        <v>0</v>
      </c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</row>
    <row r="257" spans="1:36" x14ac:dyDescent="0.2">
      <c r="A257" s="61">
        <f t="shared" si="21"/>
        <v>0</v>
      </c>
      <c r="B257" s="55">
        <f t="shared" si="22"/>
        <v>0</v>
      </c>
      <c r="C257" s="55"/>
      <c r="D257" s="55"/>
      <c r="E257" s="55">
        <f t="shared" si="23"/>
        <v>0</v>
      </c>
      <c r="F257" s="55">
        <f t="shared" si="24"/>
        <v>0</v>
      </c>
      <c r="G257" s="55">
        <f t="shared" si="25"/>
        <v>0</v>
      </c>
      <c r="H257" s="55" t="str">
        <f t="shared" si="26"/>
        <v/>
      </c>
      <c r="J257" s="61">
        <f t="shared" si="27"/>
        <v>0</v>
      </c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</row>
    <row r="258" spans="1:36" x14ac:dyDescent="0.2">
      <c r="A258" s="61">
        <f t="shared" ref="A258:A321" si="28">J258</f>
        <v>0</v>
      </c>
      <c r="B258" s="55">
        <f t="shared" ref="B258:B321" si="29">M258</f>
        <v>0</v>
      </c>
      <c r="C258" s="55"/>
      <c r="D258" s="55"/>
      <c r="E258" s="55">
        <f t="shared" ref="E258:E321" si="30">V258</f>
        <v>0</v>
      </c>
      <c r="F258" s="55">
        <f t="shared" ref="F258:F321" si="31">Z258</f>
        <v>0</v>
      </c>
      <c r="G258" s="55">
        <f t="shared" ref="G258:G321" si="32">AH258</f>
        <v>0</v>
      </c>
      <c r="H258" s="55" t="str">
        <f t="shared" ref="H258:H321" si="33">IF(Q258&gt;1,IF(Q258=2,"I","E"),"")</f>
        <v/>
      </c>
      <c r="J258" s="61">
        <f t="shared" ref="J258:J321" si="34">P258*1</f>
        <v>0</v>
      </c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</row>
    <row r="259" spans="1:36" x14ac:dyDescent="0.2">
      <c r="A259" s="61">
        <f t="shared" si="28"/>
        <v>0</v>
      </c>
      <c r="B259" s="55">
        <f t="shared" si="29"/>
        <v>0</v>
      </c>
      <c r="C259" s="55"/>
      <c r="D259" s="55"/>
      <c r="E259" s="55">
        <f t="shared" si="30"/>
        <v>0</v>
      </c>
      <c r="F259" s="55">
        <f t="shared" si="31"/>
        <v>0</v>
      </c>
      <c r="G259" s="55">
        <f t="shared" si="32"/>
        <v>0</v>
      </c>
      <c r="H259" s="55" t="str">
        <f t="shared" si="33"/>
        <v/>
      </c>
      <c r="J259" s="61">
        <f t="shared" si="34"/>
        <v>0</v>
      </c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</row>
    <row r="260" spans="1:36" x14ac:dyDescent="0.2">
      <c r="A260" s="61">
        <f t="shared" si="28"/>
        <v>0</v>
      </c>
      <c r="B260" s="55">
        <f t="shared" si="29"/>
        <v>0</v>
      </c>
      <c r="C260" s="55"/>
      <c r="D260" s="55"/>
      <c r="E260" s="55">
        <f t="shared" si="30"/>
        <v>0</v>
      </c>
      <c r="F260" s="55">
        <f t="shared" si="31"/>
        <v>0</v>
      </c>
      <c r="G260" s="55">
        <f t="shared" si="32"/>
        <v>0</v>
      </c>
      <c r="H260" s="55" t="str">
        <f t="shared" si="33"/>
        <v/>
      </c>
      <c r="J260" s="61">
        <f t="shared" si="34"/>
        <v>0</v>
      </c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</row>
    <row r="261" spans="1:36" x14ac:dyDescent="0.2">
      <c r="A261" s="61">
        <f t="shared" si="28"/>
        <v>0</v>
      </c>
      <c r="B261" s="55">
        <f t="shared" si="29"/>
        <v>0</v>
      </c>
      <c r="C261" s="55"/>
      <c r="D261" s="55"/>
      <c r="E261" s="55">
        <f t="shared" si="30"/>
        <v>0</v>
      </c>
      <c r="F261" s="55">
        <f t="shared" si="31"/>
        <v>0</v>
      </c>
      <c r="G261" s="55">
        <f t="shared" si="32"/>
        <v>0</v>
      </c>
      <c r="H261" s="55" t="str">
        <f t="shared" si="33"/>
        <v/>
      </c>
      <c r="J261" s="61">
        <f t="shared" si="34"/>
        <v>0</v>
      </c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</row>
    <row r="262" spans="1:36" x14ac:dyDescent="0.2">
      <c r="A262" s="61">
        <f t="shared" si="28"/>
        <v>0</v>
      </c>
      <c r="B262" s="55">
        <f t="shared" si="29"/>
        <v>0</v>
      </c>
      <c r="C262" s="55"/>
      <c r="D262" s="55"/>
      <c r="E262" s="55">
        <f t="shared" si="30"/>
        <v>0</v>
      </c>
      <c r="F262" s="55">
        <f t="shared" si="31"/>
        <v>0</v>
      </c>
      <c r="G262" s="55">
        <f t="shared" si="32"/>
        <v>0</v>
      </c>
      <c r="H262" s="55" t="str">
        <f t="shared" si="33"/>
        <v/>
      </c>
      <c r="J262" s="61">
        <f t="shared" si="34"/>
        <v>0</v>
      </c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</row>
    <row r="263" spans="1:36" x14ac:dyDescent="0.2">
      <c r="A263" s="61">
        <f t="shared" si="28"/>
        <v>0</v>
      </c>
      <c r="B263" s="55">
        <f t="shared" si="29"/>
        <v>0</v>
      </c>
      <c r="C263" s="55"/>
      <c r="D263" s="55"/>
      <c r="E263" s="55">
        <f t="shared" si="30"/>
        <v>0</v>
      </c>
      <c r="F263" s="55">
        <f t="shared" si="31"/>
        <v>0</v>
      </c>
      <c r="G263" s="55">
        <f t="shared" si="32"/>
        <v>0</v>
      </c>
      <c r="H263" s="55" t="str">
        <f t="shared" si="33"/>
        <v/>
      </c>
      <c r="J263" s="61">
        <f t="shared" si="34"/>
        <v>0</v>
      </c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</row>
    <row r="264" spans="1:36" x14ac:dyDescent="0.2">
      <c r="A264" s="61">
        <f t="shared" si="28"/>
        <v>0</v>
      </c>
      <c r="B264" s="55">
        <f t="shared" si="29"/>
        <v>0</v>
      </c>
      <c r="C264" s="55"/>
      <c r="D264" s="55"/>
      <c r="E264" s="55">
        <f t="shared" si="30"/>
        <v>0</v>
      </c>
      <c r="F264" s="55">
        <f t="shared" si="31"/>
        <v>0</v>
      </c>
      <c r="G264" s="55">
        <f t="shared" si="32"/>
        <v>0</v>
      </c>
      <c r="H264" s="55" t="str">
        <f t="shared" si="33"/>
        <v/>
      </c>
      <c r="J264" s="61">
        <f t="shared" si="34"/>
        <v>0</v>
      </c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</row>
    <row r="265" spans="1:36" x14ac:dyDescent="0.2">
      <c r="A265" s="61">
        <f t="shared" si="28"/>
        <v>0</v>
      </c>
      <c r="B265" s="55">
        <f t="shared" si="29"/>
        <v>0</v>
      </c>
      <c r="C265" s="55"/>
      <c r="D265" s="55"/>
      <c r="E265" s="55">
        <f t="shared" si="30"/>
        <v>0</v>
      </c>
      <c r="F265" s="55">
        <f t="shared" si="31"/>
        <v>0</v>
      </c>
      <c r="G265" s="55">
        <f t="shared" si="32"/>
        <v>0</v>
      </c>
      <c r="H265" s="55" t="str">
        <f t="shared" si="33"/>
        <v/>
      </c>
      <c r="J265" s="61">
        <f t="shared" si="34"/>
        <v>0</v>
      </c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</row>
    <row r="266" spans="1:36" x14ac:dyDescent="0.2">
      <c r="A266" s="61">
        <f t="shared" si="28"/>
        <v>0</v>
      </c>
      <c r="B266" s="55">
        <f t="shared" si="29"/>
        <v>0</v>
      </c>
      <c r="C266" s="55"/>
      <c r="D266" s="55"/>
      <c r="E266" s="55">
        <f t="shared" si="30"/>
        <v>0</v>
      </c>
      <c r="F266" s="55">
        <f t="shared" si="31"/>
        <v>0</v>
      </c>
      <c r="G266" s="55">
        <f t="shared" si="32"/>
        <v>0</v>
      </c>
      <c r="H266" s="55" t="str">
        <f t="shared" si="33"/>
        <v/>
      </c>
      <c r="J266" s="61">
        <f t="shared" si="34"/>
        <v>0</v>
      </c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</row>
    <row r="267" spans="1:36" x14ac:dyDescent="0.2">
      <c r="A267" s="61">
        <f t="shared" si="28"/>
        <v>0</v>
      </c>
      <c r="B267" s="55">
        <f t="shared" si="29"/>
        <v>0</v>
      </c>
      <c r="C267" s="55"/>
      <c r="D267" s="55"/>
      <c r="E267" s="55">
        <f t="shared" si="30"/>
        <v>0</v>
      </c>
      <c r="F267" s="55">
        <f t="shared" si="31"/>
        <v>0</v>
      </c>
      <c r="G267" s="55">
        <f t="shared" si="32"/>
        <v>0</v>
      </c>
      <c r="H267" s="55" t="str">
        <f t="shared" si="33"/>
        <v/>
      </c>
      <c r="J267" s="61">
        <f t="shared" si="34"/>
        <v>0</v>
      </c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</row>
    <row r="268" spans="1:36" x14ac:dyDescent="0.2">
      <c r="A268" s="61">
        <f t="shared" si="28"/>
        <v>0</v>
      </c>
      <c r="B268" s="55">
        <f t="shared" si="29"/>
        <v>0</v>
      </c>
      <c r="C268" s="55"/>
      <c r="D268" s="55"/>
      <c r="E268" s="55">
        <f t="shared" si="30"/>
        <v>0</v>
      </c>
      <c r="F268" s="55">
        <f t="shared" si="31"/>
        <v>0</v>
      </c>
      <c r="G268" s="55">
        <f t="shared" si="32"/>
        <v>0</v>
      </c>
      <c r="H268" s="55" t="str">
        <f t="shared" si="33"/>
        <v/>
      </c>
      <c r="J268" s="61">
        <f t="shared" si="34"/>
        <v>0</v>
      </c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</row>
    <row r="269" spans="1:36" x14ac:dyDescent="0.2">
      <c r="A269" s="61">
        <f t="shared" si="28"/>
        <v>0</v>
      </c>
      <c r="B269" s="55">
        <f t="shared" si="29"/>
        <v>0</v>
      </c>
      <c r="C269" s="55"/>
      <c r="D269" s="55"/>
      <c r="E269" s="55">
        <f t="shared" si="30"/>
        <v>0</v>
      </c>
      <c r="F269" s="55">
        <f t="shared" si="31"/>
        <v>0</v>
      </c>
      <c r="G269" s="55">
        <f t="shared" si="32"/>
        <v>0</v>
      </c>
      <c r="H269" s="55" t="str">
        <f t="shared" si="33"/>
        <v/>
      </c>
      <c r="J269" s="61">
        <f t="shared" si="34"/>
        <v>0</v>
      </c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</row>
    <row r="270" spans="1:36" x14ac:dyDescent="0.2">
      <c r="A270" s="61">
        <f t="shared" si="28"/>
        <v>0</v>
      </c>
      <c r="B270" s="55">
        <f t="shared" si="29"/>
        <v>0</v>
      </c>
      <c r="C270" s="55"/>
      <c r="D270" s="55"/>
      <c r="E270" s="55">
        <f t="shared" si="30"/>
        <v>0</v>
      </c>
      <c r="F270" s="55">
        <f t="shared" si="31"/>
        <v>0</v>
      </c>
      <c r="G270" s="55">
        <f t="shared" si="32"/>
        <v>0</v>
      </c>
      <c r="H270" s="55" t="str">
        <f t="shared" si="33"/>
        <v/>
      </c>
      <c r="J270" s="61">
        <f t="shared" si="34"/>
        <v>0</v>
      </c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</row>
    <row r="271" spans="1:36" x14ac:dyDescent="0.2">
      <c r="A271" s="61">
        <f t="shared" si="28"/>
        <v>0</v>
      </c>
      <c r="B271" s="55">
        <f t="shared" si="29"/>
        <v>0</v>
      </c>
      <c r="C271" s="55"/>
      <c r="D271" s="55"/>
      <c r="E271" s="55">
        <f t="shared" si="30"/>
        <v>0</v>
      </c>
      <c r="F271" s="55">
        <f t="shared" si="31"/>
        <v>0</v>
      </c>
      <c r="G271" s="55">
        <f t="shared" si="32"/>
        <v>0</v>
      </c>
      <c r="H271" s="55" t="str">
        <f t="shared" si="33"/>
        <v/>
      </c>
      <c r="J271" s="61">
        <f t="shared" si="34"/>
        <v>0</v>
      </c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</row>
    <row r="272" spans="1:36" x14ac:dyDescent="0.2">
      <c r="A272" s="61">
        <f t="shared" si="28"/>
        <v>0</v>
      </c>
      <c r="B272" s="55">
        <f t="shared" si="29"/>
        <v>0</v>
      </c>
      <c r="C272" s="55"/>
      <c r="D272" s="55"/>
      <c r="E272" s="55">
        <f t="shared" si="30"/>
        <v>0</v>
      </c>
      <c r="F272" s="55">
        <f t="shared" si="31"/>
        <v>0</v>
      </c>
      <c r="G272" s="55">
        <f t="shared" si="32"/>
        <v>0</v>
      </c>
      <c r="H272" s="55" t="str">
        <f t="shared" si="33"/>
        <v/>
      </c>
      <c r="J272" s="61">
        <f t="shared" si="34"/>
        <v>0</v>
      </c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</row>
    <row r="273" spans="1:36" x14ac:dyDescent="0.2">
      <c r="A273" s="61">
        <f t="shared" si="28"/>
        <v>0</v>
      </c>
      <c r="B273" s="55">
        <f t="shared" si="29"/>
        <v>0</v>
      </c>
      <c r="C273" s="55"/>
      <c r="D273" s="55"/>
      <c r="E273" s="55">
        <f t="shared" si="30"/>
        <v>0</v>
      </c>
      <c r="F273" s="55">
        <f t="shared" si="31"/>
        <v>0</v>
      </c>
      <c r="G273" s="55">
        <f t="shared" si="32"/>
        <v>0</v>
      </c>
      <c r="H273" s="55" t="str">
        <f t="shared" si="33"/>
        <v/>
      </c>
      <c r="J273" s="61">
        <f t="shared" si="34"/>
        <v>0</v>
      </c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</row>
    <row r="274" spans="1:36" x14ac:dyDescent="0.2">
      <c r="A274" s="61">
        <f t="shared" si="28"/>
        <v>0</v>
      </c>
      <c r="B274" s="55">
        <f t="shared" si="29"/>
        <v>0</v>
      </c>
      <c r="C274" s="55"/>
      <c r="D274" s="55"/>
      <c r="E274" s="55">
        <f t="shared" si="30"/>
        <v>0</v>
      </c>
      <c r="F274" s="55">
        <f t="shared" si="31"/>
        <v>0</v>
      </c>
      <c r="G274" s="55">
        <f t="shared" si="32"/>
        <v>0</v>
      </c>
      <c r="H274" s="55" t="str">
        <f t="shared" si="33"/>
        <v/>
      </c>
      <c r="J274" s="61">
        <f t="shared" si="34"/>
        <v>0</v>
      </c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</row>
    <row r="275" spans="1:36" x14ac:dyDescent="0.2">
      <c r="A275" s="61">
        <f t="shared" si="28"/>
        <v>0</v>
      </c>
      <c r="B275" s="55">
        <f t="shared" si="29"/>
        <v>0</v>
      </c>
      <c r="C275" s="55"/>
      <c r="D275" s="55"/>
      <c r="E275" s="55">
        <f t="shared" si="30"/>
        <v>0</v>
      </c>
      <c r="F275" s="55">
        <f t="shared" si="31"/>
        <v>0</v>
      </c>
      <c r="G275" s="55">
        <f t="shared" si="32"/>
        <v>0</v>
      </c>
      <c r="H275" s="55" t="str">
        <f t="shared" si="33"/>
        <v/>
      </c>
      <c r="J275" s="61">
        <f t="shared" si="34"/>
        <v>0</v>
      </c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</row>
    <row r="276" spans="1:36" x14ac:dyDescent="0.2">
      <c r="A276" s="61">
        <f t="shared" si="28"/>
        <v>0</v>
      </c>
      <c r="B276" s="55">
        <f t="shared" si="29"/>
        <v>0</v>
      </c>
      <c r="C276" s="55"/>
      <c r="D276" s="55"/>
      <c r="E276" s="55">
        <f t="shared" si="30"/>
        <v>0</v>
      </c>
      <c r="F276" s="55">
        <f t="shared" si="31"/>
        <v>0</v>
      </c>
      <c r="G276" s="55">
        <f t="shared" si="32"/>
        <v>0</v>
      </c>
      <c r="H276" s="55" t="str">
        <f t="shared" si="33"/>
        <v/>
      </c>
      <c r="J276" s="61">
        <f t="shared" si="34"/>
        <v>0</v>
      </c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</row>
    <row r="277" spans="1:36" x14ac:dyDescent="0.2">
      <c r="A277" s="61">
        <f t="shared" si="28"/>
        <v>0</v>
      </c>
      <c r="B277" s="55">
        <f t="shared" si="29"/>
        <v>0</v>
      </c>
      <c r="C277" s="55"/>
      <c r="D277" s="55"/>
      <c r="E277" s="55">
        <f t="shared" si="30"/>
        <v>0</v>
      </c>
      <c r="F277" s="55">
        <f t="shared" si="31"/>
        <v>0</v>
      </c>
      <c r="G277" s="55">
        <f t="shared" si="32"/>
        <v>0</v>
      </c>
      <c r="H277" s="55" t="str">
        <f t="shared" si="33"/>
        <v/>
      </c>
      <c r="J277" s="61">
        <f t="shared" si="34"/>
        <v>0</v>
      </c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</row>
    <row r="278" spans="1:36" x14ac:dyDescent="0.2">
      <c r="A278" s="61">
        <f t="shared" si="28"/>
        <v>0</v>
      </c>
      <c r="B278" s="55">
        <f t="shared" si="29"/>
        <v>0</v>
      </c>
      <c r="C278" s="55"/>
      <c r="D278" s="55"/>
      <c r="E278" s="55">
        <f t="shared" si="30"/>
        <v>0</v>
      </c>
      <c r="F278" s="55">
        <f t="shared" si="31"/>
        <v>0</v>
      </c>
      <c r="G278" s="55">
        <f t="shared" si="32"/>
        <v>0</v>
      </c>
      <c r="H278" s="55" t="str">
        <f t="shared" si="33"/>
        <v/>
      </c>
      <c r="J278" s="61">
        <f t="shared" si="34"/>
        <v>0</v>
      </c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</row>
    <row r="279" spans="1:36" x14ac:dyDescent="0.2">
      <c r="A279" s="61">
        <f t="shared" si="28"/>
        <v>0</v>
      </c>
      <c r="B279" s="55">
        <f t="shared" si="29"/>
        <v>0</v>
      </c>
      <c r="C279" s="55"/>
      <c r="D279" s="55"/>
      <c r="E279" s="55">
        <f t="shared" si="30"/>
        <v>0</v>
      </c>
      <c r="F279" s="55">
        <f t="shared" si="31"/>
        <v>0</v>
      </c>
      <c r="G279" s="55">
        <f t="shared" si="32"/>
        <v>0</v>
      </c>
      <c r="H279" s="55" t="str">
        <f t="shared" si="33"/>
        <v/>
      </c>
      <c r="J279" s="61">
        <f t="shared" si="34"/>
        <v>0</v>
      </c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</row>
    <row r="280" spans="1:36" x14ac:dyDescent="0.2">
      <c r="A280" s="61">
        <f t="shared" si="28"/>
        <v>0</v>
      </c>
      <c r="B280" s="55">
        <f t="shared" si="29"/>
        <v>0</v>
      </c>
      <c r="C280" s="55"/>
      <c r="D280" s="55"/>
      <c r="E280" s="55">
        <f t="shared" si="30"/>
        <v>0</v>
      </c>
      <c r="F280" s="55">
        <f t="shared" si="31"/>
        <v>0</v>
      </c>
      <c r="G280" s="55">
        <f t="shared" si="32"/>
        <v>0</v>
      </c>
      <c r="H280" s="55" t="str">
        <f t="shared" si="33"/>
        <v/>
      </c>
      <c r="J280" s="61">
        <f t="shared" si="34"/>
        <v>0</v>
      </c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</row>
    <row r="281" spans="1:36" x14ac:dyDescent="0.2">
      <c r="A281" s="61">
        <f t="shared" si="28"/>
        <v>0</v>
      </c>
      <c r="B281" s="55">
        <f t="shared" si="29"/>
        <v>0</v>
      </c>
      <c r="C281" s="55"/>
      <c r="D281" s="55"/>
      <c r="E281" s="55">
        <f t="shared" si="30"/>
        <v>0</v>
      </c>
      <c r="F281" s="55">
        <f t="shared" si="31"/>
        <v>0</v>
      </c>
      <c r="G281" s="55">
        <f t="shared" si="32"/>
        <v>0</v>
      </c>
      <c r="H281" s="55" t="str">
        <f t="shared" si="33"/>
        <v/>
      </c>
      <c r="J281" s="61">
        <f t="shared" si="34"/>
        <v>0</v>
      </c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</row>
    <row r="282" spans="1:36" x14ac:dyDescent="0.2">
      <c r="A282" s="61">
        <f t="shared" si="28"/>
        <v>0</v>
      </c>
      <c r="B282" s="55">
        <f t="shared" si="29"/>
        <v>0</v>
      </c>
      <c r="C282" s="55"/>
      <c r="D282" s="55"/>
      <c r="E282" s="55">
        <f t="shared" si="30"/>
        <v>0</v>
      </c>
      <c r="F282" s="55">
        <f t="shared" si="31"/>
        <v>0</v>
      </c>
      <c r="G282" s="55">
        <f t="shared" si="32"/>
        <v>0</v>
      </c>
      <c r="H282" s="55" t="str">
        <f t="shared" si="33"/>
        <v/>
      </c>
      <c r="J282" s="61">
        <f t="shared" si="34"/>
        <v>0</v>
      </c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</row>
    <row r="283" spans="1:36" x14ac:dyDescent="0.2">
      <c r="A283" s="61">
        <f t="shared" si="28"/>
        <v>0</v>
      </c>
      <c r="B283" s="55">
        <f t="shared" si="29"/>
        <v>0</v>
      </c>
      <c r="C283" s="55"/>
      <c r="D283" s="55"/>
      <c r="E283" s="55">
        <f t="shared" si="30"/>
        <v>0</v>
      </c>
      <c r="F283" s="55">
        <f t="shared" si="31"/>
        <v>0</v>
      </c>
      <c r="G283" s="55">
        <f t="shared" si="32"/>
        <v>0</v>
      </c>
      <c r="H283" s="55" t="str">
        <f t="shared" si="33"/>
        <v/>
      </c>
      <c r="J283" s="61">
        <f t="shared" si="34"/>
        <v>0</v>
      </c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</row>
    <row r="284" spans="1:36" x14ac:dyDescent="0.2">
      <c r="A284" s="61">
        <f t="shared" si="28"/>
        <v>0</v>
      </c>
      <c r="B284" s="55">
        <f t="shared" si="29"/>
        <v>0</v>
      </c>
      <c r="C284" s="55"/>
      <c r="D284" s="55"/>
      <c r="E284" s="55">
        <f t="shared" si="30"/>
        <v>0</v>
      </c>
      <c r="F284" s="55">
        <f t="shared" si="31"/>
        <v>0</v>
      </c>
      <c r="G284" s="55">
        <f t="shared" si="32"/>
        <v>0</v>
      </c>
      <c r="H284" s="55" t="str">
        <f t="shared" si="33"/>
        <v/>
      </c>
      <c r="J284" s="61">
        <f t="shared" si="34"/>
        <v>0</v>
      </c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</row>
    <row r="285" spans="1:36" x14ac:dyDescent="0.2">
      <c r="A285" s="61">
        <f t="shared" si="28"/>
        <v>0</v>
      </c>
      <c r="B285" s="55">
        <f t="shared" si="29"/>
        <v>0</v>
      </c>
      <c r="C285" s="55"/>
      <c r="D285" s="55"/>
      <c r="E285" s="55">
        <f t="shared" si="30"/>
        <v>0</v>
      </c>
      <c r="F285" s="55">
        <f t="shared" si="31"/>
        <v>0</v>
      </c>
      <c r="G285" s="55">
        <f t="shared" si="32"/>
        <v>0</v>
      </c>
      <c r="H285" s="55" t="str">
        <f t="shared" si="33"/>
        <v/>
      </c>
      <c r="J285" s="61">
        <f t="shared" si="34"/>
        <v>0</v>
      </c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</row>
    <row r="286" spans="1:36" x14ac:dyDescent="0.2">
      <c r="A286" s="61">
        <f t="shared" si="28"/>
        <v>0</v>
      </c>
      <c r="B286" s="55">
        <f t="shared" si="29"/>
        <v>0</v>
      </c>
      <c r="C286" s="55"/>
      <c r="D286" s="55"/>
      <c r="E286" s="55">
        <f t="shared" si="30"/>
        <v>0</v>
      </c>
      <c r="F286" s="55">
        <f t="shared" si="31"/>
        <v>0</v>
      </c>
      <c r="G286" s="55">
        <f t="shared" si="32"/>
        <v>0</v>
      </c>
      <c r="H286" s="55" t="str">
        <f t="shared" si="33"/>
        <v/>
      </c>
      <c r="J286" s="61">
        <f t="shared" si="34"/>
        <v>0</v>
      </c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</row>
    <row r="287" spans="1:36" x14ac:dyDescent="0.2">
      <c r="A287" s="61">
        <f t="shared" si="28"/>
        <v>0</v>
      </c>
      <c r="B287" s="55">
        <f t="shared" si="29"/>
        <v>0</v>
      </c>
      <c r="C287" s="55"/>
      <c r="D287" s="55"/>
      <c r="E287" s="55">
        <f t="shared" si="30"/>
        <v>0</v>
      </c>
      <c r="F287" s="55">
        <f t="shared" si="31"/>
        <v>0</v>
      </c>
      <c r="G287" s="55">
        <f t="shared" si="32"/>
        <v>0</v>
      </c>
      <c r="H287" s="55" t="str">
        <f t="shared" si="33"/>
        <v/>
      </c>
      <c r="J287" s="61">
        <f t="shared" si="34"/>
        <v>0</v>
      </c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</row>
    <row r="288" spans="1:36" x14ac:dyDescent="0.2">
      <c r="A288" s="61">
        <f t="shared" si="28"/>
        <v>0</v>
      </c>
      <c r="B288" s="55">
        <f t="shared" si="29"/>
        <v>0</v>
      </c>
      <c r="C288" s="55"/>
      <c r="D288" s="55"/>
      <c r="E288" s="55">
        <f t="shared" si="30"/>
        <v>0</v>
      </c>
      <c r="F288" s="55">
        <f t="shared" si="31"/>
        <v>0</v>
      </c>
      <c r="G288" s="55">
        <f t="shared" si="32"/>
        <v>0</v>
      </c>
      <c r="H288" s="55" t="str">
        <f t="shared" si="33"/>
        <v/>
      </c>
      <c r="J288" s="61">
        <f t="shared" si="34"/>
        <v>0</v>
      </c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</row>
    <row r="289" spans="1:36" x14ac:dyDescent="0.2">
      <c r="A289" s="61">
        <f t="shared" si="28"/>
        <v>0</v>
      </c>
      <c r="B289" s="55">
        <f t="shared" si="29"/>
        <v>0</v>
      </c>
      <c r="C289" s="55"/>
      <c r="D289" s="55"/>
      <c r="E289" s="55">
        <f t="shared" si="30"/>
        <v>0</v>
      </c>
      <c r="F289" s="55">
        <f t="shared" si="31"/>
        <v>0</v>
      </c>
      <c r="G289" s="55">
        <f t="shared" si="32"/>
        <v>0</v>
      </c>
      <c r="H289" s="55" t="str">
        <f t="shared" si="33"/>
        <v/>
      </c>
      <c r="J289" s="61">
        <f t="shared" si="34"/>
        <v>0</v>
      </c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</row>
    <row r="290" spans="1:36" x14ac:dyDescent="0.2">
      <c r="A290" s="61">
        <f t="shared" si="28"/>
        <v>0</v>
      </c>
      <c r="B290" s="55">
        <f t="shared" si="29"/>
        <v>0</v>
      </c>
      <c r="C290" s="55"/>
      <c r="D290" s="55"/>
      <c r="E290" s="55">
        <f t="shared" si="30"/>
        <v>0</v>
      </c>
      <c r="F290" s="55">
        <f t="shared" si="31"/>
        <v>0</v>
      </c>
      <c r="G290" s="55">
        <f t="shared" si="32"/>
        <v>0</v>
      </c>
      <c r="H290" s="55" t="str">
        <f t="shared" si="33"/>
        <v/>
      </c>
      <c r="J290" s="61">
        <f t="shared" si="34"/>
        <v>0</v>
      </c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</row>
    <row r="291" spans="1:36" x14ac:dyDescent="0.2">
      <c r="A291" s="61">
        <f t="shared" si="28"/>
        <v>0</v>
      </c>
      <c r="B291" s="55">
        <f t="shared" si="29"/>
        <v>0</v>
      </c>
      <c r="C291" s="55"/>
      <c r="D291" s="55"/>
      <c r="E291" s="55">
        <f t="shared" si="30"/>
        <v>0</v>
      </c>
      <c r="F291" s="55">
        <f t="shared" si="31"/>
        <v>0</v>
      </c>
      <c r="G291" s="55">
        <f t="shared" si="32"/>
        <v>0</v>
      </c>
      <c r="H291" s="55" t="str">
        <f t="shared" si="33"/>
        <v/>
      </c>
      <c r="J291" s="61">
        <f t="shared" si="34"/>
        <v>0</v>
      </c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</row>
    <row r="292" spans="1:36" x14ac:dyDescent="0.2">
      <c r="A292" s="61">
        <f t="shared" si="28"/>
        <v>0</v>
      </c>
      <c r="B292" s="55">
        <f t="shared" si="29"/>
        <v>0</v>
      </c>
      <c r="C292" s="55"/>
      <c r="D292" s="55"/>
      <c r="E292" s="55">
        <f t="shared" si="30"/>
        <v>0</v>
      </c>
      <c r="F292" s="55">
        <f t="shared" si="31"/>
        <v>0</v>
      </c>
      <c r="G292" s="55">
        <f t="shared" si="32"/>
        <v>0</v>
      </c>
      <c r="H292" s="55" t="str">
        <f t="shared" si="33"/>
        <v/>
      </c>
      <c r="J292" s="61">
        <f t="shared" si="34"/>
        <v>0</v>
      </c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</row>
    <row r="293" spans="1:36" x14ac:dyDescent="0.2">
      <c r="A293" s="61">
        <f t="shared" si="28"/>
        <v>0</v>
      </c>
      <c r="B293" s="55">
        <f t="shared" si="29"/>
        <v>0</v>
      </c>
      <c r="C293" s="55"/>
      <c r="D293" s="55"/>
      <c r="E293" s="55">
        <f t="shared" si="30"/>
        <v>0</v>
      </c>
      <c r="F293" s="55">
        <f t="shared" si="31"/>
        <v>0</v>
      </c>
      <c r="G293" s="55">
        <f t="shared" si="32"/>
        <v>0</v>
      </c>
      <c r="H293" s="55" t="str">
        <f t="shared" si="33"/>
        <v/>
      </c>
      <c r="J293" s="61">
        <f t="shared" si="34"/>
        <v>0</v>
      </c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</row>
    <row r="294" spans="1:36" x14ac:dyDescent="0.2">
      <c r="A294" s="61">
        <f t="shared" si="28"/>
        <v>0</v>
      </c>
      <c r="B294" s="55">
        <f t="shared" si="29"/>
        <v>0</v>
      </c>
      <c r="C294" s="55"/>
      <c r="D294" s="55"/>
      <c r="E294" s="55">
        <f t="shared" si="30"/>
        <v>0</v>
      </c>
      <c r="F294" s="55">
        <f t="shared" si="31"/>
        <v>0</v>
      </c>
      <c r="G294" s="55">
        <f t="shared" si="32"/>
        <v>0</v>
      </c>
      <c r="H294" s="55" t="str">
        <f t="shared" si="33"/>
        <v/>
      </c>
      <c r="J294" s="61">
        <f t="shared" si="34"/>
        <v>0</v>
      </c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</row>
    <row r="295" spans="1:36" x14ac:dyDescent="0.2">
      <c r="A295" s="61">
        <f t="shared" si="28"/>
        <v>0</v>
      </c>
      <c r="B295" s="55">
        <f t="shared" si="29"/>
        <v>0</v>
      </c>
      <c r="C295" s="55"/>
      <c r="D295" s="55"/>
      <c r="E295" s="55">
        <f t="shared" si="30"/>
        <v>0</v>
      </c>
      <c r="F295" s="55">
        <f t="shared" si="31"/>
        <v>0</v>
      </c>
      <c r="G295" s="55">
        <f t="shared" si="32"/>
        <v>0</v>
      </c>
      <c r="H295" s="55" t="str">
        <f t="shared" si="33"/>
        <v/>
      </c>
      <c r="J295" s="61">
        <f t="shared" si="34"/>
        <v>0</v>
      </c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</row>
    <row r="296" spans="1:36" x14ac:dyDescent="0.2">
      <c r="A296" s="61">
        <f t="shared" si="28"/>
        <v>0</v>
      </c>
      <c r="B296" s="55">
        <f t="shared" si="29"/>
        <v>0</v>
      </c>
      <c r="C296" s="55"/>
      <c r="D296" s="55"/>
      <c r="E296" s="55">
        <f t="shared" si="30"/>
        <v>0</v>
      </c>
      <c r="F296" s="55">
        <f t="shared" si="31"/>
        <v>0</v>
      </c>
      <c r="G296" s="55">
        <f t="shared" si="32"/>
        <v>0</v>
      </c>
      <c r="H296" s="55" t="str">
        <f t="shared" si="33"/>
        <v/>
      </c>
      <c r="J296" s="61">
        <f t="shared" si="34"/>
        <v>0</v>
      </c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</row>
    <row r="297" spans="1:36" x14ac:dyDescent="0.2">
      <c r="A297" s="61">
        <f t="shared" si="28"/>
        <v>0</v>
      </c>
      <c r="B297" s="55">
        <f t="shared" si="29"/>
        <v>0</v>
      </c>
      <c r="C297" s="55"/>
      <c r="D297" s="55"/>
      <c r="E297" s="55">
        <f t="shared" si="30"/>
        <v>0</v>
      </c>
      <c r="F297" s="55">
        <f t="shared" si="31"/>
        <v>0</v>
      </c>
      <c r="G297" s="55">
        <f t="shared" si="32"/>
        <v>0</v>
      </c>
      <c r="H297" s="55" t="str">
        <f t="shared" si="33"/>
        <v/>
      </c>
      <c r="J297" s="61">
        <f t="shared" si="34"/>
        <v>0</v>
      </c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</row>
    <row r="298" spans="1:36" x14ac:dyDescent="0.2">
      <c r="A298" s="61">
        <f t="shared" si="28"/>
        <v>0</v>
      </c>
      <c r="B298" s="55">
        <f t="shared" si="29"/>
        <v>0</v>
      </c>
      <c r="C298" s="55"/>
      <c r="D298" s="55"/>
      <c r="E298" s="55">
        <f t="shared" si="30"/>
        <v>0</v>
      </c>
      <c r="F298" s="55">
        <f t="shared" si="31"/>
        <v>0</v>
      </c>
      <c r="G298" s="55">
        <f t="shared" si="32"/>
        <v>0</v>
      </c>
      <c r="H298" s="55" t="str">
        <f t="shared" si="33"/>
        <v/>
      </c>
      <c r="J298" s="61">
        <f t="shared" si="34"/>
        <v>0</v>
      </c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</row>
    <row r="299" spans="1:36" x14ac:dyDescent="0.2">
      <c r="A299" s="61">
        <f t="shared" si="28"/>
        <v>0</v>
      </c>
      <c r="B299" s="55">
        <f t="shared" si="29"/>
        <v>0</v>
      </c>
      <c r="C299" s="55"/>
      <c r="D299" s="55"/>
      <c r="E299" s="55">
        <f t="shared" si="30"/>
        <v>0</v>
      </c>
      <c r="F299" s="55">
        <f t="shared" si="31"/>
        <v>0</v>
      </c>
      <c r="G299" s="55">
        <f t="shared" si="32"/>
        <v>0</v>
      </c>
      <c r="H299" s="55" t="str">
        <f t="shared" si="33"/>
        <v/>
      </c>
      <c r="J299" s="61">
        <f t="shared" si="34"/>
        <v>0</v>
      </c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</row>
    <row r="300" spans="1:36" x14ac:dyDescent="0.2">
      <c r="A300" s="61">
        <f t="shared" si="28"/>
        <v>0</v>
      </c>
      <c r="B300" s="55">
        <f t="shared" si="29"/>
        <v>0</v>
      </c>
      <c r="C300" s="55"/>
      <c r="D300" s="55"/>
      <c r="E300" s="55">
        <f t="shared" si="30"/>
        <v>0</v>
      </c>
      <c r="F300" s="55">
        <f t="shared" si="31"/>
        <v>0</v>
      </c>
      <c r="G300" s="55">
        <f t="shared" si="32"/>
        <v>0</v>
      </c>
      <c r="H300" s="55" t="str">
        <f t="shared" si="33"/>
        <v/>
      </c>
      <c r="J300" s="61">
        <f t="shared" si="34"/>
        <v>0</v>
      </c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</row>
    <row r="301" spans="1:36" x14ac:dyDescent="0.2">
      <c r="A301" s="61">
        <f t="shared" si="28"/>
        <v>0</v>
      </c>
      <c r="B301" s="55">
        <f t="shared" si="29"/>
        <v>0</v>
      </c>
      <c r="C301" s="55"/>
      <c r="D301" s="55"/>
      <c r="E301" s="55">
        <f t="shared" si="30"/>
        <v>0</v>
      </c>
      <c r="F301" s="55">
        <f t="shared" si="31"/>
        <v>0</v>
      </c>
      <c r="G301" s="55">
        <f t="shared" si="32"/>
        <v>0</v>
      </c>
      <c r="H301" s="55" t="str">
        <f t="shared" si="33"/>
        <v/>
      </c>
      <c r="J301" s="61">
        <f t="shared" si="34"/>
        <v>0</v>
      </c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</row>
    <row r="302" spans="1:36" x14ac:dyDescent="0.2">
      <c r="A302" s="61">
        <f t="shared" si="28"/>
        <v>0</v>
      </c>
      <c r="B302" s="55">
        <f t="shared" si="29"/>
        <v>0</v>
      </c>
      <c r="C302" s="55"/>
      <c r="D302" s="55"/>
      <c r="E302" s="55">
        <f t="shared" si="30"/>
        <v>0</v>
      </c>
      <c r="F302" s="55">
        <f t="shared" si="31"/>
        <v>0</v>
      </c>
      <c r="G302" s="55">
        <f t="shared" si="32"/>
        <v>0</v>
      </c>
      <c r="H302" s="55" t="str">
        <f t="shared" si="33"/>
        <v/>
      </c>
      <c r="J302" s="61">
        <f t="shared" si="34"/>
        <v>0</v>
      </c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</row>
    <row r="303" spans="1:36" x14ac:dyDescent="0.2">
      <c r="A303" s="61">
        <f t="shared" si="28"/>
        <v>0</v>
      </c>
      <c r="B303" s="55">
        <f t="shared" si="29"/>
        <v>0</v>
      </c>
      <c r="C303" s="55"/>
      <c r="D303" s="55"/>
      <c r="E303" s="55">
        <f t="shared" si="30"/>
        <v>0</v>
      </c>
      <c r="F303" s="55">
        <f t="shared" si="31"/>
        <v>0</v>
      </c>
      <c r="G303" s="55">
        <f t="shared" si="32"/>
        <v>0</v>
      </c>
      <c r="H303" s="55" t="str">
        <f t="shared" si="33"/>
        <v/>
      </c>
      <c r="J303" s="61">
        <f t="shared" si="34"/>
        <v>0</v>
      </c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</row>
    <row r="304" spans="1:36" x14ac:dyDescent="0.2">
      <c r="A304" s="61">
        <f t="shared" si="28"/>
        <v>0</v>
      </c>
      <c r="B304" s="55">
        <f t="shared" si="29"/>
        <v>0</v>
      </c>
      <c r="C304" s="55"/>
      <c r="D304" s="55"/>
      <c r="E304" s="55">
        <f t="shared" si="30"/>
        <v>0</v>
      </c>
      <c r="F304" s="55">
        <f t="shared" si="31"/>
        <v>0</v>
      </c>
      <c r="G304" s="55">
        <f t="shared" si="32"/>
        <v>0</v>
      </c>
      <c r="H304" s="55" t="str">
        <f t="shared" si="33"/>
        <v/>
      </c>
      <c r="J304" s="61">
        <f t="shared" si="34"/>
        <v>0</v>
      </c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</row>
    <row r="305" spans="1:36" x14ac:dyDescent="0.2">
      <c r="A305" s="61">
        <f t="shared" si="28"/>
        <v>0</v>
      </c>
      <c r="B305" s="55">
        <f t="shared" si="29"/>
        <v>0</v>
      </c>
      <c r="C305" s="55"/>
      <c r="D305" s="55"/>
      <c r="E305" s="55">
        <f t="shared" si="30"/>
        <v>0</v>
      </c>
      <c r="F305" s="55">
        <f t="shared" si="31"/>
        <v>0</v>
      </c>
      <c r="G305" s="55">
        <f t="shared" si="32"/>
        <v>0</v>
      </c>
      <c r="H305" s="55" t="str">
        <f t="shared" si="33"/>
        <v/>
      </c>
      <c r="J305" s="61">
        <f t="shared" si="34"/>
        <v>0</v>
      </c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</row>
    <row r="306" spans="1:36" x14ac:dyDescent="0.2">
      <c r="A306" s="61">
        <f t="shared" si="28"/>
        <v>0</v>
      </c>
      <c r="B306" s="55">
        <f t="shared" si="29"/>
        <v>0</v>
      </c>
      <c r="C306" s="55"/>
      <c r="D306" s="55"/>
      <c r="E306" s="55">
        <f t="shared" si="30"/>
        <v>0</v>
      </c>
      <c r="F306" s="55">
        <f t="shared" si="31"/>
        <v>0</v>
      </c>
      <c r="G306" s="55">
        <f t="shared" si="32"/>
        <v>0</v>
      </c>
      <c r="H306" s="55" t="str">
        <f t="shared" si="33"/>
        <v/>
      </c>
      <c r="J306" s="61">
        <f t="shared" si="34"/>
        <v>0</v>
      </c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</row>
    <row r="307" spans="1:36" x14ac:dyDescent="0.2">
      <c r="A307" s="61">
        <f t="shared" si="28"/>
        <v>0</v>
      </c>
      <c r="B307" s="55">
        <f t="shared" si="29"/>
        <v>0</v>
      </c>
      <c r="C307" s="55"/>
      <c r="D307" s="55"/>
      <c r="E307" s="55">
        <f t="shared" si="30"/>
        <v>0</v>
      </c>
      <c r="F307" s="55">
        <f t="shared" si="31"/>
        <v>0</v>
      </c>
      <c r="G307" s="55">
        <f t="shared" si="32"/>
        <v>0</v>
      </c>
      <c r="H307" s="55" t="str">
        <f t="shared" si="33"/>
        <v/>
      </c>
      <c r="J307" s="61">
        <f t="shared" si="34"/>
        <v>0</v>
      </c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</row>
    <row r="308" spans="1:36" x14ac:dyDescent="0.2">
      <c r="A308" s="61">
        <f t="shared" si="28"/>
        <v>0</v>
      </c>
      <c r="B308" s="55">
        <f t="shared" si="29"/>
        <v>0</v>
      </c>
      <c r="C308" s="55"/>
      <c r="D308" s="55"/>
      <c r="E308" s="55">
        <f t="shared" si="30"/>
        <v>0</v>
      </c>
      <c r="F308" s="55">
        <f t="shared" si="31"/>
        <v>0</v>
      </c>
      <c r="G308" s="55">
        <f t="shared" si="32"/>
        <v>0</v>
      </c>
      <c r="H308" s="55" t="str">
        <f t="shared" si="33"/>
        <v/>
      </c>
      <c r="J308" s="61">
        <f t="shared" si="34"/>
        <v>0</v>
      </c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</row>
    <row r="309" spans="1:36" x14ac:dyDescent="0.2">
      <c r="A309" s="61">
        <f t="shared" si="28"/>
        <v>0</v>
      </c>
      <c r="B309" s="55">
        <f t="shared" si="29"/>
        <v>0</v>
      </c>
      <c r="C309" s="55"/>
      <c r="D309" s="55"/>
      <c r="E309" s="55">
        <f t="shared" si="30"/>
        <v>0</v>
      </c>
      <c r="F309" s="55">
        <f t="shared" si="31"/>
        <v>0</v>
      </c>
      <c r="G309" s="55">
        <f t="shared" si="32"/>
        <v>0</v>
      </c>
      <c r="H309" s="55" t="str">
        <f t="shared" si="33"/>
        <v/>
      </c>
      <c r="J309" s="61">
        <f t="shared" si="34"/>
        <v>0</v>
      </c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</row>
    <row r="310" spans="1:36" x14ac:dyDescent="0.2">
      <c r="A310" s="61">
        <f t="shared" si="28"/>
        <v>0</v>
      </c>
      <c r="B310" s="55">
        <f t="shared" si="29"/>
        <v>0</v>
      </c>
      <c r="C310" s="55"/>
      <c r="D310" s="55"/>
      <c r="E310" s="55">
        <f t="shared" si="30"/>
        <v>0</v>
      </c>
      <c r="F310" s="55">
        <f t="shared" si="31"/>
        <v>0</v>
      </c>
      <c r="G310" s="55">
        <f t="shared" si="32"/>
        <v>0</v>
      </c>
      <c r="H310" s="55" t="str">
        <f t="shared" si="33"/>
        <v/>
      </c>
      <c r="J310" s="61">
        <f t="shared" si="34"/>
        <v>0</v>
      </c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</row>
    <row r="311" spans="1:36" x14ac:dyDescent="0.2">
      <c r="A311" s="61">
        <f t="shared" si="28"/>
        <v>0</v>
      </c>
      <c r="B311" s="55">
        <f t="shared" si="29"/>
        <v>0</v>
      </c>
      <c r="C311" s="55"/>
      <c r="D311" s="55"/>
      <c r="E311" s="55">
        <f t="shared" si="30"/>
        <v>0</v>
      </c>
      <c r="F311" s="55">
        <f t="shared" si="31"/>
        <v>0</v>
      </c>
      <c r="G311" s="55">
        <f t="shared" si="32"/>
        <v>0</v>
      </c>
      <c r="H311" s="55" t="str">
        <f t="shared" si="33"/>
        <v/>
      </c>
      <c r="J311" s="61">
        <f t="shared" si="34"/>
        <v>0</v>
      </c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</row>
    <row r="312" spans="1:36" x14ac:dyDescent="0.2">
      <c r="A312" s="61">
        <f t="shared" si="28"/>
        <v>0</v>
      </c>
      <c r="B312" s="55">
        <f t="shared" si="29"/>
        <v>0</v>
      </c>
      <c r="C312" s="55"/>
      <c r="D312" s="55"/>
      <c r="E312" s="55">
        <f t="shared" si="30"/>
        <v>0</v>
      </c>
      <c r="F312" s="55">
        <f t="shared" si="31"/>
        <v>0</v>
      </c>
      <c r="G312" s="55">
        <f t="shared" si="32"/>
        <v>0</v>
      </c>
      <c r="H312" s="55" t="str">
        <f t="shared" si="33"/>
        <v/>
      </c>
      <c r="J312" s="61">
        <f t="shared" si="34"/>
        <v>0</v>
      </c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</row>
    <row r="313" spans="1:36" x14ac:dyDescent="0.2">
      <c r="A313" s="61">
        <f t="shared" si="28"/>
        <v>0</v>
      </c>
      <c r="B313" s="55">
        <f t="shared" si="29"/>
        <v>0</v>
      </c>
      <c r="C313" s="55"/>
      <c r="D313" s="55"/>
      <c r="E313" s="55">
        <f t="shared" si="30"/>
        <v>0</v>
      </c>
      <c r="F313" s="55">
        <f t="shared" si="31"/>
        <v>0</v>
      </c>
      <c r="G313" s="55">
        <f t="shared" si="32"/>
        <v>0</v>
      </c>
      <c r="H313" s="55" t="str">
        <f t="shared" si="33"/>
        <v/>
      </c>
      <c r="J313" s="61">
        <f t="shared" si="34"/>
        <v>0</v>
      </c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</row>
    <row r="314" spans="1:36" x14ac:dyDescent="0.2">
      <c r="A314" s="61">
        <f t="shared" si="28"/>
        <v>0</v>
      </c>
      <c r="B314" s="55">
        <f t="shared" si="29"/>
        <v>0</v>
      </c>
      <c r="C314" s="55"/>
      <c r="D314" s="55"/>
      <c r="E314" s="55">
        <f t="shared" si="30"/>
        <v>0</v>
      </c>
      <c r="F314" s="55">
        <f t="shared" si="31"/>
        <v>0</v>
      </c>
      <c r="G314" s="55">
        <f t="shared" si="32"/>
        <v>0</v>
      </c>
      <c r="H314" s="55" t="str">
        <f t="shared" si="33"/>
        <v/>
      </c>
      <c r="J314" s="61">
        <f t="shared" si="34"/>
        <v>0</v>
      </c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</row>
    <row r="315" spans="1:36" x14ac:dyDescent="0.2">
      <c r="A315" s="61">
        <f t="shared" si="28"/>
        <v>0</v>
      </c>
      <c r="B315" s="55">
        <f t="shared" si="29"/>
        <v>0</v>
      </c>
      <c r="C315" s="55"/>
      <c r="D315" s="55"/>
      <c r="E315" s="55">
        <f t="shared" si="30"/>
        <v>0</v>
      </c>
      <c r="F315" s="55">
        <f t="shared" si="31"/>
        <v>0</v>
      </c>
      <c r="G315" s="55">
        <f t="shared" si="32"/>
        <v>0</v>
      </c>
      <c r="H315" s="55" t="str">
        <f t="shared" si="33"/>
        <v/>
      </c>
      <c r="J315" s="61">
        <f t="shared" si="34"/>
        <v>0</v>
      </c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</row>
    <row r="316" spans="1:36" x14ac:dyDescent="0.2">
      <c r="A316" s="61">
        <f t="shared" si="28"/>
        <v>0</v>
      </c>
      <c r="B316" s="55">
        <f t="shared" si="29"/>
        <v>0</v>
      </c>
      <c r="C316" s="55"/>
      <c r="D316" s="55"/>
      <c r="E316" s="55">
        <f t="shared" si="30"/>
        <v>0</v>
      </c>
      <c r="F316" s="55">
        <f t="shared" si="31"/>
        <v>0</v>
      </c>
      <c r="G316" s="55">
        <f t="shared" si="32"/>
        <v>0</v>
      </c>
      <c r="H316" s="55" t="str">
        <f t="shared" si="33"/>
        <v/>
      </c>
      <c r="J316" s="61">
        <f t="shared" si="34"/>
        <v>0</v>
      </c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</row>
    <row r="317" spans="1:36" x14ac:dyDescent="0.2">
      <c r="A317" s="61">
        <f t="shared" si="28"/>
        <v>0</v>
      </c>
      <c r="B317" s="55">
        <f t="shared" si="29"/>
        <v>0</v>
      </c>
      <c r="C317" s="55"/>
      <c r="D317" s="55"/>
      <c r="E317" s="55">
        <f t="shared" si="30"/>
        <v>0</v>
      </c>
      <c r="F317" s="55">
        <f t="shared" si="31"/>
        <v>0</v>
      </c>
      <c r="G317" s="55">
        <f t="shared" si="32"/>
        <v>0</v>
      </c>
      <c r="H317" s="55" t="str">
        <f t="shared" si="33"/>
        <v/>
      </c>
      <c r="J317" s="61">
        <f t="shared" si="34"/>
        <v>0</v>
      </c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</row>
    <row r="318" spans="1:36" x14ac:dyDescent="0.2">
      <c r="A318" s="61">
        <f t="shared" si="28"/>
        <v>0</v>
      </c>
      <c r="B318" s="55">
        <f t="shared" si="29"/>
        <v>0</v>
      </c>
      <c r="C318" s="55"/>
      <c r="D318" s="55"/>
      <c r="E318" s="55">
        <f t="shared" si="30"/>
        <v>0</v>
      </c>
      <c r="F318" s="55">
        <f t="shared" si="31"/>
        <v>0</v>
      </c>
      <c r="G318" s="55">
        <f t="shared" si="32"/>
        <v>0</v>
      </c>
      <c r="H318" s="55" t="str">
        <f t="shared" si="33"/>
        <v/>
      </c>
      <c r="J318" s="61">
        <f t="shared" si="34"/>
        <v>0</v>
      </c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</row>
    <row r="319" spans="1:36" x14ac:dyDescent="0.2">
      <c r="A319" s="61">
        <f t="shared" si="28"/>
        <v>0</v>
      </c>
      <c r="B319" s="55">
        <f t="shared" si="29"/>
        <v>0</v>
      </c>
      <c r="C319" s="55"/>
      <c r="D319" s="55"/>
      <c r="E319" s="55">
        <f t="shared" si="30"/>
        <v>0</v>
      </c>
      <c r="F319" s="55">
        <f t="shared" si="31"/>
        <v>0</v>
      </c>
      <c r="G319" s="55">
        <f t="shared" si="32"/>
        <v>0</v>
      </c>
      <c r="H319" s="55" t="str">
        <f t="shared" si="33"/>
        <v/>
      </c>
      <c r="J319" s="61">
        <f t="shared" si="34"/>
        <v>0</v>
      </c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</row>
    <row r="320" spans="1:36" x14ac:dyDescent="0.2">
      <c r="A320" s="61">
        <f t="shared" si="28"/>
        <v>0</v>
      </c>
      <c r="B320" s="55">
        <f t="shared" si="29"/>
        <v>0</v>
      </c>
      <c r="C320" s="55"/>
      <c r="D320" s="55"/>
      <c r="E320" s="55">
        <f t="shared" si="30"/>
        <v>0</v>
      </c>
      <c r="F320" s="55">
        <f t="shared" si="31"/>
        <v>0</v>
      </c>
      <c r="G320" s="55">
        <f t="shared" si="32"/>
        <v>0</v>
      </c>
      <c r="H320" s="55" t="str">
        <f t="shared" si="33"/>
        <v/>
      </c>
      <c r="J320" s="61">
        <f t="shared" si="34"/>
        <v>0</v>
      </c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</row>
    <row r="321" spans="1:36" x14ac:dyDescent="0.2">
      <c r="A321" s="61">
        <f t="shared" si="28"/>
        <v>0</v>
      </c>
      <c r="B321" s="55">
        <f t="shared" si="29"/>
        <v>0</v>
      </c>
      <c r="C321" s="55"/>
      <c r="D321" s="55"/>
      <c r="E321" s="55">
        <f t="shared" si="30"/>
        <v>0</v>
      </c>
      <c r="F321" s="55">
        <f t="shared" si="31"/>
        <v>0</v>
      </c>
      <c r="G321" s="55">
        <f t="shared" si="32"/>
        <v>0</v>
      </c>
      <c r="H321" s="55" t="str">
        <f t="shared" si="33"/>
        <v/>
      </c>
      <c r="J321" s="61">
        <f t="shared" si="34"/>
        <v>0</v>
      </c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</row>
    <row r="322" spans="1:36" x14ac:dyDescent="0.2">
      <c r="A322" s="61">
        <f t="shared" ref="A322:A385" si="35">J322</f>
        <v>0</v>
      </c>
      <c r="B322" s="55">
        <f t="shared" ref="B322:B385" si="36">M322</f>
        <v>0</v>
      </c>
      <c r="C322" s="55"/>
      <c r="D322" s="55"/>
      <c r="E322" s="55">
        <f t="shared" ref="E322:E385" si="37">V322</f>
        <v>0</v>
      </c>
      <c r="F322" s="55">
        <f t="shared" ref="F322:F385" si="38">Z322</f>
        <v>0</v>
      </c>
      <c r="G322" s="55">
        <f t="shared" ref="G322:G385" si="39">AH322</f>
        <v>0</v>
      </c>
      <c r="H322" s="55" t="str">
        <f t="shared" ref="H322:H385" si="40">IF(Q322&gt;1,IF(Q322=2,"I","E"),"")</f>
        <v/>
      </c>
      <c r="J322" s="61">
        <f t="shared" ref="J322:J385" si="41">P322*1</f>
        <v>0</v>
      </c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</row>
    <row r="323" spans="1:36" x14ac:dyDescent="0.2">
      <c r="A323" s="61">
        <f t="shared" si="35"/>
        <v>0</v>
      </c>
      <c r="B323" s="55">
        <f t="shared" si="36"/>
        <v>0</v>
      </c>
      <c r="C323" s="55"/>
      <c r="D323" s="55"/>
      <c r="E323" s="55">
        <f t="shared" si="37"/>
        <v>0</v>
      </c>
      <c r="F323" s="55">
        <f t="shared" si="38"/>
        <v>0</v>
      </c>
      <c r="G323" s="55">
        <f t="shared" si="39"/>
        <v>0</v>
      </c>
      <c r="H323" s="55" t="str">
        <f t="shared" si="40"/>
        <v/>
      </c>
      <c r="J323" s="61">
        <f t="shared" si="41"/>
        <v>0</v>
      </c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</row>
    <row r="324" spans="1:36" x14ac:dyDescent="0.2">
      <c r="A324" s="61">
        <f t="shared" si="35"/>
        <v>0</v>
      </c>
      <c r="B324" s="55">
        <f t="shared" si="36"/>
        <v>0</v>
      </c>
      <c r="C324" s="55"/>
      <c r="D324" s="55"/>
      <c r="E324" s="55">
        <f t="shared" si="37"/>
        <v>0</v>
      </c>
      <c r="F324" s="55">
        <f t="shared" si="38"/>
        <v>0</v>
      </c>
      <c r="G324" s="55">
        <f t="shared" si="39"/>
        <v>0</v>
      </c>
      <c r="H324" s="55" t="str">
        <f t="shared" si="40"/>
        <v/>
      </c>
      <c r="J324" s="61">
        <f t="shared" si="41"/>
        <v>0</v>
      </c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</row>
    <row r="325" spans="1:36" x14ac:dyDescent="0.2">
      <c r="A325" s="61">
        <f t="shared" si="35"/>
        <v>0</v>
      </c>
      <c r="B325" s="55">
        <f t="shared" si="36"/>
        <v>0</v>
      </c>
      <c r="C325" s="55"/>
      <c r="D325" s="55"/>
      <c r="E325" s="55">
        <f t="shared" si="37"/>
        <v>0</v>
      </c>
      <c r="F325" s="55">
        <f t="shared" si="38"/>
        <v>0</v>
      </c>
      <c r="G325" s="55">
        <f t="shared" si="39"/>
        <v>0</v>
      </c>
      <c r="H325" s="55" t="str">
        <f t="shared" si="40"/>
        <v/>
      </c>
      <c r="J325" s="61">
        <f t="shared" si="41"/>
        <v>0</v>
      </c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</row>
    <row r="326" spans="1:36" x14ac:dyDescent="0.2">
      <c r="A326" s="61">
        <f t="shared" si="35"/>
        <v>0</v>
      </c>
      <c r="B326" s="55">
        <f t="shared" si="36"/>
        <v>0</v>
      </c>
      <c r="C326" s="55"/>
      <c r="D326" s="55"/>
      <c r="E326" s="55">
        <f t="shared" si="37"/>
        <v>0</v>
      </c>
      <c r="F326" s="55">
        <f t="shared" si="38"/>
        <v>0</v>
      </c>
      <c r="G326" s="55">
        <f t="shared" si="39"/>
        <v>0</v>
      </c>
      <c r="H326" s="55" t="str">
        <f t="shared" si="40"/>
        <v/>
      </c>
      <c r="J326" s="61">
        <f t="shared" si="41"/>
        <v>0</v>
      </c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</row>
    <row r="327" spans="1:36" x14ac:dyDescent="0.2">
      <c r="A327" s="61">
        <f t="shared" si="35"/>
        <v>0</v>
      </c>
      <c r="B327" s="55">
        <f t="shared" si="36"/>
        <v>0</v>
      </c>
      <c r="C327" s="55"/>
      <c r="D327" s="55"/>
      <c r="E327" s="55">
        <f t="shared" si="37"/>
        <v>0</v>
      </c>
      <c r="F327" s="55">
        <f t="shared" si="38"/>
        <v>0</v>
      </c>
      <c r="G327" s="55">
        <f t="shared" si="39"/>
        <v>0</v>
      </c>
      <c r="H327" s="55" t="str">
        <f t="shared" si="40"/>
        <v/>
      </c>
      <c r="J327" s="61">
        <f t="shared" si="41"/>
        <v>0</v>
      </c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</row>
    <row r="328" spans="1:36" x14ac:dyDescent="0.2">
      <c r="A328" s="61">
        <f t="shared" si="35"/>
        <v>0</v>
      </c>
      <c r="B328" s="55">
        <f t="shared" si="36"/>
        <v>0</v>
      </c>
      <c r="C328" s="55"/>
      <c r="D328" s="55"/>
      <c r="E328" s="55">
        <f t="shared" si="37"/>
        <v>0</v>
      </c>
      <c r="F328" s="55">
        <f t="shared" si="38"/>
        <v>0</v>
      </c>
      <c r="G328" s="55">
        <f t="shared" si="39"/>
        <v>0</v>
      </c>
      <c r="H328" s="55" t="str">
        <f t="shared" si="40"/>
        <v/>
      </c>
      <c r="J328" s="61">
        <f t="shared" si="41"/>
        <v>0</v>
      </c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</row>
    <row r="329" spans="1:36" x14ac:dyDescent="0.2">
      <c r="A329" s="61">
        <f t="shared" si="35"/>
        <v>0</v>
      </c>
      <c r="B329" s="55">
        <f t="shared" si="36"/>
        <v>0</v>
      </c>
      <c r="C329" s="55"/>
      <c r="D329" s="55"/>
      <c r="E329" s="55">
        <f t="shared" si="37"/>
        <v>0</v>
      </c>
      <c r="F329" s="55">
        <f t="shared" si="38"/>
        <v>0</v>
      </c>
      <c r="G329" s="55">
        <f t="shared" si="39"/>
        <v>0</v>
      </c>
      <c r="H329" s="55" t="str">
        <f t="shared" si="40"/>
        <v/>
      </c>
      <c r="J329" s="61">
        <f t="shared" si="41"/>
        <v>0</v>
      </c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</row>
    <row r="330" spans="1:36" x14ac:dyDescent="0.2">
      <c r="A330" s="61">
        <f t="shared" si="35"/>
        <v>0</v>
      </c>
      <c r="B330" s="55">
        <f t="shared" si="36"/>
        <v>0</v>
      </c>
      <c r="C330" s="55"/>
      <c r="D330" s="55"/>
      <c r="E330" s="55">
        <f t="shared" si="37"/>
        <v>0</v>
      </c>
      <c r="F330" s="55">
        <f t="shared" si="38"/>
        <v>0</v>
      </c>
      <c r="G330" s="55">
        <f t="shared" si="39"/>
        <v>0</v>
      </c>
      <c r="H330" s="55" t="str">
        <f t="shared" si="40"/>
        <v/>
      </c>
      <c r="J330" s="61">
        <f t="shared" si="41"/>
        <v>0</v>
      </c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</row>
    <row r="331" spans="1:36" x14ac:dyDescent="0.2">
      <c r="A331" s="61">
        <f t="shared" si="35"/>
        <v>0</v>
      </c>
      <c r="B331" s="55">
        <f t="shared" si="36"/>
        <v>0</v>
      </c>
      <c r="C331" s="55"/>
      <c r="D331" s="55"/>
      <c r="E331" s="55">
        <f t="shared" si="37"/>
        <v>0</v>
      </c>
      <c r="F331" s="55">
        <f t="shared" si="38"/>
        <v>0</v>
      </c>
      <c r="G331" s="55">
        <f t="shared" si="39"/>
        <v>0</v>
      </c>
      <c r="H331" s="55" t="str">
        <f t="shared" si="40"/>
        <v/>
      </c>
      <c r="J331" s="61">
        <f t="shared" si="41"/>
        <v>0</v>
      </c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</row>
    <row r="332" spans="1:36" x14ac:dyDescent="0.2">
      <c r="A332" s="61">
        <f t="shared" si="35"/>
        <v>0</v>
      </c>
      <c r="B332" s="55">
        <f t="shared" si="36"/>
        <v>0</v>
      </c>
      <c r="C332" s="55"/>
      <c r="D332" s="55"/>
      <c r="E332" s="55">
        <f t="shared" si="37"/>
        <v>0</v>
      </c>
      <c r="F332" s="55">
        <f t="shared" si="38"/>
        <v>0</v>
      </c>
      <c r="G332" s="55">
        <f t="shared" si="39"/>
        <v>0</v>
      </c>
      <c r="H332" s="55" t="str">
        <f t="shared" si="40"/>
        <v/>
      </c>
      <c r="J332" s="61">
        <f t="shared" si="41"/>
        <v>0</v>
      </c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</row>
    <row r="333" spans="1:36" x14ac:dyDescent="0.2">
      <c r="A333" s="61">
        <f t="shared" si="35"/>
        <v>0</v>
      </c>
      <c r="B333" s="55">
        <f t="shared" si="36"/>
        <v>0</v>
      </c>
      <c r="C333" s="55"/>
      <c r="D333" s="55"/>
      <c r="E333" s="55">
        <f t="shared" si="37"/>
        <v>0</v>
      </c>
      <c r="F333" s="55">
        <f t="shared" si="38"/>
        <v>0</v>
      </c>
      <c r="G333" s="55">
        <f t="shared" si="39"/>
        <v>0</v>
      </c>
      <c r="H333" s="55" t="str">
        <f t="shared" si="40"/>
        <v/>
      </c>
      <c r="J333" s="61">
        <f t="shared" si="41"/>
        <v>0</v>
      </c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</row>
    <row r="334" spans="1:36" x14ac:dyDescent="0.2">
      <c r="A334" s="61">
        <f t="shared" si="35"/>
        <v>0</v>
      </c>
      <c r="B334" s="55">
        <f t="shared" si="36"/>
        <v>0</v>
      </c>
      <c r="C334" s="55"/>
      <c r="D334" s="55"/>
      <c r="E334" s="55">
        <f t="shared" si="37"/>
        <v>0</v>
      </c>
      <c r="F334" s="55">
        <f t="shared" si="38"/>
        <v>0</v>
      </c>
      <c r="G334" s="55">
        <f t="shared" si="39"/>
        <v>0</v>
      </c>
      <c r="H334" s="55" t="str">
        <f t="shared" si="40"/>
        <v/>
      </c>
      <c r="J334" s="61">
        <f t="shared" si="41"/>
        <v>0</v>
      </c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</row>
    <row r="335" spans="1:36" x14ac:dyDescent="0.2">
      <c r="A335" s="61">
        <f t="shared" si="35"/>
        <v>0</v>
      </c>
      <c r="B335" s="55">
        <f t="shared" si="36"/>
        <v>0</v>
      </c>
      <c r="C335" s="55"/>
      <c r="D335" s="55"/>
      <c r="E335" s="55">
        <f t="shared" si="37"/>
        <v>0</v>
      </c>
      <c r="F335" s="55">
        <f t="shared" si="38"/>
        <v>0</v>
      </c>
      <c r="G335" s="55">
        <f t="shared" si="39"/>
        <v>0</v>
      </c>
      <c r="H335" s="55" t="str">
        <f t="shared" si="40"/>
        <v/>
      </c>
      <c r="J335" s="61">
        <f t="shared" si="41"/>
        <v>0</v>
      </c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</row>
    <row r="336" spans="1:36" x14ac:dyDescent="0.2">
      <c r="A336" s="61">
        <f t="shared" si="35"/>
        <v>0</v>
      </c>
      <c r="B336" s="55">
        <f t="shared" si="36"/>
        <v>0</v>
      </c>
      <c r="C336" s="55"/>
      <c r="D336" s="55"/>
      <c r="E336" s="55">
        <f t="shared" si="37"/>
        <v>0</v>
      </c>
      <c r="F336" s="55">
        <f t="shared" si="38"/>
        <v>0</v>
      </c>
      <c r="G336" s="55">
        <f t="shared" si="39"/>
        <v>0</v>
      </c>
      <c r="H336" s="55" t="str">
        <f t="shared" si="40"/>
        <v/>
      </c>
      <c r="J336" s="61">
        <f t="shared" si="41"/>
        <v>0</v>
      </c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</row>
    <row r="337" spans="1:36" x14ac:dyDescent="0.2">
      <c r="A337" s="61">
        <f t="shared" si="35"/>
        <v>0</v>
      </c>
      <c r="B337" s="55">
        <f t="shared" si="36"/>
        <v>0</v>
      </c>
      <c r="C337" s="55"/>
      <c r="D337" s="55"/>
      <c r="E337" s="55">
        <f t="shared" si="37"/>
        <v>0</v>
      </c>
      <c r="F337" s="55">
        <f t="shared" si="38"/>
        <v>0</v>
      </c>
      <c r="G337" s="55">
        <f t="shared" si="39"/>
        <v>0</v>
      </c>
      <c r="H337" s="55" t="str">
        <f t="shared" si="40"/>
        <v/>
      </c>
      <c r="J337" s="61">
        <f t="shared" si="41"/>
        <v>0</v>
      </c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</row>
    <row r="338" spans="1:36" x14ac:dyDescent="0.2">
      <c r="A338" s="61">
        <f t="shared" si="35"/>
        <v>0</v>
      </c>
      <c r="B338" s="55">
        <f t="shared" si="36"/>
        <v>0</v>
      </c>
      <c r="C338" s="55"/>
      <c r="D338" s="55"/>
      <c r="E338" s="55">
        <f t="shared" si="37"/>
        <v>0</v>
      </c>
      <c r="F338" s="55">
        <f t="shared" si="38"/>
        <v>0</v>
      </c>
      <c r="G338" s="55">
        <f t="shared" si="39"/>
        <v>0</v>
      </c>
      <c r="H338" s="55" t="str">
        <f t="shared" si="40"/>
        <v/>
      </c>
      <c r="J338" s="61">
        <f t="shared" si="41"/>
        <v>0</v>
      </c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</row>
    <row r="339" spans="1:36" x14ac:dyDescent="0.2">
      <c r="A339" s="61">
        <f t="shared" si="35"/>
        <v>0</v>
      </c>
      <c r="B339" s="55">
        <f t="shared" si="36"/>
        <v>0</v>
      </c>
      <c r="C339" s="55"/>
      <c r="D339" s="55"/>
      <c r="E339" s="55">
        <f t="shared" si="37"/>
        <v>0</v>
      </c>
      <c r="F339" s="55">
        <f t="shared" si="38"/>
        <v>0</v>
      </c>
      <c r="G339" s="55">
        <f t="shared" si="39"/>
        <v>0</v>
      </c>
      <c r="H339" s="55" t="str">
        <f t="shared" si="40"/>
        <v/>
      </c>
      <c r="J339" s="61">
        <f t="shared" si="41"/>
        <v>0</v>
      </c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</row>
    <row r="340" spans="1:36" x14ac:dyDescent="0.2">
      <c r="A340" s="61">
        <f t="shared" si="35"/>
        <v>0</v>
      </c>
      <c r="B340" s="55">
        <f t="shared" si="36"/>
        <v>0</v>
      </c>
      <c r="C340" s="55"/>
      <c r="D340" s="55"/>
      <c r="E340" s="55">
        <f t="shared" si="37"/>
        <v>0</v>
      </c>
      <c r="F340" s="55">
        <f t="shared" si="38"/>
        <v>0</v>
      </c>
      <c r="G340" s="55">
        <f t="shared" si="39"/>
        <v>0</v>
      </c>
      <c r="H340" s="55" t="str">
        <f t="shared" si="40"/>
        <v/>
      </c>
      <c r="J340" s="61">
        <f t="shared" si="41"/>
        <v>0</v>
      </c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</row>
    <row r="341" spans="1:36" x14ac:dyDescent="0.2">
      <c r="A341" s="61">
        <f t="shared" si="35"/>
        <v>0</v>
      </c>
      <c r="B341" s="55">
        <f t="shared" si="36"/>
        <v>0</v>
      </c>
      <c r="C341" s="55"/>
      <c r="D341" s="55"/>
      <c r="E341" s="55">
        <f t="shared" si="37"/>
        <v>0</v>
      </c>
      <c r="F341" s="55">
        <f t="shared" si="38"/>
        <v>0</v>
      </c>
      <c r="G341" s="55">
        <f t="shared" si="39"/>
        <v>0</v>
      </c>
      <c r="H341" s="55" t="str">
        <f t="shared" si="40"/>
        <v/>
      </c>
      <c r="J341" s="61">
        <f t="shared" si="41"/>
        <v>0</v>
      </c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</row>
    <row r="342" spans="1:36" x14ac:dyDescent="0.2">
      <c r="A342" s="61">
        <f t="shared" si="35"/>
        <v>0</v>
      </c>
      <c r="B342" s="55">
        <f t="shared" si="36"/>
        <v>0</v>
      </c>
      <c r="C342" s="55"/>
      <c r="D342" s="55"/>
      <c r="E342" s="55">
        <f t="shared" si="37"/>
        <v>0</v>
      </c>
      <c r="F342" s="55">
        <f t="shared" si="38"/>
        <v>0</v>
      </c>
      <c r="G342" s="55">
        <f t="shared" si="39"/>
        <v>0</v>
      </c>
      <c r="H342" s="55" t="str">
        <f t="shared" si="40"/>
        <v/>
      </c>
      <c r="J342" s="61">
        <f t="shared" si="41"/>
        <v>0</v>
      </c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</row>
    <row r="343" spans="1:36" x14ac:dyDescent="0.2">
      <c r="A343" s="61">
        <f t="shared" si="35"/>
        <v>0</v>
      </c>
      <c r="B343" s="55">
        <f t="shared" si="36"/>
        <v>0</v>
      </c>
      <c r="C343" s="55"/>
      <c r="D343" s="55"/>
      <c r="E343" s="55">
        <f t="shared" si="37"/>
        <v>0</v>
      </c>
      <c r="F343" s="55">
        <f t="shared" si="38"/>
        <v>0</v>
      </c>
      <c r="G343" s="55">
        <f t="shared" si="39"/>
        <v>0</v>
      </c>
      <c r="H343" s="55" t="str">
        <f t="shared" si="40"/>
        <v/>
      </c>
      <c r="J343" s="61">
        <f t="shared" si="41"/>
        <v>0</v>
      </c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</row>
    <row r="344" spans="1:36" x14ac:dyDescent="0.2">
      <c r="A344" s="61">
        <f t="shared" si="35"/>
        <v>0</v>
      </c>
      <c r="B344" s="55">
        <f t="shared" si="36"/>
        <v>0</v>
      </c>
      <c r="C344" s="55"/>
      <c r="D344" s="55"/>
      <c r="E344" s="55">
        <f t="shared" si="37"/>
        <v>0</v>
      </c>
      <c r="F344" s="55">
        <f t="shared" si="38"/>
        <v>0</v>
      </c>
      <c r="G344" s="55">
        <f t="shared" si="39"/>
        <v>0</v>
      </c>
      <c r="H344" s="55" t="str">
        <f t="shared" si="40"/>
        <v/>
      </c>
      <c r="J344" s="61">
        <f t="shared" si="41"/>
        <v>0</v>
      </c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</row>
    <row r="345" spans="1:36" x14ac:dyDescent="0.2">
      <c r="A345" s="61">
        <f t="shared" si="35"/>
        <v>0</v>
      </c>
      <c r="B345" s="55">
        <f t="shared" si="36"/>
        <v>0</v>
      </c>
      <c r="C345" s="55"/>
      <c r="D345" s="55"/>
      <c r="E345" s="55">
        <f t="shared" si="37"/>
        <v>0</v>
      </c>
      <c r="F345" s="55">
        <f t="shared" si="38"/>
        <v>0</v>
      </c>
      <c r="G345" s="55">
        <f t="shared" si="39"/>
        <v>0</v>
      </c>
      <c r="H345" s="55" t="str">
        <f t="shared" si="40"/>
        <v/>
      </c>
      <c r="J345" s="61">
        <f t="shared" si="41"/>
        <v>0</v>
      </c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</row>
    <row r="346" spans="1:36" x14ac:dyDescent="0.2">
      <c r="A346" s="61">
        <f t="shared" si="35"/>
        <v>0</v>
      </c>
      <c r="B346" s="55">
        <f t="shared" si="36"/>
        <v>0</v>
      </c>
      <c r="C346" s="55"/>
      <c r="D346" s="55"/>
      <c r="E346" s="55">
        <f t="shared" si="37"/>
        <v>0</v>
      </c>
      <c r="F346" s="55">
        <f t="shared" si="38"/>
        <v>0</v>
      </c>
      <c r="G346" s="55">
        <f t="shared" si="39"/>
        <v>0</v>
      </c>
      <c r="H346" s="55" t="str">
        <f t="shared" si="40"/>
        <v/>
      </c>
      <c r="J346" s="61">
        <f t="shared" si="41"/>
        <v>0</v>
      </c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</row>
    <row r="347" spans="1:36" x14ac:dyDescent="0.2">
      <c r="A347" s="61">
        <f t="shared" si="35"/>
        <v>0</v>
      </c>
      <c r="B347" s="55">
        <f t="shared" si="36"/>
        <v>0</v>
      </c>
      <c r="C347" s="55"/>
      <c r="D347" s="55"/>
      <c r="E347" s="55">
        <f t="shared" si="37"/>
        <v>0</v>
      </c>
      <c r="F347" s="55">
        <f t="shared" si="38"/>
        <v>0</v>
      </c>
      <c r="G347" s="55">
        <f t="shared" si="39"/>
        <v>0</v>
      </c>
      <c r="H347" s="55" t="str">
        <f t="shared" si="40"/>
        <v/>
      </c>
      <c r="J347" s="61">
        <f t="shared" si="41"/>
        <v>0</v>
      </c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</row>
    <row r="348" spans="1:36" x14ac:dyDescent="0.2">
      <c r="A348" s="61">
        <f t="shared" si="35"/>
        <v>0</v>
      </c>
      <c r="B348" s="55">
        <f t="shared" si="36"/>
        <v>0</v>
      </c>
      <c r="C348" s="55"/>
      <c r="D348" s="55"/>
      <c r="E348" s="55">
        <f t="shared" si="37"/>
        <v>0</v>
      </c>
      <c r="F348" s="55">
        <f t="shared" si="38"/>
        <v>0</v>
      </c>
      <c r="G348" s="55">
        <f t="shared" si="39"/>
        <v>0</v>
      </c>
      <c r="H348" s="55" t="str">
        <f t="shared" si="40"/>
        <v/>
      </c>
      <c r="J348" s="61">
        <f t="shared" si="41"/>
        <v>0</v>
      </c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</row>
    <row r="349" spans="1:36" x14ac:dyDescent="0.2">
      <c r="A349" s="61">
        <f t="shared" si="35"/>
        <v>0</v>
      </c>
      <c r="B349" s="55">
        <f t="shared" si="36"/>
        <v>0</v>
      </c>
      <c r="C349" s="55"/>
      <c r="D349" s="55"/>
      <c r="E349" s="55">
        <f t="shared" si="37"/>
        <v>0</v>
      </c>
      <c r="F349" s="55">
        <f t="shared" si="38"/>
        <v>0</v>
      </c>
      <c r="G349" s="55">
        <f t="shared" si="39"/>
        <v>0</v>
      </c>
      <c r="H349" s="55" t="str">
        <f t="shared" si="40"/>
        <v/>
      </c>
      <c r="J349" s="61">
        <f t="shared" si="41"/>
        <v>0</v>
      </c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</row>
    <row r="350" spans="1:36" x14ac:dyDescent="0.2">
      <c r="A350" s="61">
        <f t="shared" si="35"/>
        <v>0</v>
      </c>
      <c r="B350" s="55">
        <f t="shared" si="36"/>
        <v>0</v>
      </c>
      <c r="C350" s="55"/>
      <c r="D350" s="55"/>
      <c r="E350" s="55">
        <f t="shared" si="37"/>
        <v>0</v>
      </c>
      <c r="F350" s="55">
        <f t="shared" si="38"/>
        <v>0</v>
      </c>
      <c r="G350" s="55">
        <f t="shared" si="39"/>
        <v>0</v>
      </c>
      <c r="H350" s="55" t="str">
        <f t="shared" si="40"/>
        <v/>
      </c>
      <c r="J350" s="61">
        <f t="shared" si="41"/>
        <v>0</v>
      </c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</row>
    <row r="351" spans="1:36" x14ac:dyDescent="0.2">
      <c r="A351" s="61">
        <f t="shared" si="35"/>
        <v>0</v>
      </c>
      <c r="B351" s="55">
        <f t="shared" si="36"/>
        <v>0</v>
      </c>
      <c r="C351" s="55"/>
      <c r="D351" s="55"/>
      <c r="E351" s="55">
        <f t="shared" si="37"/>
        <v>0</v>
      </c>
      <c r="F351" s="55">
        <f t="shared" si="38"/>
        <v>0</v>
      </c>
      <c r="G351" s="55">
        <f t="shared" si="39"/>
        <v>0</v>
      </c>
      <c r="H351" s="55" t="str">
        <f t="shared" si="40"/>
        <v/>
      </c>
      <c r="J351" s="61">
        <f t="shared" si="41"/>
        <v>0</v>
      </c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</row>
    <row r="352" spans="1:36" x14ac:dyDescent="0.2">
      <c r="A352" s="61">
        <f t="shared" si="35"/>
        <v>0</v>
      </c>
      <c r="B352" s="55">
        <f t="shared" si="36"/>
        <v>0</v>
      </c>
      <c r="C352" s="55"/>
      <c r="D352" s="55"/>
      <c r="E352" s="55">
        <f t="shared" si="37"/>
        <v>0</v>
      </c>
      <c r="F352" s="55">
        <f t="shared" si="38"/>
        <v>0</v>
      </c>
      <c r="G352" s="55">
        <f t="shared" si="39"/>
        <v>0</v>
      </c>
      <c r="H352" s="55" t="str">
        <f t="shared" si="40"/>
        <v/>
      </c>
      <c r="J352" s="61">
        <f t="shared" si="41"/>
        <v>0</v>
      </c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</row>
    <row r="353" spans="1:36" x14ac:dyDescent="0.2">
      <c r="A353" s="61">
        <f t="shared" si="35"/>
        <v>0</v>
      </c>
      <c r="B353" s="55">
        <f t="shared" si="36"/>
        <v>0</v>
      </c>
      <c r="C353" s="55"/>
      <c r="D353" s="55"/>
      <c r="E353" s="55">
        <f t="shared" si="37"/>
        <v>0</v>
      </c>
      <c r="F353" s="55">
        <f t="shared" si="38"/>
        <v>0</v>
      </c>
      <c r="G353" s="55">
        <f t="shared" si="39"/>
        <v>0</v>
      </c>
      <c r="H353" s="55" t="str">
        <f t="shared" si="40"/>
        <v/>
      </c>
      <c r="J353" s="61">
        <f t="shared" si="41"/>
        <v>0</v>
      </c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</row>
    <row r="354" spans="1:36" x14ac:dyDescent="0.2">
      <c r="A354" s="61">
        <f t="shared" si="35"/>
        <v>0</v>
      </c>
      <c r="B354" s="55">
        <f t="shared" si="36"/>
        <v>0</v>
      </c>
      <c r="C354" s="55"/>
      <c r="D354" s="55"/>
      <c r="E354" s="55">
        <f t="shared" si="37"/>
        <v>0</v>
      </c>
      <c r="F354" s="55">
        <f t="shared" si="38"/>
        <v>0</v>
      </c>
      <c r="G354" s="55">
        <f t="shared" si="39"/>
        <v>0</v>
      </c>
      <c r="H354" s="55" t="str">
        <f t="shared" si="40"/>
        <v/>
      </c>
      <c r="J354" s="61">
        <f t="shared" si="41"/>
        <v>0</v>
      </c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</row>
    <row r="355" spans="1:36" x14ac:dyDescent="0.2">
      <c r="A355" s="61">
        <f t="shared" si="35"/>
        <v>0</v>
      </c>
      <c r="B355" s="55">
        <f t="shared" si="36"/>
        <v>0</v>
      </c>
      <c r="C355" s="55"/>
      <c r="D355" s="55"/>
      <c r="E355" s="55">
        <f t="shared" si="37"/>
        <v>0</v>
      </c>
      <c r="F355" s="55">
        <f t="shared" si="38"/>
        <v>0</v>
      </c>
      <c r="G355" s="55">
        <f t="shared" si="39"/>
        <v>0</v>
      </c>
      <c r="H355" s="55" t="str">
        <f t="shared" si="40"/>
        <v/>
      </c>
      <c r="J355" s="61">
        <f t="shared" si="41"/>
        <v>0</v>
      </c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</row>
    <row r="356" spans="1:36" x14ac:dyDescent="0.2">
      <c r="A356" s="61">
        <f t="shared" si="35"/>
        <v>0</v>
      </c>
      <c r="B356" s="55">
        <f t="shared" si="36"/>
        <v>0</v>
      </c>
      <c r="C356" s="55"/>
      <c r="D356" s="55"/>
      <c r="E356" s="55">
        <f t="shared" si="37"/>
        <v>0</v>
      </c>
      <c r="F356" s="55">
        <f t="shared" si="38"/>
        <v>0</v>
      </c>
      <c r="G356" s="55">
        <f t="shared" si="39"/>
        <v>0</v>
      </c>
      <c r="H356" s="55" t="str">
        <f t="shared" si="40"/>
        <v/>
      </c>
      <c r="J356" s="61">
        <f t="shared" si="41"/>
        <v>0</v>
      </c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</row>
    <row r="357" spans="1:36" x14ac:dyDescent="0.2">
      <c r="A357" s="61">
        <f t="shared" si="35"/>
        <v>0</v>
      </c>
      <c r="B357" s="55">
        <f t="shared" si="36"/>
        <v>0</v>
      </c>
      <c r="C357" s="55"/>
      <c r="D357" s="55"/>
      <c r="E357" s="55">
        <f t="shared" si="37"/>
        <v>0</v>
      </c>
      <c r="F357" s="55">
        <f t="shared" si="38"/>
        <v>0</v>
      </c>
      <c r="G357" s="55">
        <f t="shared" si="39"/>
        <v>0</v>
      </c>
      <c r="H357" s="55" t="str">
        <f t="shared" si="40"/>
        <v/>
      </c>
      <c r="J357" s="61">
        <f t="shared" si="41"/>
        <v>0</v>
      </c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</row>
    <row r="358" spans="1:36" x14ac:dyDescent="0.2">
      <c r="A358" s="61">
        <f t="shared" si="35"/>
        <v>0</v>
      </c>
      <c r="B358" s="55">
        <f t="shared" si="36"/>
        <v>0</v>
      </c>
      <c r="C358" s="55"/>
      <c r="D358" s="55"/>
      <c r="E358" s="55">
        <f t="shared" si="37"/>
        <v>0</v>
      </c>
      <c r="F358" s="55">
        <f t="shared" si="38"/>
        <v>0</v>
      </c>
      <c r="G358" s="55">
        <f t="shared" si="39"/>
        <v>0</v>
      </c>
      <c r="H358" s="55" t="str">
        <f t="shared" si="40"/>
        <v/>
      </c>
      <c r="J358" s="61">
        <f t="shared" si="41"/>
        <v>0</v>
      </c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</row>
    <row r="359" spans="1:36" x14ac:dyDescent="0.2">
      <c r="A359" s="61">
        <f t="shared" si="35"/>
        <v>0</v>
      </c>
      <c r="B359" s="55">
        <f t="shared" si="36"/>
        <v>0</v>
      </c>
      <c r="C359" s="55"/>
      <c r="D359" s="55"/>
      <c r="E359" s="55">
        <f t="shared" si="37"/>
        <v>0</v>
      </c>
      <c r="F359" s="55">
        <f t="shared" si="38"/>
        <v>0</v>
      </c>
      <c r="G359" s="55">
        <f t="shared" si="39"/>
        <v>0</v>
      </c>
      <c r="H359" s="55" t="str">
        <f t="shared" si="40"/>
        <v/>
      </c>
      <c r="J359" s="61">
        <f t="shared" si="41"/>
        <v>0</v>
      </c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</row>
    <row r="360" spans="1:36" x14ac:dyDescent="0.2">
      <c r="A360" s="61">
        <f t="shared" si="35"/>
        <v>0</v>
      </c>
      <c r="B360" s="55">
        <f t="shared" si="36"/>
        <v>0</v>
      </c>
      <c r="C360" s="55"/>
      <c r="D360" s="55"/>
      <c r="E360" s="55">
        <f t="shared" si="37"/>
        <v>0</v>
      </c>
      <c r="F360" s="55">
        <f t="shared" si="38"/>
        <v>0</v>
      </c>
      <c r="G360" s="55">
        <f t="shared" si="39"/>
        <v>0</v>
      </c>
      <c r="H360" s="55" t="str">
        <f t="shared" si="40"/>
        <v/>
      </c>
      <c r="J360" s="61">
        <f t="shared" si="41"/>
        <v>0</v>
      </c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</row>
    <row r="361" spans="1:36" x14ac:dyDescent="0.2">
      <c r="A361" s="61">
        <f t="shared" si="35"/>
        <v>0</v>
      </c>
      <c r="B361" s="55">
        <f t="shared" si="36"/>
        <v>0</v>
      </c>
      <c r="C361" s="55"/>
      <c r="D361" s="55"/>
      <c r="E361" s="55">
        <f t="shared" si="37"/>
        <v>0</v>
      </c>
      <c r="F361" s="55">
        <f t="shared" si="38"/>
        <v>0</v>
      </c>
      <c r="G361" s="55">
        <f t="shared" si="39"/>
        <v>0</v>
      </c>
      <c r="H361" s="55" t="str">
        <f t="shared" si="40"/>
        <v/>
      </c>
      <c r="J361" s="61">
        <f t="shared" si="41"/>
        <v>0</v>
      </c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</row>
    <row r="362" spans="1:36" x14ac:dyDescent="0.2">
      <c r="A362" s="61">
        <f t="shared" si="35"/>
        <v>0</v>
      </c>
      <c r="B362" s="55">
        <f t="shared" si="36"/>
        <v>0</v>
      </c>
      <c r="C362" s="55"/>
      <c r="D362" s="55"/>
      <c r="E362" s="55">
        <f t="shared" si="37"/>
        <v>0</v>
      </c>
      <c r="F362" s="55">
        <f t="shared" si="38"/>
        <v>0</v>
      </c>
      <c r="G362" s="55">
        <f t="shared" si="39"/>
        <v>0</v>
      </c>
      <c r="H362" s="55" t="str">
        <f t="shared" si="40"/>
        <v/>
      </c>
      <c r="J362" s="61">
        <f t="shared" si="41"/>
        <v>0</v>
      </c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</row>
    <row r="363" spans="1:36" x14ac:dyDescent="0.2">
      <c r="A363" s="61">
        <f t="shared" si="35"/>
        <v>0</v>
      </c>
      <c r="B363" s="55">
        <f t="shared" si="36"/>
        <v>0</v>
      </c>
      <c r="C363" s="55"/>
      <c r="D363" s="55"/>
      <c r="E363" s="55">
        <f t="shared" si="37"/>
        <v>0</v>
      </c>
      <c r="F363" s="55">
        <f t="shared" si="38"/>
        <v>0</v>
      </c>
      <c r="G363" s="55">
        <f t="shared" si="39"/>
        <v>0</v>
      </c>
      <c r="H363" s="55" t="str">
        <f t="shared" si="40"/>
        <v/>
      </c>
      <c r="J363" s="61">
        <f t="shared" si="41"/>
        <v>0</v>
      </c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</row>
    <row r="364" spans="1:36" x14ac:dyDescent="0.2">
      <c r="A364" s="61">
        <f t="shared" si="35"/>
        <v>0</v>
      </c>
      <c r="B364" s="55">
        <f t="shared" si="36"/>
        <v>0</v>
      </c>
      <c r="C364" s="55"/>
      <c r="D364" s="55"/>
      <c r="E364" s="55">
        <f t="shared" si="37"/>
        <v>0</v>
      </c>
      <c r="F364" s="55">
        <f t="shared" si="38"/>
        <v>0</v>
      </c>
      <c r="G364" s="55">
        <f t="shared" si="39"/>
        <v>0</v>
      </c>
      <c r="H364" s="55" t="str">
        <f t="shared" si="40"/>
        <v/>
      </c>
      <c r="J364" s="61">
        <f t="shared" si="41"/>
        <v>0</v>
      </c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</row>
    <row r="365" spans="1:36" x14ac:dyDescent="0.2">
      <c r="A365" s="61">
        <f t="shared" si="35"/>
        <v>0</v>
      </c>
      <c r="B365" s="55">
        <f t="shared" si="36"/>
        <v>0</v>
      </c>
      <c r="C365" s="55"/>
      <c r="D365" s="55"/>
      <c r="E365" s="55">
        <f t="shared" si="37"/>
        <v>0</v>
      </c>
      <c r="F365" s="55">
        <f t="shared" si="38"/>
        <v>0</v>
      </c>
      <c r="G365" s="55">
        <f t="shared" si="39"/>
        <v>0</v>
      </c>
      <c r="H365" s="55" t="str">
        <f t="shared" si="40"/>
        <v/>
      </c>
      <c r="J365" s="61">
        <f t="shared" si="41"/>
        <v>0</v>
      </c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</row>
    <row r="366" spans="1:36" x14ac:dyDescent="0.2">
      <c r="A366" s="61">
        <f t="shared" si="35"/>
        <v>0</v>
      </c>
      <c r="B366" s="55">
        <f t="shared" si="36"/>
        <v>0</v>
      </c>
      <c r="C366" s="55"/>
      <c r="D366" s="55"/>
      <c r="E366" s="55">
        <f t="shared" si="37"/>
        <v>0</v>
      </c>
      <c r="F366" s="55">
        <f t="shared" si="38"/>
        <v>0</v>
      </c>
      <c r="G366" s="55">
        <f t="shared" si="39"/>
        <v>0</v>
      </c>
      <c r="H366" s="55" t="str">
        <f t="shared" si="40"/>
        <v/>
      </c>
      <c r="J366" s="61">
        <f t="shared" si="41"/>
        <v>0</v>
      </c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</row>
    <row r="367" spans="1:36" x14ac:dyDescent="0.2">
      <c r="A367" s="61">
        <f t="shared" si="35"/>
        <v>0</v>
      </c>
      <c r="B367" s="55">
        <f t="shared" si="36"/>
        <v>0</v>
      </c>
      <c r="C367" s="55"/>
      <c r="D367" s="55"/>
      <c r="E367" s="55">
        <f t="shared" si="37"/>
        <v>0</v>
      </c>
      <c r="F367" s="55">
        <f t="shared" si="38"/>
        <v>0</v>
      </c>
      <c r="G367" s="55">
        <f t="shared" si="39"/>
        <v>0</v>
      </c>
      <c r="H367" s="55" t="str">
        <f t="shared" si="40"/>
        <v/>
      </c>
      <c r="J367" s="61">
        <f t="shared" si="41"/>
        <v>0</v>
      </c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</row>
    <row r="368" spans="1:36" x14ac:dyDescent="0.2">
      <c r="A368" s="61">
        <f t="shared" si="35"/>
        <v>0</v>
      </c>
      <c r="B368" s="55">
        <f t="shared" si="36"/>
        <v>0</v>
      </c>
      <c r="C368" s="55"/>
      <c r="D368" s="55"/>
      <c r="E368" s="55">
        <f t="shared" si="37"/>
        <v>0</v>
      </c>
      <c r="F368" s="55">
        <f t="shared" si="38"/>
        <v>0</v>
      </c>
      <c r="G368" s="55">
        <f t="shared" si="39"/>
        <v>0</v>
      </c>
      <c r="H368" s="55" t="str">
        <f t="shared" si="40"/>
        <v/>
      </c>
      <c r="J368" s="61">
        <f t="shared" si="41"/>
        <v>0</v>
      </c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</row>
    <row r="369" spans="1:36" x14ac:dyDescent="0.2">
      <c r="A369" s="61">
        <f t="shared" si="35"/>
        <v>0</v>
      </c>
      <c r="B369" s="55">
        <f t="shared" si="36"/>
        <v>0</v>
      </c>
      <c r="C369" s="55"/>
      <c r="D369" s="55"/>
      <c r="E369" s="55">
        <f t="shared" si="37"/>
        <v>0</v>
      </c>
      <c r="F369" s="55">
        <f t="shared" si="38"/>
        <v>0</v>
      </c>
      <c r="G369" s="55">
        <f t="shared" si="39"/>
        <v>0</v>
      </c>
      <c r="H369" s="55" t="str">
        <f t="shared" si="40"/>
        <v/>
      </c>
      <c r="J369" s="61">
        <f t="shared" si="41"/>
        <v>0</v>
      </c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</row>
    <row r="370" spans="1:36" x14ac:dyDescent="0.2">
      <c r="A370" s="61">
        <f t="shared" si="35"/>
        <v>0</v>
      </c>
      <c r="B370" s="55">
        <f t="shared" si="36"/>
        <v>0</v>
      </c>
      <c r="C370" s="55"/>
      <c r="D370" s="55"/>
      <c r="E370" s="55">
        <f t="shared" si="37"/>
        <v>0</v>
      </c>
      <c r="F370" s="55">
        <f t="shared" si="38"/>
        <v>0</v>
      </c>
      <c r="G370" s="55">
        <f t="shared" si="39"/>
        <v>0</v>
      </c>
      <c r="H370" s="55" t="str">
        <f t="shared" si="40"/>
        <v/>
      </c>
      <c r="J370" s="61">
        <f t="shared" si="41"/>
        <v>0</v>
      </c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</row>
    <row r="371" spans="1:36" x14ac:dyDescent="0.2">
      <c r="A371" s="61">
        <f t="shared" si="35"/>
        <v>0</v>
      </c>
      <c r="B371" s="55">
        <f t="shared" si="36"/>
        <v>0</v>
      </c>
      <c r="C371" s="55"/>
      <c r="D371" s="55"/>
      <c r="E371" s="55">
        <f t="shared" si="37"/>
        <v>0</v>
      </c>
      <c r="F371" s="55">
        <f t="shared" si="38"/>
        <v>0</v>
      </c>
      <c r="G371" s="55">
        <f t="shared" si="39"/>
        <v>0</v>
      </c>
      <c r="H371" s="55" t="str">
        <f t="shared" si="40"/>
        <v/>
      </c>
      <c r="J371" s="61">
        <f t="shared" si="41"/>
        <v>0</v>
      </c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</row>
    <row r="372" spans="1:36" x14ac:dyDescent="0.2">
      <c r="A372" s="61">
        <f t="shared" si="35"/>
        <v>0</v>
      </c>
      <c r="B372" s="55">
        <f t="shared" si="36"/>
        <v>0</v>
      </c>
      <c r="C372" s="55"/>
      <c r="D372" s="55"/>
      <c r="E372" s="55">
        <f t="shared" si="37"/>
        <v>0</v>
      </c>
      <c r="F372" s="55">
        <f t="shared" si="38"/>
        <v>0</v>
      </c>
      <c r="G372" s="55">
        <f t="shared" si="39"/>
        <v>0</v>
      </c>
      <c r="H372" s="55" t="str">
        <f t="shared" si="40"/>
        <v/>
      </c>
      <c r="J372" s="61">
        <f t="shared" si="41"/>
        <v>0</v>
      </c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</row>
    <row r="373" spans="1:36" x14ac:dyDescent="0.2">
      <c r="A373" s="61">
        <f t="shared" si="35"/>
        <v>0</v>
      </c>
      <c r="B373" s="55">
        <f t="shared" si="36"/>
        <v>0</v>
      </c>
      <c r="C373" s="55"/>
      <c r="D373" s="55"/>
      <c r="E373" s="55">
        <f t="shared" si="37"/>
        <v>0</v>
      </c>
      <c r="F373" s="55">
        <f t="shared" si="38"/>
        <v>0</v>
      </c>
      <c r="G373" s="55">
        <f t="shared" si="39"/>
        <v>0</v>
      </c>
      <c r="H373" s="55" t="str">
        <f t="shared" si="40"/>
        <v/>
      </c>
      <c r="J373" s="61">
        <f t="shared" si="41"/>
        <v>0</v>
      </c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</row>
    <row r="374" spans="1:36" x14ac:dyDescent="0.2">
      <c r="A374" s="61">
        <f t="shared" si="35"/>
        <v>0</v>
      </c>
      <c r="B374" s="55">
        <f t="shared" si="36"/>
        <v>0</v>
      </c>
      <c r="C374" s="55"/>
      <c r="D374" s="55"/>
      <c r="E374" s="55">
        <f t="shared" si="37"/>
        <v>0</v>
      </c>
      <c r="F374" s="55">
        <f t="shared" si="38"/>
        <v>0</v>
      </c>
      <c r="G374" s="55">
        <f t="shared" si="39"/>
        <v>0</v>
      </c>
      <c r="H374" s="55" t="str">
        <f t="shared" si="40"/>
        <v/>
      </c>
      <c r="J374" s="61">
        <f t="shared" si="41"/>
        <v>0</v>
      </c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</row>
    <row r="375" spans="1:36" x14ac:dyDescent="0.2">
      <c r="A375" s="61">
        <f t="shared" si="35"/>
        <v>0</v>
      </c>
      <c r="B375" s="55">
        <f t="shared" si="36"/>
        <v>0</v>
      </c>
      <c r="C375" s="55"/>
      <c r="D375" s="55"/>
      <c r="E375" s="55">
        <f t="shared" si="37"/>
        <v>0</v>
      </c>
      <c r="F375" s="55">
        <f t="shared" si="38"/>
        <v>0</v>
      </c>
      <c r="G375" s="55">
        <f t="shared" si="39"/>
        <v>0</v>
      </c>
      <c r="H375" s="55" t="str">
        <f t="shared" si="40"/>
        <v/>
      </c>
      <c r="J375" s="61">
        <f t="shared" si="41"/>
        <v>0</v>
      </c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</row>
    <row r="376" spans="1:36" x14ac:dyDescent="0.2">
      <c r="A376" s="61">
        <f t="shared" si="35"/>
        <v>0</v>
      </c>
      <c r="B376" s="55">
        <f t="shared" si="36"/>
        <v>0</v>
      </c>
      <c r="C376" s="55"/>
      <c r="D376" s="55"/>
      <c r="E376" s="55">
        <f t="shared" si="37"/>
        <v>0</v>
      </c>
      <c r="F376" s="55">
        <f t="shared" si="38"/>
        <v>0</v>
      </c>
      <c r="G376" s="55">
        <f t="shared" si="39"/>
        <v>0</v>
      </c>
      <c r="H376" s="55" t="str">
        <f t="shared" si="40"/>
        <v/>
      </c>
      <c r="J376" s="61">
        <f t="shared" si="41"/>
        <v>0</v>
      </c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</row>
    <row r="377" spans="1:36" x14ac:dyDescent="0.2">
      <c r="A377" s="61">
        <f t="shared" si="35"/>
        <v>0</v>
      </c>
      <c r="B377" s="55">
        <f t="shared" si="36"/>
        <v>0</v>
      </c>
      <c r="C377" s="55"/>
      <c r="D377" s="55"/>
      <c r="E377" s="55">
        <f t="shared" si="37"/>
        <v>0</v>
      </c>
      <c r="F377" s="55">
        <f t="shared" si="38"/>
        <v>0</v>
      </c>
      <c r="G377" s="55">
        <f t="shared" si="39"/>
        <v>0</v>
      </c>
      <c r="H377" s="55" t="str">
        <f t="shared" si="40"/>
        <v/>
      </c>
      <c r="J377" s="61">
        <f t="shared" si="41"/>
        <v>0</v>
      </c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</row>
    <row r="378" spans="1:36" x14ac:dyDescent="0.2">
      <c r="A378" s="61">
        <f t="shared" si="35"/>
        <v>0</v>
      </c>
      <c r="B378" s="55">
        <f t="shared" si="36"/>
        <v>0</v>
      </c>
      <c r="C378" s="55"/>
      <c r="D378" s="55"/>
      <c r="E378" s="55">
        <f t="shared" si="37"/>
        <v>0</v>
      </c>
      <c r="F378" s="55">
        <f t="shared" si="38"/>
        <v>0</v>
      </c>
      <c r="G378" s="55">
        <f t="shared" si="39"/>
        <v>0</v>
      </c>
      <c r="H378" s="55" t="str">
        <f t="shared" si="40"/>
        <v/>
      </c>
      <c r="J378" s="61">
        <f t="shared" si="41"/>
        <v>0</v>
      </c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</row>
    <row r="379" spans="1:36" x14ac:dyDescent="0.2">
      <c r="A379" s="61">
        <f t="shared" si="35"/>
        <v>0</v>
      </c>
      <c r="B379" s="55">
        <f t="shared" si="36"/>
        <v>0</v>
      </c>
      <c r="C379" s="55"/>
      <c r="D379" s="55"/>
      <c r="E379" s="55">
        <f t="shared" si="37"/>
        <v>0</v>
      </c>
      <c r="F379" s="55">
        <f t="shared" si="38"/>
        <v>0</v>
      </c>
      <c r="G379" s="55">
        <f t="shared" si="39"/>
        <v>0</v>
      </c>
      <c r="H379" s="55" t="str">
        <f t="shared" si="40"/>
        <v/>
      </c>
      <c r="J379" s="61">
        <f t="shared" si="41"/>
        <v>0</v>
      </c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</row>
    <row r="380" spans="1:36" x14ac:dyDescent="0.2">
      <c r="A380" s="61">
        <f t="shared" si="35"/>
        <v>0</v>
      </c>
      <c r="B380" s="55">
        <f t="shared" si="36"/>
        <v>0</v>
      </c>
      <c r="C380" s="55"/>
      <c r="D380" s="55"/>
      <c r="E380" s="55">
        <f t="shared" si="37"/>
        <v>0</v>
      </c>
      <c r="F380" s="55">
        <f t="shared" si="38"/>
        <v>0</v>
      </c>
      <c r="G380" s="55">
        <f t="shared" si="39"/>
        <v>0</v>
      </c>
      <c r="H380" s="55" t="str">
        <f t="shared" si="40"/>
        <v/>
      </c>
      <c r="J380" s="61">
        <f t="shared" si="41"/>
        <v>0</v>
      </c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</row>
    <row r="381" spans="1:36" x14ac:dyDescent="0.2">
      <c r="A381" s="61">
        <f t="shared" si="35"/>
        <v>0</v>
      </c>
      <c r="B381" s="55">
        <f t="shared" si="36"/>
        <v>0</v>
      </c>
      <c r="C381" s="55"/>
      <c r="D381" s="55"/>
      <c r="E381" s="55">
        <f t="shared" si="37"/>
        <v>0</v>
      </c>
      <c r="F381" s="55">
        <f t="shared" si="38"/>
        <v>0</v>
      </c>
      <c r="G381" s="55">
        <f t="shared" si="39"/>
        <v>0</v>
      </c>
      <c r="H381" s="55" t="str">
        <f t="shared" si="40"/>
        <v/>
      </c>
      <c r="J381" s="61">
        <f t="shared" si="41"/>
        <v>0</v>
      </c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</row>
    <row r="382" spans="1:36" x14ac:dyDescent="0.2">
      <c r="A382" s="61">
        <f t="shared" si="35"/>
        <v>0</v>
      </c>
      <c r="B382" s="55">
        <f t="shared" si="36"/>
        <v>0</v>
      </c>
      <c r="C382" s="55"/>
      <c r="D382" s="55"/>
      <c r="E382" s="55">
        <f t="shared" si="37"/>
        <v>0</v>
      </c>
      <c r="F382" s="55">
        <f t="shared" si="38"/>
        <v>0</v>
      </c>
      <c r="G382" s="55">
        <f t="shared" si="39"/>
        <v>0</v>
      </c>
      <c r="H382" s="55" t="str">
        <f t="shared" si="40"/>
        <v/>
      </c>
      <c r="J382" s="61">
        <f t="shared" si="41"/>
        <v>0</v>
      </c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</row>
    <row r="383" spans="1:36" x14ac:dyDescent="0.2">
      <c r="A383" s="61">
        <f t="shared" si="35"/>
        <v>0</v>
      </c>
      <c r="B383" s="55">
        <f t="shared" si="36"/>
        <v>0</v>
      </c>
      <c r="C383" s="55"/>
      <c r="D383" s="55"/>
      <c r="E383" s="55">
        <f t="shared" si="37"/>
        <v>0</v>
      </c>
      <c r="F383" s="55">
        <f t="shared" si="38"/>
        <v>0</v>
      </c>
      <c r="G383" s="55">
        <f t="shared" si="39"/>
        <v>0</v>
      </c>
      <c r="H383" s="55" t="str">
        <f t="shared" si="40"/>
        <v/>
      </c>
      <c r="J383" s="61">
        <f t="shared" si="41"/>
        <v>0</v>
      </c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</row>
    <row r="384" spans="1:36" x14ac:dyDescent="0.2">
      <c r="A384" s="61">
        <f t="shared" si="35"/>
        <v>0</v>
      </c>
      <c r="B384" s="55">
        <f t="shared" si="36"/>
        <v>0</v>
      </c>
      <c r="C384" s="55"/>
      <c r="D384" s="55"/>
      <c r="E384" s="55">
        <f t="shared" si="37"/>
        <v>0</v>
      </c>
      <c r="F384" s="55">
        <f t="shared" si="38"/>
        <v>0</v>
      </c>
      <c r="G384" s="55">
        <f t="shared" si="39"/>
        <v>0</v>
      </c>
      <c r="H384" s="55" t="str">
        <f t="shared" si="40"/>
        <v/>
      </c>
      <c r="J384" s="61">
        <f t="shared" si="41"/>
        <v>0</v>
      </c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</row>
    <row r="385" spans="1:36" x14ac:dyDescent="0.2">
      <c r="A385" s="61">
        <f t="shared" si="35"/>
        <v>0</v>
      </c>
      <c r="B385" s="55">
        <f t="shared" si="36"/>
        <v>0</v>
      </c>
      <c r="C385" s="55"/>
      <c r="D385" s="55"/>
      <c r="E385" s="55">
        <f t="shared" si="37"/>
        <v>0</v>
      </c>
      <c r="F385" s="55">
        <f t="shared" si="38"/>
        <v>0</v>
      </c>
      <c r="G385" s="55">
        <f t="shared" si="39"/>
        <v>0</v>
      </c>
      <c r="H385" s="55" t="str">
        <f t="shared" si="40"/>
        <v/>
      </c>
      <c r="J385" s="61">
        <f t="shared" si="41"/>
        <v>0</v>
      </c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</row>
    <row r="386" spans="1:36" x14ac:dyDescent="0.2">
      <c r="A386" s="61">
        <f t="shared" ref="A386:A449" si="42">J386</f>
        <v>0</v>
      </c>
      <c r="B386" s="55">
        <f t="shared" ref="B386:B449" si="43">M386</f>
        <v>0</v>
      </c>
      <c r="C386" s="55"/>
      <c r="D386" s="55"/>
      <c r="E386" s="55">
        <f t="shared" ref="E386:E449" si="44">V386</f>
        <v>0</v>
      </c>
      <c r="F386" s="55">
        <f t="shared" ref="F386:F449" si="45">Z386</f>
        <v>0</v>
      </c>
      <c r="G386" s="55">
        <f t="shared" ref="G386:G449" si="46">AH386</f>
        <v>0</v>
      </c>
      <c r="H386" s="55" t="str">
        <f t="shared" ref="H386:H449" si="47">IF(Q386&gt;1,IF(Q386=2,"I","E"),"")</f>
        <v/>
      </c>
      <c r="J386" s="61">
        <f t="shared" ref="J386:J449" si="48">P386*1</f>
        <v>0</v>
      </c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</row>
    <row r="387" spans="1:36" x14ac:dyDescent="0.2">
      <c r="A387" s="61">
        <f t="shared" si="42"/>
        <v>0</v>
      </c>
      <c r="B387" s="55">
        <f t="shared" si="43"/>
        <v>0</v>
      </c>
      <c r="C387" s="55"/>
      <c r="D387" s="55"/>
      <c r="E387" s="55">
        <f t="shared" si="44"/>
        <v>0</v>
      </c>
      <c r="F387" s="55">
        <f t="shared" si="45"/>
        <v>0</v>
      </c>
      <c r="G387" s="55">
        <f t="shared" si="46"/>
        <v>0</v>
      </c>
      <c r="H387" s="55" t="str">
        <f t="shared" si="47"/>
        <v/>
      </c>
      <c r="J387" s="61">
        <f t="shared" si="48"/>
        <v>0</v>
      </c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</row>
    <row r="388" spans="1:36" x14ac:dyDescent="0.2">
      <c r="A388" s="61">
        <f t="shared" si="42"/>
        <v>0</v>
      </c>
      <c r="B388" s="55">
        <f t="shared" si="43"/>
        <v>0</v>
      </c>
      <c r="C388" s="55"/>
      <c r="D388" s="55"/>
      <c r="E388" s="55">
        <f t="shared" si="44"/>
        <v>0</v>
      </c>
      <c r="F388" s="55">
        <f t="shared" si="45"/>
        <v>0</v>
      </c>
      <c r="G388" s="55">
        <f t="shared" si="46"/>
        <v>0</v>
      </c>
      <c r="H388" s="55" t="str">
        <f t="shared" si="47"/>
        <v/>
      </c>
      <c r="J388" s="61">
        <f t="shared" si="48"/>
        <v>0</v>
      </c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</row>
    <row r="389" spans="1:36" x14ac:dyDescent="0.2">
      <c r="A389" s="61">
        <f t="shared" si="42"/>
        <v>0</v>
      </c>
      <c r="B389" s="55">
        <f t="shared" si="43"/>
        <v>0</v>
      </c>
      <c r="C389" s="55"/>
      <c r="D389" s="55"/>
      <c r="E389" s="55">
        <f t="shared" si="44"/>
        <v>0</v>
      </c>
      <c r="F389" s="55">
        <f t="shared" si="45"/>
        <v>0</v>
      </c>
      <c r="G389" s="55">
        <f t="shared" si="46"/>
        <v>0</v>
      </c>
      <c r="H389" s="55" t="str">
        <f t="shared" si="47"/>
        <v/>
      </c>
      <c r="J389" s="61">
        <f t="shared" si="48"/>
        <v>0</v>
      </c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</row>
    <row r="390" spans="1:36" x14ac:dyDescent="0.2">
      <c r="A390" s="61">
        <f t="shared" si="42"/>
        <v>0</v>
      </c>
      <c r="B390" s="55">
        <f t="shared" si="43"/>
        <v>0</v>
      </c>
      <c r="C390" s="55"/>
      <c r="D390" s="55"/>
      <c r="E390" s="55">
        <f t="shared" si="44"/>
        <v>0</v>
      </c>
      <c r="F390" s="55">
        <f t="shared" si="45"/>
        <v>0</v>
      </c>
      <c r="G390" s="55">
        <f t="shared" si="46"/>
        <v>0</v>
      </c>
      <c r="H390" s="55" t="str">
        <f t="shared" si="47"/>
        <v/>
      </c>
      <c r="J390" s="61">
        <f t="shared" si="48"/>
        <v>0</v>
      </c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</row>
    <row r="391" spans="1:36" x14ac:dyDescent="0.2">
      <c r="A391" s="61">
        <f t="shared" si="42"/>
        <v>0</v>
      </c>
      <c r="B391" s="55">
        <f t="shared" si="43"/>
        <v>0</v>
      </c>
      <c r="C391" s="55"/>
      <c r="D391" s="55"/>
      <c r="E391" s="55">
        <f t="shared" si="44"/>
        <v>0</v>
      </c>
      <c r="F391" s="55">
        <f t="shared" si="45"/>
        <v>0</v>
      </c>
      <c r="G391" s="55">
        <f t="shared" si="46"/>
        <v>0</v>
      </c>
      <c r="H391" s="55" t="str">
        <f t="shared" si="47"/>
        <v/>
      </c>
      <c r="J391" s="61">
        <f t="shared" si="48"/>
        <v>0</v>
      </c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</row>
    <row r="392" spans="1:36" x14ac:dyDescent="0.2">
      <c r="A392" s="61">
        <f t="shared" si="42"/>
        <v>0</v>
      </c>
      <c r="B392" s="55">
        <f t="shared" si="43"/>
        <v>0</v>
      </c>
      <c r="C392" s="55"/>
      <c r="D392" s="55"/>
      <c r="E392" s="55">
        <f t="shared" si="44"/>
        <v>0</v>
      </c>
      <c r="F392" s="55">
        <f t="shared" si="45"/>
        <v>0</v>
      </c>
      <c r="G392" s="55">
        <f t="shared" si="46"/>
        <v>0</v>
      </c>
      <c r="H392" s="55" t="str">
        <f t="shared" si="47"/>
        <v/>
      </c>
      <c r="J392" s="61">
        <f t="shared" si="48"/>
        <v>0</v>
      </c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</row>
    <row r="393" spans="1:36" x14ac:dyDescent="0.2">
      <c r="A393" s="61">
        <f t="shared" si="42"/>
        <v>0</v>
      </c>
      <c r="B393" s="55">
        <f t="shared" si="43"/>
        <v>0</v>
      </c>
      <c r="C393" s="55"/>
      <c r="D393" s="55"/>
      <c r="E393" s="55">
        <f t="shared" si="44"/>
        <v>0</v>
      </c>
      <c r="F393" s="55">
        <f t="shared" si="45"/>
        <v>0</v>
      </c>
      <c r="G393" s="55">
        <f t="shared" si="46"/>
        <v>0</v>
      </c>
      <c r="H393" s="55" t="str">
        <f t="shared" si="47"/>
        <v/>
      </c>
      <c r="J393" s="61">
        <f t="shared" si="48"/>
        <v>0</v>
      </c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</row>
    <row r="394" spans="1:36" x14ac:dyDescent="0.2">
      <c r="A394" s="61">
        <f t="shared" si="42"/>
        <v>0</v>
      </c>
      <c r="B394" s="55">
        <f t="shared" si="43"/>
        <v>0</v>
      </c>
      <c r="C394" s="55"/>
      <c r="D394" s="55"/>
      <c r="E394" s="55">
        <f t="shared" si="44"/>
        <v>0</v>
      </c>
      <c r="F394" s="55">
        <f t="shared" si="45"/>
        <v>0</v>
      </c>
      <c r="G394" s="55">
        <f t="shared" si="46"/>
        <v>0</v>
      </c>
      <c r="H394" s="55" t="str">
        <f t="shared" si="47"/>
        <v/>
      </c>
      <c r="J394" s="61">
        <f t="shared" si="48"/>
        <v>0</v>
      </c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</row>
    <row r="395" spans="1:36" x14ac:dyDescent="0.2">
      <c r="A395" s="61">
        <f t="shared" si="42"/>
        <v>0</v>
      </c>
      <c r="B395" s="55">
        <f t="shared" si="43"/>
        <v>0</v>
      </c>
      <c r="C395" s="55"/>
      <c r="D395" s="55"/>
      <c r="E395" s="55">
        <f t="shared" si="44"/>
        <v>0</v>
      </c>
      <c r="F395" s="55">
        <f t="shared" si="45"/>
        <v>0</v>
      </c>
      <c r="G395" s="55">
        <f t="shared" si="46"/>
        <v>0</v>
      </c>
      <c r="H395" s="55" t="str">
        <f t="shared" si="47"/>
        <v/>
      </c>
      <c r="J395" s="61">
        <f t="shared" si="48"/>
        <v>0</v>
      </c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</row>
    <row r="396" spans="1:36" x14ac:dyDescent="0.2">
      <c r="A396" s="61">
        <f t="shared" si="42"/>
        <v>0</v>
      </c>
      <c r="B396" s="55">
        <f t="shared" si="43"/>
        <v>0</v>
      </c>
      <c r="C396" s="55"/>
      <c r="D396" s="55"/>
      <c r="E396" s="55">
        <f t="shared" si="44"/>
        <v>0</v>
      </c>
      <c r="F396" s="55">
        <f t="shared" si="45"/>
        <v>0</v>
      </c>
      <c r="G396" s="55">
        <f t="shared" si="46"/>
        <v>0</v>
      </c>
      <c r="H396" s="55" t="str">
        <f t="shared" si="47"/>
        <v/>
      </c>
      <c r="J396" s="61">
        <f t="shared" si="48"/>
        <v>0</v>
      </c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</row>
    <row r="397" spans="1:36" x14ac:dyDescent="0.2">
      <c r="A397" s="61">
        <f t="shared" si="42"/>
        <v>0</v>
      </c>
      <c r="B397" s="55">
        <f t="shared" si="43"/>
        <v>0</v>
      </c>
      <c r="C397" s="55"/>
      <c r="D397" s="55"/>
      <c r="E397" s="55">
        <f t="shared" si="44"/>
        <v>0</v>
      </c>
      <c r="F397" s="55">
        <f t="shared" si="45"/>
        <v>0</v>
      </c>
      <c r="G397" s="55">
        <f t="shared" si="46"/>
        <v>0</v>
      </c>
      <c r="H397" s="55" t="str">
        <f t="shared" si="47"/>
        <v/>
      </c>
      <c r="J397" s="61">
        <f t="shared" si="48"/>
        <v>0</v>
      </c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</row>
    <row r="398" spans="1:36" x14ac:dyDescent="0.2">
      <c r="A398" s="61">
        <f t="shared" si="42"/>
        <v>0</v>
      </c>
      <c r="B398" s="55">
        <f t="shared" si="43"/>
        <v>0</v>
      </c>
      <c r="C398" s="55"/>
      <c r="D398" s="55"/>
      <c r="E398" s="55">
        <f t="shared" si="44"/>
        <v>0</v>
      </c>
      <c r="F398" s="55">
        <f t="shared" si="45"/>
        <v>0</v>
      </c>
      <c r="G398" s="55">
        <f t="shared" si="46"/>
        <v>0</v>
      </c>
      <c r="H398" s="55" t="str">
        <f t="shared" si="47"/>
        <v/>
      </c>
      <c r="J398" s="61">
        <f t="shared" si="48"/>
        <v>0</v>
      </c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</row>
    <row r="399" spans="1:36" x14ac:dyDescent="0.2">
      <c r="A399" s="61">
        <f t="shared" si="42"/>
        <v>0</v>
      </c>
      <c r="B399" s="55">
        <f t="shared" si="43"/>
        <v>0</v>
      </c>
      <c r="C399" s="55"/>
      <c r="D399" s="55"/>
      <c r="E399" s="55">
        <f t="shared" si="44"/>
        <v>0</v>
      </c>
      <c r="F399" s="55">
        <f t="shared" si="45"/>
        <v>0</v>
      </c>
      <c r="G399" s="55">
        <f t="shared" si="46"/>
        <v>0</v>
      </c>
      <c r="H399" s="55" t="str">
        <f t="shared" si="47"/>
        <v/>
      </c>
      <c r="J399" s="61">
        <f t="shared" si="48"/>
        <v>0</v>
      </c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</row>
    <row r="400" spans="1:36" x14ac:dyDescent="0.2">
      <c r="A400" s="61">
        <f t="shared" si="42"/>
        <v>0</v>
      </c>
      <c r="B400" s="55">
        <f t="shared" si="43"/>
        <v>0</v>
      </c>
      <c r="C400" s="55"/>
      <c r="D400" s="55"/>
      <c r="E400" s="55">
        <f t="shared" si="44"/>
        <v>0</v>
      </c>
      <c r="F400" s="55">
        <f t="shared" si="45"/>
        <v>0</v>
      </c>
      <c r="G400" s="55">
        <f t="shared" si="46"/>
        <v>0</v>
      </c>
      <c r="H400" s="55" t="str">
        <f t="shared" si="47"/>
        <v/>
      </c>
      <c r="J400" s="61">
        <f t="shared" si="48"/>
        <v>0</v>
      </c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</row>
    <row r="401" spans="1:36" x14ac:dyDescent="0.2">
      <c r="A401" s="61">
        <f t="shared" si="42"/>
        <v>0</v>
      </c>
      <c r="B401" s="55">
        <f t="shared" si="43"/>
        <v>0</v>
      </c>
      <c r="C401" s="55"/>
      <c r="D401" s="55"/>
      <c r="E401" s="55">
        <f t="shared" si="44"/>
        <v>0</v>
      </c>
      <c r="F401" s="55">
        <f t="shared" si="45"/>
        <v>0</v>
      </c>
      <c r="G401" s="55">
        <f t="shared" si="46"/>
        <v>0</v>
      </c>
      <c r="H401" s="55" t="str">
        <f t="shared" si="47"/>
        <v/>
      </c>
      <c r="J401" s="61">
        <f t="shared" si="48"/>
        <v>0</v>
      </c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</row>
    <row r="402" spans="1:36" x14ac:dyDescent="0.2">
      <c r="A402" s="61">
        <f t="shared" si="42"/>
        <v>0</v>
      </c>
      <c r="B402" s="55">
        <f t="shared" si="43"/>
        <v>0</v>
      </c>
      <c r="C402" s="55"/>
      <c r="D402" s="55"/>
      <c r="E402" s="55">
        <f t="shared" si="44"/>
        <v>0</v>
      </c>
      <c r="F402" s="55">
        <f t="shared" si="45"/>
        <v>0</v>
      </c>
      <c r="G402" s="55">
        <f t="shared" si="46"/>
        <v>0</v>
      </c>
      <c r="H402" s="55" t="str">
        <f t="shared" si="47"/>
        <v/>
      </c>
      <c r="J402" s="61">
        <f t="shared" si="48"/>
        <v>0</v>
      </c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</row>
    <row r="403" spans="1:36" x14ac:dyDescent="0.2">
      <c r="A403" s="61">
        <f t="shared" si="42"/>
        <v>0</v>
      </c>
      <c r="B403" s="55">
        <f t="shared" si="43"/>
        <v>0</v>
      </c>
      <c r="C403" s="55"/>
      <c r="D403" s="55"/>
      <c r="E403" s="55">
        <f t="shared" si="44"/>
        <v>0</v>
      </c>
      <c r="F403" s="55">
        <f t="shared" si="45"/>
        <v>0</v>
      </c>
      <c r="G403" s="55">
        <f t="shared" si="46"/>
        <v>0</v>
      </c>
      <c r="H403" s="55" t="str">
        <f t="shared" si="47"/>
        <v/>
      </c>
      <c r="J403" s="61">
        <f t="shared" si="48"/>
        <v>0</v>
      </c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</row>
    <row r="404" spans="1:36" x14ac:dyDescent="0.2">
      <c r="A404" s="61">
        <f t="shared" si="42"/>
        <v>0</v>
      </c>
      <c r="B404" s="55">
        <f t="shared" si="43"/>
        <v>0</v>
      </c>
      <c r="C404" s="55"/>
      <c r="D404" s="55"/>
      <c r="E404" s="55">
        <f t="shared" si="44"/>
        <v>0</v>
      </c>
      <c r="F404" s="55">
        <f t="shared" si="45"/>
        <v>0</v>
      </c>
      <c r="G404" s="55">
        <f t="shared" si="46"/>
        <v>0</v>
      </c>
      <c r="H404" s="55" t="str">
        <f t="shared" si="47"/>
        <v/>
      </c>
      <c r="J404" s="61">
        <f t="shared" si="48"/>
        <v>0</v>
      </c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</row>
    <row r="405" spans="1:36" x14ac:dyDescent="0.2">
      <c r="A405" s="61">
        <f t="shared" si="42"/>
        <v>0</v>
      </c>
      <c r="B405" s="55">
        <f t="shared" si="43"/>
        <v>0</v>
      </c>
      <c r="C405" s="55"/>
      <c r="D405" s="55"/>
      <c r="E405" s="55">
        <f t="shared" si="44"/>
        <v>0</v>
      </c>
      <c r="F405" s="55">
        <f t="shared" si="45"/>
        <v>0</v>
      </c>
      <c r="G405" s="55">
        <f t="shared" si="46"/>
        <v>0</v>
      </c>
      <c r="H405" s="55" t="str">
        <f t="shared" si="47"/>
        <v/>
      </c>
      <c r="J405" s="61">
        <f t="shared" si="48"/>
        <v>0</v>
      </c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</row>
    <row r="406" spans="1:36" x14ac:dyDescent="0.2">
      <c r="A406" s="61">
        <f t="shared" si="42"/>
        <v>0</v>
      </c>
      <c r="B406" s="55">
        <f t="shared" si="43"/>
        <v>0</v>
      </c>
      <c r="C406" s="55"/>
      <c r="D406" s="55"/>
      <c r="E406" s="55">
        <f t="shared" si="44"/>
        <v>0</v>
      </c>
      <c r="F406" s="55">
        <f t="shared" si="45"/>
        <v>0</v>
      </c>
      <c r="G406" s="55">
        <f t="shared" si="46"/>
        <v>0</v>
      </c>
      <c r="H406" s="55" t="str">
        <f t="shared" si="47"/>
        <v/>
      </c>
      <c r="J406" s="61">
        <f t="shared" si="48"/>
        <v>0</v>
      </c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</row>
    <row r="407" spans="1:36" x14ac:dyDescent="0.2">
      <c r="A407" s="61">
        <f t="shared" si="42"/>
        <v>0</v>
      </c>
      <c r="B407" s="55">
        <f t="shared" si="43"/>
        <v>0</v>
      </c>
      <c r="C407" s="55"/>
      <c r="D407" s="55"/>
      <c r="E407" s="55">
        <f t="shared" si="44"/>
        <v>0</v>
      </c>
      <c r="F407" s="55">
        <f t="shared" si="45"/>
        <v>0</v>
      </c>
      <c r="G407" s="55">
        <f t="shared" si="46"/>
        <v>0</v>
      </c>
      <c r="H407" s="55" t="str">
        <f t="shared" si="47"/>
        <v/>
      </c>
      <c r="J407" s="61">
        <f t="shared" si="48"/>
        <v>0</v>
      </c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</row>
    <row r="408" spans="1:36" x14ac:dyDescent="0.2">
      <c r="A408" s="61">
        <f t="shared" si="42"/>
        <v>0</v>
      </c>
      <c r="B408" s="55">
        <f t="shared" si="43"/>
        <v>0</v>
      </c>
      <c r="C408" s="55"/>
      <c r="D408" s="55"/>
      <c r="E408" s="55">
        <f t="shared" si="44"/>
        <v>0</v>
      </c>
      <c r="F408" s="55">
        <f t="shared" si="45"/>
        <v>0</v>
      </c>
      <c r="G408" s="55">
        <f t="shared" si="46"/>
        <v>0</v>
      </c>
      <c r="H408" s="55" t="str">
        <f t="shared" si="47"/>
        <v/>
      </c>
      <c r="J408" s="61">
        <f t="shared" si="48"/>
        <v>0</v>
      </c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</row>
    <row r="409" spans="1:36" x14ac:dyDescent="0.2">
      <c r="A409" s="61">
        <f t="shared" si="42"/>
        <v>0</v>
      </c>
      <c r="B409" s="55">
        <f t="shared" si="43"/>
        <v>0</v>
      </c>
      <c r="C409" s="55"/>
      <c r="D409" s="55"/>
      <c r="E409" s="55">
        <f t="shared" si="44"/>
        <v>0</v>
      </c>
      <c r="F409" s="55">
        <f t="shared" si="45"/>
        <v>0</v>
      </c>
      <c r="G409" s="55">
        <f t="shared" si="46"/>
        <v>0</v>
      </c>
      <c r="H409" s="55" t="str">
        <f t="shared" si="47"/>
        <v/>
      </c>
      <c r="J409" s="61">
        <f t="shared" si="48"/>
        <v>0</v>
      </c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</row>
    <row r="410" spans="1:36" x14ac:dyDescent="0.2">
      <c r="A410" s="61">
        <f t="shared" si="42"/>
        <v>0</v>
      </c>
      <c r="B410" s="55">
        <f t="shared" si="43"/>
        <v>0</v>
      </c>
      <c r="C410" s="55"/>
      <c r="D410" s="55"/>
      <c r="E410" s="55">
        <f t="shared" si="44"/>
        <v>0</v>
      </c>
      <c r="F410" s="55">
        <f t="shared" si="45"/>
        <v>0</v>
      </c>
      <c r="G410" s="55">
        <f t="shared" si="46"/>
        <v>0</v>
      </c>
      <c r="H410" s="55" t="str">
        <f t="shared" si="47"/>
        <v/>
      </c>
      <c r="J410" s="61">
        <f t="shared" si="48"/>
        <v>0</v>
      </c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</row>
    <row r="411" spans="1:36" x14ac:dyDescent="0.2">
      <c r="A411" s="61">
        <f t="shared" si="42"/>
        <v>0</v>
      </c>
      <c r="B411" s="55">
        <f t="shared" si="43"/>
        <v>0</v>
      </c>
      <c r="C411" s="55"/>
      <c r="D411" s="55"/>
      <c r="E411" s="55">
        <f t="shared" si="44"/>
        <v>0</v>
      </c>
      <c r="F411" s="55">
        <f t="shared" si="45"/>
        <v>0</v>
      </c>
      <c r="G411" s="55">
        <f t="shared" si="46"/>
        <v>0</v>
      </c>
      <c r="H411" s="55" t="str">
        <f t="shared" si="47"/>
        <v/>
      </c>
      <c r="J411" s="61">
        <f t="shared" si="48"/>
        <v>0</v>
      </c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</row>
    <row r="412" spans="1:36" x14ac:dyDescent="0.2">
      <c r="A412" s="61">
        <f t="shared" si="42"/>
        <v>0</v>
      </c>
      <c r="B412" s="55">
        <f t="shared" si="43"/>
        <v>0</v>
      </c>
      <c r="C412" s="55"/>
      <c r="D412" s="55"/>
      <c r="E412" s="55">
        <f t="shared" si="44"/>
        <v>0</v>
      </c>
      <c r="F412" s="55">
        <f t="shared" si="45"/>
        <v>0</v>
      </c>
      <c r="G412" s="55">
        <f t="shared" si="46"/>
        <v>0</v>
      </c>
      <c r="H412" s="55" t="str">
        <f t="shared" si="47"/>
        <v/>
      </c>
      <c r="J412" s="61">
        <f t="shared" si="48"/>
        <v>0</v>
      </c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</row>
    <row r="413" spans="1:36" x14ac:dyDescent="0.2">
      <c r="A413" s="61">
        <f t="shared" si="42"/>
        <v>0</v>
      </c>
      <c r="B413" s="55">
        <f t="shared" si="43"/>
        <v>0</v>
      </c>
      <c r="C413" s="55"/>
      <c r="D413" s="55"/>
      <c r="E413" s="55">
        <f t="shared" si="44"/>
        <v>0</v>
      </c>
      <c r="F413" s="55">
        <f t="shared" si="45"/>
        <v>0</v>
      </c>
      <c r="G413" s="55">
        <f t="shared" si="46"/>
        <v>0</v>
      </c>
      <c r="H413" s="55" t="str">
        <f t="shared" si="47"/>
        <v/>
      </c>
      <c r="J413" s="61">
        <f t="shared" si="48"/>
        <v>0</v>
      </c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</row>
    <row r="414" spans="1:36" x14ac:dyDescent="0.2">
      <c r="A414" s="61">
        <f t="shared" si="42"/>
        <v>0</v>
      </c>
      <c r="B414" s="55">
        <f t="shared" si="43"/>
        <v>0</v>
      </c>
      <c r="C414" s="55"/>
      <c r="D414" s="55"/>
      <c r="E414" s="55">
        <f t="shared" si="44"/>
        <v>0</v>
      </c>
      <c r="F414" s="55">
        <f t="shared" si="45"/>
        <v>0</v>
      </c>
      <c r="G414" s="55">
        <f t="shared" si="46"/>
        <v>0</v>
      </c>
      <c r="H414" s="55" t="str">
        <f t="shared" si="47"/>
        <v/>
      </c>
      <c r="J414" s="61">
        <f t="shared" si="48"/>
        <v>0</v>
      </c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</row>
    <row r="415" spans="1:36" x14ac:dyDescent="0.2">
      <c r="A415" s="61">
        <f t="shared" si="42"/>
        <v>0</v>
      </c>
      <c r="B415" s="55">
        <f t="shared" si="43"/>
        <v>0</v>
      </c>
      <c r="C415" s="55"/>
      <c r="D415" s="55"/>
      <c r="E415" s="55">
        <f t="shared" si="44"/>
        <v>0</v>
      </c>
      <c r="F415" s="55">
        <f t="shared" si="45"/>
        <v>0</v>
      </c>
      <c r="G415" s="55">
        <f t="shared" si="46"/>
        <v>0</v>
      </c>
      <c r="H415" s="55" t="str">
        <f t="shared" si="47"/>
        <v/>
      </c>
      <c r="J415" s="61">
        <f t="shared" si="48"/>
        <v>0</v>
      </c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</row>
    <row r="416" spans="1:36" x14ac:dyDescent="0.2">
      <c r="A416" s="61">
        <f t="shared" si="42"/>
        <v>0</v>
      </c>
      <c r="B416" s="55">
        <f t="shared" si="43"/>
        <v>0</v>
      </c>
      <c r="C416" s="55"/>
      <c r="D416" s="55"/>
      <c r="E416" s="55">
        <f t="shared" si="44"/>
        <v>0</v>
      </c>
      <c r="F416" s="55">
        <f t="shared" si="45"/>
        <v>0</v>
      </c>
      <c r="G416" s="55">
        <f t="shared" si="46"/>
        <v>0</v>
      </c>
      <c r="H416" s="55" t="str">
        <f t="shared" si="47"/>
        <v/>
      </c>
      <c r="J416" s="61">
        <f t="shared" si="48"/>
        <v>0</v>
      </c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</row>
    <row r="417" spans="1:36" x14ac:dyDescent="0.2">
      <c r="A417" s="61">
        <f t="shared" si="42"/>
        <v>0</v>
      </c>
      <c r="B417" s="55">
        <f t="shared" si="43"/>
        <v>0</v>
      </c>
      <c r="C417" s="55"/>
      <c r="D417" s="55"/>
      <c r="E417" s="55">
        <f t="shared" si="44"/>
        <v>0</v>
      </c>
      <c r="F417" s="55">
        <f t="shared" si="45"/>
        <v>0</v>
      </c>
      <c r="G417" s="55">
        <f t="shared" si="46"/>
        <v>0</v>
      </c>
      <c r="H417" s="55" t="str">
        <f t="shared" si="47"/>
        <v/>
      </c>
      <c r="J417" s="61">
        <f t="shared" si="48"/>
        <v>0</v>
      </c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</row>
    <row r="418" spans="1:36" x14ac:dyDescent="0.2">
      <c r="A418" s="61">
        <f t="shared" si="42"/>
        <v>0</v>
      </c>
      <c r="B418" s="55">
        <f t="shared" si="43"/>
        <v>0</v>
      </c>
      <c r="C418" s="55"/>
      <c r="D418" s="55"/>
      <c r="E418" s="55">
        <f t="shared" si="44"/>
        <v>0</v>
      </c>
      <c r="F418" s="55">
        <f t="shared" si="45"/>
        <v>0</v>
      </c>
      <c r="G418" s="55">
        <f t="shared" si="46"/>
        <v>0</v>
      </c>
      <c r="H418" s="55" t="str">
        <f t="shared" si="47"/>
        <v/>
      </c>
      <c r="J418" s="61">
        <f t="shared" si="48"/>
        <v>0</v>
      </c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</row>
    <row r="419" spans="1:36" x14ac:dyDescent="0.2">
      <c r="A419" s="61">
        <f t="shared" si="42"/>
        <v>0</v>
      </c>
      <c r="B419" s="55">
        <f t="shared" si="43"/>
        <v>0</v>
      </c>
      <c r="C419" s="55"/>
      <c r="D419" s="55"/>
      <c r="E419" s="55">
        <f t="shared" si="44"/>
        <v>0</v>
      </c>
      <c r="F419" s="55">
        <f t="shared" si="45"/>
        <v>0</v>
      </c>
      <c r="G419" s="55">
        <f t="shared" si="46"/>
        <v>0</v>
      </c>
      <c r="H419" s="55" t="str">
        <f t="shared" si="47"/>
        <v/>
      </c>
      <c r="J419" s="61">
        <f t="shared" si="48"/>
        <v>0</v>
      </c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</row>
    <row r="420" spans="1:36" x14ac:dyDescent="0.2">
      <c r="A420" s="61">
        <f t="shared" si="42"/>
        <v>0</v>
      </c>
      <c r="B420" s="55">
        <f t="shared" si="43"/>
        <v>0</v>
      </c>
      <c r="C420" s="55"/>
      <c r="D420" s="55"/>
      <c r="E420" s="55">
        <f t="shared" si="44"/>
        <v>0</v>
      </c>
      <c r="F420" s="55">
        <f t="shared" si="45"/>
        <v>0</v>
      </c>
      <c r="G420" s="55">
        <f t="shared" si="46"/>
        <v>0</v>
      </c>
      <c r="H420" s="55" t="str">
        <f t="shared" si="47"/>
        <v/>
      </c>
      <c r="J420" s="61">
        <f t="shared" si="48"/>
        <v>0</v>
      </c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</row>
    <row r="421" spans="1:36" x14ac:dyDescent="0.2">
      <c r="A421" s="61">
        <f t="shared" si="42"/>
        <v>0</v>
      </c>
      <c r="B421" s="55">
        <f t="shared" si="43"/>
        <v>0</v>
      </c>
      <c r="C421" s="55"/>
      <c r="D421" s="55"/>
      <c r="E421" s="55">
        <f t="shared" si="44"/>
        <v>0</v>
      </c>
      <c r="F421" s="55">
        <f t="shared" si="45"/>
        <v>0</v>
      </c>
      <c r="G421" s="55">
        <f t="shared" si="46"/>
        <v>0</v>
      </c>
      <c r="H421" s="55" t="str">
        <f t="shared" si="47"/>
        <v/>
      </c>
      <c r="J421" s="61">
        <f t="shared" si="48"/>
        <v>0</v>
      </c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</row>
    <row r="422" spans="1:36" x14ac:dyDescent="0.2">
      <c r="A422" s="61">
        <f t="shared" si="42"/>
        <v>0</v>
      </c>
      <c r="B422" s="55">
        <f t="shared" si="43"/>
        <v>0</v>
      </c>
      <c r="C422" s="55"/>
      <c r="D422" s="55"/>
      <c r="E422" s="55">
        <f t="shared" si="44"/>
        <v>0</v>
      </c>
      <c r="F422" s="55">
        <f t="shared" si="45"/>
        <v>0</v>
      </c>
      <c r="G422" s="55">
        <f t="shared" si="46"/>
        <v>0</v>
      </c>
      <c r="H422" s="55" t="str">
        <f t="shared" si="47"/>
        <v/>
      </c>
      <c r="J422" s="61">
        <f t="shared" si="48"/>
        <v>0</v>
      </c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</row>
    <row r="423" spans="1:36" x14ac:dyDescent="0.2">
      <c r="A423" s="61">
        <f t="shared" si="42"/>
        <v>0</v>
      </c>
      <c r="B423" s="55">
        <f t="shared" si="43"/>
        <v>0</v>
      </c>
      <c r="C423" s="55"/>
      <c r="D423" s="55"/>
      <c r="E423" s="55">
        <f t="shared" si="44"/>
        <v>0</v>
      </c>
      <c r="F423" s="55">
        <f t="shared" si="45"/>
        <v>0</v>
      </c>
      <c r="G423" s="55">
        <f t="shared" si="46"/>
        <v>0</v>
      </c>
      <c r="H423" s="55" t="str">
        <f t="shared" si="47"/>
        <v/>
      </c>
      <c r="J423" s="61">
        <f t="shared" si="48"/>
        <v>0</v>
      </c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</row>
    <row r="424" spans="1:36" x14ac:dyDescent="0.2">
      <c r="A424" s="61">
        <f t="shared" si="42"/>
        <v>0</v>
      </c>
      <c r="B424" s="55">
        <f t="shared" si="43"/>
        <v>0</v>
      </c>
      <c r="C424" s="55"/>
      <c r="D424" s="55"/>
      <c r="E424" s="55">
        <f t="shared" si="44"/>
        <v>0</v>
      </c>
      <c r="F424" s="55">
        <f t="shared" si="45"/>
        <v>0</v>
      </c>
      <c r="G424" s="55">
        <f t="shared" si="46"/>
        <v>0</v>
      </c>
      <c r="H424" s="55" t="str">
        <f t="shared" si="47"/>
        <v/>
      </c>
      <c r="J424" s="61">
        <f t="shared" si="48"/>
        <v>0</v>
      </c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</row>
    <row r="425" spans="1:36" x14ac:dyDescent="0.2">
      <c r="A425" s="61">
        <f t="shared" si="42"/>
        <v>0</v>
      </c>
      <c r="B425" s="55">
        <f t="shared" si="43"/>
        <v>0</v>
      </c>
      <c r="C425" s="55"/>
      <c r="D425" s="55"/>
      <c r="E425" s="55">
        <f t="shared" si="44"/>
        <v>0</v>
      </c>
      <c r="F425" s="55">
        <f t="shared" si="45"/>
        <v>0</v>
      </c>
      <c r="G425" s="55">
        <f t="shared" si="46"/>
        <v>0</v>
      </c>
      <c r="H425" s="55" t="str">
        <f t="shared" si="47"/>
        <v/>
      </c>
      <c r="J425" s="61">
        <f t="shared" si="48"/>
        <v>0</v>
      </c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</row>
    <row r="426" spans="1:36" x14ac:dyDescent="0.2">
      <c r="A426" s="61">
        <f t="shared" si="42"/>
        <v>0</v>
      </c>
      <c r="B426" s="55">
        <f t="shared" si="43"/>
        <v>0</v>
      </c>
      <c r="C426" s="55"/>
      <c r="D426" s="55"/>
      <c r="E426" s="55">
        <f t="shared" si="44"/>
        <v>0</v>
      </c>
      <c r="F426" s="55">
        <f t="shared" si="45"/>
        <v>0</v>
      </c>
      <c r="G426" s="55">
        <f t="shared" si="46"/>
        <v>0</v>
      </c>
      <c r="H426" s="55" t="str">
        <f t="shared" si="47"/>
        <v/>
      </c>
      <c r="J426" s="61">
        <f t="shared" si="48"/>
        <v>0</v>
      </c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</row>
    <row r="427" spans="1:36" x14ac:dyDescent="0.2">
      <c r="A427" s="61">
        <f t="shared" si="42"/>
        <v>0</v>
      </c>
      <c r="B427" s="55">
        <f t="shared" si="43"/>
        <v>0</v>
      </c>
      <c r="C427" s="55"/>
      <c r="D427" s="55"/>
      <c r="E427" s="55">
        <f t="shared" si="44"/>
        <v>0</v>
      </c>
      <c r="F427" s="55">
        <f t="shared" si="45"/>
        <v>0</v>
      </c>
      <c r="G427" s="55">
        <f t="shared" si="46"/>
        <v>0</v>
      </c>
      <c r="H427" s="55" t="str">
        <f t="shared" si="47"/>
        <v/>
      </c>
      <c r="J427" s="61">
        <f t="shared" si="48"/>
        <v>0</v>
      </c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</row>
    <row r="428" spans="1:36" x14ac:dyDescent="0.2">
      <c r="A428" s="61">
        <f t="shared" si="42"/>
        <v>0</v>
      </c>
      <c r="B428" s="55">
        <f t="shared" si="43"/>
        <v>0</v>
      </c>
      <c r="C428" s="55"/>
      <c r="D428" s="55"/>
      <c r="E428" s="55">
        <f t="shared" si="44"/>
        <v>0</v>
      </c>
      <c r="F428" s="55">
        <f t="shared" si="45"/>
        <v>0</v>
      </c>
      <c r="G428" s="55">
        <f t="shared" si="46"/>
        <v>0</v>
      </c>
      <c r="H428" s="55" t="str">
        <f t="shared" si="47"/>
        <v/>
      </c>
      <c r="J428" s="61">
        <f t="shared" si="48"/>
        <v>0</v>
      </c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</row>
    <row r="429" spans="1:36" x14ac:dyDescent="0.2">
      <c r="A429" s="61">
        <f t="shared" si="42"/>
        <v>0</v>
      </c>
      <c r="B429" s="55">
        <f t="shared" si="43"/>
        <v>0</v>
      </c>
      <c r="C429" s="55"/>
      <c r="D429" s="55"/>
      <c r="E429" s="55">
        <f t="shared" si="44"/>
        <v>0</v>
      </c>
      <c r="F429" s="55">
        <f t="shared" si="45"/>
        <v>0</v>
      </c>
      <c r="G429" s="55">
        <f t="shared" si="46"/>
        <v>0</v>
      </c>
      <c r="H429" s="55" t="str">
        <f t="shared" si="47"/>
        <v/>
      </c>
      <c r="J429" s="61">
        <f t="shared" si="48"/>
        <v>0</v>
      </c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</row>
    <row r="430" spans="1:36" x14ac:dyDescent="0.2">
      <c r="A430" s="61">
        <f t="shared" si="42"/>
        <v>0</v>
      </c>
      <c r="B430" s="55">
        <f t="shared" si="43"/>
        <v>0</v>
      </c>
      <c r="C430" s="55"/>
      <c r="D430" s="55"/>
      <c r="E430" s="55">
        <f t="shared" si="44"/>
        <v>0</v>
      </c>
      <c r="F430" s="55">
        <f t="shared" si="45"/>
        <v>0</v>
      </c>
      <c r="G430" s="55">
        <f t="shared" si="46"/>
        <v>0</v>
      </c>
      <c r="H430" s="55" t="str">
        <f t="shared" si="47"/>
        <v/>
      </c>
      <c r="J430" s="61">
        <f t="shared" si="48"/>
        <v>0</v>
      </c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</row>
    <row r="431" spans="1:36" x14ac:dyDescent="0.2">
      <c r="A431" s="61">
        <f t="shared" si="42"/>
        <v>0</v>
      </c>
      <c r="B431" s="55">
        <f t="shared" si="43"/>
        <v>0</v>
      </c>
      <c r="C431" s="55"/>
      <c r="D431" s="55"/>
      <c r="E431" s="55">
        <f t="shared" si="44"/>
        <v>0</v>
      </c>
      <c r="F431" s="55">
        <f t="shared" si="45"/>
        <v>0</v>
      </c>
      <c r="G431" s="55">
        <f t="shared" si="46"/>
        <v>0</v>
      </c>
      <c r="H431" s="55" t="str">
        <f t="shared" si="47"/>
        <v/>
      </c>
      <c r="J431" s="61">
        <f t="shared" si="48"/>
        <v>0</v>
      </c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</row>
    <row r="432" spans="1:36" x14ac:dyDescent="0.2">
      <c r="A432" s="61">
        <f t="shared" si="42"/>
        <v>0</v>
      </c>
      <c r="B432" s="55">
        <f t="shared" si="43"/>
        <v>0</v>
      </c>
      <c r="C432" s="55"/>
      <c r="D432" s="55"/>
      <c r="E432" s="55">
        <f t="shared" si="44"/>
        <v>0</v>
      </c>
      <c r="F432" s="55">
        <f t="shared" si="45"/>
        <v>0</v>
      </c>
      <c r="G432" s="55">
        <f t="shared" si="46"/>
        <v>0</v>
      </c>
      <c r="H432" s="55" t="str">
        <f t="shared" si="47"/>
        <v/>
      </c>
      <c r="J432" s="61">
        <f t="shared" si="48"/>
        <v>0</v>
      </c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</row>
    <row r="433" spans="1:36" x14ac:dyDescent="0.2">
      <c r="A433" s="61">
        <f t="shared" si="42"/>
        <v>0</v>
      </c>
      <c r="B433" s="55">
        <f t="shared" si="43"/>
        <v>0</v>
      </c>
      <c r="C433" s="55"/>
      <c r="D433" s="55"/>
      <c r="E433" s="55">
        <f t="shared" si="44"/>
        <v>0</v>
      </c>
      <c r="F433" s="55">
        <f t="shared" si="45"/>
        <v>0</v>
      </c>
      <c r="G433" s="55">
        <f t="shared" si="46"/>
        <v>0</v>
      </c>
      <c r="H433" s="55" t="str">
        <f t="shared" si="47"/>
        <v/>
      </c>
      <c r="J433" s="61">
        <f t="shared" si="48"/>
        <v>0</v>
      </c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</row>
    <row r="434" spans="1:36" x14ac:dyDescent="0.2">
      <c r="A434" s="61">
        <f t="shared" si="42"/>
        <v>0</v>
      </c>
      <c r="B434" s="55">
        <f t="shared" si="43"/>
        <v>0</v>
      </c>
      <c r="C434" s="55"/>
      <c r="D434" s="55"/>
      <c r="E434" s="55">
        <f t="shared" si="44"/>
        <v>0</v>
      </c>
      <c r="F434" s="55">
        <f t="shared" si="45"/>
        <v>0</v>
      </c>
      <c r="G434" s="55">
        <f t="shared" si="46"/>
        <v>0</v>
      </c>
      <c r="H434" s="55" t="str">
        <f t="shared" si="47"/>
        <v/>
      </c>
      <c r="J434" s="61">
        <f t="shared" si="48"/>
        <v>0</v>
      </c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</row>
    <row r="435" spans="1:36" x14ac:dyDescent="0.2">
      <c r="A435" s="61">
        <f t="shared" si="42"/>
        <v>0</v>
      </c>
      <c r="B435" s="55">
        <f t="shared" si="43"/>
        <v>0</v>
      </c>
      <c r="C435" s="55"/>
      <c r="D435" s="55"/>
      <c r="E435" s="55">
        <f t="shared" si="44"/>
        <v>0</v>
      </c>
      <c r="F435" s="55">
        <f t="shared" si="45"/>
        <v>0</v>
      </c>
      <c r="G435" s="55">
        <f t="shared" si="46"/>
        <v>0</v>
      </c>
      <c r="H435" s="55" t="str">
        <f t="shared" si="47"/>
        <v/>
      </c>
      <c r="J435" s="61">
        <f t="shared" si="48"/>
        <v>0</v>
      </c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</row>
    <row r="436" spans="1:36" x14ac:dyDescent="0.2">
      <c r="A436" s="61">
        <f t="shared" si="42"/>
        <v>0</v>
      </c>
      <c r="B436" s="55">
        <f t="shared" si="43"/>
        <v>0</v>
      </c>
      <c r="C436" s="55"/>
      <c r="D436" s="55"/>
      <c r="E436" s="55">
        <f t="shared" si="44"/>
        <v>0</v>
      </c>
      <c r="F436" s="55">
        <f t="shared" si="45"/>
        <v>0</v>
      </c>
      <c r="G436" s="55">
        <f t="shared" si="46"/>
        <v>0</v>
      </c>
      <c r="H436" s="55" t="str">
        <f t="shared" si="47"/>
        <v/>
      </c>
      <c r="J436" s="61">
        <f t="shared" si="48"/>
        <v>0</v>
      </c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</row>
    <row r="437" spans="1:36" x14ac:dyDescent="0.2">
      <c r="A437" s="61">
        <f t="shared" si="42"/>
        <v>0</v>
      </c>
      <c r="B437" s="55">
        <f t="shared" si="43"/>
        <v>0</v>
      </c>
      <c r="C437" s="55"/>
      <c r="D437" s="55"/>
      <c r="E437" s="55">
        <f t="shared" si="44"/>
        <v>0</v>
      </c>
      <c r="F437" s="55">
        <f t="shared" si="45"/>
        <v>0</v>
      </c>
      <c r="G437" s="55">
        <f t="shared" si="46"/>
        <v>0</v>
      </c>
      <c r="H437" s="55" t="str">
        <f t="shared" si="47"/>
        <v/>
      </c>
      <c r="J437" s="61">
        <f t="shared" si="48"/>
        <v>0</v>
      </c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</row>
    <row r="438" spans="1:36" x14ac:dyDescent="0.2">
      <c r="A438" s="61">
        <f t="shared" si="42"/>
        <v>0</v>
      </c>
      <c r="B438" s="55">
        <f t="shared" si="43"/>
        <v>0</v>
      </c>
      <c r="C438" s="55"/>
      <c r="D438" s="55"/>
      <c r="E438" s="55">
        <f t="shared" si="44"/>
        <v>0</v>
      </c>
      <c r="F438" s="55">
        <f t="shared" si="45"/>
        <v>0</v>
      </c>
      <c r="G438" s="55">
        <f t="shared" si="46"/>
        <v>0</v>
      </c>
      <c r="H438" s="55" t="str">
        <f t="shared" si="47"/>
        <v/>
      </c>
      <c r="J438" s="61">
        <f t="shared" si="48"/>
        <v>0</v>
      </c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</row>
    <row r="439" spans="1:36" x14ac:dyDescent="0.2">
      <c r="A439" s="61">
        <f t="shared" si="42"/>
        <v>0</v>
      </c>
      <c r="B439" s="55">
        <f t="shared" si="43"/>
        <v>0</v>
      </c>
      <c r="C439" s="55"/>
      <c r="D439" s="55"/>
      <c r="E439" s="55">
        <f t="shared" si="44"/>
        <v>0</v>
      </c>
      <c r="F439" s="55">
        <f t="shared" si="45"/>
        <v>0</v>
      </c>
      <c r="G439" s="55">
        <f t="shared" si="46"/>
        <v>0</v>
      </c>
      <c r="H439" s="55" t="str">
        <f t="shared" si="47"/>
        <v/>
      </c>
      <c r="J439" s="61">
        <f t="shared" si="48"/>
        <v>0</v>
      </c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</row>
    <row r="440" spans="1:36" x14ac:dyDescent="0.2">
      <c r="A440" s="61">
        <f t="shared" si="42"/>
        <v>0</v>
      </c>
      <c r="B440" s="55">
        <f t="shared" si="43"/>
        <v>0</v>
      </c>
      <c r="C440" s="55"/>
      <c r="D440" s="55"/>
      <c r="E440" s="55">
        <f t="shared" si="44"/>
        <v>0</v>
      </c>
      <c r="F440" s="55">
        <f t="shared" si="45"/>
        <v>0</v>
      </c>
      <c r="G440" s="55">
        <f t="shared" si="46"/>
        <v>0</v>
      </c>
      <c r="H440" s="55" t="str">
        <f t="shared" si="47"/>
        <v/>
      </c>
      <c r="J440" s="61">
        <f t="shared" si="48"/>
        <v>0</v>
      </c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</row>
    <row r="441" spans="1:36" x14ac:dyDescent="0.2">
      <c r="A441" s="61">
        <f t="shared" si="42"/>
        <v>0</v>
      </c>
      <c r="B441" s="55">
        <f t="shared" si="43"/>
        <v>0</v>
      </c>
      <c r="C441" s="55"/>
      <c r="D441" s="55"/>
      <c r="E441" s="55">
        <f t="shared" si="44"/>
        <v>0</v>
      </c>
      <c r="F441" s="55">
        <f t="shared" si="45"/>
        <v>0</v>
      </c>
      <c r="G441" s="55">
        <f t="shared" si="46"/>
        <v>0</v>
      </c>
      <c r="H441" s="55" t="str">
        <f t="shared" si="47"/>
        <v/>
      </c>
      <c r="J441" s="61">
        <f t="shared" si="48"/>
        <v>0</v>
      </c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</row>
    <row r="442" spans="1:36" x14ac:dyDescent="0.2">
      <c r="A442" s="61">
        <f t="shared" si="42"/>
        <v>0</v>
      </c>
      <c r="B442" s="55">
        <f t="shared" si="43"/>
        <v>0</v>
      </c>
      <c r="C442" s="55"/>
      <c r="D442" s="55"/>
      <c r="E442" s="55">
        <f t="shared" si="44"/>
        <v>0</v>
      </c>
      <c r="F442" s="55">
        <f t="shared" si="45"/>
        <v>0</v>
      </c>
      <c r="G442" s="55">
        <f t="shared" si="46"/>
        <v>0</v>
      </c>
      <c r="H442" s="55" t="str">
        <f t="shared" si="47"/>
        <v/>
      </c>
      <c r="J442" s="61">
        <f t="shared" si="48"/>
        <v>0</v>
      </c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</row>
    <row r="443" spans="1:36" x14ac:dyDescent="0.2">
      <c r="A443" s="61">
        <f t="shared" si="42"/>
        <v>0</v>
      </c>
      <c r="B443" s="55">
        <f t="shared" si="43"/>
        <v>0</v>
      </c>
      <c r="C443" s="55"/>
      <c r="D443" s="55"/>
      <c r="E443" s="55">
        <f t="shared" si="44"/>
        <v>0</v>
      </c>
      <c r="F443" s="55">
        <f t="shared" si="45"/>
        <v>0</v>
      </c>
      <c r="G443" s="55">
        <f t="shared" si="46"/>
        <v>0</v>
      </c>
      <c r="H443" s="55" t="str">
        <f t="shared" si="47"/>
        <v/>
      </c>
      <c r="J443" s="61">
        <f t="shared" si="48"/>
        <v>0</v>
      </c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</row>
    <row r="444" spans="1:36" x14ac:dyDescent="0.2">
      <c r="A444" s="61">
        <f t="shared" si="42"/>
        <v>0</v>
      </c>
      <c r="B444" s="55">
        <f t="shared" si="43"/>
        <v>0</v>
      </c>
      <c r="C444" s="55"/>
      <c r="D444" s="55"/>
      <c r="E444" s="55">
        <f t="shared" si="44"/>
        <v>0</v>
      </c>
      <c r="F444" s="55">
        <f t="shared" si="45"/>
        <v>0</v>
      </c>
      <c r="G444" s="55">
        <f t="shared" si="46"/>
        <v>0</v>
      </c>
      <c r="H444" s="55" t="str">
        <f t="shared" si="47"/>
        <v/>
      </c>
      <c r="J444" s="61">
        <f t="shared" si="48"/>
        <v>0</v>
      </c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</row>
    <row r="445" spans="1:36" x14ac:dyDescent="0.2">
      <c r="A445" s="61">
        <f t="shared" si="42"/>
        <v>0</v>
      </c>
      <c r="B445" s="55">
        <f t="shared" si="43"/>
        <v>0</v>
      </c>
      <c r="C445" s="55"/>
      <c r="D445" s="55"/>
      <c r="E445" s="55">
        <f t="shared" si="44"/>
        <v>0</v>
      </c>
      <c r="F445" s="55">
        <f t="shared" si="45"/>
        <v>0</v>
      </c>
      <c r="G445" s="55">
        <f t="shared" si="46"/>
        <v>0</v>
      </c>
      <c r="H445" s="55" t="str">
        <f t="shared" si="47"/>
        <v/>
      </c>
      <c r="J445" s="61">
        <f t="shared" si="48"/>
        <v>0</v>
      </c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</row>
    <row r="446" spans="1:36" x14ac:dyDescent="0.2">
      <c r="A446" s="61">
        <f t="shared" si="42"/>
        <v>0</v>
      </c>
      <c r="B446" s="55">
        <f t="shared" si="43"/>
        <v>0</v>
      </c>
      <c r="C446" s="55"/>
      <c r="D446" s="55"/>
      <c r="E446" s="55">
        <f t="shared" si="44"/>
        <v>0</v>
      </c>
      <c r="F446" s="55">
        <f t="shared" si="45"/>
        <v>0</v>
      </c>
      <c r="G446" s="55">
        <f t="shared" si="46"/>
        <v>0</v>
      </c>
      <c r="H446" s="55" t="str">
        <f t="shared" si="47"/>
        <v/>
      </c>
      <c r="J446" s="61">
        <f t="shared" si="48"/>
        <v>0</v>
      </c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</row>
    <row r="447" spans="1:36" x14ac:dyDescent="0.2">
      <c r="A447" s="61">
        <f t="shared" si="42"/>
        <v>0</v>
      </c>
      <c r="B447" s="55">
        <f t="shared" si="43"/>
        <v>0</v>
      </c>
      <c r="C447" s="55"/>
      <c r="D447" s="55"/>
      <c r="E447" s="55">
        <f t="shared" si="44"/>
        <v>0</v>
      </c>
      <c r="F447" s="55">
        <f t="shared" si="45"/>
        <v>0</v>
      </c>
      <c r="G447" s="55">
        <f t="shared" si="46"/>
        <v>0</v>
      </c>
      <c r="H447" s="55" t="str">
        <f t="shared" si="47"/>
        <v/>
      </c>
      <c r="J447" s="61">
        <f t="shared" si="48"/>
        <v>0</v>
      </c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</row>
    <row r="448" spans="1:36" x14ac:dyDescent="0.2">
      <c r="A448" s="61">
        <f t="shared" si="42"/>
        <v>0</v>
      </c>
      <c r="B448" s="55">
        <f t="shared" si="43"/>
        <v>0</v>
      </c>
      <c r="C448" s="55"/>
      <c r="D448" s="55"/>
      <c r="E448" s="55">
        <f t="shared" si="44"/>
        <v>0</v>
      </c>
      <c r="F448" s="55">
        <f t="shared" si="45"/>
        <v>0</v>
      </c>
      <c r="G448" s="55">
        <f t="shared" si="46"/>
        <v>0</v>
      </c>
      <c r="H448" s="55" t="str">
        <f t="shared" si="47"/>
        <v/>
      </c>
      <c r="J448" s="61">
        <f t="shared" si="48"/>
        <v>0</v>
      </c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</row>
    <row r="449" spans="1:36" x14ac:dyDescent="0.2">
      <c r="A449" s="61">
        <f t="shared" si="42"/>
        <v>0</v>
      </c>
      <c r="B449" s="55">
        <f t="shared" si="43"/>
        <v>0</v>
      </c>
      <c r="C449" s="55"/>
      <c r="D449" s="55"/>
      <c r="E449" s="55">
        <f t="shared" si="44"/>
        <v>0</v>
      </c>
      <c r="F449" s="55">
        <f t="shared" si="45"/>
        <v>0</v>
      </c>
      <c r="G449" s="55">
        <f t="shared" si="46"/>
        <v>0</v>
      </c>
      <c r="H449" s="55" t="str">
        <f t="shared" si="47"/>
        <v/>
      </c>
      <c r="J449" s="61">
        <f t="shared" si="48"/>
        <v>0</v>
      </c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</row>
    <row r="450" spans="1:36" x14ac:dyDescent="0.2">
      <c r="A450" s="61">
        <f t="shared" ref="A450:A513" si="49">J450</f>
        <v>0</v>
      </c>
      <c r="B450" s="55">
        <f t="shared" ref="B450:B513" si="50">M450</f>
        <v>0</v>
      </c>
      <c r="C450" s="55"/>
      <c r="D450" s="55"/>
      <c r="E450" s="55">
        <f t="shared" ref="E450:E513" si="51">V450</f>
        <v>0</v>
      </c>
      <c r="F450" s="55">
        <f t="shared" ref="F450:F513" si="52">Z450</f>
        <v>0</v>
      </c>
      <c r="G450" s="55">
        <f t="shared" ref="G450:G513" si="53">AH450</f>
        <v>0</v>
      </c>
      <c r="H450" s="55" t="str">
        <f t="shared" ref="H450:H513" si="54">IF(Q450&gt;1,IF(Q450=2,"I","E"),"")</f>
        <v/>
      </c>
      <c r="J450" s="61">
        <f t="shared" ref="J450:J513" si="55">P450*1</f>
        <v>0</v>
      </c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</row>
    <row r="451" spans="1:36" x14ac:dyDescent="0.2">
      <c r="A451" s="61">
        <f t="shared" si="49"/>
        <v>0</v>
      </c>
      <c r="B451" s="55">
        <f t="shared" si="50"/>
        <v>0</v>
      </c>
      <c r="C451" s="55"/>
      <c r="D451" s="55"/>
      <c r="E451" s="55">
        <f t="shared" si="51"/>
        <v>0</v>
      </c>
      <c r="F451" s="55">
        <f t="shared" si="52"/>
        <v>0</v>
      </c>
      <c r="G451" s="55">
        <f t="shared" si="53"/>
        <v>0</v>
      </c>
      <c r="H451" s="55" t="str">
        <f t="shared" si="54"/>
        <v/>
      </c>
      <c r="J451" s="61">
        <f t="shared" si="55"/>
        <v>0</v>
      </c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</row>
    <row r="452" spans="1:36" x14ac:dyDescent="0.2">
      <c r="A452" s="61">
        <f t="shared" si="49"/>
        <v>0</v>
      </c>
      <c r="B452" s="55">
        <f t="shared" si="50"/>
        <v>0</v>
      </c>
      <c r="C452" s="55"/>
      <c r="D452" s="55"/>
      <c r="E452" s="55">
        <f t="shared" si="51"/>
        <v>0</v>
      </c>
      <c r="F452" s="55">
        <f t="shared" si="52"/>
        <v>0</v>
      </c>
      <c r="G452" s="55">
        <f t="shared" si="53"/>
        <v>0</v>
      </c>
      <c r="H452" s="55" t="str">
        <f t="shared" si="54"/>
        <v/>
      </c>
      <c r="J452" s="61">
        <f t="shared" si="55"/>
        <v>0</v>
      </c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</row>
    <row r="453" spans="1:36" x14ac:dyDescent="0.2">
      <c r="A453" s="61">
        <f t="shared" si="49"/>
        <v>0</v>
      </c>
      <c r="B453" s="55">
        <f t="shared" si="50"/>
        <v>0</v>
      </c>
      <c r="C453" s="55"/>
      <c r="D453" s="55"/>
      <c r="E453" s="55">
        <f t="shared" si="51"/>
        <v>0</v>
      </c>
      <c r="F453" s="55">
        <f t="shared" si="52"/>
        <v>0</v>
      </c>
      <c r="G453" s="55">
        <f t="shared" si="53"/>
        <v>0</v>
      </c>
      <c r="H453" s="55" t="str">
        <f t="shared" si="54"/>
        <v/>
      </c>
      <c r="J453" s="61">
        <f t="shared" si="55"/>
        <v>0</v>
      </c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</row>
    <row r="454" spans="1:36" x14ac:dyDescent="0.2">
      <c r="A454" s="61">
        <f t="shared" si="49"/>
        <v>0</v>
      </c>
      <c r="B454" s="55">
        <f t="shared" si="50"/>
        <v>0</v>
      </c>
      <c r="C454" s="55"/>
      <c r="D454" s="55"/>
      <c r="E454" s="55">
        <f t="shared" si="51"/>
        <v>0</v>
      </c>
      <c r="F454" s="55">
        <f t="shared" si="52"/>
        <v>0</v>
      </c>
      <c r="G454" s="55">
        <f t="shared" si="53"/>
        <v>0</v>
      </c>
      <c r="H454" s="55" t="str">
        <f t="shared" si="54"/>
        <v/>
      </c>
      <c r="J454" s="61">
        <f t="shared" si="55"/>
        <v>0</v>
      </c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</row>
    <row r="455" spans="1:36" x14ac:dyDescent="0.2">
      <c r="A455" s="61">
        <f t="shared" si="49"/>
        <v>0</v>
      </c>
      <c r="B455" s="55">
        <f t="shared" si="50"/>
        <v>0</v>
      </c>
      <c r="C455" s="55"/>
      <c r="D455" s="55"/>
      <c r="E455" s="55">
        <f t="shared" si="51"/>
        <v>0</v>
      </c>
      <c r="F455" s="55">
        <f t="shared" si="52"/>
        <v>0</v>
      </c>
      <c r="G455" s="55">
        <f t="shared" si="53"/>
        <v>0</v>
      </c>
      <c r="H455" s="55" t="str">
        <f t="shared" si="54"/>
        <v/>
      </c>
      <c r="J455" s="61">
        <f t="shared" si="55"/>
        <v>0</v>
      </c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</row>
    <row r="456" spans="1:36" x14ac:dyDescent="0.2">
      <c r="A456" s="61">
        <f t="shared" si="49"/>
        <v>0</v>
      </c>
      <c r="B456" s="55">
        <f t="shared" si="50"/>
        <v>0</v>
      </c>
      <c r="C456" s="55"/>
      <c r="D456" s="55"/>
      <c r="E456" s="55">
        <f t="shared" si="51"/>
        <v>0</v>
      </c>
      <c r="F456" s="55">
        <f t="shared" si="52"/>
        <v>0</v>
      </c>
      <c r="G456" s="55">
        <f t="shared" si="53"/>
        <v>0</v>
      </c>
      <c r="H456" s="55" t="str">
        <f t="shared" si="54"/>
        <v/>
      </c>
      <c r="J456" s="61">
        <f t="shared" si="55"/>
        <v>0</v>
      </c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</row>
    <row r="457" spans="1:36" x14ac:dyDescent="0.2">
      <c r="A457" s="61">
        <f t="shared" si="49"/>
        <v>0</v>
      </c>
      <c r="B457" s="55">
        <f t="shared" si="50"/>
        <v>0</v>
      </c>
      <c r="C457" s="55"/>
      <c r="D457" s="55"/>
      <c r="E457" s="55">
        <f t="shared" si="51"/>
        <v>0</v>
      </c>
      <c r="F457" s="55">
        <f t="shared" si="52"/>
        <v>0</v>
      </c>
      <c r="G457" s="55">
        <f t="shared" si="53"/>
        <v>0</v>
      </c>
      <c r="H457" s="55" t="str">
        <f t="shared" si="54"/>
        <v/>
      </c>
      <c r="J457" s="61">
        <f t="shared" si="55"/>
        <v>0</v>
      </c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</row>
    <row r="458" spans="1:36" x14ac:dyDescent="0.2">
      <c r="A458" s="61">
        <f t="shared" si="49"/>
        <v>0</v>
      </c>
      <c r="B458" s="55">
        <f t="shared" si="50"/>
        <v>0</v>
      </c>
      <c r="C458" s="55"/>
      <c r="D458" s="55"/>
      <c r="E458" s="55">
        <f t="shared" si="51"/>
        <v>0</v>
      </c>
      <c r="F458" s="55">
        <f t="shared" si="52"/>
        <v>0</v>
      </c>
      <c r="G458" s="55">
        <f t="shared" si="53"/>
        <v>0</v>
      </c>
      <c r="H458" s="55" t="str">
        <f t="shared" si="54"/>
        <v/>
      </c>
      <c r="J458" s="61">
        <f t="shared" si="55"/>
        <v>0</v>
      </c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</row>
    <row r="459" spans="1:36" x14ac:dyDescent="0.2">
      <c r="A459" s="61">
        <f t="shared" si="49"/>
        <v>0</v>
      </c>
      <c r="B459" s="55">
        <f t="shared" si="50"/>
        <v>0</v>
      </c>
      <c r="C459" s="55"/>
      <c r="D459" s="55"/>
      <c r="E459" s="55">
        <f t="shared" si="51"/>
        <v>0</v>
      </c>
      <c r="F459" s="55">
        <f t="shared" si="52"/>
        <v>0</v>
      </c>
      <c r="G459" s="55">
        <f t="shared" si="53"/>
        <v>0</v>
      </c>
      <c r="H459" s="55" t="str">
        <f t="shared" si="54"/>
        <v/>
      </c>
      <c r="J459" s="61">
        <f t="shared" si="55"/>
        <v>0</v>
      </c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</row>
    <row r="460" spans="1:36" x14ac:dyDescent="0.2">
      <c r="A460" s="61">
        <f t="shared" si="49"/>
        <v>0</v>
      </c>
      <c r="B460" s="55">
        <f t="shared" si="50"/>
        <v>0</v>
      </c>
      <c r="C460" s="55"/>
      <c r="D460" s="55"/>
      <c r="E460" s="55">
        <f t="shared" si="51"/>
        <v>0</v>
      </c>
      <c r="F460" s="55">
        <f t="shared" si="52"/>
        <v>0</v>
      </c>
      <c r="G460" s="55">
        <f t="shared" si="53"/>
        <v>0</v>
      </c>
      <c r="H460" s="55" t="str">
        <f t="shared" si="54"/>
        <v/>
      </c>
      <c r="J460" s="61">
        <f t="shared" si="55"/>
        <v>0</v>
      </c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</row>
    <row r="461" spans="1:36" x14ac:dyDescent="0.2">
      <c r="A461" s="61">
        <f t="shared" si="49"/>
        <v>0</v>
      </c>
      <c r="B461" s="55">
        <f t="shared" si="50"/>
        <v>0</v>
      </c>
      <c r="C461" s="55"/>
      <c r="D461" s="55"/>
      <c r="E461" s="55">
        <f t="shared" si="51"/>
        <v>0</v>
      </c>
      <c r="F461" s="55">
        <f t="shared" si="52"/>
        <v>0</v>
      </c>
      <c r="G461" s="55">
        <f t="shared" si="53"/>
        <v>0</v>
      </c>
      <c r="H461" s="55" t="str">
        <f t="shared" si="54"/>
        <v/>
      </c>
      <c r="J461" s="61">
        <f t="shared" si="55"/>
        <v>0</v>
      </c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</row>
    <row r="462" spans="1:36" x14ac:dyDescent="0.2">
      <c r="A462" s="61">
        <f t="shared" si="49"/>
        <v>0</v>
      </c>
      <c r="B462" s="55">
        <f t="shared" si="50"/>
        <v>0</v>
      </c>
      <c r="C462" s="55"/>
      <c r="D462" s="55"/>
      <c r="E462" s="55">
        <f t="shared" si="51"/>
        <v>0</v>
      </c>
      <c r="F462" s="55">
        <f t="shared" si="52"/>
        <v>0</v>
      </c>
      <c r="G462" s="55">
        <f t="shared" si="53"/>
        <v>0</v>
      </c>
      <c r="H462" s="55" t="str">
        <f t="shared" si="54"/>
        <v/>
      </c>
      <c r="J462" s="61">
        <f t="shared" si="55"/>
        <v>0</v>
      </c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</row>
    <row r="463" spans="1:36" x14ac:dyDescent="0.2">
      <c r="A463" s="61">
        <f t="shared" si="49"/>
        <v>0</v>
      </c>
      <c r="B463" s="55">
        <f t="shared" si="50"/>
        <v>0</v>
      </c>
      <c r="C463" s="55"/>
      <c r="D463" s="55"/>
      <c r="E463" s="55">
        <f t="shared" si="51"/>
        <v>0</v>
      </c>
      <c r="F463" s="55">
        <f t="shared" si="52"/>
        <v>0</v>
      </c>
      <c r="G463" s="55">
        <f t="shared" si="53"/>
        <v>0</v>
      </c>
      <c r="H463" s="55" t="str">
        <f t="shared" si="54"/>
        <v/>
      </c>
      <c r="J463" s="61">
        <f t="shared" si="55"/>
        <v>0</v>
      </c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</row>
    <row r="464" spans="1:36" x14ac:dyDescent="0.2">
      <c r="A464" s="61">
        <f t="shared" si="49"/>
        <v>0</v>
      </c>
      <c r="B464" s="55">
        <f t="shared" si="50"/>
        <v>0</v>
      </c>
      <c r="C464" s="55"/>
      <c r="D464" s="55"/>
      <c r="E464" s="55">
        <f t="shared" si="51"/>
        <v>0</v>
      </c>
      <c r="F464" s="55">
        <f t="shared" si="52"/>
        <v>0</v>
      </c>
      <c r="G464" s="55">
        <f t="shared" si="53"/>
        <v>0</v>
      </c>
      <c r="H464" s="55" t="str">
        <f t="shared" si="54"/>
        <v/>
      </c>
      <c r="J464" s="61">
        <f t="shared" si="55"/>
        <v>0</v>
      </c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</row>
    <row r="465" spans="1:36" x14ac:dyDescent="0.2">
      <c r="A465" s="61">
        <f t="shared" si="49"/>
        <v>0</v>
      </c>
      <c r="B465" s="55">
        <f t="shared" si="50"/>
        <v>0</v>
      </c>
      <c r="C465" s="55"/>
      <c r="D465" s="55"/>
      <c r="E465" s="55">
        <f t="shared" si="51"/>
        <v>0</v>
      </c>
      <c r="F465" s="55">
        <f t="shared" si="52"/>
        <v>0</v>
      </c>
      <c r="G465" s="55">
        <f t="shared" si="53"/>
        <v>0</v>
      </c>
      <c r="H465" s="55" t="str">
        <f t="shared" si="54"/>
        <v/>
      </c>
      <c r="J465" s="61">
        <f t="shared" si="55"/>
        <v>0</v>
      </c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</row>
    <row r="466" spans="1:36" x14ac:dyDescent="0.2">
      <c r="A466" s="61">
        <f t="shared" si="49"/>
        <v>0</v>
      </c>
      <c r="B466" s="55">
        <f t="shared" si="50"/>
        <v>0</v>
      </c>
      <c r="C466" s="55"/>
      <c r="D466" s="55"/>
      <c r="E466" s="55">
        <f t="shared" si="51"/>
        <v>0</v>
      </c>
      <c r="F466" s="55">
        <f t="shared" si="52"/>
        <v>0</v>
      </c>
      <c r="G466" s="55">
        <f t="shared" si="53"/>
        <v>0</v>
      </c>
      <c r="H466" s="55" t="str">
        <f t="shared" si="54"/>
        <v/>
      </c>
      <c r="J466" s="61">
        <f t="shared" si="55"/>
        <v>0</v>
      </c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</row>
    <row r="467" spans="1:36" x14ac:dyDescent="0.2">
      <c r="A467" s="61">
        <f t="shared" si="49"/>
        <v>0</v>
      </c>
      <c r="B467" s="55">
        <f t="shared" si="50"/>
        <v>0</v>
      </c>
      <c r="C467" s="55"/>
      <c r="D467" s="55"/>
      <c r="E467" s="55">
        <f t="shared" si="51"/>
        <v>0</v>
      </c>
      <c r="F467" s="55">
        <f t="shared" si="52"/>
        <v>0</v>
      </c>
      <c r="G467" s="55">
        <f t="shared" si="53"/>
        <v>0</v>
      </c>
      <c r="H467" s="55" t="str">
        <f t="shared" si="54"/>
        <v/>
      </c>
      <c r="J467" s="61">
        <f t="shared" si="55"/>
        <v>0</v>
      </c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</row>
    <row r="468" spans="1:36" x14ac:dyDescent="0.2">
      <c r="A468" s="61">
        <f t="shared" si="49"/>
        <v>0</v>
      </c>
      <c r="B468" s="55">
        <f t="shared" si="50"/>
        <v>0</v>
      </c>
      <c r="C468" s="55"/>
      <c r="D468" s="55"/>
      <c r="E468" s="55">
        <f t="shared" si="51"/>
        <v>0</v>
      </c>
      <c r="F468" s="55">
        <f t="shared" si="52"/>
        <v>0</v>
      </c>
      <c r="G468" s="55">
        <f t="shared" si="53"/>
        <v>0</v>
      </c>
      <c r="H468" s="55" t="str">
        <f t="shared" si="54"/>
        <v/>
      </c>
      <c r="J468" s="61">
        <f t="shared" si="55"/>
        <v>0</v>
      </c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</row>
    <row r="469" spans="1:36" x14ac:dyDescent="0.2">
      <c r="A469" s="61">
        <f t="shared" si="49"/>
        <v>0</v>
      </c>
      <c r="B469" s="55">
        <f t="shared" si="50"/>
        <v>0</v>
      </c>
      <c r="C469" s="55"/>
      <c r="D469" s="55"/>
      <c r="E469" s="55">
        <f t="shared" si="51"/>
        <v>0</v>
      </c>
      <c r="F469" s="55">
        <f t="shared" si="52"/>
        <v>0</v>
      </c>
      <c r="G469" s="55">
        <f t="shared" si="53"/>
        <v>0</v>
      </c>
      <c r="H469" s="55" t="str">
        <f t="shared" si="54"/>
        <v/>
      </c>
      <c r="J469" s="61">
        <f t="shared" si="55"/>
        <v>0</v>
      </c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</row>
    <row r="470" spans="1:36" x14ac:dyDescent="0.2">
      <c r="A470" s="61">
        <f t="shared" si="49"/>
        <v>0</v>
      </c>
      <c r="B470" s="55">
        <f t="shared" si="50"/>
        <v>0</v>
      </c>
      <c r="C470" s="55"/>
      <c r="D470" s="55"/>
      <c r="E470" s="55">
        <f t="shared" si="51"/>
        <v>0</v>
      </c>
      <c r="F470" s="55">
        <f t="shared" si="52"/>
        <v>0</v>
      </c>
      <c r="G470" s="55">
        <f t="shared" si="53"/>
        <v>0</v>
      </c>
      <c r="H470" s="55" t="str">
        <f t="shared" si="54"/>
        <v/>
      </c>
      <c r="J470" s="61">
        <f t="shared" si="55"/>
        <v>0</v>
      </c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</row>
    <row r="471" spans="1:36" x14ac:dyDescent="0.2">
      <c r="A471" s="61">
        <f t="shared" si="49"/>
        <v>0</v>
      </c>
      <c r="B471" s="55">
        <f t="shared" si="50"/>
        <v>0</v>
      </c>
      <c r="C471" s="55"/>
      <c r="D471" s="55"/>
      <c r="E471" s="55">
        <f t="shared" si="51"/>
        <v>0</v>
      </c>
      <c r="F471" s="55">
        <f t="shared" si="52"/>
        <v>0</v>
      </c>
      <c r="G471" s="55">
        <f t="shared" si="53"/>
        <v>0</v>
      </c>
      <c r="H471" s="55" t="str">
        <f t="shared" si="54"/>
        <v/>
      </c>
      <c r="J471" s="61">
        <f t="shared" si="55"/>
        <v>0</v>
      </c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</row>
    <row r="472" spans="1:36" x14ac:dyDescent="0.2">
      <c r="A472" s="61">
        <f t="shared" si="49"/>
        <v>0</v>
      </c>
      <c r="B472" s="55">
        <f t="shared" si="50"/>
        <v>0</v>
      </c>
      <c r="C472" s="55"/>
      <c r="D472" s="55"/>
      <c r="E472" s="55">
        <f t="shared" si="51"/>
        <v>0</v>
      </c>
      <c r="F472" s="55">
        <f t="shared" si="52"/>
        <v>0</v>
      </c>
      <c r="G472" s="55">
        <f t="shared" si="53"/>
        <v>0</v>
      </c>
      <c r="H472" s="55" t="str">
        <f t="shared" si="54"/>
        <v/>
      </c>
      <c r="J472" s="61">
        <f t="shared" si="55"/>
        <v>0</v>
      </c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</row>
    <row r="473" spans="1:36" x14ac:dyDescent="0.2">
      <c r="A473" s="61">
        <f t="shared" si="49"/>
        <v>0</v>
      </c>
      <c r="B473" s="55">
        <f t="shared" si="50"/>
        <v>0</v>
      </c>
      <c r="C473" s="55"/>
      <c r="D473" s="55"/>
      <c r="E473" s="55">
        <f t="shared" si="51"/>
        <v>0</v>
      </c>
      <c r="F473" s="55">
        <f t="shared" si="52"/>
        <v>0</v>
      </c>
      <c r="G473" s="55">
        <f t="shared" si="53"/>
        <v>0</v>
      </c>
      <c r="H473" s="55" t="str">
        <f t="shared" si="54"/>
        <v/>
      </c>
      <c r="J473" s="61">
        <f t="shared" si="55"/>
        <v>0</v>
      </c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</row>
    <row r="474" spans="1:36" x14ac:dyDescent="0.2">
      <c r="A474" s="61">
        <f t="shared" si="49"/>
        <v>0</v>
      </c>
      <c r="B474" s="55">
        <f t="shared" si="50"/>
        <v>0</v>
      </c>
      <c r="C474" s="55"/>
      <c r="D474" s="55"/>
      <c r="E474" s="55">
        <f t="shared" si="51"/>
        <v>0</v>
      </c>
      <c r="F474" s="55">
        <f t="shared" si="52"/>
        <v>0</v>
      </c>
      <c r="G474" s="55">
        <f t="shared" si="53"/>
        <v>0</v>
      </c>
      <c r="H474" s="55" t="str">
        <f t="shared" si="54"/>
        <v/>
      </c>
      <c r="J474" s="61">
        <f t="shared" si="55"/>
        <v>0</v>
      </c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</row>
    <row r="475" spans="1:36" x14ac:dyDescent="0.2">
      <c r="A475" s="61">
        <f t="shared" si="49"/>
        <v>0</v>
      </c>
      <c r="B475" s="55">
        <f t="shared" si="50"/>
        <v>0</v>
      </c>
      <c r="C475" s="55"/>
      <c r="D475" s="55"/>
      <c r="E475" s="55">
        <f t="shared" si="51"/>
        <v>0</v>
      </c>
      <c r="F475" s="55">
        <f t="shared" si="52"/>
        <v>0</v>
      </c>
      <c r="G475" s="55">
        <f t="shared" si="53"/>
        <v>0</v>
      </c>
      <c r="H475" s="55" t="str">
        <f t="shared" si="54"/>
        <v/>
      </c>
      <c r="J475" s="61">
        <f t="shared" si="55"/>
        <v>0</v>
      </c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</row>
    <row r="476" spans="1:36" x14ac:dyDescent="0.2">
      <c r="A476" s="61">
        <f t="shared" si="49"/>
        <v>0</v>
      </c>
      <c r="B476" s="55">
        <f t="shared" si="50"/>
        <v>0</v>
      </c>
      <c r="C476" s="55"/>
      <c r="D476" s="55"/>
      <c r="E476" s="55">
        <f t="shared" si="51"/>
        <v>0</v>
      </c>
      <c r="F476" s="55">
        <f t="shared" si="52"/>
        <v>0</v>
      </c>
      <c r="G476" s="55">
        <f t="shared" si="53"/>
        <v>0</v>
      </c>
      <c r="H476" s="55" t="str">
        <f t="shared" si="54"/>
        <v/>
      </c>
      <c r="J476" s="61">
        <f t="shared" si="55"/>
        <v>0</v>
      </c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</row>
    <row r="477" spans="1:36" x14ac:dyDescent="0.2">
      <c r="A477" s="61">
        <f t="shared" si="49"/>
        <v>0</v>
      </c>
      <c r="B477" s="55">
        <f t="shared" si="50"/>
        <v>0</v>
      </c>
      <c r="C477" s="55"/>
      <c r="D477" s="55"/>
      <c r="E477" s="55">
        <f t="shared" si="51"/>
        <v>0</v>
      </c>
      <c r="F477" s="55">
        <f t="shared" si="52"/>
        <v>0</v>
      </c>
      <c r="G477" s="55">
        <f t="shared" si="53"/>
        <v>0</v>
      </c>
      <c r="H477" s="55" t="str">
        <f t="shared" si="54"/>
        <v/>
      </c>
      <c r="J477" s="61">
        <f t="shared" si="55"/>
        <v>0</v>
      </c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</row>
    <row r="478" spans="1:36" x14ac:dyDescent="0.2">
      <c r="A478" s="61">
        <f t="shared" si="49"/>
        <v>0</v>
      </c>
      <c r="B478" s="55">
        <f t="shared" si="50"/>
        <v>0</v>
      </c>
      <c r="C478" s="55"/>
      <c r="D478" s="55"/>
      <c r="E478" s="55">
        <f t="shared" si="51"/>
        <v>0</v>
      </c>
      <c r="F478" s="55">
        <f t="shared" si="52"/>
        <v>0</v>
      </c>
      <c r="G478" s="55">
        <f t="shared" si="53"/>
        <v>0</v>
      </c>
      <c r="H478" s="55" t="str">
        <f t="shared" si="54"/>
        <v/>
      </c>
      <c r="J478" s="61">
        <f t="shared" si="55"/>
        <v>0</v>
      </c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</row>
    <row r="479" spans="1:36" x14ac:dyDescent="0.2">
      <c r="A479" s="61">
        <f t="shared" si="49"/>
        <v>0</v>
      </c>
      <c r="B479" s="55">
        <f t="shared" si="50"/>
        <v>0</v>
      </c>
      <c r="C479" s="55"/>
      <c r="D479" s="55"/>
      <c r="E479" s="55">
        <f t="shared" si="51"/>
        <v>0</v>
      </c>
      <c r="F479" s="55">
        <f t="shared" si="52"/>
        <v>0</v>
      </c>
      <c r="G479" s="55">
        <f t="shared" si="53"/>
        <v>0</v>
      </c>
      <c r="H479" s="55" t="str">
        <f t="shared" si="54"/>
        <v/>
      </c>
      <c r="J479" s="61">
        <f t="shared" si="55"/>
        <v>0</v>
      </c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</row>
    <row r="480" spans="1:36" x14ac:dyDescent="0.2">
      <c r="A480" s="61">
        <f t="shared" si="49"/>
        <v>0</v>
      </c>
      <c r="B480" s="55">
        <f t="shared" si="50"/>
        <v>0</v>
      </c>
      <c r="C480" s="55"/>
      <c r="D480" s="55"/>
      <c r="E480" s="55">
        <f t="shared" si="51"/>
        <v>0</v>
      </c>
      <c r="F480" s="55">
        <f t="shared" si="52"/>
        <v>0</v>
      </c>
      <c r="G480" s="55">
        <f t="shared" si="53"/>
        <v>0</v>
      </c>
      <c r="H480" s="55" t="str">
        <f t="shared" si="54"/>
        <v/>
      </c>
      <c r="J480" s="61">
        <f t="shared" si="55"/>
        <v>0</v>
      </c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</row>
    <row r="481" spans="1:36" x14ac:dyDescent="0.2">
      <c r="A481" s="61">
        <f t="shared" si="49"/>
        <v>0</v>
      </c>
      <c r="B481" s="55">
        <f t="shared" si="50"/>
        <v>0</v>
      </c>
      <c r="C481" s="55"/>
      <c r="D481" s="55"/>
      <c r="E481" s="55">
        <f t="shared" si="51"/>
        <v>0</v>
      </c>
      <c r="F481" s="55">
        <f t="shared" si="52"/>
        <v>0</v>
      </c>
      <c r="G481" s="55">
        <f t="shared" si="53"/>
        <v>0</v>
      </c>
      <c r="H481" s="55" t="str">
        <f t="shared" si="54"/>
        <v/>
      </c>
      <c r="J481" s="61">
        <f t="shared" si="55"/>
        <v>0</v>
      </c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</row>
    <row r="482" spans="1:36" x14ac:dyDescent="0.2">
      <c r="A482" s="61">
        <f t="shared" si="49"/>
        <v>0</v>
      </c>
      <c r="B482" s="55">
        <f t="shared" si="50"/>
        <v>0</v>
      </c>
      <c r="C482" s="55"/>
      <c r="D482" s="55"/>
      <c r="E482" s="55">
        <f t="shared" si="51"/>
        <v>0</v>
      </c>
      <c r="F482" s="55">
        <f t="shared" si="52"/>
        <v>0</v>
      </c>
      <c r="G482" s="55">
        <f t="shared" si="53"/>
        <v>0</v>
      </c>
      <c r="H482" s="55" t="str">
        <f t="shared" si="54"/>
        <v/>
      </c>
      <c r="J482" s="61">
        <f t="shared" si="55"/>
        <v>0</v>
      </c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</row>
    <row r="483" spans="1:36" x14ac:dyDescent="0.2">
      <c r="A483" s="61">
        <f t="shared" si="49"/>
        <v>0</v>
      </c>
      <c r="B483" s="55">
        <f t="shared" si="50"/>
        <v>0</v>
      </c>
      <c r="C483" s="55"/>
      <c r="D483" s="55"/>
      <c r="E483" s="55">
        <f t="shared" si="51"/>
        <v>0</v>
      </c>
      <c r="F483" s="55">
        <f t="shared" si="52"/>
        <v>0</v>
      </c>
      <c r="G483" s="55">
        <f t="shared" si="53"/>
        <v>0</v>
      </c>
      <c r="H483" s="55" t="str">
        <f t="shared" si="54"/>
        <v/>
      </c>
      <c r="J483" s="61">
        <f t="shared" si="55"/>
        <v>0</v>
      </c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</row>
    <row r="484" spans="1:36" x14ac:dyDescent="0.2">
      <c r="A484" s="61">
        <f t="shared" si="49"/>
        <v>0</v>
      </c>
      <c r="B484" s="55">
        <f t="shared" si="50"/>
        <v>0</v>
      </c>
      <c r="C484" s="55"/>
      <c r="D484" s="55"/>
      <c r="E484" s="55">
        <f t="shared" si="51"/>
        <v>0</v>
      </c>
      <c r="F484" s="55">
        <f t="shared" si="52"/>
        <v>0</v>
      </c>
      <c r="G484" s="55">
        <f t="shared" si="53"/>
        <v>0</v>
      </c>
      <c r="H484" s="55" t="str">
        <f t="shared" si="54"/>
        <v/>
      </c>
      <c r="J484" s="61">
        <f t="shared" si="55"/>
        <v>0</v>
      </c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</row>
    <row r="485" spans="1:36" x14ac:dyDescent="0.2">
      <c r="A485" s="61">
        <f t="shared" si="49"/>
        <v>0</v>
      </c>
      <c r="B485" s="55">
        <f t="shared" si="50"/>
        <v>0</v>
      </c>
      <c r="C485" s="55"/>
      <c r="D485" s="55"/>
      <c r="E485" s="55">
        <f t="shared" si="51"/>
        <v>0</v>
      </c>
      <c r="F485" s="55">
        <f t="shared" si="52"/>
        <v>0</v>
      </c>
      <c r="G485" s="55">
        <f t="shared" si="53"/>
        <v>0</v>
      </c>
      <c r="H485" s="55" t="str">
        <f t="shared" si="54"/>
        <v/>
      </c>
      <c r="J485" s="61">
        <f t="shared" si="55"/>
        <v>0</v>
      </c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</row>
    <row r="486" spans="1:36" x14ac:dyDescent="0.2">
      <c r="A486" s="61">
        <f t="shared" si="49"/>
        <v>0</v>
      </c>
      <c r="B486" s="55">
        <f t="shared" si="50"/>
        <v>0</v>
      </c>
      <c r="C486" s="55"/>
      <c r="D486" s="55"/>
      <c r="E486" s="55">
        <f t="shared" si="51"/>
        <v>0</v>
      </c>
      <c r="F486" s="55">
        <f t="shared" si="52"/>
        <v>0</v>
      </c>
      <c r="G486" s="55">
        <f t="shared" si="53"/>
        <v>0</v>
      </c>
      <c r="H486" s="55" t="str">
        <f t="shared" si="54"/>
        <v/>
      </c>
      <c r="J486" s="61">
        <f t="shared" si="55"/>
        <v>0</v>
      </c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</row>
    <row r="487" spans="1:36" x14ac:dyDescent="0.2">
      <c r="A487" s="61">
        <f t="shared" si="49"/>
        <v>0</v>
      </c>
      <c r="B487" s="55">
        <f t="shared" si="50"/>
        <v>0</v>
      </c>
      <c r="C487" s="55"/>
      <c r="D487" s="55"/>
      <c r="E487" s="55">
        <f t="shared" si="51"/>
        <v>0</v>
      </c>
      <c r="F487" s="55">
        <f t="shared" si="52"/>
        <v>0</v>
      </c>
      <c r="G487" s="55">
        <f t="shared" si="53"/>
        <v>0</v>
      </c>
      <c r="H487" s="55" t="str">
        <f t="shared" si="54"/>
        <v/>
      </c>
      <c r="J487" s="61">
        <f t="shared" si="55"/>
        <v>0</v>
      </c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</row>
    <row r="488" spans="1:36" x14ac:dyDescent="0.2">
      <c r="A488" s="61">
        <f t="shared" si="49"/>
        <v>0</v>
      </c>
      <c r="B488" s="55">
        <f t="shared" si="50"/>
        <v>0</v>
      </c>
      <c r="C488" s="55"/>
      <c r="D488" s="55"/>
      <c r="E488" s="55">
        <f t="shared" si="51"/>
        <v>0</v>
      </c>
      <c r="F488" s="55">
        <f t="shared" si="52"/>
        <v>0</v>
      </c>
      <c r="G488" s="55">
        <f t="shared" si="53"/>
        <v>0</v>
      </c>
      <c r="H488" s="55" t="str">
        <f t="shared" si="54"/>
        <v/>
      </c>
      <c r="J488" s="61">
        <f t="shared" si="55"/>
        <v>0</v>
      </c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</row>
    <row r="489" spans="1:36" x14ac:dyDescent="0.2">
      <c r="A489" s="61">
        <f t="shared" si="49"/>
        <v>0</v>
      </c>
      <c r="B489" s="55">
        <f t="shared" si="50"/>
        <v>0</v>
      </c>
      <c r="C489" s="55"/>
      <c r="D489" s="55"/>
      <c r="E489" s="55">
        <f t="shared" si="51"/>
        <v>0</v>
      </c>
      <c r="F489" s="55">
        <f t="shared" si="52"/>
        <v>0</v>
      </c>
      <c r="G489" s="55">
        <f t="shared" si="53"/>
        <v>0</v>
      </c>
      <c r="H489" s="55" t="str">
        <f t="shared" si="54"/>
        <v/>
      </c>
      <c r="J489" s="61">
        <f t="shared" si="55"/>
        <v>0</v>
      </c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</row>
    <row r="490" spans="1:36" x14ac:dyDescent="0.2">
      <c r="A490" s="61">
        <f t="shared" si="49"/>
        <v>0</v>
      </c>
      <c r="B490" s="55">
        <f t="shared" si="50"/>
        <v>0</v>
      </c>
      <c r="C490" s="55"/>
      <c r="D490" s="55"/>
      <c r="E490" s="55">
        <f t="shared" si="51"/>
        <v>0</v>
      </c>
      <c r="F490" s="55">
        <f t="shared" si="52"/>
        <v>0</v>
      </c>
      <c r="G490" s="55">
        <f t="shared" si="53"/>
        <v>0</v>
      </c>
      <c r="H490" s="55" t="str">
        <f t="shared" si="54"/>
        <v/>
      </c>
      <c r="J490" s="61">
        <f t="shared" si="55"/>
        <v>0</v>
      </c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</row>
    <row r="491" spans="1:36" x14ac:dyDescent="0.2">
      <c r="A491" s="61">
        <f t="shared" si="49"/>
        <v>0</v>
      </c>
      <c r="B491" s="55">
        <f t="shared" si="50"/>
        <v>0</v>
      </c>
      <c r="C491" s="55"/>
      <c r="D491" s="55"/>
      <c r="E491" s="55">
        <f t="shared" si="51"/>
        <v>0</v>
      </c>
      <c r="F491" s="55">
        <f t="shared" si="52"/>
        <v>0</v>
      </c>
      <c r="G491" s="55">
        <f t="shared" si="53"/>
        <v>0</v>
      </c>
      <c r="H491" s="55" t="str">
        <f t="shared" si="54"/>
        <v/>
      </c>
      <c r="J491" s="61">
        <f t="shared" si="55"/>
        <v>0</v>
      </c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</row>
    <row r="492" spans="1:36" x14ac:dyDescent="0.2">
      <c r="A492" s="61">
        <f t="shared" si="49"/>
        <v>0</v>
      </c>
      <c r="B492" s="55">
        <f t="shared" si="50"/>
        <v>0</v>
      </c>
      <c r="C492" s="55"/>
      <c r="D492" s="55"/>
      <c r="E492" s="55">
        <f t="shared" si="51"/>
        <v>0</v>
      </c>
      <c r="F492" s="55">
        <f t="shared" si="52"/>
        <v>0</v>
      </c>
      <c r="G492" s="55">
        <f t="shared" si="53"/>
        <v>0</v>
      </c>
      <c r="H492" s="55" t="str">
        <f t="shared" si="54"/>
        <v/>
      </c>
      <c r="J492" s="61">
        <f t="shared" si="55"/>
        <v>0</v>
      </c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</row>
    <row r="493" spans="1:36" x14ac:dyDescent="0.2">
      <c r="A493" s="61">
        <f t="shared" si="49"/>
        <v>0</v>
      </c>
      <c r="B493" s="55">
        <f t="shared" si="50"/>
        <v>0</v>
      </c>
      <c r="C493" s="55"/>
      <c r="D493" s="55"/>
      <c r="E493" s="55">
        <f t="shared" si="51"/>
        <v>0</v>
      </c>
      <c r="F493" s="55">
        <f t="shared" si="52"/>
        <v>0</v>
      </c>
      <c r="G493" s="55">
        <f t="shared" si="53"/>
        <v>0</v>
      </c>
      <c r="H493" s="55" t="str">
        <f t="shared" si="54"/>
        <v/>
      </c>
      <c r="J493" s="61">
        <f t="shared" si="55"/>
        <v>0</v>
      </c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</row>
    <row r="494" spans="1:36" x14ac:dyDescent="0.2">
      <c r="A494" s="61">
        <f t="shared" si="49"/>
        <v>0</v>
      </c>
      <c r="B494" s="55">
        <f t="shared" si="50"/>
        <v>0</v>
      </c>
      <c r="C494" s="55"/>
      <c r="D494" s="55"/>
      <c r="E494" s="55">
        <f t="shared" si="51"/>
        <v>0</v>
      </c>
      <c r="F494" s="55">
        <f t="shared" si="52"/>
        <v>0</v>
      </c>
      <c r="G494" s="55">
        <f t="shared" si="53"/>
        <v>0</v>
      </c>
      <c r="H494" s="55" t="str">
        <f t="shared" si="54"/>
        <v/>
      </c>
      <c r="J494" s="61">
        <f t="shared" si="55"/>
        <v>0</v>
      </c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</row>
    <row r="495" spans="1:36" x14ac:dyDescent="0.2">
      <c r="A495" s="61">
        <f t="shared" si="49"/>
        <v>0</v>
      </c>
      <c r="B495" s="55">
        <f t="shared" si="50"/>
        <v>0</v>
      </c>
      <c r="C495" s="55"/>
      <c r="D495" s="55"/>
      <c r="E495" s="55">
        <f t="shared" si="51"/>
        <v>0</v>
      </c>
      <c r="F495" s="55">
        <f t="shared" si="52"/>
        <v>0</v>
      </c>
      <c r="G495" s="55">
        <f t="shared" si="53"/>
        <v>0</v>
      </c>
      <c r="H495" s="55" t="str">
        <f t="shared" si="54"/>
        <v/>
      </c>
      <c r="J495" s="61">
        <f t="shared" si="55"/>
        <v>0</v>
      </c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</row>
    <row r="496" spans="1:36" x14ac:dyDescent="0.2">
      <c r="A496" s="61">
        <f t="shared" si="49"/>
        <v>0</v>
      </c>
      <c r="B496" s="55">
        <f t="shared" si="50"/>
        <v>0</v>
      </c>
      <c r="C496" s="55"/>
      <c r="D496" s="55"/>
      <c r="E496" s="55">
        <f t="shared" si="51"/>
        <v>0</v>
      </c>
      <c r="F496" s="55">
        <f t="shared" si="52"/>
        <v>0</v>
      </c>
      <c r="G496" s="55">
        <f t="shared" si="53"/>
        <v>0</v>
      </c>
      <c r="H496" s="55" t="str">
        <f t="shared" si="54"/>
        <v/>
      </c>
      <c r="J496" s="61">
        <f t="shared" si="55"/>
        <v>0</v>
      </c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</row>
    <row r="497" spans="1:36" x14ac:dyDescent="0.2">
      <c r="A497" s="61">
        <f t="shared" si="49"/>
        <v>0</v>
      </c>
      <c r="B497" s="55">
        <f t="shared" si="50"/>
        <v>0</v>
      </c>
      <c r="C497" s="55"/>
      <c r="D497" s="55"/>
      <c r="E497" s="55">
        <f t="shared" si="51"/>
        <v>0</v>
      </c>
      <c r="F497" s="55">
        <f t="shared" si="52"/>
        <v>0</v>
      </c>
      <c r="G497" s="55">
        <f t="shared" si="53"/>
        <v>0</v>
      </c>
      <c r="H497" s="55" t="str">
        <f t="shared" si="54"/>
        <v/>
      </c>
      <c r="J497" s="61">
        <f t="shared" si="55"/>
        <v>0</v>
      </c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</row>
    <row r="498" spans="1:36" x14ac:dyDescent="0.2">
      <c r="A498" s="61">
        <f t="shared" si="49"/>
        <v>0</v>
      </c>
      <c r="B498" s="55">
        <f t="shared" si="50"/>
        <v>0</v>
      </c>
      <c r="C498" s="55"/>
      <c r="D498" s="55"/>
      <c r="E498" s="55">
        <f t="shared" si="51"/>
        <v>0</v>
      </c>
      <c r="F498" s="55">
        <f t="shared" si="52"/>
        <v>0</v>
      </c>
      <c r="G498" s="55">
        <f t="shared" si="53"/>
        <v>0</v>
      </c>
      <c r="H498" s="55" t="str">
        <f t="shared" si="54"/>
        <v/>
      </c>
      <c r="J498" s="61">
        <f t="shared" si="55"/>
        <v>0</v>
      </c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</row>
    <row r="499" spans="1:36" x14ac:dyDescent="0.2">
      <c r="A499" s="61">
        <f t="shared" si="49"/>
        <v>0</v>
      </c>
      <c r="B499" s="55">
        <f t="shared" si="50"/>
        <v>0</v>
      </c>
      <c r="C499" s="55"/>
      <c r="D499" s="55"/>
      <c r="E499" s="55">
        <f t="shared" si="51"/>
        <v>0</v>
      </c>
      <c r="F499" s="55">
        <f t="shared" si="52"/>
        <v>0</v>
      </c>
      <c r="G499" s="55">
        <f t="shared" si="53"/>
        <v>0</v>
      </c>
      <c r="H499" s="55" t="str">
        <f t="shared" si="54"/>
        <v/>
      </c>
      <c r="J499" s="61">
        <f t="shared" si="55"/>
        <v>0</v>
      </c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</row>
    <row r="500" spans="1:36" x14ac:dyDescent="0.2">
      <c r="A500" s="61">
        <f t="shared" si="49"/>
        <v>0</v>
      </c>
      <c r="B500" s="55">
        <f t="shared" si="50"/>
        <v>0</v>
      </c>
      <c r="C500" s="55"/>
      <c r="D500" s="55"/>
      <c r="E500" s="55">
        <f t="shared" si="51"/>
        <v>0</v>
      </c>
      <c r="F500" s="55">
        <f t="shared" si="52"/>
        <v>0</v>
      </c>
      <c r="G500" s="55">
        <f t="shared" si="53"/>
        <v>0</v>
      </c>
      <c r="H500" s="55" t="str">
        <f t="shared" si="54"/>
        <v/>
      </c>
      <c r="J500" s="61">
        <f t="shared" si="55"/>
        <v>0</v>
      </c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</row>
    <row r="501" spans="1:36" x14ac:dyDescent="0.2">
      <c r="A501" s="61">
        <f t="shared" si="49"/>
        <v>0</v>
      </c>
      <c r="B501" s="55">
        <f t="shared" si="50"/>
        <v>0</v>
      </c>
      <c r="C501" s="55"/>
      <c r="D501" s="55"/>
      <c r="E501" s="55">
        <f t="shared" si="51"/>
        <v>0</v>
      </c>
      <c r="F501" s="55">
        <f t="shared" si="52"/>
        <v>0</v>
      </c>
      <c r="G501" s="55">
        <f t="shared" si="53"/>
        <v>0</v>
      </c>
      <c r="H501" s="55" t="str">
        <f t="shared" si="54"/>
        <v/>
      </c>
      <c r="J501" s="61">
        <f t="shared" si="55"/>
        <v>0</v>
      </c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</row>
    <row r="502" spans="1:36" x14ac:dyDescent="0.2">
      <c r="A502" s="61">
        <f t="shared" si="49"/>
        <v>0</v>
      </c>
      <c r="B502" s="55">
        <f t="shared" si="50"/>
        <v>0</v>
      </c>
      <c r="C502" s="55"/>
      <c r="D502" s="55"/>
      <c r="E502" s="55">
        <f t="shared" si="51"/>
        <v>0</v>
      </c>
      <c r="F502" s="55">
        <f t="shared" si="52"/>
        <v>0</v>
      </c>
      <c r="G502" s="55">
        <f t="shared" si="53"/>
        <v>0</v>
      </c>
      <c r="H502" s="55" t="str">
        <f t="shared" si="54"/>
        <v/>
      </c>
      <c r="J502" s="61">
        <f t="shared" si="55"/>
        <v>0</v>
      </c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</row>
    <row r="503" spans="1:36" x14ac:dyDescent="0.2">
      <c r="A503" s="61">
        <f t="shared" si="49"/>
        <v>0</v>
      </c>
      <c r="B503" s="55">
        <f t="shared" si="50"/>
        <v>0</v>
      </c>
      <c r="C503" s="55"/>
      <c r="D503" s="55"/>
      <c r="E503" s="55">
        <f t="shared" si="51"/>
        <v>0</v>
      </c>
      <c r="F503" s="55">
        <f t="shared" si="52"/>
        <v>0</v>
      </c>
      <c r="G503" s="55">
        <f t="shared" si="53"/>
        <v>0</v>
      </c>
      <c r="H503" s="55" t="str">
        <f t="shared" si="54"/>
        <v/>
      </c>
      <c r="J503" s="61">
        <f t="shared" si="55"/>
        <v>0</v>
      </c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</row>
    <row r="504" spans="1:36" x14ac:dyDescent="0.2">
      <c r="A504" s="61">
        <f t="shared" si="49"/>
        <v>0</v>
      </c>
      <c r="B504" s="55">
        <f t="shared" si="50"/>
        <v>0</v>
      </c>
      <c r="C504" s="55"/>
      <c r="D504" s="55"/>
      <c r="E504" s="55">
        <f t="shared" si="51"/>
        <v>0</v>
      </c>
      <c r="F504" s="55">
        <f t="shared" si="52"/>
        <v>0</v>
      </c>
      <c r="G504" s="55">
        <f t="shared" si="53"/>
        <v>0</v>
      </c>
      <c r="H504" s="55" t="str">
        <f t="shared" si="54"/>
        <v/>
      </c>
      <c r="J504" s="61">
        <f t="shared" si="55"/>
        <v>0</v>
      </c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</row>
    <row r="505" spans="1:36" x14ac:dyDescent="0.2">
      <c r="A505" s="61">
        <f t="shared" si="49"/>
        <v>0</v>
      </c>
      <c r="B505" s="55">
        <f t="shared" si="50"/>
        <v>0</v>
      </c>
      <c r="C505" s="55"/>
      <c r="D505" s="55"/>
      <c r="E505" s="55">
        <f t="shared" si="51"/>
        <v>0</v>
      </c>
      <c r="F505" s="55">
        <f t="shared" si="52"/>
        <v>0</v>
      </c>
      <c r="G505" s="55">
        <f t="shared" si="53"/>
        <v>0</v>
      </c>
      <c r="H505" s="55" t="str">
        <f t="shared" si="54"/>
        <v/>
      </c>
      <c r="J505" s="61">
        <f t="shared" si="55"/>
        <v>0</v>
      </c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</row>
    <row r="506" spans="1:36" x14ac:dyDescent="0.2">
      <c r="A506" s="61">
        <f t="shared" si="49"/>
        <v>0</v>
      </c>
      <c r="B506" s="55">
        <f t="shared" si="50"/>
        <v>0</v>
      </c>
      <c r="C506" s="55"/>
      <c r="D506" s="55"/>
      <c r="E506" s="55">
        <f t="shared" si="51"/>
        <v>0</v>
      </c>
      <c r="F506" s="55">
        <f t="shared" si="52"/>
        <v>0</v>
      </c>
      <c r="G506" s="55">
        <f t="shared" si="53"/>
        <v>0</v>
      </c>
      <c r="H506" s="55" t="str">
        <f t="shared" si="54"/>
        <v/>
      </c>
      <c r="J506" s="61">
        <f t="shared" si="55"/>
        <v>0</v>
      </c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</row>
    <row r="507" spans="1:36" x14ac:dyDescent="0.2">
      <c r="A507" s="61">
        <f t="shared" si="49"/>
        <v>0</v>
      </c>
      <c r="B507" s="55">
        <f t="shared" si="50"/>
        <v>0</v>
      </c>
      <c r="C507" s="55"/>
      <c r="D507" s="55"/>
      <c r="E507" s="55">
        <f t="shared" si="51"/>
        <v>0</v>
      </c>
      <c r="F507" s="55">
        <f t="shared" si="52"/>
        <v>0</v>
      </c>
      <c r="G507" s="55">
        <f t="shared" si="53"/>
        <v>0</v>
      </c>
      <c r="H507" s="55" t="str">
        <f t="shared" si="54"/>
        <v/>
      </c>
      <c r="J507" s="61">
        <f t="shared" si="55"/>
        <v>0</v>
      </c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</row>
    <row r="508" spans="1:36" x14ac:dyDescent="0.2">
      <c r="A508" s="61">
        <f t="shared" si="49"/>
        <v>0</v>
      </c>
      <c r="B508" s="55">
        <f t="shared" si="50"/>
        <v>0</v>
      </c>
      <c r="C508" s="55"/>
      <c r="D508" s="55"/>
      <c r="E508" s="55">
        <f t="shared" si="51"/>
        <v>0</v>
      </c>
      <c r="F508" s="55">
        <f t="shared" si="52"/>
        <v>0</v>
      </c>
      <c r="G508" s="55">
        <f t="shared" si="53"/>
        <v>0</v>
      </c>
      <c r="H508" s="55" t="str">
        <f t="shared" si="54"/>
        <v/>
      </c>
      <c r="J508" s="61">
        <f t="shared" si="55"/>
        <v>0</v>
      </c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</row>
    <row r="509" spans="1:36" x14ac:dyDescent="0.2">
      <c r="A509" s="61">
        <f t="shared" si="49"/>
        <v>0</v>
      </c>
      <c r="B509" s="55">
        <f t="shared" si="50"/>
        <v>0</v>
      </c>
      <c r="C509" s="55"/>
      <c r="D509" s="55"/>
      <c r="E509" s="55">
        <f t="shared" si="51"/>
        <v>0</v>
      </c>
      <c r="F509" s="55">
        <f t="shared" si="52"/>
        <v>0</v>
      </c>
      <c r="G509" s="55">
        <f t="shared" si="53"/>
        <v>0</v>
      </c>
      <c r="H509" s="55" t="str">
        <f t="shared" si="54"/>
        <v/>
      </c>
      <c r="J509" s="61">
        <f t="shared" si="55"/>
        <v>0</v>
      </c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</row>
    <row r="510" spans="1:36" x14ac:dyDescent="0.2">
      <c r="A510" s="61">
        <f t="shared" si="49"/>
        <v>0</v>
      </c>
      <c r="B510" s="55">
        <f t="shared" si="50"/>
        <v>0</v>
      </c>
      <c r="C510" s="55"/>
      <c r="D510" s="55"/>
      <c r="E510" s="55">
        <f t="shared" si="51"/>
        <v>0</v>
      </c>
      <c r="F510" s="55">
        <f t="shared" si="52"/>
        <v>0</v>
      </c>
      <c r="G510" s="55">
        <f t="shared" si="53"/>
        <v>0</v>
      </c>
      <c r="H510" s="55" t="str">
        <f t="shared" si="54"/>
        <v/>
      </c>
      <c r="J510" s="61">
        <f t="shared" si="55"/>
        <v>0</v>
      </c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</row>
    <row r="511" spans="1:36" x14ac:dyDescent="0.2">
      <c r="A511" s="61">
        <f t="shared" si="49"/>
        <v>0</v>
      </c>
      <c r="B511" s="55">
        <f t="shared" si="50"/>
        <v>0</v>
      </c>
      <c r="C511" s="55"/>
      <c r="D511" s="55"/>
      <c r="E511" s="55">
        <f t="shared" si="51"/>
        <v>0</v>
      </c>
      <c r="F511" s="55">
        <f t="shared" si="52"/>
        <v>0</v>
      </c>
      <c r="G511" s="55">
        <f t="shared" si="53"/>
        <v>0</v>
      </c>
      <c r="H511" s="55" t="str">
        <f t="shared" si="54"/>
        <v/>
      </c>
      <c r="J511" s="61">
        <f t="shared" si="55"/>
        <v>0</v>
      </c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</row>
    <row r="512" spans="1:36" x14ac:dyDescent="0.2">
      <c r="A512" s="61">
        <f t="shared" si="49"/>
        <v>0</v>
      </c>
      <c r="B512" s="55">
        <f t="shared" si="50"/>
        <v>0</v>
      </c>
      <c r="C512" s="55"/>
      <c r="D512" s="55"/>
      <c r="E512" s="55">
        <f t="shared" si="51"/>
        <v>0</v>
      </c>
      <c r="F512" s="55">
        <f t="shared" si="52"/>
        <v>0</v>
      </c>
      <c r="G512" s="55">
        <f t="shared" si="53"/>
        <v>0</v>
      </c>
      <c r="H512" s="55" t="str">
        <f t="shared" si="54"/>
        <v/>
      </c>
      <c r="J512" s="61">
        <f t="shared" si="55"/>
        <v>0</v>
      </c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</row>
    <row r="513" spans="1:36" x14ac:dyDescent="0.2">
      <c r="A513" s="61">
        <f t="shared" si="49"/>
        <v>0</v>
      </c>
      <c r="B513" s="55">
        <f t="shared" si="50"/>
        <v>0</v>
      </c>
      <c r="C513" s="55"/>
      <c r="D513" s="55"/>
      <c r="E513" s="55">
        <f t="shared" si="51"/>
        <v>0</v>
      </c>
      <c r="F513" s="55">
        <f t="shared" si="52"/>
        <v>0</v>
      </c>
      <c r="G513" s="55">
        <f t="shared" si="53"/>
        <v>0</v>
      </c>
      <c r="H513" s="55" t="str">
        <f t="shared" si="54"/>
        <v/>
      </c>
      <c r="J513" s="61">
        <f t="shared" si="55"/>
        <v>0</v>
      </c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</row>
    <row r="514" spans="1:36" x14ac:dyDescent="0.2">
      <c r="A514" s="61">
        <f t="shared" ref="A514:A577" si="56">J514</f>
        <v>0</v>
      </c>
      <c r="B514" s="55">
        <f t="shared" ref="B514:B577" si="57">M514</f>
        <v>0</v>
      </c>
      <c r="C514" s="55"/>
      <c r="D514" s="55"/>
      <c r="E514" s="55">
        <f t="shared" ref="E514:E577" si="58">V514</f>
        <v>0</v>
      </c>
      <c r="F514" s="55">
        <f t="shared" ref="F514:F577" si="59">Z514</f>
        <v>0</v>
      </c>
      <c r="G514" s="55">
        <f t="shared" ref="G514:G577" si="60">AH514</f>
        <v>0</v>
      </c>
      <c r="H514" s="55" t="str">
        <f t="shared" ref="H514:H577" si="61">IF(Q514&gt;1,IF(Q514=2,"I","E"),"")</f>
        <v/>
      </c>
      <c r="J514" s="61">
        <f t="shared" ref="J514:J577" si="62">P514*1</f>
        <v>0</v>
      </c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</row>
    <row r="515" spans="1:36" x14ac:dyDescent="0.2">
      <c r="A515" s="61">
        <f t="shared" si="56"/>
        <v>0</v>
      </c>
      <c r="B515" s="55">
        <f t="shared" si="57"/>
        <v>0</v>
      </c>
      <c r="C515" s="55"/>
      <c r="D515" s="55"/>
      <c r="E515" s="55">
        <f t="shared" si="58"/>
        <v>0</v>
      </c>
      <c r="F515" s="55">
        <f t="shared" si="59"/>
        <v>0</v>
      </c>
      <c r="G515" s="55">
        <f t="shared" si="60"/>
        <v>0</v>
      </c>
      <c r="H515" s="55" t="str">
        <f t="shared" si="61"/>
        <v/>
      </c>
      <c r="J515" s="61">
        <f t="shared" si="62"/>
        <v>0</v>
      </c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</row>
    <row r="516" spans="1:36" x14ac:dyDescent="0.2">
      <c r="A516" s="61">
        <f t="shared" si="56"/>
        <v>0</v>
      </c>
      <c r="B516" s="55">
        <f t="shared" si="57"/>
        <v>0</v>
      </c>
      <c r="C516" s="55"/>
      <c r="D516" s="55"/>
      <c r="E516" s="55">
        <f t="shared" si="58"/>
        <v>0</v>
      </c>
      <c r="F516" s="55">
        <f t="shared" si="59"/>
        <v>0</v>
      </c>
      <c r="G516" s="55">
        <f t="shared" si="60"/>
        <v>0</v>
      </c>
      <c r="H516" s="55" t="str">
        <f t="shared" si="61"/>
        <v/>
      </c>
      <c r="J516" s="61">
        <f t="shared" si="62"/>
        <v>0</v>
      </c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</row>
    <row r="517" spans="1:36" x14ac:dyDescent="0.2">
      <c r="A517" s="61">
        <f t="shared" si="56"/>
        <v>0</v>
      </c>
      <c r="B517" s="55">
        <f t="shared" si="57"/>
        <v>0</v>
      </c>
      <c r="C517" s="55"/>
      <c r="D517" s="55"/>
      <c r="E517" s="55">
        <f t="shared" si="58"/>
        <v>0</v>
      </c>
      <c r="F517" s="55">
        <f t="shared" si="59"/>
        <v>0</v>
      </c>
      <c r="G517" s="55">
        <f t="shared" si="60"/>
        <v>0</v>
      </c>
      <c r="H517" s="55" t="str">
        <f t="shared" si="61"/>
        <v/>
      </c>
      <c r="J517" s="61">
        <f t="shared" si="62"/>
        <v>0</v>
      </c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</row>
    <row r="518" spans="1:36" x14ac:dyDescent="0.2">
      <c r="A518" s="61">
        <f t="shared" si="56"/>
        <v>0</v>
      </c>
      <c r="B518" s="55">
        <f t="shared" si="57"/>
        <v>0</v>
      </c>
      <c r="C518" s="55"/>
      <c r="D518" s="55"/>
      <c r="E518" s="55">
        <f t="shared" si="58"/>
        <v>0</v>
      </c>
      <c r="F518" s="55">
        <f t="shared" si="59"/>
        <v>0</v>
      </c>
      <c r="G518" s="55">
        <f t="shared" si="60"/>
        <v>0</v>
      </c>
      <c r="H518" s="55" t="str">
        <f t="shared" si="61"/>
        <v/>
      </c>
      <c r="J518" s="61">
        <f t="shared" si="62"/>
        <v>0</v>
      </c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</row>
    <row r="519" spans="1:36" x14ac:dyDescent="0.2">
      <c r="A519" s="61">
        <f t="shared" si="56"/>
        <v>0</v>
      </c>
      <c r="B519" s="55">
        <f t="shared" si="57"/>
        <v>0</v>
      </c>
      <c r="C519" s="55"/>
      <c r="D519" s="55"/>
      <c r="E519" s="55">
        <f t="shared" si="58"/>
        <v>0</v>
      </c>
      <c r="F519" s="55">
        <f t="shared" si="59"/>
        <v>0</v>
      </c>
      <c r="G519" s="55">
        <f t="shared" si="60"/>
        <v>0</v>
      </c>
      <c r="H519" s="55" t="str">
        <f t="shared" si="61"/>
        <v/>
      </c>
      <c r="J519" s="61">
        <f t="shared" si="62"/>
        <v>0</v>
      </c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</row>
    <row r="520" spans="1:36" x14ac:dyDescent="0.2">
      <c r="A520" s="61">
        <f t="shared" si="56"/>
        <v>0</v>
      </c>
      <c r="B520" s="55">
        <f t="shared" si="57"/>
        <v>0</v>
      </c>
      <c r="C520" s="55"/>
      <c r="D520" s="55"/>
      <c r="E520" s="55">
        <f t="shared" si="58"/>
        <v>0</v>
      </c>
      <c r="F520" s="55">
        <f t="shared" si="59"/>
        <v>0</v>
      </c>
      <c r="G520" s="55">
        <f t="shared" si="60"/>
        <v>0</v>
      </c>
      <c r="H520" s="55" t="str">
        <f t="shared" si="61"/>
        <v/>
      </c>
      <c r="J520" s="61">
        <f t="shared" si="62"/>
        <v>0</v>
      </c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</row>
    <row r="521" spans="1:36" x14ac:dyDescent="0.2">
      <c r="A521" s="61">
        <f t="shared" si="56"/>
        <v>0</v>
      </c>
      <c r="B521" s="55">
        <f t="shared" si="57"/>
        <v>0</v>
      </c>
      <c r="C521" s="55"/>
      <c r="D521" s="55"/>
      <c r="E521" s="55">
        <f t="shared" si="58"/>
        <v>0</v>
      </c>
      <c r="F521" s="55">
        <f t="shared" si="59"/>
        <v>0</v>
      </c>
      <c r="G521" s="55">
        <f t="shared" si="60"/>
        <v>0</v>
      </c>
      <c r="H521" s="55" t="str">
        <f t="shared" si="61"/>
        <v/>
      </c>
      <c r="J521" s="61">
        <f t="shared" si="62"/>
        <v>0</v>
      </c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</row>
    <row r="522" spans="1:36" x14ac:dyDescent="0.2">
      <c r="A522" s="61">
        <f t="shared" si="56"/>
        <v>0</v>
      </c>
      <c r="B522" s="55">
        <f t="shared" si="57"/>
        <v>0</v>
      </c>
      <c r="C522" s="55"/>
      <c r="D522" s="55"/>
      <c r="E522" s="55">
        <f t="shared" si="58"/>
        <v>0</v>
      </c>
      <c r="F522" s="55">
        <f t="shared" si="59"/>
        <v>0</v>
      </c>
      <c r="G522" s="55">
        <f t="shared" si="60"/>
        <v>0</v>
      </c>
      <c r="H522" s="55" t="str">
        <f t="shared" si="61"/>
        <v/>
      </c>
      <c r="J522" s="61">
        <f t="shared" si="62"/>
        <v>0</v>
      </c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</row>
    <row r="523" spans="1:36" x14ac:dyDescent="0.2">
      <c r="A523" s="61">
        <f t="shared" si="56"/>
        <v>0</v>
      </c>
      <c r="B523" s="55">
        <f t="shared" si="57"/>
        <v>0</v>
      </c>
      <c r="C523" s="55"/>
      <c r="D523" s="55"/>
      <c r="E523" s="55">
        <f t="shared" si="58"/>
        <v>0</v>
      </c>
      <c r="F523" s="55">
        <f t="shared" si="59"/>
        <v>0</v>
      </c>
      <c r="G523" s="55">
        <f t="shared" si="60"/>
        <v>0</v>
      </c>
      <c r="H523" s="55" t="str">
        <f t="shared" si="61"/>
        <v/>
      </c>
      <c r="J523" s="61">
        <f t="shared" si="62"/>
        <v>0</v>
      </c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</row>
    <row r="524" spans="1:36" x14ac:dyDescent="0.2">
      <c r="A524" s="61">
        <f t="shared" si="56"/>
        <v>0</v>
      </c>
      <c r="B524" s="55">
        <f t="shared" si="57"/>
        <v>0</v>
      </c>
      <c r="C524" s="55"/>
      <c r="D524" s="55"/>
      <c r="E524" s="55">
        <f t="shared" si="58"/>
        <v>0</v>
      </c>
      <c r="F524" s="55">
        <f t="shared" si="59"/>
        <v>0</v>
      </c>
      <c r="G524" s="55">
        <f t="shared" si="60"/>
        <v>0</v>
      </c>
      <c r="H524" s="55" t="str">
        <f t="shared" si="61"/>
        <v/>
      </c>
      <c r="J524" s="61">
        <f t="shared" si="62"/>
        <v>0</v>
      </c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</row>
    <row r="525" spans="1:36" x14ac:dyDescent="0.2">
      <c r="A525" s="61">
        <f t="shared" si="56"/>
        <v>0</v>
      </c>
      <c r="B525" s="55">
        <f t="shared" si="57"/>
        <v>0</v>
      </c>
      <c r="C525" s="55"/>
      <c r="D525" s="55"/>
      <c r="E525" s="55">
        <f t="shared" si="58"/>
        <v>0</v>
      </c>
      <c r="F525" s="55">
        <f t="shared" si="59"/>
        <v>0</v>
      </c>
      <c r="G525" s="55">
        <f t="shared" si="60"/>
        <v>0</v>
      </c>
      <c r="H525" s="55" t="str">
        <f t="shared" si="61"/>
        <v/>
      </c>
      <c r="J525" s="61">
        <f t="shared" si="62"/>
        <v>0</v>
      </c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</row>
    <row r="526" spans="1:36" x14ac:dyDescent="0.2">
      <c r="A526" s="61">
        <f t="shared" si="56"/>
        <v>0</v>
      </c>
      <c r="B526" s="55">
        <f t="shared" si="57"/>
        <v>0</v>
      </c>
      <c r="C526" s="55"/>
      <c r="D526" s="55"/>
      <c r="E526" s="55">
        <f t="shared" si="58"/>
        <v>0</v>
      </c>
      <c r="F526" s="55">
        <f t="shared" si="59"/>
        <v>0</v>
      </c>
      <c r="G526" s="55">
        <f t="shared" si="60"/>
        <v>0</v>
      </c>
      <c r="H526" s="55" t="str">
        <f t="shared" si="61"/>
        <v/>
      </c>
      <c r="J526" s="61">
        <f t="shared" si="62"/>
        <v>0</v>
      </c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</row>
    <row r="527" spans="1:36" x14ac:dyDescent="0.2">
      <c r="A527" s="61">
        <f t="shared" si="56"/>
        <v>0</v>
      </c>
      <c r="B527" s="55">
        <f t="shared" si="57"/>
        <v>0</v>
      </c>
      <c r="C527" s="55"/>
      <c r="D527" s="55"/>
      <c r="E527" s="55">
        <f t="shared" si="58"/>
        <v>0</v>
      </c>
      <c r="F527" s="55">
        <f t="shared" si="59"/>
        <v>0</v>
      </c>
      <c r="G527" s="55">
        <f t="shared" si="60"/>
        <v>0</v>
      </c>
      <c r="H527" s="55" t="str">
        <f t="shared" si="61"/>
        <v/>
      </c>
      <c r="J527" s="61">
        <f t="shared" si="62"/>
        <v>0</v>
      </c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</row>
    <row r="528" spans="1:36" x14ac:dyDescent="0.2">
      <c r="A528" s="61">
        <f t="shared" si="56"/>
        <v>0</v>
      </c>
      <c r="B528" s="55">
        <f t="shared" si="57"/>
        <v>0</v>
      </c>
      <c r="C528" s="55"/>
      <c r="D528" s="55"/>
      <c r="E528" s="55">
        <f t="shared" si="58"/>
        <v>0</v>
      </c>
      <c r="F528" s="55">
        <f t="shared" si="59"/>
        <v>0</v>
      </c>
      <c r="G528" s="55">
        <f t="shared" si="60"/>
        <v>0</v>
      </c>
      <c r="H528" s="55" t="str">
        <f t="shared" si="61"/>
        <v/>
      </c>
      <c r="J528" s="61">
        <f t="shared" si="62"/>
        <v>0</v>
      </c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</row>
    <row r="529" spans="1:36" x14ac:dyDescent="0.2">
      <c r="A529" s="61">
        <f t="shared" si="56"/>
        <v>0</v>
      </c>
      <c r="B529" s="55">
        <f t="shared" si="57"/>
        <v>0</v>
      </c>
      <c r="C529" s="55"/>
      <c r="D529" s="55"/>
      <c r="E529" s="55">
        <f t="shared" si="58"/>
        <v>0</v>
      </c>
      <c r="F529" s="55">
        <f t="shared" si="59"/>
        <v>0</v>
      </c>
      <c r="G529" s="55">
        <f t="shared" si="60"/>
        <v>0</v>
      </c>
      <c r="H529" s="55" t="str">
        <f t="shared" si="61"/>
        <v/>
      </c>
      <c r="J529" s="61">
        <f t="shared" si="62"/>
        <v>0</v>
      </c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</row>
    <row r="530" spans="1:36" x14ac:dyDescent="0.2">
      <c r="A530" s="61">
        <f t="shared" si="56"/>
        <v>0</v>
      </c>
      <c r="B530" s="55">
        <f t="shared" si="57"/>
        <v>0</v>
      </c>
      <c r="C530" s="55"/>
      <c r="D530" s="55"/>
      <c r="E530" s="55">
        <f t="shared" si="58"/>
        <v>0</v>
      </c>
      <c r="F530" s="55">
        <f t="shared" si="59"/>
        <v>0</v>
      </c>
      <c r="G530" s="55">
        <f t="shared" si="60"/>
        <v>0</v>
      </c>
      <c r="H530" s="55" t="str">
        <f t="shared" si="61"/>
        <v/>
      </c>
      <c r="J530" s="61">
        <f t="shared" si="62"/>
        <v>0</v>
      </c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</row>
    <row r="531" spans="1:36" x14ac:dyDescent="0.2">
      <c r="A531" s="61">
        <f t="shared" si="56"/>
        <v>0</v>
      </c>
      <c r="B531" s="55">
        <f t="shared" si="57"/>
        <v>0</v>
      </c>
      <c r="C531" s="55"/>
      <c r="D531" s="55"/>
      <c r="E531" s="55">
        <f t="shared" si="58"/>
        <v>0</v>
      </c>
      <c r="F531" s="55">
        <f t="shared" si="59"/>
        <v>0</v>
      </c>
      <c r="G531" s="55">
        <f t="shared" si="60"/>
        <v>0</v>
      </c>
      <c r="H531" s="55" t="str">
        <f t="shared" si="61"/>
        <v/>
      </c>
      <c r="J531" s="61">
        <f t="shared" si="62"/>
        <v>0</v>
      </c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</row>
    <row r="532" spans="1:36" x14ac:dyDescent="0.2">
      <c r="A532" s="61">
        <f t="shared" si="56"/>
        <v>0</v>
      </c>
      <c r="B532" s="55">
        <f t="shared" si="57"/>
        <v>0</v>
      </c>
      <c r="C532" s="55"/>
      <c r="D532" s="55"/>
      <c r="E532" s="55">
        <f t="shared" si="58"/>
        <v>0</v>
      </c>
      <c r="F532" s="55">
        <f t="shared" si="59"/>
        <v>0</v>
      </c>
      <c r="G532" s="55">
        <f t="shared" si="60"/>
        <v>0</v>
      </c>
      <c r="H532" s="55" t="str">
        <f t="shared" si="61"/>
        <v/>
      </c>
      <c r="J532" s="61">
        <f t="shared" si="62"/>
        <v>0</v>
      </c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</row>
    <row r="533" spans="1:36" x14ac:dyDescent="0.2">
      <c r="A533" s="61">
        <f t="shared" si="56"/>
        <v>0</v>
      </c>
      <c r="B533" s="55">
        <f t="shared" si="57"/>
        <v>0</v>
      </c>
      <c r="C533" s="55"/>
      <c r="D533" s="55"/>
      <c r="E533" s="55">
        <f t="shared" si="58"/>
        <v>0</v>
      </c>
      <c r="F533" s="55">
        <f t="shared" si="59"/>
        <v>0</v>
      </c>
      <c r="G533" s="55">
        <f t="shared" si="60"/>
        <v>0</v>
      </c>
      <c r="H533" s="55" t="str">
        <f t="shared" si="61"/>
        <v/>
      </c>
      <c r="J533" s="61">
        <f t="shared" si="62"/>
        <v>0</v>
      </c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</row>
    <row r="534" spans="1:36" x14ac:dyDescent="0.2">
      <c r="A534" s="61">
        <f t="shared" si="56"/>
        <v>0</v>
      </c>
      <c r="B534" s="55">
        <f t="shared" si="57"/>
        <v>0</v>
      </c>
      <c r="C534" s="55"/>
      <c r="D534" s="55"/>
      <c r="E534" s="55">
        <f t="shared" si="58"/>
        <v>0</v>
      </c>
      <c r="F534" s="55">
        <f t="shared" si="59"/>
        <v>0</v>
      </c>
      <c r="G534" s="55">
        <f t="shared" si="60"/>
        <v>0</v>
      </c>
      <c r="H534" s="55" t="str">
        <f t="shared" si="61"/>
        <v/>
      </c>
      <c r="J534" s="61">
        <f t="shared" si="62"/>
        <v>0</v>
      </c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</row>
    <row r="535" spans="1:36" x14ac:dyDescent="0.2">
      <c r="A535" s="61">
        <f t="shared" si="56"/>
        <v>0</v>
      </c>
      <c r="B535" s="55">
        <f t="shared" si="57"/>
        <v>0</v>
      </c>
      <c r="C535" s="55"/>
      <c r="D535" s="55"/>
      <c r="E535" s="55">
        <f t="shared" si="58"/>
        <v>0</v>
      </c>
      <c r="F535" s="55">
        <f t="shared" si="59"/>
        <v>0</v>
      </c>
      <c r="G535" s="55">
        <f t="shared" si="60"/>
        <v>0</v>
      </c>
      <c r="H535" s="55" t="str">
        <f t="shared" si="61"/>
        <v/>
      </c>
      <c r="J535" s="61">
        <f t="shared" si="62"/>
        <v>0</v>
      </c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</row>
    <row r="536" spans="1:36" x14ac:dyDescent="0.2">
      <c r="A536" s="61">
        <f t="shared" si="56"/>
        <v>0</v>
      </c>
      <c r="B536" s="55">
        <f t="shared" si="57"/>
        <v>0</v>
      </c>
      <c r="C536" s="55"/>
      <c r="D536" s="55"/>
      <c r="E536" s="55">
        <f t="shared" si="58"/>
        <v>0</v>
      </c>
      <c r="F536" s="55">
        <f t="shared" si="59"/>
        <v>0</v>
      </c>
      <c r="G536" s="55">
        <f t="shared" si="60"/>
        <v>0</v>
      </c>
      <c r="H536" s="55" t="str">
        <f t="shared" si="61"/>
        <v/>
      </c>
      <c r="J536" s="61">
        <f t="shared" si="62"/>
        <v>0</v>
      </c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</row>
    <row r="537" spans="1:36" x14ac:dyDescent="0.2">
      <c r="A537" s="61">
        <f t="shared" si="56"/>
        <v>0</v>
      </c>
      <c r="B537" s="55">
        <f t="shared" si="57"/>
        <v>0</v>
      </c>
      <c r="C537" s="55"/>
      <c r="D537" s="55"/>
      <c r="E537" s="55">
        <f t="shared" si="58"/>
        <v>0</v>
      </c>
      <c r="F537" s="55">
        <f t="shared" si="59"/>
        <v>0</v>
      </c>
      <c r="G537" s="55">
        <f t="shared" si="60"/>
        <v>0</v>
      </c>
      <c r="H537" s="55" t="str">
        <f t="shared" si="61"/>
        <v/>
      </c>
      <c r="J537" s="61">
        <f t="shared" si="62"/>
        <v>0</v>
      </c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</row>
    <row r="538" spans="1:36" x14ac:dyDescent="0.2">
      <c r="A538" s="61">
        <f t="shared" si="56"/>
        <v>0</v>
      </c>
      <c r="B538" s="55">
        <f t="shared" si="57"/>
        <v>0</v>
      </c>
      <c r="C538" s="55"/>
      <c r="D538" s="55"/>
      <c r="E538" s="55">
        <f t="shared" si="58"/>
        <v>0</v>
      </c>
      <c r="F538" s="55">
        <f t="shared" si="59"/>
        <v>0</v>
      </c>
      <c r="G538" s="55">
        <f t="shared" si="60"/>
        <v>0</v>
      </c>
      <c r="H538" s="55" t="str">
        <f t="shared" si="61"/>
        <v/>
      </c>
      <c r="J538" s="61">
        <f t="shared" si="62"/>
        <v>0</v>
      </c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</row>
    <row r="539" spans="1:36" x14ac:dyDescent="0.2">
      <c r="A539" s="61">
        <f t="shared" si="56"/>
        <v>0</v>
      </c>
      <c r="B539" s="55">
        <f t="shared" si="57"/>
        <v>0</v>
      </c>
      <c r="C539" s="55"/>
      <c r="D539" s="55"/>
      <c r="E539" s="55">
        <f t="shared" si="58"/>
        <v>0</v>
      </c>
      <c r="F539" s="55">
        <f t="shared" si="59"/>
        <v>0</v>
      </c>
      <c r="G539" s="55">
        <f t="shared" si="60"/>
        <v>0</v>
      </c>
      <c r="H539" s="55" t="str">
        <f t="shared" si="61"/>
        <v/>
      </c>
      <c r="J539" s="61">
        <f t="shared" si="62"/>
        <v>0</v>
      </c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</row>
    <row r="540" spans="1:36" x14ac:dyDescent="0.2">
      <c r="A540" s="61">
        <f t="shared" si="56"/>
        <v>0</v>
      </c>
      <c r="B540" s="55">
        <f t="shared" si="57"/>
        <v>0</v>
      </c>
      <c r="C540" s="55"/>
      <c r="D540" s="55"/>
      <c r="E540" s="55">
        <f t="shared" si="58"/>
        <v>0</v>
      </c>
      <c r="F540" s="55">
        <f t="shared" si="59"/>
        <v>0</v>
      </c>
      <c r="G540" s="55">
        <f t="shared" si="60"/>
        <v>0</v>
      </c>
      <c r="H540" s="55" t="str">
        <f t="shared" si="61"/>
        <v/>
      </c>
      <c r="J540" s="61">
        <f t="shared" si="62"/>
        <v>0</v>
      </c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</row>
    <row r="541" spans="1:36" x14ac:dyDescent="0.2">
      <c r="A541" s="61">
        <f t="shared" si="56"/>
        <v>0</v>
      </c>
      <c r="B541" s="55">
        <f t="shared" si="57"/>
        <v>0</v>
      </c>
      <c r="C541" s="55"/>
      <c r="D541" s="55"/>
      <c r="E541" s="55">
        <f t="shared" si="58"/>
        <v>0</v>
      </c>
      <c r="F541" s="55">
        <f t="shared" si="59"/>
        <v>0</v>
      </c>
      <c r="G541" s="55">
        <f t="shared" si="60"/>
        <v>0</v>
      </c>
      <c r="H541" s="55" t="str">
        <f t="shared" si="61"/>
        <v/>
      </c>
      <c r="J541" s="61">
        <f t="shared" si="62"/>
        <v>0</v>
      </c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</row>
    <row r="542" spans="1:36" x14ac:dyDescent="0.2">
      <c r="A542" s="61">
        <f t="shared" si="56"/>
        <v>0</v>
      </c>
      <c r="B542" s="55">
        <f t="shared" si="57"/>
        <v>0</v>
      </c>
      <c r="C542" s="55"/>
      <c r="D542" s="55"/>
      <c r="E542" s="55">
        <f t="shared" si="58"/>
        <v>0</v>
      </c>
      <c r="F542" s="55">
        <f t="shared" si="59"/>
        <v>0</v>
      </c>
      <c r="G542" s="55">
        <f t="shared" si="60"/>
        <v>0</v>
      </c>
      <c r="H542" s="55" t="str">
        <f t="shared" si="61"/>
        <v/>
      </c>
      <c r="J542" s="61">
        <f t="shared" si="62"/>
        <v>0</v>
      </c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</row>
    <row r="543" spans="1:36" x14ac:dyDescent="0.2">
      <c r="A543" s="61">
        <f t="shared" si="56"/>
        <v>0</v>
      </c>
      <c r="B543" s="55">
        <f t="shared" si="57"/>
        <v>0</v>
      </c>
      <c r="C543" s="55"/>
      <c r="D543" s="55"/>
      <c r="E543" s="55">
        <f t="shared" si="58"/>
        <v>0</v>
      </c>
      <c r="F543" s="55">
        <f t="shared" si="59"/>
        <v>0</v>
      </c>
      <c r="G543" s="55">
        <f t="shared" si="60"/>
        <v>0</v>
      </c>
      <c r="H543" s="55" t="str">
        <f t="shared" si="61"/>
        <v/>
      </c>
      <c r="J543" s="61">
        <f t="shared" si="62"/>
        <v>0</v>
      </c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</row>
    <row r="544" spans="1:36" x14ac:dyDescent="0.2">
      <c r="A544" s="61">
        <f t="shared" si="56"/>
        <v>0</v>
      </c>
      <c r="B544" s="55">
        <f t="shared" si="57"/>
        <v>0</v>
      </c>
      <c r="C544" s="55"/>
      <c r="D544" s="55"/>
      <c r="E544" s="55">
        <f t="shared" si="58"/>
        <v>0</v>
      </c>
      <c r="F544" s="55">
        <f t="shared" si="59"/>
        <v>0</v>
      </c>
      <c r="G544" s="55">
        <f t="shared" si="60"/>
        <v>0</v>
      </c>
      <c r="H544" s="55" t="str">
        <f t="shared" si="61"/>
        <v/>
      </c>
      <c r="J544" s="61">
        <f t="shared" si="62"/>
        <v>0</v>
      </c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</row>
    <row r="545" spans="1:36" x14ac:dyDescent="0.2">
      <c r="A545" s="61">
        <f t="shared" si="56"/>
        <v>0</v>
      </c>
      <c r="B545" s="55">
        <f t="shared" si="57"/>
        <v>0</v>
      </c>
      <c r="C545" s="55"/>
      <c r="D545" s="55"/>
      <c r="E545" s="55">
        <f t="shared" si="58"/>
        <v>0</v>
      </c>
      <c r="F545" s="55">
        <f t="shared" si="59"/>
        <v>0</v>
      </c>
      <c r="G545" s="55">
        <f t="shared" si="60"/>
        <v>0</v>
      </c>
      <c r="H545" s="55" t="str">
        <f t="shared" si="61"/>
        <v/>
      </c>
      <c r="J545" s="61">
        <f t="shared" si="62"/>
        <v>0</v>
      </c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</row>
    <row r="546" spans="1:36" x14ac:dyDescent="0.2">
      <c r="A546" s="61">
        <f t="shared" si="56"/>
        <v>0</v>
      </c>
      <c r="B546" s="55">
        <f t="shared" si="57"/>
        <v>0</v>
      </c>
      <c r="C546" s="55"/>
      <c r="D546" s="55"/>
      <c r="E546" s="55">
        <f t="shared" si="58"/>
        <v>0</v>
      </c>
      <c r="F546" s="55">
        <f t="shared" si="59"/>
        <v>0</v>
      </c>
      <c r="G546" s="55">
        <f t="shared" si="60"/>
        <v>0</v>
      </c>
      <c r="H546" s="55" t="str">
        <f t="shared" si="61"/>
        <v/>
      </c>
      <c r="J546" s="61">
        <f t="shared" si="62"/>
        <v>0</v>
      </c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</row>
    <row r="547" spans="1:36" x14ac:dyDescent="0.2">
      <c r="A547" s="61">
        <f t="shared" si="56"/>
        <v>0</v>
      </c>
      <c r="B547" s="55">
        <f t="shared" si="57"/>
        <v>0</v>
      </c>
      <c r="C547" s="55"/>
      <c r="D547" s="55"/>
      <c r="E547" s="55">
        <f t="shared" si="58"/>
        <v>0</v>
      </c>
      <c r="F547" s="55">
        <f t="shared" si="59"/>
        <v>0</v>
      </c>
      <c r="G547" s="55">
        <f t="shared" si="60"/>
        <v>0</v>
      </c>
      <c r="H547" s="55" t="str">
        <f t="shared" si="61"/>
        <v/>
      </c>
      <c r="J547" s="61">
        <f t="shared" si="62"/>
        <v>0</v>
      </c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</row>
    <row r="548" spans="1:36" x14ac:dyDescent="0.2">
      <c r="A548" s="61">
        <f t="shared" si="56"/>
        <v>0</v>
      </c>
      <c r="B548" s="55">
        <f t="shared" si="57"/>
        <v>0</v>
      </c>
      <c r="C548" s="55"/>
      <c r="D548" s="55"/>
      <c r="E548" s="55">
        <f t="shared" si="58"/>
        <v>0</v>
      </c>
      <c r="F548" s="55">
        <f t="shared" si="59"/>
        <v>0</v>
      </c>
      <c r="G548" s="55">
        <f t="shared" si="60"/>
        <v>0</v>
      </c>
      <c r="H548" s="55" t="str">
        <f t="shared" si="61"/>
        <v/>
      </c>
      <c r="J548" s="61">
        <f t="shared" si="62"/>
        <v>0</v>
      </c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</row>
    <row r="549" spans="1:36" x14ac:dyDescent="0.2">
      <c r="A549" s="61">
        <f t="shared" si="56"/>
        <v>0</v>
      </c>
      <c r="B549" s="55">
        <f t="shared" si="57"/>
        <v>0</v>
      </c>
      <c r="C549" s="55"/>
      <c r="D549" s="55"/>
      <c r="E549" s="55">
        <f t="shared" si="58"/>
        <v>0</v>
      </c>
      <c r="F549" s="55">
        <f t="shared" si="59"/>
        <v>0</v>
      </c>
      <c r="G549" s="55">
        <f t="shared" si="60"/>
        <v>0</v>
      </c>
      <c r="H549" s="55" t="str">
        <f t="shared" si="61"/>
        <v/>
      </c>
      <c r="J549" s="61">
        <f t="shared" si="62"/>
        <v>0</v>
      </c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</row>
    <row r="550" spans="1:36" x14ac:dyDescent="0.2">
      <c r="A550" s="61">
        <f t="shared" si="56"/>
        <v>0</v>
      </c>
      <c r="B550" s="55">
        <f t="shared" si="57"/>
        <v>0</v>
      </c>
      <c r="C550" s="55"/>
      <c r="D550" s="55"/>
      <c r="E550" s="55">
        <f t="shared" si="58"/>
        <v>0</v>
      </c>
      <c r="F550" s="55">
        <f t="shared" si="59"/>
        <v>0</v>
      </c>
      <c r="G550" s="55">
        <f t="shared" si="60"/>
        <v>0</v>
      </c>
      <c r="H550" s="55" t="str">
        <f t="shared" si="61"/>
        <v/>
      </c>
      <c r="J550" s="61">
        <f t="shared" si="62"/>
        <v>0</v>
      </c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</row>
    <row r="551" spans="1:36" x14ac:dyDescent="0.2">
      <c r="A551" s="61">
        <f t="shared" si="56"/>
        <v>0</v>
      </c>
      <c r="B551" s="55">
        <f t="shared" si="57"/>
        <v>0</v>
      </c>
      <c r="C551" s="55"/>
      <c r="D551" s="55"/>
      <c r="E551" s="55">
        <f t="shared" si="58"/>
        <v>0</v>
      </c>
      <c r="F551" s="55">
        <f t="shared" si="59"/>
        <v>0</v>
      </c>
      <c r="G551" s="55">
        <f t="shared" si="60"/>
        <v>0</v>
      </c>
      <c r="H551" s="55" t="str">
        <f t="shared" si="61"/>
        <v/>
      </c>
      <c r="J551" s="61">
        <f t="shared" si="62"/>
        <v>0</v>
      </c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</row>
    <row r="552" spans="1:36" x14ac:dyDescent="0.2">
      <c r="A552" s="61">
        <f t="shared" si="56"/>
        <v>0</v>
      </c>
      <c r="B552" s="55">
        <f t="shared" si="57"/>
        <v>0</v>
      </c>
      <c r="C552" s="55"/>
      <c r="D552" s="55"/>
      <c r="E552" s="55">
        <f t="shared" si="58"/>
        <v>0</v>
      </c>
      <c r="F552" s="55">
        <f t="shared" si="59"/>
        <v>0</v>
      </c>
      <c r="G552" s="55">
        <f t="shared" si="60"/>
        <v>0</v>
      </c>
      <c r="H552" s="55" t="str">
        <f t="shared" si="61"/>
        <v/>
      </c>
      <c r="J552" s="61">
        <f t="shared" si="62"/>
        <v>0</v>
      </c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</row>
    <row r="553" spans="1:36" x14ac:dyDescent="0.2">
      <c r="A553" s="61">
        <f t="shared" si="56"/>
        <v>0</v>
      </c>
      <c r="B553" s="55">
        <f t="shared" si="57"/>
        <v>0</v>
      </c>
      <c r="C553" s="55"/>
      <c r="D553" s="55"/>
      <c r="E553" s="55">
        <f t="shared" si="58"/>
        <v>0</v>
      </c>
      <c r="F553" s="55">
        <f t="shared" si="59"/>
        <v>0</v>
      </c>
      <c r="G553" s="55">
        <f t="shared" si="60"/>
        <v>0</v>
      </c>
      <c r="H553" s="55" t="str">
        <f t="shared" si="61"/>
        <v/>
      </c>
      <c r="J553" s="61">
        <f t="shared" si="62"/>
        <v>0</v>
      </c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</row>
    <row r="554" spans="1:36" x14ac:dyDescent="0.2">
      <c r="A554" s="61">
        <f t="shared" si="56"/>
        <v>0</v>
      </c>
      <c r="B554" s="55">
        <f t="shared" si="57"/>
        <v>0</v>
      </c>
      <c r="C554" s="55"/>
      <c r="D554" s="55"/>
      <c r="E554" s="55">
        <f t="shared" si="58"/>
        <v>0</v>
      </c>
      <c r="F554" s="55">
        <f t="shared" si="59"/>
        <v>0</v>
      </c>
      <c r="G554" s="55">
        <f t="shared" si="60"/>
        <v>0</v>
      </c>
      <c r="H554" s="55" t="str">
        <f t="shared" si="61"/>
        <v/>
      </c>
      <c r="J554" s="61">
        <f t="shared" si="62"/>
        <v>0</v>
      </c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</row>
    <row r="555" spans="1:36" x14ac:dyDescent="0.2">
      <c r="A555" s="61">
        <f t="shared" si="56"/>
        <v>0</v>
      </c>
      <c r="B555" s="55">
        <f t="shared" si="57"/>
        <v>0</v>
      </c>
      <c r="C555" s="55"/>
      <c r="D555" s="55"/>
      <c r="E555" s="55">
        <f t="shared" si="58"/>
        <v>0</v>
      </c>
      <c r="F555" s="55">
        <f t="shared" si="59"/>
        <v>0</v>
      </c>
      <c r="G555" s="55">
        <f t="shared" si="60"/>
        <v>0</v>
      </c>
      <c r="H555" s="55" t="str">
        <f t="shared" si="61"/>
        <v/>
      </c>
      <c r="J555" s="61">
        <f t="shared" si="62"/>
        <v>0</v>
      </c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</row>
    <row r="556" spans="1:36" x14ac:dyDescent="0.2">
      <c r="A556" s="61">
        <f t="shared" si="56"/>
        <v>0</v>
      </c>
      <c r="B556" s="55">
        <f t="shared" si="57"/>
        <v>0</v>
      </c>
      <c r="C556" s="55"/>
      <c r="D556" s="55"/>
      <c r="E556" s="55">
        <f t="shared" si="58"/>
        <v>0</v>
      </c>
      <c r="F556" s="55">
        <f t="shared" si="59"/>
        <v>0</v>
      </c>
      <c r="G556" s="55">
        <f t="shared" si="60"/>
        <v>0</v>
      </c>
      <c r="H556" s="55" t="str">
        <f t="shared" si="61"/>
        <v/>
      </c>
      <c r="J556" s="61">
        <f t="shared" si="62"/>
        <v>0</v>
      </c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</row>
    <row r="557" spans="1:36" x14ac:dyDescent="0.2">
      <c r="A557" s="61">
        <f t="shared" si="56"/>
        <v>0</v>
      </c>
      <c r="B557" s="55">
        <f t="shared" si="57"/>
        <v>0</v>
      </c>
      <c r="C557" s="55"/>
      <c r="D557" s="55"/>
      <c r="E557" s="55">
        <f t="shared" si="58"/>
        <v>0</v>
      </c>
      <c r="F557" s="55">
        <f t="shared" si="59"/>
        <v>0</v>
      </c>
      <c r="G557" s="55">
        <f t="shared" si="60"/>
        <v>0</v>
      </c>
      <c r="H557" s="55" t="str">
        <f t="shared" si="61"/>
        <v/>
      </c>
      <c r="J557" s="61">
        <f t="shared" si="62"/>
        <v>0</v>
      </c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</row>
    <row r="558" spans="1:36" x14ac:dyDescent="0.2">
      <c r="A558" s="61">
        <f t="shared" si="56"/>
        <v>0</v>
      </c>
      <c r="B558" s="55">
        <f t="shared" si="57"/>
        <v>0</v>
      </c>
      <c r="C558" s="55"/>
      <c r="D558" s="55"/>
      <c r="E558" s="55">
        <f t="shared" si="58"/>
        <v>0</v>
      </c>
      <c r="F558" s="55">
        <f t="shared" si="59"/>
        <v>0</v>
      </c>
      <c r="G558" s="55">
        <f t="shared" si="60"/>
        <v>0</v>
      </c>
      <c r="H558" s="55" t="str">
        <f t="shared" si="61"/>
        <v/>
      </c>
      <c r="J558" s="61">
        <f t="shared" si="62"/>
        <v>0</v>
      </c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</row>
    <row r="559" spans="1:36" x14ac:dyDescent="0.2">
      <c r="A559" s="61">
        <f t="shared" si="56"/>
        <v>0</v>
      </c>
      <c r="B559" s="55">
        <f t="shared" si="57"/>
        <v>0</v>
      </c>
      <c r="C559" s="55"/>
      <c r="D559" s="55"/>
      <c r="E559" s="55">
        <f t="shared" si="58"/>
        <v>0</v>
      </c>
      <c r="F559" s="55">
        <f t="shared" si="59"/>
        <v>0</v>
      </c>
      <c r="G559" s="55">
        <f t="shared" si="60"/>
        <v>0</v>
      </c>
      <c r="H559" s="55" t="str">
        <f t="shared" si="61"/>
        <v/>
      </c>
      <c r="J559" s="61">
        <f t="shared" si="62"/>
        <v>0</v>
      </c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</row>
    <row r="560" spans="1:36" x14ac:dyDescent="0.2">
      <c r="A560" s="61">
        <f t="shared" si="56"/>
        <v>0</v>
      </c>
      <c r="B560" s="55">
        <f t="shared" si="57"/>
        <v>0</v>
      </c>
      <c r="C560" s="55"/>
      <c r="D560" s="55"/>
      <c r="E560" s="55">
        <f t="shared" si="58"/>
        <v>0</v>
      </c>
      <c r="F560" s="55">
        <f t="shared" si="59"/>
        <v>0</v>
      </c>
      <c r="G560" s="55">
        <f t="shared" si="60"/>
        <v>0</v>
      </c>
      <c r="H560" s="55" t="str">
        <f t="shared" si="61"/>
        <v/>
      </c>
      <c r="J560" s="61">
        <f t="shared" si="62"/>
        <v>0</v>
      </c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</row>
    <row r="561" spans="1:36" x14ac:dyDescent="0.2">
      <c r="A561" s="61">
        <f t="shared" si="56"/>
        <v>0</v>
      </c>
      <c r="B561" s="55">
        <f t="shared" si="57"/>
        <v>0</v>
      </c>
      <c r="C561" s="55"/>
      <c r="D561" s="55"/>
      <c r="E561" s="55">
        <f t="shared" si="58"/>
        <v>0</v>
      </c>
      <c r="F561" s="55">
        <f t="shared" si="59"/>
        <v>0</v>
      </c>
      <c r="G561" s="55">
        <f t="shared" si="60"/>
        <v>0</v>
      </c>
      <c r="H561" s="55" t="str">
        <f t="shared" si="61"/>
        <v/>
      </c>
      <c r="J561" s="61">
        <f t="shared" si="62"/>
        <v>0</v>
      </c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</row>
    <row r="562" spans="1:36" x14ac:dyDescent="0.2">
      <c r="A562" s="61">
        <f t="shared" si="56"/>
        <v>0</v>
      </c>
      <c r="B562" s="55">
        <f t="shared" si="57"/>
        <v>0</v>
      </c>
      <c r="C562" s="55"/>
      <c r="D562" s="55"/>
      <c r="E562" s="55">
        <f t="shared" si="58"/>
        <v>0</v>
      </c>
      <c r="F562" s="55">
        <f t="shared" si="59"/>
        <v>0</v>
      </c>
      <c r="G562" s="55">
        <f t="shared" si="60"/>
        <v>0</v>
      </c>
      <c r="H562" s="55" t="str">
        <f t="shared" si="61"/>
        <v/>
      </c>
      <c r="J562" s="61">
        <f t="shared" si="62"/>
        <v>0</v>
      </c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</row>
    <row r="563" spans="1:36" x14ac:dyDescent="0.2">
      <c r="A563" s="61">
        <f t="shared" si="56"/>
        <v>0</v>
      </c>
      <c r="B563" s="55">
        <f t="shared" si="57"/>
        <v>0</v>
      </c>
      <c r="C563" s="55"/>
      <c r="D563" s="55"/>
      <c r="E563" s="55">
        <f t="shared" si="58"/>
        <v>0</v>
      </c>
      <c r="F563" s="55">
        <f t="shared" si="59"/>
        <v>0</v>
      </c>
      <c r="G563" s="55">
        <f t="shared" si="60"/>
        <v>0</v>
      </c>
      <c r="H563" s="55" t="str">
        <f t="shared" si="61"/>
        <v/>
      </c>
      <c r="J563" s="61">
        <f t="shared" si="62"/>
        <v>0</v>
      </c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</row>
    <row r="564" spans="1:36" x14ac:dyDescent="0.2">
      <c r="A564" s="61">
        <f t="shared" si="56"/>
        <v>0</v>
      </c>
      <c r="B564" s="55">
        <f t="shared" si="57"/>
        <v>0</v>
      </c>
      <c r="C564" s="55"/>
      <c r="D564" s="55"/>
      <c r="E564" s="55">
        <f t="shared" si="58"/>
        <v>0</v>
      </c>
      <c r="F564" s="55">
        <f t="shared" si="59"/>
        <v>0</v>
      </c>
      <c r="G564" s="55">
        <f t="shared" si="60"/>
        <v>0</v>
      </c>
      <c r="H564" s="55" t="str">
        <f t="shared" si="61"/>
        <v/>
      </c>
      <c r="J564" s="61">
        <f t="shared" si="62"/>
        <v>0</v>
      </c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</row>
    <row r="565" spans="1:36" x14ac:dyDescent="0.2">
      <c r="A565" s="61">
        <f t="shared" si="56"/>
        <v>0</v>
      </c>
      <c r="B565" s="55">
        <f t="shared" si="57"/>
        <v>0</v>
      </c>
      <c r="C565" s="55"/>
      <c r="D565" s="55"/>
      <c r="E565" s="55">
        <f t="shared" si="58"/>
        <v>0</v>
      </c>
      <c r="F565" s="55">
        <f t="shared" si="59"/>
        <v>0</v>
      </c>
      <c r="G565" s="55">
        <f t="shared" si="60"/>
        <v>0</v>
      </c>
      <c r="H565" s="55" t="str">
        <f t="shared" si="61"/>
        <v/>
      </c>
      <c r="J565" s="61">
        <f t="shared" si="62"/>
        <v>0</v>
      </c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</row>
    <row r="566" spans="1:36" x14ac:dyDescent="0.2">
      <c r="A566" s="61">
        <f t="shared" si="56"/>
        <v>0</v>
      </c>
      <c r="B566" s="55">
        <f t="shared" si="57"/>
        <v>0</v>
      </c>
      <c r="C566" s="55"/>
      <c r="D566" s="55"/>
      <c r="E566" s="55">
        <f t="shared" si="58"/>
        <v>0</v>
      </c>
      <c r="F566" s="55">
        <f t="shared" si="59"/>
        <v>0</v>
      </c>
      <c r="G566" s="55">
        <f t="shared" si="60"/>
        <v>0</v>
      </c>
      <c r="H566" s="55" t="str">
        <f t="shared" si="61"/>
        <v/>
      </c>
      <c r="J566" s="61">
        <f t="shared" si="62"/>
        <v>0</v>
      </c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</row>
    <row r="567" spans="1:36" x14ac:dyDescent="0.2">
      <c r="A567" s="61">
        <f t="shared" si="56"/>
        <v>0</v>
      </c>
      <c r="B567" s="55">
        <f t="shared" si="57"/>
        <v>0</v>
      </c>
      <c r="C567" s="55"/>
      <c r="D567" s="55"/>
      <c r="E567" s="55">
        <f t="shared" si="58"/>
        <v>0</v>
      </c>
      <c r="F567" s="55">
        <f t="shared" si="59"/>
        <v>0</v>
      </c>
      <c r="G567" s="55">
        <f t="shared" si="60"/>
        <v>0</v>
      </c>
      <c r="H567" s="55" t="str">
        <f t="shared" si="61"/>
        <v/>
      </c>
      <c r="J567" s="61">
        <f t="shared" si="62"/>
        <v>0</v>
      </c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</row>
    <row r="568" spans="1:36" x14ac:dyDescent="0.2">
      <c r="A568" s="61">
        <f t="shared" si="56"/>
        <v>0</v>
      </c>
      <c r="B568" s="55">
        <f t="shared" si="57"/>
        <v>0</v>
      </c>
      <c r="C568" s="55"/>
      <c r="D568" s="55"/>
      <c r="E568" s="55">
        <f t="shared" si="58"/>
        <v>0</v>
      </c>
      <c r="F568" s="55">
        <f t="shared" si="59"/>
        <v>0</v>
      </c>
      <c r="G568" s="55">
        <f t="shared" si="60"/>
        <v>0</v>
      </c>
      <c r="H568" s="55" t="str">
        <f t="shared" si="61"/>
        <v/>
      </c>
      <c r="J568" s="61">
        <f t="shared" si="62"/>
        <v>0</v>
      </c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</row>
    <row r="569" spans="1:36" x14ac:dyDescent="0.2">
      <c r="A569" s="61">
        <f t="shared" si="56"/>
        <v>0</v>
      </c>
      <c r="B569" s="55">
        <f t="shared" si="57"/>
        <v>0</v>
      </c>
      <c r="C569" s="55"/>
      <c r="D569" s="55"/>
      <c r="E569" s="55">
        <f t="shared" si="58"/>
        <v>0</v>
      </c>
      <c r="F569" s="55">
        <f t="shared" si="59"/>
        <v>0</v>
      </c>
      <c r="G569" s="55">
        <f t="shared" si="60"/>
        <v>0</v>
      </c>
      <c r="H569" s="55" t="str">
        <f t="shared" si="61"/>
        <v/>
      </c>
      <c r="J569" s="61">
        <f t="shared" si="62"/>
        <v>0</v>
      </c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</row>
    <row r="570" spans="1:36" x14ac:dyDescent="0.2">
      <c r="A570" s="61">
        <f t="shared" si="56"/>
        <v>0</v>
      </c>
      <c r="B570" s="55">
        <f t="shared" si="57"/>
        <v>0</v>
      </c>
      <c r="C570" s="55"/>
      <c r="D570" s="55"/>
      <c r="E570" s="55">
        <f t="shared" si="58"/>
        <v>0</v>
      </c>
      <c r="F570" s="55">
        <f t="shared" si="59"/>
        <v>0</v>
      </c>
      <c r="G570" s="55">
        <f t="shared" si="60"/>
        <v>0</v>
      </c>
      <c r="H570" s="55" t="str">
        <f t="shared" si="61"/>
        <v/>
      </c>
      <c r="J570" s="61">
        <f t="shared" si="62"/>
        <v>0</v>
      </c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</row>
    <row r="571" spans="1:36" x14ac:dyDescent="0.2">
      <c r="A571" s="61">
        <f t="shared" si="56"/>
        <v>0</v>
      </c>
      <c r="B571" s="55">
        <f t="shared" si="57"/>
        <v>0</v>
      </c>
      <c r="C571" s="55"/>
      <c r="D571" s="55"/>
      <c r="E571" s="55">
        <f t="shared" si="58"/>
        <v>0</v>
      </c>
      <c r="F571" s="55">
        <f t="shared" si="59"/>
        <v>0</v>
      </c>
      <c r="G571" s="55">
        <f t="shared" si="60"/>
        <v>0</v>
      </c>
      <c r="H571" s="55" t="str">
        <f t="shared" si="61"/>
        <v/>
      </c>
      <c r="J571" s="61">
        <f t="shared" si="62"/>
        <v>0</v>
      </c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</row>
    <row r="572" spans="1:36" x14ac:dyDescent="0.2">
      <c r="A572" s="61">
        <f t="shared" si="56"/>
        <v>0</v>
      </c>
      <c r="B572" s="55">
        <f t="shared" si="57"/>
        <v>0</v>
      </c>
      <c r="C572" s="55"/>
      <c r="D572" s="55"/>
      <c r="E572" s="55">
        <f t="shared" si="58"/>
        <v>0</v>
      </c>
      <c r="F572" s="55">
        <f t="shared" si="59"/>
        <v>0</v>
      </c>
      <c r="G572" s="55">
        <f t="shared" si="60"/>
        <v>0</v>
      </c>
      <c r="H572" s="55" t="str">
        <f t="shared" si="61"/>
        <v/>
      </c>
      <c r="J572" s="61">
        <f t="shared" si="62"/>
        <v>0</v>
      </c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</row>
    <row r="573" spans="1:36" x14ac:dyDescent="0.2">
      <c r="A573" s="61">
        <f t="shared" si="56"/>
        <v>0</v>
      </c>
      <c r="B573" s="55">
        <f t="shared" si="57"/>
        <v>0</v>
      </c>
      <c r="C573" s="55"/>
      <c r="D573" s="55"/>
      <c r="E573" s="55">
        <f t="shared" si="58"/>
        <v>0</v>
      </c>
      <c r="F573" s="55">
        <f t="shared" si="59"/>
        <v>0</v>
      </c>
      <c r="G573" s="55">
        <f t="shared" si="60"/>
        <v>0</v>
      </c>
      <c r="H573" s="55" t="str">
        <f t="shared" si="61"/>
        <v/>
      </c>
      <c r="J573" s="61">
        <f t="shared" si="62"/>
        <v>0</v>
      </c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</row>
    <row r="574" spans="1:36" x14ac:dyDescent="0.2">
      <c r="A574" s="61">
        <f t="shared" si="56"/>
        <v>0</v>
      </c>
      <c r="B574" s="55">
        <f t="shared" si="57"/>
        <v>0</v>
      </c>
      <c r="C574" s="55"/>
      <c r="D574" s="55"/>
      <c r="E574" s="55">
        <f t="shared" si="58"/>
        <v>0</v>
      </c>
      <c r="F574" s="55">
        <f t="shared" si="59"/>
        <v>0</v>
      </c>
      <c r="G574" s="55">
        <f t="shared" si="60"/>
        <v>0</v>
      </c>
      <c r="H574" s="55" t="str">
        <f t="shared" si="61"/>
        <v/>
      </c>
      <c r="J574" s="61">
        <f t="shared" si="62"/>
        <v>0</v>
      </c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</row>
    <row r="575" spans="1:36" x14ac:dyDescent="0.2">
      <c r="A575" s="61">
        <f t="shared" si="56"/>
        <v>0</v>
      </c>
      <c r="B575" s="55">
        <f t="shared" si="57"/>
        <v>0</v>
      </c>
      <c r="C575" s="55"/>
      <c r="D575" s="55"/>
      <c r="E575" s="55">
        <f t="shared" si="58"/>
        <v>0</v>
      </c>
      <c r="F575" s="55">
        <f t="shared" si="59"/>
        <v>0</v>
      </c>
      <c r="G575" s="55">
        <f t="shared" si="60"/>
        <v>0</v>
      </c>
      <c r="H575" s="55" t="str">
        <f t="shared" si="61"/>
        <v/>
      </c>
      <c r="J575" s="61">
        <f t="shared" si="62"/>
        <v>0</v>
      </c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</row>
    <row r="576" spans="1:36" x14ac:dyDescent="0.2">
      <c r="A576" s="61">
        <f t="shared" si="56"/>
        <v>0</v>
      </c>
      <c r="B576" s="55">
        <f t="shared" si="57"/>
        <v>0</v>
      </c>
      <c r="C576" s="55"/>
      <c r="D576" s="55"/>
      <c r="E576" s="55">
        <f t="shared" si="58"/>
        <v>0</v>
      </c>
      <c r="F576" s="55">
        <f t="shared" si="59"/>
        <v>0</v>
      </c>
      <c r="G576" s="55">
        <f t="shared" si="60"/>
        <v>0</v>
      </c>
      <c r="H576" s="55" t="str">
        <f t="shared" si="61"/>
        <v/>
      </c>
      <c r="J576" s="61">
        <f t="shared" si="62"/>
        <v>0</v>
      </c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</row>
    <row r="577" spans="1:36" x14ac:dyDescent="0.2">
      <c r="A577" s="61">
        <f t="shared" si="56"/>
        <v>0</v>
      </c>
      <c r="B577" s="55">
        <f t="shared" si="57"/>
        <v>0</v>
      </c>
      <c r="C577" s="55"/>
      <c r="D577" s="55"/>
      <c r="E577" s="55">
        <f t="shared" si="58"/>
        <v>0</v>
      </c>
      <c r="F577" s="55">
        <f t="shared" si="59"/>
        <v>0</v>
      </c>
      <c r="G577" s="55">
        <f t="shared" si="60"/>
        <v>0</v>
      </c>
      <c r="H577" s="55" t="str">
        <f t="shared" si="61"/>
        <v/>
      </c>
      <c r="J577" s="61">
        <f t="shared" si="62"/>
        <v>0</v>
      </c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</row>
    <row r="578" spans="1:36" x14ac:dyDescent="0.2">
      <c r="A578" s="61">
        <f t="shared" ref="A578:A641" si="63">J578</f>
        <v>0</v>
      </c>
      <c r="B578" s="55">
        <f t="shared" ref="B578:B641" si="64">M578</f>
        <v>0</v>
      </c>
      <c r="C578" s="55"/>
      <c r="D578" s="55"/>
      <c r="E578" s="55">
        <f t="shared" ref="E578:E641" si="65">V578</f>
        <v>0</v>
      </c>
      <c r="F578" s="55">
        <f t="shared" ref="F578:F641" si="66">Z578</f>
        <v>0</v>
      </c>
      <c r="G578" s="55">
        <f t="shared" ref="G578:G641" si="67">AH578</f>
        <v>0</v>
      </c>
      <c r="H578" s="55" t="str">
        <f t="shared" ref="H578:H641" si="68">IF(Q578&gt;1,IF(Q578=2,"I","E"),"")</f>
        <v/>
      </c>
      <c r="J578" s="61">
        <f t="shared" ref="J578:J641" si="69">P578*1</f>
        <v>0</v>
      </c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</row>
    <row r="579" spans="1:36" x14ac:dyDescent="0.2">
      <c r="A579" s="61">
        <f t="shared" si="63"/>
        <v>0</v>
      </c>
      <c r="B579" s="55">
        <f t="shared" si="64"/>
        <v>0</v>
      </c>
      <c r="C579" s="55"/>
      <c r="D579" s="55"/>
      <c r="E579" s="55">
        <f t="shared" si="65"/>
        <v>0</v>
      </c>
      <c r="F579" s="55">
        <f t="shared" si="66"/>
        <v>0</v>
      </c>
      <c r="G579" s="55">
        <f t="shared" si="67"/>
        <v>0</v>
      </c>
      <c r="H579" s="55" t="str">
        <f t="shared" si="68"/>
        <v/>
      </c>
      <c r="J579" s="61">
        <f t="shared" si="69"/>
        <v>0</v>
      </c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</row>
    <row r="580" spans="1:36" x14ac:dyDescent="0.2">
      <c r="A580" s="61">
        <f t="shared" si="63"/>
        <v>0</v>
      </c>
      <c r="B580" s="55">
        <f t="shared" si="64"/>
        <v>0</v>
      </c>
      <c r="C580" s="55"/>
      <c r="D580" s="55"/>
      <c r="E580" s="55">
        <f t="shared" si="65"/>
        <v>0</v>
      </c>
      <c r="F580" s="55">
        <f t="shared" si="66"/>
        <v>0</v>
      </c>
      <c r="G580" s="55">
        <f t="shared" si="67"/>
        <v>0</v>
      </c>
      <c r="H580" s="55" t="str">
        <f t="shared" si="68"/>
        <v/>
      </c>
      <c r="J580" s="61">
        <f t="shared" si="69"/>
        <v>0</v>
      </c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</row>
    <row r="581" spans="1:36" x14ac:dyDescent="0.2">
      <c r="A581" s="61">
        <f t="shared" si="63"/>
        <v>0</v>
      </c>
      <c r="B581" s="55">
        <f t="shared" si="64"/>
        <v>0</v>
      </c>
      <c r="C581" s="55"/>
      <c r="D581" s="55"/>
      <c r="E581" s="55">
        <f t="shared" si="65"/>
        <v>0</v>
      </c>
      <c r="F581" s="55">
        <f t="shared" si="66"/>
        <v>0</v>
      </c>
      <c r="G581" s="55">
        <f t="shared" si="67"/>
        <v>0</v>
      </c>
      <c r="H581" s="55" t="str">
        <f t="shared" si="68"/>
        <v/>
      </c>
      <c r="J581" s="61">
        <f t="shared" si="69"/>
        <v>0</v>
      </c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</row>
    <row r="582" spans="1:36" x14ac:dyDescent="0.2">
      <c r="A582" s="61">
        <f t="shared" si="63"/>
        <v>0</v>
      </c>
      <c r="B582" s="55">
        <f t="shared" si="64"/>
        <v>0</v>
      </c>
      <c r="C582" s="55"/>
      <c r="D582" s="55"/>
      <c r="E582" s="55">
        <f t="shared" si="65"/>
        <v>0</v>
      </c>
      <c r="F582" s="55">
        <f t="shared" si="66"/>
        <v>0</v>
      </c>
      <c r="G582" s="55">
        <f t="shared" si="67"/>
        <v>0</v>
      </c>
      <c r="H582" s="55" t="str">
        <f t="shared" si="68"/>
        <v/>
      </c>
      <c r="J582" s="61">
        <f t="shared" si="69"/>
        <v>0</v>
      </c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</row>
    <row r="583" spans="1:36" x14ac:dyDescent="0.2">
      <c r="A583" s="61">
        <f t="shared" si="63"/>
        <v>0</v>
      </c>
      <c r="B583" s="55">
        <f t="shared" si="64"/>
        <v>0</v>
      </c>
      <c r="C583" s="55"/>
      <c r="D583" s="55"/>
      <c r="E583" s="55">
        <f t="shared" si="65"/>
        <v>0</v>
      </c>
      <c r="F583" s="55">
        <f t="shared" si="66"/>
        <v>0</v>
      </c>
      <c r="G583" s="55">
        <f t="shared" si="67"/>
        <v>0</v>
      </c>
      <c r="H583" s="55" t="str">
        <f t="shared" si="68"/>
        <v/>
      </c>
      <c r="J583" s="61">
        <f t="shared" si="69"/>
        <v>0</v>
      </c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</row>
    <row r="584" spans="1:36" x14ac:dyDescent="0.2">
      <c r="A584" s="61">
        <f t="shared" si="63"/>
        <v>0</v>
      </c>
      <c r="B584" s="55">
        <f t="shared" si="64"/>
        <v>0</v>
      </c>
      <c r="C584" s="55"/>
      <c r="D584" s="55"/>
      <c r="E584" s="55">
        <f t="shared" si="65"/>
        <v>0</v>
      </c>
      <c r="F584" s="55">
        <f t="shared" si="66"/>
        <v>0</v>
      </c>
      <c r="G584" s="55">
        <f t="shared" si="67"/>
        <v>0</v>
      </c>
      <c r="H584" s="55" t="str">
        <f t="shared" si="68"/>
        <v/>
      </c>
      <c r="J584" s="61">
        <f t="shared" si="69"/>
        <v>0</v>
      </c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</row>
    <row r="585" spans="1:36" x14ac:dyDescent="0.2">
      <c r="A585" s="61">
        <f t="shared" si="63"/>
        <v>0</v>
      </c>
      <c r="B585" s="55">
        <f t="shared" si="64"/>
        <v>0</v>
      </c>
      <c r="C585" s="55"/>
      <c r="D585" s="55"/>
      <c r="E585" s="55">
        <f t="shared" si="65"/>
        <v>0</v>
      </c>
      <c r="F585" s="55">
        <f t="shared" si="66"/>
        <v>0</v>
      </c>
      <c r="G585" s="55">
        <f t="shared" si="67"/>
        <v>0</v>
      </c>
      <c r="H585" s="55" t="str">
        <f t="shared" si="68"/>
        <v/>
      </c>
      <c r="J585" s="61">
        <f t="shared" si="69"/>
        <v>0</v>
      </c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</row>
    <row r="586" spans="1:36" x14ac:dyDescent="0.2">
      <c r="A586" s="61">
        <f t="shared" si="63"/>
        <v>0</v>
      </c>
      <c r="B586" s="55">
        <f t="shared" si="64"/>
        <v>0</v>
      </c>
      <c r="C586" s="55"/>
      <c r="D586" s="55"/>
      <c r="E586" s="55">
        <f t="shared" si="65"/>
        <v>0</v>
      </c>
      <c r="F586" s="55">
        <f t="shared" si="66"/>
        <v>0</v>
      </c>
      <c r="G586" s="55">
        <f t="shared" si="67"/>
        <v>0</v>
      </c>
      <c r="H586" s="55" t="str">
        <f t="shared" si="68"/>
        <v/>
      </c>
      <c r="J586" s="61">
        <f t="shared" si="69"/>
        <v>0</v>
      </c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</row>
    <row r="587" spans="1:36" x14ac:dyDescent="0.2">
      <c r="A587" s="61">
        <f t="shared" si="63"/>
        <v>0</v>
      </c>
      <c r="B587" s="55">
        <f t="shared" si="64"/>
        <v>0</v>
      </c>
      <c r="C587" s="55"/>
      <c r="D587" s="55"/>
      <c r="E587" s="55">
        <f t="shared" si="65"/>
        <v>0</v>
      </c>
      <c r="F587" s="55">
        <f t="shared" si="66"/>
        <v>0</v>
      </c>
      <c r="G587" s="55">
        <f t="shared" si="67"/>
        <v>0</v>
      </c>
      <c r="H587" s="55" t="str">
        <f t="shared" si="68"/>
        <v/>
      </c>
      <c r="J587" s="61">
        <f t="shared" si="69"/>
        <v>0</v>
      </c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</row>
    <row r="588" spans="1:36" x14ac:dyDescent="0.2">
      <c r="A588" s="61">
        <f t="shared" si="63"/>
        <v>0</v>
      </c>
      <c r="B588" s="55">
        <f t="shared" si="64"/>
        <v>0</v>
      </c>
      <c r="C588" s="55"/>
      <c r="D588" s="55"/>
      <c r="E588" s="55">
        <f t="shared" si="65"/>
        <v>0</v>
      </c>
      <c r="F588" s="55">
        <f t="shared" si="66"/>
        <v>0</v>
      </c>
      <c r="G588" s="55">
        <f t="shared" si="67"/>
        <v>0</v>
      </c>
      <c r="H588" s="55" t="str">
        <f t="shared" si="68"/>
        <v/>
      </c>
      <c r="J588" s="61">
        <f t="shared" si="69"/>
        <v>0</v>
      </c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</row>
    <row r="589" spans="1:36" x14ac:dyDescent="0.2">
      <c r="A589" s="61">
        <f t="shared" si="63"/>
        <v>0</v>
      </c>
      <c r="B589" s="55">
        <f t="shared" si="64"/>
        <v>0</v>
      </c>
      <c r="C589" s="55"/>
      <c r="D589" s="55"/>
      <c r="E589" s="55">
        <f t="shared" si="65"/>
        <v>0</v>
      </c>
      <c r="F589" s="55">
        <f t="shared" si="66"/>
        <v>0</v>
      </c>
      <c r="G589" s="55">
        <f t="shared" si="67"/>
        <v>0</v>
      </c>
      <c r="H589" s="55" t="str">
        <f t="shared" si="68"/>
        <v/>
      </c>
      <c r="J589" s="61">
        <f t="shared" si="69"/>
        <v>0</v>
      </c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</row>
    <row r="590" spans="1:36" x14ac:dyDescent="0.2">
      <c r="A590" s="61">
        <f t="shared" si="63"/>
        <v>0</v>
      </c>
      <c r="B590" s="55">
        <f t="shared" si="64"/>
        <v>0</v>
      </c>
      <c r="C590" s="55"/>
      <c r="D590" s="55"/>
      <c r="E590" s="55">
        <f t="shared" si="65"/>
        <v>0</v>
      </c>
      <c r="F590" s="55">
        <f t="shared" si="66"/>
        <v>0</v>
      </c>
      <c r="G590" s="55">
        <f t="shared" si="67"/>
        <v>0</v>
      </c>
      <c r="H590" s="55" t="str">
        <f t="shared" si="68"/>
        <v/>
      </c>
      <c r="J590" s="61">
        <f t="shared" si="69"/>
        <v>0</v>
      </c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</row>
    <row r="591" spans="1:36" x14ac:dyDescent="0.2">
      <c r="A591" s="61">
        <f t="shared" si="63"/>
        <v>0</v>
      </c>
      <c r="B591" s="55">
        <f t="shared" si="64"/>
        <v>0</v>
      </c>
      <c r="C591" s="55"/>
      <c r="D591" s="55"/>
      <c r="E591" s="55">
        <f t="shared" si="65"/>
        <v>0</v>
      </c>
      <c r="F591" s="55">
        <f t="shared" si="66"/>
        <v>0</v>
      </c>
      <c r="G591" s="55">
        <f t="shared" si="67"/>
        <v>0</v>
      </c>
      <c r="H591" s="55" t="str">
        <f t="shared" si="68"/>
        <v/>
      </c>
      <c r="J591" s="61">
        <f t="shared" si="69"/>
        <v>0</v>
      </c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</row>
    <row r="592" spans="1:36" x14ac:dyDescent="0.2">
      <c r="A592" s="61">
        <f t="shared" si="63"/>
        <v>0</v>
      </c>
      <c r="B592" s="55">
        <f t="shared" si="64"/>
        <v>0</v>
      </c>
      <c r="C592" s="55"/>
      <c r="D592" s="55"/>
      <c r="E592" s="55">
        <f t="shared" si="65"/>
        <v>0</v>
      </c>
      <c r="F592" s="55">
        <f t="shared" si="66"/>
        <v>0</v>
      </c>
      <c r="G592" s="55">
        <f t="shared" si="67"/>
        <v>0</v>
      </c>
      <c r="H592" s="55" t="str">
        <f t="shared" si="68"/>
        <v/>
      </c>
      <c r="J592" s="61">
        <f t="shared" si="69"/>
        <v>0</v>
      </c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</row>
    <row r="593" spans="1:36" x14ac:dyDescent="0.2">
      <c r="A593" s="61">
        <f t="shared" si="63"/>
        <v>0</v>
      </c>
      <c r="B593" s="55">
        <f t="shared" si="64"/>
        <v>0</v>
      </c>
      <c r="C593" s="55"/>
      <c r="D593" s="55"/>
      <c r="E593" s="55">
        <f t="shared" si="65"/>
        <v>0</v>
      </c>
      <c r="F593" s="55">
        <f t="shared" si="66"/>
        <v>0</v>
      </c>
      <c r="G593" s="55">
        <f t="shared" si="67"/>
        <v>0</v>
      </c>
      <c r="H593" s="55" t="str">
        <f t="shared" si="68"/>
        <v/>
      </c>
      <c r="J593" s="61">
        <f t="shared" si="69"/>
        <v>0</v>
      </c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</row>
    <row r="594" spans="1:36" x14ac:dyDescent="0.2">
      <c r="A594" s="61">
        <f t="shared" si="63"/>
        <v>0</v>
      </c>
      <c r="B594" s="55">
        <f t="shared" si="64"/>
        <v>0</v>
      </c>
      <c r="C594" s="55"/>
      <c r="D594" s="55"/>
      <c r="E594" s="55">
        <f t="shared" si="65"/>
        <v>0</v>
      </c>
      <c r="F594" s="55">
        <f t="shared" si="66"/>
        <v>0</v>
      </c>
      <c r="G594" s="55">
        <f t="shared" si="67"/>
        <v>0</v>
      </c>
      <c r="H594" s="55" t="str">
        <f t="shared" si="68"/>
        <v/>
      </c>
      <c r="J594" s="61">
        <f t="shared" si="69"/>
        <v>0</v>
      </c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</row>
    <row r="595" spans="1:36" x14ac:dyDescent="0.2">
      <c r="A595" s="61">
        <f t="shared" si="63"/>
        <v>0</v>
      </c>
      <c r="B595" s="55">
        <f t="shared" si="64"/>
        <v>0</v>
      </c>
      <c r="C595" s="55"/>
      <c r="D595" s="55"/>
      <c r="E595" s="55">
        <f t="shared" si="65"/>
        <v>0</v>
      </c>
      <c r="F595" s="55">
        <f t="shared" si="66"/>
        <v>0</v>
      </c>
      <c r="G595" s="55">
        <f t="shared" si="67"/>
        <v>0</v>
      </c>
      <c r="H595" s="55" t="str">
        <f t="shared" si="68"/>
        <v/>
      </c>
      <c r="J595" s="61">
        <f t="shared" si="69"/>
        <v>0</v>
      </c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</row>
    <row r="596" spans="1:36" x14ac:dyDescent="0.2">
      <c r="A596" s="61">
        <f t="shared" si="63"/>
        <v>0</v>
      </c>
      <c r="B596" s="55">
        <f t="shared" si="64"/>
        <v>0</v>
      </c>
      <c r="C596" s="55"/>
      <c r="D596" s="55"/>
      <c r="E596" s="55">
        <f t="shared" si="65"/>
        <v>0</v>
      </c>
      <c r="F596" s="55">
        <f t="shared" si="66"/>
        <v>0</v>
      </c>
      <c r="G596" s="55">
        <f t="shared" si="67"/>
        <v>0</v>
      </c>
      <c r="H596" s="55" t="str">
        <f t="shared" si="68"/>
        <v/>
      </c>
      <c r="J596" s="61">
        <f t="shared" si="69"/>
        <v>0</v>
      </c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</row>
    <row r="597" spans="1:36" x14ac:dyDescent="0.2">
      <c r="A597" s="61">
        <f t="shared" si="63"/>
        <v>0</v>
      </c>
      <c r="B597" s="55">
        <f t="shared" si="64"/>
        <v>0</v>
      </c>
      <c r="C597" s="55"/>
      <c r="D597" s="55"/>
      <c r="E597" s="55">
        <f t="shared" si="65"/>
        <v>0</v>
      </c>
      <c r="F597" s="55">
        <f t="shared" si="66"/>
        <v>0</v>
      </c>
      <c r="G597" s="55">
        <f t="shared" si="67"/>
        <v>0</v>
      </c>
      <c r="H597" s="55" t="str">
        <f t="shared" si="68"/>
        <v/>
      </c>
      <c r="J597" s="61">
        <f t="shared" si="69"/>
        <v>0</v>
      </c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</row>
    <row r="598" spans="1:36" x14ac:dyDescent="0.2">
      <c r="A598" s="61">
        <f t="shared" si="63"/>
        <v>0</v>
      </c>
      <c r="B598" s="55">
        <f t="shared" si="64"/>
        <v>0</v>
      </c>
      <c r="C598" s="55"/>
      <c r="D598" s="55"/>
      <c r="E598" s="55">
        <f t="shared" si="65"/>
        <v>0</v>
      </c>
      <c r="F598" s="55">
        <f t="shared" si="66"/>
        <v>0</v>
      </c>
      <c r="G598" s="55">
        <f t="shared" si="67"/>
        <v>0</v>
      </c>
      <c r="H598" s="55" t="str">
        <f t="shared" si="68"/>
        <v/>
      </c>
      <c r="J598" s="61">
        <f t="shared" si="69"/>
        <v>0</v>
      </c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</row>
    <row r="599" spans="1:36" x14ac:dyDescent="0.2">
      <c r="A599" s="61">
        <f t="shared" si="63"/>
        <v>0</v>
      </c>
      <c r="B599" s="55">
        <f t="shared" si="64"/>
        <v>0</v>
      </c>
      <c r="C599" s="55"/>
      <c r="D599" s="55"/>
      <c r="E599" s="55">
        <f t="shared" si="65"/>
        <v>0</v>
      </c>
      <c r="F599" s="55">
        <f t="shared" si="66"/>
        <v>0</v>
      </c>
      <c r="G599" s="55">
        <f t="shared" si="67"/>
        <v>0</v>
      </c>
      <c r="H599" s="55" t="str">
        <f t="shared" si="68"/>
        <v/>
      </c>
      <c r="J599" s="61">
        <f t="shared" si="69"/>
        <v>0</v>
      </c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</row>
    <row r="600" spans="1:36" x14ac:dyDescent="0.2">
      <c r="A600" s="61">
        <f t="shared" si="63"/>
        <v>0</v>
      </c>
      <c r="B600" s="55">
        <f t="shared" si="64"/>
        <v>0</v>
      </c>
      <c r="C600" s="55"/>
      <c r="D600" s="55"/>
      <c r="E600" s="55">
        <f t="shared" si="65"/>
        <v>0</v>
      </c>
      <c r="F600" s="55">
        <f t="shared" si="66"/>
        <v>0</v>
      </c>
      <c r="G600" s="55">
        <f t="shared" si="67"/>
        <v>0</v>
      </c>
      <c r="H600" s="55" t="str">
        <f t="shared" si="68"/>
        <v/>
      </c>
      <c r="J600" s="61">
        <f t="shared" si="69"/>
        <v>0</v>
      </c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</row>
    <row r="601" spans="1:36" x14ac:dyDescent="0.2">
      <c r="A601" s="61">
        <f t="shared" si="63"/>
        <v>0</v>
      </c>
      <c r="B601" s="55">
        <f t="shared" si="64"/>
        <v>0</v>
      </c>
      <c r="C601" s="55"/>
      <c r="D601" s="55"/>
      <c r="E601" s="55">
        <f t="shared" si="65"/>
        <v>0</v>
      </c>
      <c r="F601" s="55">
        <f t="shared" si="66"/>
        <v>0</v>
      </c>
      <c r="G601" s="55">
        <f t="shared" si="67"/>
        <v>0</v>
      </c>
      <c r="H601" s="55" t="str">
        <f t="shared" si="68"/>
        <v/>
      </c>
      <c r="J601" s="61">
        <f t="shared" si="69"/>
        <v>0</v>
      </c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</row>
    <row r="602" spans="1:36" x14ac:dyDescent="0.2">
      <c r="A602" s="61">
        <f t="shared" si="63"/>
        <v>0</v>
      </c>
      <c r="B602" s="55">
        <f t="shared" si="64"/>
        <v>0</v>
      </c>
      <c r="C602" s="55"/>
      <c r="D602" s="55"/>
      <c r="E602" s="55">
        <f t="shared" si="65"/>
        <v>0</v>
      </c>
      <c r="F602" s="55">
        <f t="shared" si="66"/>
        <v>0</v>
      </c>
      <c r="G602" s="55">
        <f t="shared" si="67"/>
        <v>0</v>
      </c>
      <c r="H602" s="55" t="str">
        <f t="shared" si="68"/>
        <v/>
      </c>
      <c r="J602" s="61">
        <f t="shared" si="69"/>
        <v>0</v>
      </c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</row>
    <row r="603" spans="1:36" x14ac:dyDescent="0.2">
      <c r="A603" s="61">
        <f t="shared" si="63"/>
        <v>0</v>
      </c>
      <c r="B603" s="55">
        <f t="shared" si="64"/>
        <v>0</v>
      </c>
      <c r="C603" s="55"/>
      <c r="D603" s="55"/>
      <c r="E603" s="55">
        <f t="shared" si="65"/>
        <v>0</v>
      </c>
      <c r="F603" s="55">
        <f t="shared" si="66"/>
        <v>0</v>
      </c>
      <c r="G603" s="55">
        <f t="shared" si="67"/>
        <v>0</v>
      </c>
      <c r="H603" s="55" t="str">
        <f t="shared" si="68"/>
        <v/>
      </c>
      <c r="J603" s="61">
        <f t="shared" si="69"/>
        <v>0</v>
      </c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</row>
    <row r="604" spans="1:36" x14ac:dyDescent="0.2">
      <c r="A604" s="61">
        <f t="shared" si="63"/>
        <v>0</v>
      </c>
      <c r="B604" s="55">
        <f t="shared" si="64"/>
        <v>0</v>
      </c>
      <c r="C604" s="55"/>
      <c r="D604" s="55"/>
      <c r="E604" s="55">
        <f t="shared" si="65"/>
        <v>0</v>
      </c>
      <c r="F604" s="55">
        <f t="shared" si="66"/>
        <v>0</v>
      </c>
      <c r="G604" s="55">
        <f t="shared" si="67"/>
        <v>0</v>
      </c>
      <c r="H604" s="55" t="str">
        <f t="shared" si="68"/>
        <v/>
      </c>
      <c r="J604" s="61">
        <f t="shared" si="69"/>
        <v>0</v>
      </c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</row>
    <row r="605" spans="1:36" x14ac:dyDescent="0.2">
      <c r="A605" s="61">
        <f t="shared" si="63"/>
        <v>0</v>
      </c>
      <c r="B605" s="55">
        <f t="shared" si="64"/>
        <v>0</v>
      </c>
      <c r="C605" s="55"/>
      <c r="D605" s="55"/>
      <c r="E605" s="55">
        <f t="shared" si="65"/>
        <v>0</v>
      </c>
      <c r="F605" s="55">
        <f t="shared" si="66"/>
        <v>0</v>
      </c>
      <c r="G605" s="55">
        <f t="shared" si="67"/>
        <v>0</v>
      </c>
      <c r="H605" s="55" t="str">
        <f t="shared" si="68"/>
        <v/>
      </c>
      <c r="J605" s="61">
        <f t="shared" si="69"/>
        <v>0</v>
      </c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</row>
    <row r="606" spans="1:36" x14ac:dyDescent="0.2">
      <c r="A606" s="61">
        <f t="shared" si="63"/>
        <v>0</v>
      </c>
      <c r="B606" s="55">
        <f t="shared" si="64"/>
        <v>0</v>
      </c>
      <c r="C606" s="55"/>
      <c r="D606" s="55"/>
      <c r="E606" s="55">
        <f t="shared" si="65"/>
        <v>0</v>
      </c>
      <c r="F606" s="55">
        <f t="shared" si="66"/>
        <v>0</v>
      </c>
      <c r="G606" s="55">
        <f t="shared" si="67"/>
        <v>0</v>
      </c>
      <c r="H606" s="55" t="str">
        <f t="shared" si="68"/>
        <v/>
      </c>
      <c r="J606" s="61">
        <f t="shared" si="69"/>
        <v>0</v>
      </c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</row>
    <row r="607" spans="1:36" x14ac:dyDescent="0.2">
      <c r="A607" s="61">
        <f t="shared" si="63"/>
        <v>0</v>
      </c>
      <c r="B607" s="55">
        <f t="shared" si="64"/>
        <v>0</v>
      </c>
      <c r="C607" s="55"/>
      <c r="D607" s="55"/>
      <c r="E607" s="55">
        <f t="shared" si="65"/>
        <v>0</v>
      </c>
      <c r="F607" s="55">
        <f t="shared" si="66"/>
        <v>0</v>
      </c>
      <c r="G607" s="55">
        <f t="shared" si="67"/>
        <v>0</v>
      </c>
      <c r="H607" s="55" t="str">
        <f t="shared" si="68"/>
        <v/>
      </c>
      <c r="J607" s="61">
        <f t="shared" si="69"/>
        <v>0</v>
      </c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</row>
    <row r="608" spans="1:36" x14ac:dyDescent="0.2">
      <c r="A608" s="61">
        <f t="shared" si="63"/>
        <v>0</v>
      </c>
      <c r="B608" s="55">
        <f t="shared" si="64"/>
        <v>0</v>
      </c>
      <c r="C608" s="55"/>
      <c r="D608" s="55"/>
      <c r="E608" s="55">
        <f t="shared" si="65"/>
        <v>0</v>
      </c>
      <c r="F608" s="55">
        <f t="shared" si="66"/>
        <v>0</v>
      </c>
      <c r="G608" s="55">
        <f t="shared" si="67"/>
        <v>0</v>
      </c>
      <c r="H608" s="55" t="str">
        <f t="shared" si="68"/>
        <v/>
      </c>
      <c r="J608" s="61">
        <f t="shared" si="69"/>
        <v>0</v>
      </c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</row>
    <row r="609" spans="1:36" x14ac:dyDescent="0.2">
      <c r="A609" s="61">
        <f t="shared" si="63"/>
        <v>0</v>
      </c>
      <c r="B609" s="55">
        <f t="shared" si="64"/>
        <v>0</v>
      </c>
      <c r="C609" s="55"/>
      <c r="D609" s="55"/>
      <c r="E609" s="55">
        <f t="shared" si="65"/>
        <v>0</v>
      </c>
      <c r="F609" s="55">
        <f t="shared" si="66"/>
        <v>0</v>
      </c>
      <c r="G609" s="55">
        <f t="shared" si="67"/>
        <v>0</v>
      </c>
      <c r="H609" s="55" t="str">
        <f t="shared" si="68"/>
        <v/>
      </c>
      <c r="J609" s="61">
        <f t="shared" si="69"/>
        <v>0</v>
      </c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</row>
    <row r="610" spans="1:36" x14ac:dyDescent="0.2">
      <c r="A610" s="61">
        <f t="shared" si="63"/>
        <v>0</v>
      </c>
      <c r="B610" s="55">
        <f t="shared" si="64"/>
        <v>0</v>
      </c>
      <c r="C610" s="55"/>
      <c r="D610" s="55"/>
      <c r="E610" s="55">
        <f t="shared" si="65"/>
        <v>0</v>
      </c>
      <c r="F610" s="55">
        <f t="shared" si="66"/>
        <v>0</v>
      </c>
      <c r="G610" s="55">
        <f t="shared" si="67"/>
        <v>0</v>
      </c>
      <c r="H610" s="55" t="str">
        <f t="shared" si="68"/>
        <v/>
      </c>
      <c r="J610" s="61">
        <f t="shared" si="69"/>
        <v>0</v>
      </c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</row>
    <row r="611" spans="1:36" x14ac:dyDescent="0.2">
      <c r="A611" s="61">
        <f t="shared" si="63"/>
        <v>0</v>
      </c>
      <c r="B611" s="55">
        <f t="shared" si="64"/>
        <v>0</v>
      </c>
      <c r="C611" s="55"/>
      <c r="D611" s="55"/>
      <c r="E611" s="55">
        <f t="shared" si="65"/>
        <v>0</v>
      </c>
      <c r="F611" s="55">
        <f t="shared" si="66"/>
        <v>0</v>
      </c>
      <c r="G611" s="55">
        <f t="shared" si="67"/>
        <v>0</v>
      </c>
      <c r="H611" s="55" t="str">
        <f t="shared" si="68"/>
        <v/>
      </c>
      <c r="J611" s="61">
        <f t="shared" si="69"/>
        <v>0</v>
      </c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</row>
    <row r="612" spans="1:36" x14ac:dyDescent="0.2">
      <c r="A612" s="61">
        <f t="shared" si="63"/>
        <v>0</v>
      </c>
      <c r="B612" s="55">
        <f t="shared" si="64"/>
        <v>0</v>
      </c>
      <c r="C612" s="55"/>
      <c r="D612" s="55"/>
      <c r="E612" s="55">
        <f t="shared" si="65"/>
        <v>0</v>
      </c>
      <c r="F612" s="55">
        <f t="shared" si="66"/>
        <v>0</v>
      </c>
      <c r="G612" s="55">
        <f t="shared" si="67"/>
        <v>0</v>
      </c>
      <c r="H612" s="55" t="str">
        <f t="shared" si="68"/>
        <v/>
      </c>
      <c r="J612" s="61">
        <f t="shared" si="69"/>
        <v>0</v>
      </c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</row>
    <row r="613" spans="1:36" x14ac:dyDescent="0.2">
      <c r="A613" s="61">
        <f t="shared" si="63"/>
        <v>0</v>
      </c>
      <c r="B613" s="55">
        <f t="shared" si="64"/>
        <v>0</v>
      </c>
      <c r="C613" s="55"/>
      <c r="D613" s="55"/>
      <c r="E613" s="55">
        <f t="shared" si="65"/>
        <v>0</v>
      </c>
      <c r="F613" s="55">
        <f t="shared" si="66"/>
        <v>0</v>
      </c>
      <c r="G613" s="55">
        <f t="shared" si="67"/>
        <v>0</v>
      </c>
      <c r="H613" s="55" t="str">
        <f t="shared" si="68"/>
        <v/>
      </c>
      <c r="J613" s="61">
        <f t="shared" si="69"/>
        <v>0</v>
      </c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</row>
    <row r="614" spans="1:36" x14ac:dyDescent="0.2">
      <c r="A614" s="61">
        <f t="shared" si="63"/>
        <v>0</v>
      </c>
      <c r="B614" s="55">
        <f t="shared" si="64"/>
        <v>0</v>
      </c>
      <c r="C614" s="55"/>
      <c r="D614" s="55"/>
      <c r="E614" s="55">
        <f t="shared" si="65"/>
        <v>0</v>
      </c>
      <c r="F614" s="55">
        <f t="shared" si="66"/>
        <v>0</v>
      </c>
      <c r="G614" s="55">
        <f t="shared" si="67"/>
        <v>0</v>
      </c>
      <c r="H614" s="55" t="str">
        <f t="shared" si="68"/>
        <v/>
      </c>
      <c r="J614" s="61">
        <f t="shared" si="69"/>
        <v>0</v>
      </c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</row>
    <row r="615" spans="1:36" x14ac:dyDescent="0.2">
      <c r="A615" s="61">
        <f t="shared" si="63"/>
        <v>0</v>
      </c>
      <c r="B615" s="55">
        <f t="shared" si="64"/>
        <v>0</v>
      </c>
      <c r="C615" s="55"/>
      <c r="D615" s="55"/>
      <c r="E615" s="55">
        <f t="shared" si="65"/>
        <v>0</v>
      </c>
      <c r="F615" s="55">
        <f t="shared" si="66"/>
        <v>0</v>
      </c>
      <c r="G615" s="55">
        <f t="shared" si="67"/>
        <v>0</v>
      </c>
      <c r="H615" s="55" t="str">
        <f t="shared" si="68"/>
        <v/>
      </c>
      <c r="J615" s="61">
        <f t="shared" si="69"/>
        <v>0</v>
      </c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</row>
    <row r="616" spans="1:36" x14ac:dyDescent="0.2">
      <c r="A616" s="61">
        <f t="shared" si="63"/>
        <v>0</v>
      </c>
      <c r="B616" s="55">
        <f t="shared" si="64"/>
        <v>0</v>
      </c>
      <c r="C616" s="55"/>
      <c r="D616" s="55"/>
      <c r="E616" s="55">
        <f t="shared" si="65"/>
        <v>0</v>
      </c>
      <c r="F616" s="55">
        <f t="shared" si="66"/>
        <v>0</v>
      </c>
      <c r="G616" s="55">
        <f t="shared" si="67"/>
        <v>0</v>
      </c>
      <c r="H616" s="55" t="str">
        <f t="shared" si="68"/>
        <v/>
      </c>
      <c r="J616" s="61">
        <f t="shared" si="69"/>
        <v>0</v>
      </c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</row>
    <row r="617" spans="1:36" x14ac:dyDescent="0.2">
      <c r="A617" s="61">
        <f t="shared" si="63"/>
        <v>0</v>
      </c>
      <c r="B617" s="55">
        <f t="shared" si="64"/>
        <v>0</v>
      </c>
      <c r="C617" s="55"/>
      <c r="D617" s="55"/>
      <c r="E617" s="55">
        <f t="shared" si="65"/>
        <v>0</v>
      </c>
      <c r="F617" s="55">
        <f t="shared" si="66"/>
        <v>0</v>
      </c>
      <c r="G617" s="55">
        <f t="shared" si="67"/>
        <v>0</v>
      </c>
      <c r="H617" s="55" t="str">
        <f t="shared" si="68"/>
        <v/>
      </c>
      <c r="J617" s="61">
        <f t="shared" si="69"/>
        <v>0</v>
      </c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</row>
    <row r="618" spans="1:36" x14ac:dyDescent="0.2">
      <c r="A618" s="61">
        <f t="shared" si="63"/>
        <v>0</v>
      </c>
      <c r="B618" s="55">
        <f t="shared" si="64"/>
        <v>0</v>
      </c>
      <c r="C618" s="55"/>
      <c r="D618" s="55"/>
      <c r="E618" s="55">
        <f t="shared" si="65"/>
        <v>0</v>
      </c>
      <c r="F618" s="55">
        <f t="shared" si="66"/>
        <v>0</v>
      </c>
      <c r="G618" s="55">
        <f t="shared" si="67"/>
        <v>0</v>
      </c>
      <c r="H618" s="55" t="str">
        <f t="shared" si="68"/>
        <v/>
      </c>
      <c r="J618" s="61">
        <f t="shared" si="69"/>
        <v>0</v>
      </c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</row>
    <row r="619" spans="1:36" x14ac:dyDescent="0.2">
      <c r="A619" s="61">
        <f t="shared" si="63"/>
        <v>0</v>
      </c>
      <c r="B619" s="55">
        <f t="shared" si="64"/>
        <v>0</v>
      </c>
      <c r="C619" s="55"/>
      <c r="D619" s="55"/>
      <c r="E619" s="55">
        <f t="shared" si="65"/>
        <v>0</v>
      </c>
      <c r="F619" s="55">
        <f t="shared" si="66"/>
        <v>0</v>
      </c>
      <c r="G619" s="55">
        <f t="shared" si="67"/>
        <v>0</v>
      </c>
      <c r="H619" s="55" t="str">
        <f t="shared" si="68"/>
        <v/>
      </c>
      <c r="J619" s="61">
        <f t="shared" si="69"/>
        <v>0</v>
      </c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</row>
    <row r="620" spans="1:36" x14ac:dyDescent="0.2">
      <c r="A620" s="61">
        <f t="shared" si="63"/>
        <v>0</v>
      </c>
      <c r="B620" s="55">
        <f t="shared" si="64"/>
        <v>0</v>
      </c>
      <c r="C620" s="55"/>
      <c r="D620" s="55"/>
      <c r="E620" s="55">
        <f t="shared" si="65"/>
        <v>0</v>
      </c>
      <c r="F620" s="55">
        <f t="shared" si="66"/>
        <v>0</v>
      </c>
      <c r="G620" s="55">
        <f t="shared" si="67"/>
        <v>0</v>
      </c>
      <c r="H620" s="55" t="str">
        <f t="shared" si="68"/>
        <v/>
      </c>
      <c r="J620" s="61">
        <f t="shared" si="69"/>
        <v>0</v>
      </c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</row>
    <row r="621" spans="1:36" x14ac:dyDescent="0.2">
      <c r="A621" s="61">
        <f t="shared" si="63"/>
        <v>0</v>
      </c>
      <c r="B621" s="55">
        <f t="shared" si="64"/>
        <v>0</v>
      </c>
      <c r="C621" s="55"/>
      <c r="D621" s="55"/>
      <c r="E621" s="55">
        <f t="shared" si="65"/>
        <v>0</v>
      </c>
      <c r="F621" s="55">
        <f t="shared" si="66"/>
        <v>0</v>
      </c>
      <c r="G621" s="55">
        <f t="shared" si="67"/>
        <v>0</v>
      </c>
      <c r="H621" s="55" t="str">
        <f t="shared" si="68"/>
        <v/>
      </c>
      <c r="J621" s="61">
        <f t="shared" si="69"/>
        <v>0</v>
      </c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</row>
    <row r="622" spans="1:36" x14ac:dyDescent="0.2">
      <c r="A622" s="61">
        <f t="shared" si="63"/>
        <v>0</v>
      </c>
      <c r="B622" s="55">
        <f t="shared" si="64"/>
        <v>0</v>
      </c>
      <c r="C622" s="55"/>
      <c r="D622" s="55"/>
      <c r="E622" s="55">
        <f t="shared" si="65"/>
        <v>0</v>
      </c>
      <c r="F622" s="55">
        <f t="shared" si="66"/>
        <v>0</v>
      </c>
      <c r="G622" s="55">
        <f t="shared" si="67"/>
        <v>0</v>
      </c>
      <c r="H622" s="55" t="str">
        <f t="shared" si="68"/>
        <v/>
      </c>
      <c r="J622" s="61">
        <f t="shared" si="69"/>
        <v>0</v>
      </c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</row>
    <row r="623" spans="1:36" x14ac:dyDescent="0.2">
      <c r="A623" s="61">
        <f t="shared" si="63"/>
        <v>0</v>
      </c>
      <c r="B623" s="55">
        <f t="shared" si="64"/>
        <v>0</v>
      </c>
      <c r="C623" s="55"/>
      <c r="D623" s="55"/>
      <c r="E623" s="55">
        <f t="shared" si="65"/>
        <v>0</v>
      </c>
      <c r="F623" s="55">
        <f t="shared" si="66"/>
        <v>0</v>
      </c>
      <c r="G623" s="55">
        <f t="shared" si="67"/>
        <v>0</v>
      </c>
      <c r="H623" s="55" t="str">
        <f t="shared" si="68"/>
        <v/>
      </c>
      <c r="J623" s="61">
        <f t="shared" si="69"/>
        <v>0</v>
      </c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</row>
    <row r="624" spans="1:36" x14ac:dyDescent="0.2">
      <c r="A624" s="61">
        <f t="shared" si="63"/>
        <v>0</v>
      </c>
      <c r="B624" s="55">
        <f t="shared" si="64"/>
        <v>0</v>
      </c>
      <c r="C624" s="55"/>
      <c r="D624" s="55"/>
      <c r="E624" s="55">
        <f t="shared" si="65"/>
        <v>0</v>
      </c>
      <c r="F624" s="55">
        <f t="shared" si="66"/>
        <v>0</v>
      </c>
      <c r="G624" s="55">
        <f t="shared" si="67"/>
        <v>0</v>
      </c>
      <c r="H624" s="55" t="str">
        <f t="shared" si="68"/>
        <v/>
      </c>
      <c r="J624" s="61">
        <f t="shared" si="69"/>
        <v>0</v>
      </c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</row>
    <row r="625" spans="1:36" x14ac:dyDescent="0.2">
      <c r="A625" s="61">
        <f t="shared" si="63"/>
        <v>0</v>
      </c>
      <c r="B625" s="55">
        <f t="shared" si="64"/>
        <v>0</v>
      </c>
      <c r="C625" s="55"/>
      <c r="D625" s="55"/>
      <c r="E625" s="55">
        <f t="shared" si="65"/>
        <v>0</v>
      </c>
      <c r="F625" s="55">
        <f t="shared" si="66"/>
        <v>0</v>
      </c>
      <c r="G625" s="55">
        <f t="shared" si="67"/>
        <v>0</v>
      </c>
      <c r="H625" s="55" t="str">
        <f t="shared" si="68"/>
        <v/>
      </c>
      <c r="J625" s="61">
        <f t="shared" si="69"/>
        <v>0</v>
      </c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</row>
    <row r="626" spans="1:36" x14ac:dyDescent="0.2">
      <c r="A626" s="61">
        <f t="shared" si="63"/>
        <v>0</v>
      </c>
      <c r="B626" s="55">
        <f t="shared" si="64"/>
        <v>0</v>
      </c>
      <c r="C626" s="55"/>
      <c r="D626" s="55"/>
      <c r="E626" s="55">
        <f t="shared" si="65"/>
        <v>0</v>
      </c>
      <c r="F626" s="55">
        <f t="shared" si="66"/>
        <v>0</v>
      </c>
      <c r="G626" s="55">
        <f t="shared" si="67"/>
        <v>0</v>
      </c>
      <c r="H626" s="55" t="str">
        <f t="shared" si="68"/>
        <v/>
      </c>
      <c r="J626" s="61">
        <f t="shared" si="69"/>
        <v>0</v>
      </c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</row>
    <row r="627" spans="1:36" x14ac:dyDescent="0.2">
      <c r="A627" s="61">
        <f t="shared" si="63"/>
        <v>0</v>
      </c>
      <c r="B627" s="55">
        <f t="shared" si="64"/>
        <v>0</v>
      </c>
      <c r="C627" s="55"/>
      <c r="D627" s="55"/>
      <c r="E627" s="55">
        <f t="shared" si="65"/>
        <v>0</v>
      </c>
      <c r="F627" s="55">
        <f t="shared" si="66"/>
        <v>0</v>
      </c>
      <c r="G627" s="55">
        <f t="shared" si="67"/>
        <v>0</v>
      </c>
      <c r="H627" s="55" t="str">
        <f t="shared" si="68"/>
        <v/>
      </c>
      <c r="J627" s="61">
        <f t="shared" si="69"/>
        <v>0</v>
      </c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</row>
    <row r="628" spans="1:36" x14ac:dyDescent="0.2">
      <c r="A628" s="61">
        <f t="shared" si="63"/>
        <v>0</v>
      </c>
      <c r="B628" s="55">
        <f t="shared" si="64"/>
        <v>0</v>
      </c>
      <c r="C628" s="55"/>
      <c r="D628" s="55"/>
      <c r="E628" s="55">
        <f t="shared" si="65"/>
        <v>0</v>
      </c>
      <c r="F628" s="55">
        <f t="shared" si="66"/>
        <v>0</v>
      </c>
      <c r="G628" s="55">
        <f t="shared" si="67"/>
        <v>0</v>
      </c>
      <c r="H628" s="55" t="str">
        <f t="shared" si="68"/>
        <v/>
      </c>
      <c r="J628" s="61">
        <f t="shared" si="69"/>
        <v>0</v>
      </c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</row>
    <row r="629" spans="1:36" x14ac:dyDescent="0.2">
      <c r="A629" s="61">
        <f t="shared" si="63"/>
        <v>0</v>
      </c>
      <c r="B629" s="55">
        <f t="shared" si="64"/>
        <v>0</v>
      </c>
      <c r="C629" s="55"/>
      <c r="D629" s="55"/>
      <c r="E629" s="55">
        <f t="shared" si="65"/>
        <v>0</v>
      </c>
      <c r="F629" s="55">
        <f t="shared" si="66"/>
        <v>0</v>
      </c>
      <c r="G629" s="55">
        <f t="shared" si="67"/>
        <v>0</v>
      </c>
      <c r="H629" s="55" t="str">
        <f t="shared" si="68"/>
        <v/>
      </c>
      <c r="J629" s="61">
        <f t="shared" si="69"/>
        <v>0</v>
      </c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</row>
    <row r="630" spans="1:36" x14ac:dyDescent="0.2">
      <c r="A630" s="61">
        <f t="shared" si="63"/>
        <v>0</v>
      </c>
      <c r="B630" s="55">
        <f t="shared" si="64"/>
        <v>0</v>
      </c>
      <c r="C630" s="55"/>
      <c r="D630" s="55"/>
      <c r="E630" s="55">
        <f t="shared" si="65"/>
        <v>0</v>
      </c>
      <c r="F630" s="55">
        <f t="shared" si="66"/>
        <v>0</v>
      </c>
      <c r="G630" s="55">
        <f t="shared" si="67"/>
        <v>0</v>
      </c>
      <c r="H630" s="55" t="str">
        <f t="shared" si="68"/>
        <v/>
      </c>
      <c r="J630" s="61">
        <f t="shared" si="69"/>
        <v>0</v>
      </c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</row>
    <row r="631" spans="1:36" x14ac:dyDescent="0.2">
      <c r="A631" s="61">
        <f t="shared" si="63"/>
        <v>0</v>
      </c>
      <c r="B631" s="55">
        <f t="shared" si="64"/>
        <v>0</v>
      </c>
      <c r="C631" s="55"/>
      <c r="D631" s="55"/>
      <c r="E631" s="55">
        <f t="shared" si="65"/>
        <v>0</v>
      </c>
      <c r="F631" s="55">
        <f t="shared" si="66"/>
        <v>0</v>
      </c>
      <c r="G631" s="55">
        <f t="shared" si="67"/>
        <v>0</v>
      </c>
      <c r="H631" s="55" t="str">
        <f t="shared" si="68"/>
        <v/>
      </c>
      <c r="J631" s="61">
        <f t="shared" si="69"/>
        <v>0</v>
      </c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</row>
    <row r="632" spans="1:36" x14ac:dyDescent="0.2">
      <c r="A632" s="61">
        <f t="shared" si="63"/>
        <v>0</v>
      </c>
      <c r="B632" s="55">
        <f t="shared" si="64"/>
        <v>0</v>
      </c>
      <c r="C632" s="55"/>
      <c r="D632" s="55"/>
      <c r="E632" s="55">
        <f t="shared" si="65"/>
        <v>0</v>
      </c>
      <c r="F632" s="55">
        <f t="shared" si="66"/>
        <v>0</v>
      </c>
      <c r="G632" s="55">
        <f t="shared" si="67"/>
        <v>0</v>
      </c>
      <c r="H632" s="55" t="str">
        <f t="shared" si="68"/>
        <v/>
      </c>
      <c r="J632" s="61">
        <f t="shared" si="69"/>
        <v>0</v>
      </c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</row>
    <row r="633" spans="1:36" x14ac:dyDescent="0.2">
      <c r="A633" s="61">
        <f t="shared" si="63"/>
        <v>0</v>
      </c>
      <c r="B633" s="55">
        <f t="shared" si="64"/>
        <v>0</v>
      </c>
      <c r="C633" s="55"/>
      <c r="D633" s="55"/>
      <c r="E633" s="55">
        <f t="shared" si="65"/>
        <v>0</v>
      </c>
      <c r="F633" s="55">
        <f t="shared" si="66"/>
        <v>0</v>
      </c>
      <c r="G633" s="55">
        <f t="shared" si="67"/>
        <v>0</v>
      </c>
      <c r="H633" s="55" t="str">
        <f t="shared" si="68"/>
        <v/>
      </c>
      <c r="J633" s="61">
        <f t="shared" si="69"/>
        <v>0</v>
      </c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</row>
    <row r="634" spans="1:36" x14ac:dyDescent="0.2">
      <c r="A634" s="61">
        <f t="shared" si="63"/>
        <v>0</v>
      </c>
      <c r="B634" s="55">
        <f t="shared" si="64"/>
        <v>0</v>
      </c>
      <c r="C634" s="55"/>
      <c r="D634" s="55"/>
      <c r="E634" s="55">
        <f t="shared" si="65"/>
        <v>0</v>
      </c>
      <c r="F634" s="55">
        <f t="shared" si="66"/>
        <v>0</v>
      </c>
      <c r="G634" s="55">
        <f t="shared" si="67"/>
        <v>0</v>
      </c>
      <c r="H634" s="55" t="str">
        <f t="shared" si="68"/>
        <v/>
      </c>
      <c r="J634" s="61">
        <f t="shared" si="69"/>
        <v>0</v>
      </c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</row>
    <row r="635" spans="1:36" x14ac:dyDescent="0.2">
      <c r="A635" s="61">
        <f t="shared" si="63"/>
        <v>0</v>
      </c>
      <c r="B635" s="55">
        <f t="shared" si="64"/>
        <v>0</v>
      </c>
      <c r="C635" s="55"/>
      <c r="D635" s="55"/>
      <c r="E635" s="55">
        <f t="shared" si="65"/>
        <v>0</v>
      </c>
      <c r="F635" s="55">
        <f t="shared" si="66"/>
        <v>0</v>
      </c>
      <c r="G635" s="55">
        <f t="shared" si="67"/>
        <v>0</v>
      </c>
      <c r="H635" s="55" t="str">
        <f t="shared" si="68"/>
        <v/>
      </c>
      <c r="J635" s="61">
        <f t="shared" si="69"/>
        <v>0</v>
      </c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</row>
    <row r="636" spans="1:36" x14ac:dyDescent="0.2">
      <c r="A636" s="61">
        <f t="shared" si="63"/>
        <v>0</v>
      </c>
      <c r="B636" s="55">
        <f t="shared" si="64"/>
        <v>0</v>
      </c>
      <c r="C636" s="55"/>
      <c r="D636" s="55"/>
      <c r="E636" s="55">
        <f t="shared" si="65"/>
        <v>0</v>
      </c>
      <c r="F636" s="55">
        <f t="shared" si="66"/>
        <v>0</v>
      </c>
      <c r="G636" s="55">
        <f t="shared" si="67"/>
        <v>0</v>
      </c>
      <c r="H636" s="55" t="str">
        <f t="shared" si="68"/>
        <v/>
      </c>
      <c r="J636" s="61">
        <f t="shared" si="69"/>
        <v>0</v>
      </c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</row>
    <row r="637" spans="1:36" x14ac:dyDescent="0.2">
      <c r="A637" s="61">
        <f t="shared" si="63"/>
        <v>0</v>
      </c>
      <c r="B637" s="55">
        <f t="shared" si="64"/>
        <v>0</v>
      </c>
      <c r="C637" s="55"/>
      <c r="D637" s="55"/>
      <c r="E637" s="55">
        <f t="shared" si="65"/>
        <v>0</v>
      </c>
      <c r="F637" s="55">
        <f t="shared" si="66"/>
        <v>0</v>
      </c>
      <c r="G637" s="55">
        <f t="shared" si="67"/>
        <v>0</v>
      </c>
      <c r="H637" s="55" t="str">
        <f t="shared" si="68"/>
        <v/>
      </c>
      <c r="J637" s="61">
        <f t="shared" si="69"/>
        <v>0</v>
      </c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</row>
    <row r="638" spans="1:36" x14ac:dyDescent="0.2">
      <c r="A638" s="61">
        <f t="shared" si="63"/>
        <v>0</v>
      </c>
      <c r="B638" s="55">
        <f t="shared" si="64"/>
        <v>0</v>
      </c>
      <c r="C638" s="55"/>
      <c r="D638" s="55"/>
      <c r="E638" s="55">
        <f t="shared" si="65"/>
        <v>0</v>
      </c>
      <c r="F638" s="55">
        <f t="shared" si="66"/>
        <v>0</v>
      </c>
      <c r="G638" s="55">
        <f t="shared" si="67"/>
        <v>0</v>
      </c>
      <c r="H638" s="55" t="str">
        <f t="shared" si="68"/>
        <v/>
      </c>
      <c r="J638" s="61">
        <f t="shared" si="69"/>
        <v>0</v>
      </c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</row>
    <row r="639" spans="1:36" x14ac:dyDescent="0.2">
      <c r="A639" s="61">
        <f t="shared" si="63"/>
        <v>0</v>
      </c>
      <c r="B639" s="55">
        <f t="shared" si="64"/>
        <v>0</v>
      </c>
      <c r="C639" s="55"/>
      <c r="D639" s="55"/>
      <c r="E639" s="55">
        <f t="shared" si="65"/>
        <v>0</v>
      </c>
      <c r="F639" s="55">
        <f t="shared" si="66"/>
        <v>0</v>
      </c>
      <c r="G639" s="55">
        <f t="shared" si="67"/>
        <v>0</v>
      </c>
      <c r="H639" s="55" t="str">
        <f t="shared" si="68"/>
        <v/>
      </c>
      <c r="J639" s="61">
        <f t="shared" si="69"/>
        <v>0</v>
      </c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</row>
    <row r="640" spans="1:36" x14ac:dyDescent="0.2">
      <c r="A640" s="61">
        <f t="shared" si="63"/>
        <v>0</v>
      </c>
      <c r="B640" s="55">
        <f t="shared" si="64"/>
        <v>0</v>
      </c>
      <c r="C640" s="55"/>
      <c r="D640" s="55"/>
      <c r="E640" s="55">
        <f t="shared" si="65"/>
        <v>0</v>
      </c>
      <c r="F640" s="55">
        <f t="shared" si="66"/>
        <v>0</v>
      </c>
      <c r="G640" s="55">
        <f t="shared" si="67"/>
        <v>0</v>
      </c>
      <c r="H640" s="55" t="str">
        <f t="shared" si="68"/>
        <v/>
      </c>
      <c r="J640" s="61">
        <f t="shared" si="69"/>
        <v>0</v>
      </c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</row>
    <row r="641" spans="1:36" x14ac:dyDescent="0.2">
      <c r="A641" s="61">
        <f t="shared" si="63"/>
        <v>0</v>
      </c>
      <c r="B641" s="55">
        <f t="shared" si="64"/>
        <v>0</v>
      </c>
      <c r="C641" s="55"/>
      <c r="D641" s="55"/>
      <c r="E641" s="55">
        <f t="shared" si="65"/>
        <v>0</v>
      </c>
      <c r="F641" s="55">
        <f t="shared" si="66"/>
        <v>0</v>
      </c>
      <c r="G641" s="55">
        <f t="shared" si="67"/>
        <v>0</v>
      </c>
      <c r="H641" s="55" t="str">
        <f t="shared" si="68"/>
        <v/>
      </c>
      <c r="J641" s="61">
        <f t="shared" si="69"/>
        <v>0</v>
      </c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</row>
    <row r="642" spans="1:36" x14ac:dyDescent="0.2">
      <c r="A642" s="61">
        <f t="shared" ref="A642:A705" si="70">J642</f>
        <v>0</v>
      </c>
      <c r="B642" s="55">
        <f t="shared" ref="B642:B705" si="71">M642</f>
        <v>0</v>
      </c>
      <c r="C642" s="55"/>
      <c r="D642" s="55"/>
      <c r="E642" s="55">
        <f t="shared" ref="E642:E705" si="72">V642</f>
        <v>0</v>
      </c>
      <c r="F642" s="55">
        <f t="shared" ref="F642:F705" si="73">Z642</f>
        <v>0</v>
      </c>
      <c r="G642" s="55">
        <f t="shared" ref="G642:G705" si="74">AH642</f>
        <v>0</v>
      </c>
      <c r="H642" s="55" t="str">
        <f t="shared" ref="H642:H705" si="75">IF(Q642&gt;1,IF(Q642=2,"I","E"),"")</f>
        <v/>
      </c>
      <c r="J642" s="61">
        <f t="shared" ref="J642:J705" si="76">P642*1</f>
        <v>0</v>
      </c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</row>
    <row r="643" spans="1:36" x14ac:dyDescent="0.2">
      <c r="A643" s="61">
        <f t="shared" si="70"/>
        <v>0</v>
      </c>
      <c r="B643" s="55">
        <f t="shared" si="71"/>
        <v>0</v>
      </c>
      <c r="C643" s="55"/>
      <c r="D643" s="55"/>
      <c r="E643" s="55">
        <f t="shared" si="72"/>
        <v>0</v>
      </c>
      <c r="F643" s="55">
        <f t="shared" si="73"/>
        <v>0</v>
      </c>
      <c r="G643" s="55">
        <f t="shared" si="74"/>
        <v>0</v>
      </c>
      <c r="H643" s="55" t="str">
        <f t="shared" si="75"/>
        <v/>
      </c>
      <c r="J643" s="61">
        <f t="shared" si="76"/>
        <v>0</v>
      </c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</row>
    <row r="644" spans="1:36" x14ac:dyDescent="0.2">
      <c r="A644" s="61">
        <f t="shared" si="70"/>
        <v>0</v>
      </c>
      <c r="B644" s="55">
        <f t="shared" si="71"/>
        <v>0</v>
      </c>
      <c r="C644" s="55"/>
      <c r="D644" s="55"/>
      <c r="E644" s="55">
        <f t="shared" si="72"/>
        <v>0</v>
      </c>
      <c r="F644" s="55">
        <f t="shared" si="73"/>
        <v>0</v>
      </c>
      <c r="G644" s="55">
        <f t="shared" si="74"/>
        <v>0</v>
      </c>
      <c r="H644" s="55" t="str">
        <f t="shared" si="75"/>
        <v/>
      </c>
      <c r="J644" s="61">
        <f t="shared" si="76"/>
        <v>0</v>
      </c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</row>
    <row r="645" spans="1:36" x14ac:dyDescent="0.2">
      <c r="A645" s="61">
        <f t="shared" si="70"/>
        <v>0</v>
      </c>
      <c r="B645" s="55">
        <f t="shared" si="71"/>
        <v>0</v>
      </c>
      <c r="C645" s="55"/>
      <c r="D645" s="55"/>
      <c r="E645" s="55">
        <f t="shared" si="72"/>
        <v>0</v>
      </c>
      <c r="F645" s="55">
        <f t="shared" si="73"/>
        <v>0</v>
      </c>
      <c r="G645" s="55">
        <f t="shared" si="74"/>
        <v>0</v>
      </c>
      <c r="H645" s="55" t="str">
        <f t="shared" si="75"/>
        <v/>
      </c>
      <c r="J645" s="61">
        <f t="shared" si="76"/>
        <v>0</v>
      </c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</row>
    <row r="646" spans="1:36" x14ac:dyDescent="0.2">
      <c r="A646" s="61">
        <f t="shared" si="70"/>
        <v>0</v>
      </c>
      <c r="B646" s="55">
        <f t="shared" si="71"/>
        <v>0</v>
      </c>
      <c r="C646" s="55"/>
      <c r="D646" s="55"/>
      <c r="E646" s="55">
        <f t="shared" si="72"/>
        <v>0</v>
      </c>
      <c r="F646" s="55">
        <f t="shared" si="73"/>
        <v>0</v>
      </c>
      <c r="G646" s="55">
        <f t="shared" si="74"/>
        <v>0</v>
      </c>
      <c r="H646" s="55" t="str">
        <f t="shared" si="75"/>
        <v/>
      </c>
      <c r="J646" s="61">
        <f t="shared" si="76"/>
        <v>0</v>
      </c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</row>
    <row r="647" spans="1:36" x14ac:dyDescent="0.2">
      <c r="A647" s="61">
        <f t="shared" si="70"/>
        <v>0</v>
      </c>
      <c r="B647" s="55">
        <f t="shared" si="71"/>
        <v>0</v>
      </c>
      <c r="C647" s="55"/>
      <c r="D647" s="55"/>
      <c r="E647" s="55">
        <f t="shared" si="72"/>
        <v>0</v>
      </c>
      <c r="F647" s="55">
        <f t="shared" si="73"/>
        <v>0</v>
      </c>
      <c r="G647" s="55">
        <f t="shared" si="74"/>
        <v>0</v>
      </c>
      <c r="H647" s="55" t="str">
        <f t="shared" si="75"/>
        <v/>
      </c>
      <c r="J647" s="61">
        <f t="shared" si="76"/>
        <v>0</v>
      </c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</row>
    <row r="648" spans="1:36" x14ac:dyDescent="0.2">
      <c r="A648" s="61">
        <f t="shared" si="70"/>
        <v>0</v>
      </c>
      <c r="B648" s="55">
        <f t="shared" si="71"/>
        <v>0</v>
      </c>
      <c r="C648" s="55"/>
      <c r="D648" s="55"/>
      <c r="E648" s="55">
        <f t="shared" si="72"/>
        <v>0</v>
      </c>
      <c r="F648" s="55">
        <f t="shared" si="73"/>
        <v>0</v>
      </c>
      <c r="G648" s="55">
        <f t="shared" si="74"/>
        <v>0</v>
      </c>
      <c r="H648" s="55" t="str">
        <f t="shared" si="75"/>
        <v/>
      </c>
      <c r="J648" s="61">
        <f t="shared" si="76"/>
        <v>0</v>
      </c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</row>
    <row r="649" spans="1:36" x14ac:dyDescent="0.2">
      <c r="A649" s="61">
        <f t="shared" si="70"/>
        <v>0</v>
      </c>
      <c r="B649" s="55">
        <f t="shared" si="71"/>
        <v>0</v>
      </c>
      <c r="C649" s="55"/>
      <c r="D649" s="55"/>
      <c r="E649" s="55">
        <f t="shared" si="72"/>
        <v>0</v>
      </c>
      <c r="F649" s="55">
        <f t="shared" si="73"/>
        <v>0</v>
      </c>
      <c r="G649" s="55">
        <f t="shared" si="74"/>
        <v>0</v>
      </c>
      <c r="H649" s="55" t="str">
        <f t="shared" si="75"/>
        <v/>
      </c>
      <c r="J649" s="61">
        <f t="shared" si="76"/>
        <v>0</v>
      </c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</row>
    <row r="650" spans="1:36" x14ac:dyDescent="0.2">
      <c r="A650" s="61">
        <f t="shared" si="70"/>
        <v>0</v>
      </c>
      <c r="B650" s="55">
        <f t="shared" si="71"/>
        <v>0</v>
      </c>
      <c r="C650" s="55"/>
      <c r="D650" s="55"/>
      <c r="E650" s="55">
        <f t="shared" si="72"/>
        <v>0</v>
      </c>
      <c r="F650" s="55">
        <f t="shared" si="73"/>
        <v>0</v>
      </c>
      <c r="G650" s="55">
        <f t="shared" si="74"/>
        <v>0</v>
      </c>
      <c r="H650" s="55" t="str">
        <f t="shared" si="75"/>
        <v/>
      </c>
      <c r="J650" s="61">
        <f t="shared" si="76"/>
        <v>0</v>
      </c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</row>
    <row r="651" spans="1:36" x14ac:dyDescent="0.2">
      <c r="A651" s="61">
        <f t="shared" si="70"/>
        <v>0</v>
      </c>
      <c r="B651" s="55">
        <f t="shared" si="71"/>
        <v>0</v>
      </c>
      <c r="C651" s="55"/>
      <c r="D651" s="55"/>
      <c r="E651" s="55">
        <f t="shared" si="72"/>
        <v>0</v>
      </c>
      <c r="F651" s="55">
        <f t="shared" si="73"/>
        <v>0</v>
      </c>
      <c r="G651" s="55">
        <f t="shared" si="74"/>
        <v>0</v>
      </c>
      <c r="H651" s="55" t="str">
        <f t="shared" si="75"/>
        <v/>
      </c>
      <c r="J651" s="61">
        <f t="shared" si="76"/>
        <v>0</v>
      </c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</row>
    <row r="652" spans="1:36" x14ac:dyDescent="0.2">
      <c r="A652" s="61">
        <f t="shared" si="70"/>
        <v>0</v>
      </c>
      <c r="B652" s="55">
        <f t="shared" si="71"/>
        <v>0</v>
      </c>
      <c r="C652" s="55"/>
      <c r="D652" s="55"/>
      <c r="E652" s="55">
        <f t="shared" si="72"/>
        <v>0</v>
      </c>
      <c r="F652" s="55">
        <f t="shared" si="73"/>
        <v>0</v>
      </c>
      <c r="G652" s="55">
        <f t="shared" si="74"/>
        <v>0</v>
      </c>
      <c r="H652" s="55" t="str">
        <f t="shared" si="75"/>
        <v/>
      </c>
      <c r="J652" s="61">
        <f t="shared" si="76"/>
        <v>0</v>
      </c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</row>
    <row r="653" spans="1:36" x14ac:dyDescent="0.2">
      <c r="A653" s="61">
        <f t="shared" si="70"/>
        <v>0</v>
      </c>
      <c r="B653" s="55">
        <f t="shared" si="71"/>
        <v>0</v>
      </c>
      <c r="C653" s="55"/>
      <c r="D653" s="55"/>
      <c r="E653" s="55">
        <f t="shared" si="72"/>
        <v>0</v>
      </c>
      <c r="F653" s="55">
        <f t="shared" si="73"/>
        <v>0</v>
      </c>
      <c r="G653" s="55">
        <f t="shared" si="74"/>
        <v>0</v>
      </c>
      <c r="H653" s="55" t="str">
        <f t="shared" si="75"/>
        <v/>
      </c>
      <c r="J653" s="61">
        <f t="shared" si="76"/>
        <v>0</v>
      </c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</row>
    <row r="654" spans="1:36" x14ac:dyDescent="0.2">
      <c r="A654" s="61">
        <f t="shared" si="70"/>
        <v>0</v>
      </c>
      <c r="B654" s="55">
        <f t="shared" si="71"/>
        <v>0</v>
      </c>
      <c r="C654" s="55"/>
      <c r="D654" s="55"/>
      <c r="E654" s="55">
        <f t="shared" si="72"/>
        <v>0</v>
      </c>
      <c r="F654" s="55">
        <f t="shared" si="73"/>
        <v>0</v>
      </c>
      <c r="G654" s="55">
        <f t="shared" si="74"/>
        <v>0</v>
      </c>
      <c r="H654" s="55" t="str">
        <f t="shared" si="75"/>
        <v/>
      </c>
      <c r="J654" s="61">
        <f t="shared" si="76"/>
        <v>0</v>
      </c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</row>
    <row r="655" spans="1:36" x14ac:dyDescent="0.2">
      <c r="A655" s="61">
        <f t="shared" si="70"/>
        <v>0</v>
      </c>
      <c r="B655" s="55">
        <f t="shared" si="71"/>
        <v>0</v>
      </c>
      <c r="C655" s="55"/>
      <c r="D655" s="55"/>
      <c r="E655" s="55">
        <f t="shared" si="72"/>
        <v>0</v>
      </c>
      <c r="F655" s="55">
        <f t="shared" si="73"/>
        <v>0</v>
      </c>
      <c r="G655" s="55">
        <f t="shared" si="74"/>
        <v>0</v>
      </c>
      <c r="H655" s="55" t="str">
        <f t="shared" si="75"/>
        <v/>
      </c>
      <c r="J655" s="61">
        <f t="shared" si="76"/>
        <v>0</v>
      </c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</row>
    <row r="656" spans="1:36" x14ac:dyDescent="0.2">
      <c r="A656" s="61">
        <f t="shared" si="70"/>
        <v>0</v>
      </c>
      <c r="B656" s="55">
        <f t="shared" si="71"/>
        <v>0</v>
      </c>
      <c r="C656" s="55"/>
      <c r="D656" s="55"/>
      <c r="E656" s="55">
        <f t="shared" si="72"/>
        <v>0</v>
      </c>
      <c r="F656" s="55">
        <f t="shared" si="73"/>
        <v>0</v>
      </c>
      <c r="G656" s="55">
        <f t="shared" si="74"/>
        <v>0</v>
      </c>
      <c r="H656" s="55" t="str">
        <f t="shared" si="75"/>
        <v/>
      </c>
      <c r="J656" s="61">
        <f t="shared" si="76"/>
        <v>0</v>
      </c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</row>
    <row r="657" spans="1:36" x14ac:dyDescent="0.2">
      <c r="A657" s="61">
        <f t="shared" si="70"/>
        <v>0</v>
      </c>
      <c r="B657" s="55">
        <f t="shared" si="71"/>
        <v>0</v>
      </c>
      <c r="C657" s="55"/>
      <c r="D657" s="55"/>
      <c r="E657" s="55">
        <f t="shared" si="72"/>
        <v>0</v>
      </c>
      <c r="F657" s="55">
        <f t="shared" si="73"/>
        <v>0</v>
      </c>
      <c r="G657" s="55">
        <f t="shared" si="74"/>
        <v>0</v>
      </c>
      <c r="H657" s="55" t="str">
        <f t="shared" si="75"/>
        <v/>
      </c>
      <c r="J657" s="61">
        <f t="shared" si="76"/>
        <v>0</v>
      </c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</row>
    <row r="658" spans="1:36" x14ac:dyDescent="0.2">
      <c r="A658" s="61">
        <f t="shared" si="70"/>
        <v>0</v>
      </c>
      <c r="B658" s="55">
        <f t="shared" si="71"/>
        <v>0</v>
      </c>
      <c r="C658" s="55"/>
      <c r="D658" s="55"/>
      <c r="E658" s="55">
        <f t="shared" si="72"/>
        <v>0</v>
      </c>
      <c r="F658" s="55">
        <f t="shared" si="73"/>
        <v>0</v>
      </c>
      <c r="G658" s="55">
        <f t="shared" si="74"/>
        <v>0</v>
      </c>
      <c r="H658" s="55" t="str">
        <f t="shared" si="75"/>
        <v/>
      </c>
      <c r="J658" s="61">
        <f t="shared" si="76"/>
        <v>0</v>
      </c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</row>
    <row r="659" spans="1:36" x14ac:dyDescent="0.2">
      <c r="A659" s="61">
        <f t="shared" si="70"/>
        <v>0</v>
      </c>
      <c r="B659" s="55">
        <f t="shared" si="71"/>
        <v>0</v>
      </c>
      <c r="C659" s="55"/>
      <c r="D659" s="55"/>
      <c r="E659" s="55">
        <f t="shared" si="72"/>
        <v>0</v>
      </c>
      <c r="F659" s="55">
        <f t="shared" si="73"/>
        <v>0</v>
      </c>
      <c r="G659" s="55">
        <f t="shared" si="74"/>
        <v>0</v>
      </c>
      <c r="H659" s="55" t="str">
        <f t="shared" si="75"/>
        <v/>
      </c>
      <c r="J659" s="61">
        <f t="shared" si="76"/>
        <v>0</v>
      </c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</row>
    <row r="660" spans="1:36" x14ac:dyDescent="0.2">
      <c r="A660" s="61">
        <f t="shared" si="70"/>
        <v>0</v>
      </c>
      <c r="B660" s="55">
        <f t="shared" si="71"/>
        <v>0</v>
      </c>
      <c r="C660" s="55"/>
      <c r="D660" s="55"/>
      <c r="E660" s="55">
        <f t="shared" si="72"/>
        <v>0</v>
      </c>
      <c r="F660" s="55">
        <f t="shared" si="73"/>
        <v>0</v>
      </c>
      <c r="G660" s="55">
        <f t="shared" si="74"/>
        <v>0</v>
      </c>
      <c r="H660" s="55" t="str">
        <f t="shared" si="75"/>
        <v/>
      </c>
      <c r="J660" s="61">
        <f t="shared" si="76"/>
        <v>0</v>
      </c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</row>
    <row r="661" spans="1:36" x14ac:dyDescent="0.2">
      <c r="A661" s="61">
        <f t="shared" si="70"/>
        <v>0</v>
      </c>
      <c r="B661" s="55">
        <f t="shared" si="71"/>
        <v>0</v>
      </c>
      <c r="C661" s="55"/>
      <c r="D661" s="55"/>
      <c r="E661" s="55">
        <f t="shared" si="72"/>
        <v>0</v>
      </c>
      <c r="F661" s="55">
        <f t="shared" si="73"/>
        <v>0</v>
      </c>
      <c r="G661" s="55">
        <f t="shared" si="74"/>
        <v>0</v>
      </c>
      <c r="H661" s="55" t="str">
        <f t="shared" si="75"/>
        <v/>
      </c>
      <c r="J661" s="61">
        <f t="shared" si="76"/>
        <v>0</v>
      </c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</row>
    <row r="662" spans="1:36" x14ac:dyDescent="0.2">
      <c r="A662" s="61">
        <f t="shared" si="70"/>
        <v>0</v>
      </c>
      <c r="B662" s="55">
        <f t="shared" si="71"/>
        <v>0</v>
      </c>
      <c r="C662" s="55"/>
      <c r="D662" s="55"/>
      <c r="E662" s="55">
        <f t="shared" si="72"/>
        <v>0</v>
      </c>
      <c r="F662" s="55">
        <f t="shared" si="73"/>
        <v>0</v>
      </c>
      <c r="G662" s="55">
        <f t="shared" si="74"/>
        <v>0</v>
      </c>
      <c r="H662" s="55" t="str">
        <f t="shared" si="75"/>
        <v/>
      </c>
      <c r="J662" s="61">
        <f t="shared" si="76"/>
        <v>0</v>
      </c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</row>
    <row r="663" spans="1:36" x14ac:dyDescent="0.2">
      <c r="A663" s="61">
        <f t="shared" si="70"/>
        <v>0</v>
      </c>
      <c r="B663" s="55">
        <f t="shared" si="71"/>
        <v>0</v>
      </c>
      <c r="C663" s="55"/>
      <c r="D663" s="55"/>
      <c r="E663" s="55">
        <f t="shared" si="72"/>
        <v>0</v>
      </c>
      <c r="F663" s="55">
        <f t="shared" si="73"/>
        <v>0</v>
      </c>
      <c r="G663" s="55">
        <f t="shared" si="74"/>
        <v>0</v>
      </c>
      <c r="H663" s="55" t="str">
        <f t="shared" si="75"/>
        <v/>
      </c>
      <c r="J663" s="61">
        <f t="shared" si="76"/>
        <v>0</v>
      </c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</row>
    <row r="664" spans="1:36" x14ac:dyDescent="0.2">
      <c r="A664" s="61">
        <f t="shared" si="70"/>
        <v>0</v>
      </c>
      <c r="B664" s="55">
        <f t="shared" si="71"/>
        <v>0</v>
      </c>
      <c r="C664" s="55"/>
      <c r="D664" s="55"/>
      <c r="E664" s="55">
        <f t="shared" si="72"/>
        <v>0</v>
      </c>
      <c r="F664" s="55">
        <f t="shared" si="73"/>
        <v>0</v>
      </c>
      <c r="G664" s="55">
        <f t="shared" si="74"/>
        <v>0</v>
      </c>
      <c r="H664" s="55" t="str">
        <f t="shared" si="75"/>
        <v/>
      </c>
      <c r="J664" s="61">
        <f t="shared" si="76"/>
        <v>0</v>
      </c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</row>
    <row r="665" spans="1:36" x14ac:dyDescent="0.2">
      <c r="A665" s="61">
        <f t="shared" si="70"/>
        <v>0</v>
      </c>
      <c r="B665" s="55">
        <f t="shared" si="71"/>
        <v>0</v>
      </c>
      <c r="C665" s="55"/>
      <c r="D665" s="55"/>
      <c r="E665" s="55">
        <f t="shared" si="72"/>
        <v>0</v>
      </c>
      <c r="F665" s="55">
        <f t="shared" si="73"/>
        <v>0</v>
      </c>
      <c r="G665" s="55">
        <f t="shared" si="74"/>
        <v>0</v>
      </c>
      <c r="H665" s="55" t="str">
        <f t="shared" si="75"/>
        <v/>
      </c>
      <c r="J665" s="61">
        <f t="shared" si="76"/>
        <v>0</v>
      </c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</row>
    <row r="666" spans="1:36" x14ac:dyDescent="0.2">
      <c r="A666" s="61">
        <f t="shared" si="70"/>
        <v>0</v>
      </c>
      <c r="B666" s="55">
        <f t="shared" si="71"/>
        <v>0</v>
      </c>
      <c r="C666" s="55"/>
      <c r="D666" s="55"/>
      <c r="E666" s="55">
        <f t="shared" si="72"/>
        <v>0</v>
      </c>
      <c r="F666" s="55">
        <f t="shared" si="73"/>
        <v>0</v>
      </c>
      <c r="G666" s="55">
        <f t="shared" si="74"/>
        <v>0</v>
      </c>
      <c r="H666" s="55" t="str">
        <f t="shared" si="75"/>
        <v/>
      </c>
      <c r="J666" s="61">
        <f t="shared" si="76"/>
        <v>0</v>
      </c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</row>
    <row r="667" spans="1:36" x14ac:dyDescent="0.2">
      <c r="A667" s="61">
        <f t="shared" si="70"/>
        <v>0</v>
      </c>
      <c r="B667" s="55">
        <f t="shared" si="71"/>
        <v>0</v>
      </c>
      <c r="C667" s="55"/>
      <c r="D667" s="55"/>
      <c r="E667" s="55">
        <f t="shared" si="72"/>
        <v>0</v>
      </c>
      <c r="F667" s="55">
        <f t="shared" si="73"/>
        <v>0</v>
      </c>
      <c r="G667" s="55">
        <f t="shared" si="74"/>
        <v>0</v>
      </c>
      <c r="H667" s="55" t="str">
        <f t="shared" si="75"/>
        <v/>
      </c>
      <c r="J667" s="61">
        <f t="shared" si="76"/>
        <v>0</v>
      </c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</row>
    <row r="668" spans="1:36" x14ac:dyDescent="0.2">
      <c r="A668" s="61">
        <f t="shared" si="70"/>
        <v>0</v>
      </c>
      <c r="B668" s="55">
        <f t="shared" si="71"/>
        <v>0</v>
      </c>
      <c r="C668" s="55"/>
      <c r="D668" s="55"/>
      <c r="E668" s="55">
        <f t="shared" si="72"/>
        <v>0</v>
      </c>
      <c r="F668" s="55">
        <f t="shared" si="73"/>
        <v>0</v>
      </c>
      <c r="G668" s="55">
        <f t="shared" si="74"/>
        <v>0</v>
      </c>
      <c r="H668" s="55" t="str">
        <f t="shared" si="75"/>
        <v/>
      </c>
      <c r="J668" s="61">
        <f t="shared" si="76"/>
        <v>0</v>
      </c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</row>
    <row r="669" spans="1:36" x14ac:dyDescent="0.2">
      <c r="A669" s="61">
        <f t="shared" si="70"/>
        <v>0</v>
      </c>
      <c r="B669" s="55">
        <f t="shared" si="71"/>
        <v>0</v>
      </c>
      <c r="C669" s="55"/>
      <c r="D669" s="55"/>
      <c r="E669" s="55">
        <f t="shared" si="72"/>
        <v>0</v>
      </c>
      <c r="F669" s="55">
        <f t="shared" si="73"/>
        <v>0</v>
      </c>
      <c r="G669" s="55">
        <f t="shared" si="74"/>
        <v>0</v>
      </c>
      <c r="H669" s="55" t="str">
        <f t="shared" si="75"/>
        <v/>
      </c>
      <c r="J669" s="61">
        <f t="shared" si="76"/>
        <v>0</v>
      </c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</row>
    <row r="670" spans="1:36" x14ac:dyDescent="0.2">
      <c r="A670" s="61">
        <f t="shared" si="70"/>
        <v>0</v>
      </c>
      <c r="B670" s="55">
        <f t="shared" si="71"/>
        <v>0</v>
      </c>
      <c r="C670" s="55"/>
      <c r="D670" s="55"/>
      <c r="E670" s="55">
        <f t="shared" si="72"/>
        <v>0</v>
      </c>
      <c r="F670" s="55">
        <f t="shared" si="73"/>
        <v>0</v>
      </c>
      <c r="G670" s="55">
        <f t="shared" si="74"/>
        <v>0</v>
      </c>
      <c r="H670" s="55" t="str">
        <f t="shared" si="75"/>
        <v/>
      </c>
      <c r="J670" s="61">
        <f t="shared" si="76"/>
        <v>0</v>
      </c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</row>
    <row r="671" spans="1:36" x14ac:dyDescent="0.2">
      <c r="A671" s="61">
        <f t="shared" si="70"/>
        <v>0</v>
      </c>
      <c r="B671" s="55">
        <f t="shared" si="71"/>
        <v>0</v>
      </c>
      <c r="C671" s="55"/>
      <c r="D671" s="55"/>
      <c r="E671" s="55">
        <f t="shared" si="72"/>
        <v>0</v>
      </c>
      <c r="F671" s="55">
        <f t="shared" si="73"/>
        <v>0</v>
      </c>
      <c r="G671" s="55">
        <f t="shared" si="74"/>
        <v>0</v>
      </c>
      <c r="H671" s="55" t="str">
        <f t="shared" si="75"/>
        <v/>
      </c>
      <c r="J671" s="61">
        <f t="shared" si="76"/>
        <v>0</v>
      </c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</row>
    <row r="672" spans="1:36" x14ac:dyDescent="0.2">
      <c r="A672" s="61">
        <f t="shared" si="70"/>
        <v>0</v>
      </c>
      <c r="B672" s="55">
        <f t="shared" si="71"/>
        <v>0</v>
      </c>
      <c r="C672" s="55"/>
      <c r="D672" s="55"/>
      <c r="E672" s="55">
        <f t="shared" si="72"/>
        <v>0</v>
      </c>
      <c r="F672" s="55">
        <f t="shared" si="73"/>
        <v>0</v>
      </c>
      <c r="G672" s="55">
        <f t="shared" si="74"/>
        <v>0</v>
      </c>
      <c r="H672" s="55" t="str">
        <f t="shared" si="75"/>
        <v/>
      </c>
      <c r="J672" s="61">
        <f t="shared" si="76"/>
        <v>0</v>
      </c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</row>
    <row r="673" spans="1:36" x14ac:dyDescent="0.2">
      <c r="A673" s="61">
        <f t="shared" si="70"/>
        <v>0</v>
      </c>
      <c r="B673" s="55">
        <f t="shared" si="71"/>
        <v>0</v>
      </c>
      <c r="C673" s="55"/>
      <c r="D673" s="55"/>
      <c r="E673" s="55">
        <f t="shared" si="72"/>
        <v>0</v>
      </c>
      <c r="F673" s="55">
        <f t="shared" si="73"/>
        <v>0</v>
      </c>
      <c r="G673" s="55">
        <f t="shared" si="74"/>
        <v>0</v>
      </c>
      <c r="H673" s="55" t="str">
        <f t="shared" si="75"/>
        <v/>
      </c>
      <c r="J673" s="61">
        <f t="shared" si="76"/>
        <v>0</v>
      </c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</row>
    <row r="674" spans="1:36" x14ac:dyDescent="0.2">
      <c r="A674" s="61">
        <f t="shared" si="70"/>
        <v>0</v>
      </c>
      <c r="B674" s="55">
        <f t="shared" si="71"/>
        <v>0</v>
      </c>
      <c r="C674" s="55"/>
      <c r="D674" s="55"/>
      <c r="E674" s="55">
        <f t="shared" si="72"/>
        <v>0</v>
      </c>
      <c r="F674" s="55">
        <f t="shared" si="73"/>
        <v>0</v>
      </c>
      <c r="G674" s="55">
        <f t="shared" si="74"/>
        <v>0</v>
      </c>
      <c r="H674" s="55" t="str">
        <f t="shared" si="75"/>
        <v/>
      </c>
      <c r="J674" s="61">
        <f t="shared" si="76"/>
        <v>0</v>
      </c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</row>
    <row r="675" spans="1:36" x14ac:dyDescent="0.2">
      <c r="A675" s="61">
        <f t="shared" si="70"/>
        <v>0</v>
      </c>
      <c r="B675" s="55">
        <f t="shared" si="71"/>
        <v>0</v>
      </c>
      <c r="C675" s="55"/>
      <c r="D675" s="55"/>
      <c r="E675" s="55">
        <f t="shared" si="72"/>
        <v>0</v>
      </c>
      <c r="F675" s="55">
        <f t="shared" si="73"/>
        <v>0</v>
      </c>
      <c r="G675" s="55">
        <f t="shared" si="74"/>
        <v>0</v>
      </c>
      <c r="H675" s="55" t="str">
        <f t="shared" si="75"/>
        <v/>
      </c>
      <c r="J675" s="61">
        <f t="shared" si="76"/>
        <v>0</v>
      </c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</row>
    <row r="676" spans="1:36" x14ac:dyDescent="0.2">
      <c r="A676" s="61">
        <f t="shared" si="70"/>
        <v>0</v>
      </c>
      <c r="B676" s="55">
        <f t="shared" si="71"/>
        <v>0</v>
      </c>
      <c r="C676" s="55"/>
      <c r="D676" s="55"/>
      <c r="E676" s="55">
        <f t="shared" si="72"/>
        <v>0</v>
      </c>
      <c r="F676" s="55">
        <f t="shared" si="73"/>
        <v>0</v>
      </c>
      <c r="G676" s="55">
        <f t="shared" si="74"/>
        <v>0</v>
      </c>
      <c r="H676" s="55" t="str">
        <f t="shared" si="75"/>
        <v/>
      </c>
      <c r="J676" s="61">
        <f t="shared" si="76"/>
        <v>0</v>
      </c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</row>
    <row r="677" spans="1:36" x14ac:dyDescent="0.2">
      <c r="A677" s="61">
        <f t="shared" si="70"/>
        <v>0</v>
      </c>
      <c r="B677" s="55">
        <f t="shared" si="71"/>
        <v>0</v>
      </c>
      <c r="C677" s="55"/>
      <c r="D677" s="55"/>
      <c r="E677" s="55">
        <f t="shared" si="72"/>
        <v>0</v>
      </c>
      <c r="F677" s="55">
        <f t="shared" si="73"/>
        <v>0</v>
      </c>
      <c r="G677" s="55">
        <f t="shared" si="74"/>
        <v>0</v>
      </c>
      <c r="H677" s="55" t="str">
        <f t="shared" si="75"/>
        <v/>
      </c>
      <c r="J677" s="61">
        <f t="shared" si="76"/>
        <v>0</v>
      </c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</row>
    <row r="678" spans="1:36" x14ac:dyDescent="0.2">
      <c r="A678" s="61">
        <f t="shared" si="70"/>
        <v>0</v>
      </c>
      <c r="B678" s="55">
        <f t="shared" si="71"/>
        <v>0</v>
      </c>
      <c r="C678" s="55"/>
      <c r="D678" s="55"/>
      <c r="E678" s="55">
        <f t="shared" si="72"/>
        <v>0</v>
      </c>
      <c r="F678" s="55">
        <f t="shared" si="73"/>
        <v>0</v>
      </c>
      <c r="G678" s="55">
        <f t="shared" si="74"/>
        <v>0</v>
      </c>
      <c r="H678" s="55" t="str">
        <f t="shared" si="75"/>
        <v/>
      </c>
      <c r="J678" s="61">
        <f t="shared" si="76"/>
        <v>0</v>
      </c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</row>
    <row r="679" spans="1:36" x14ac:dyDescent="0.2">
      <c r="A679" s="61">
        <f t="shared" si="70"/>
        <v>0</v>
      </c>
      <c r="B679" s="55">
        <f t="shared" si="71"/>
        <v>0</v>
      </c>
      <c r="C679" s="55"/>
      <c r="D679" s="55"/>
      <c r="E679" s="55">
        <f t="shared" si="72"/>
        <v>0</v>
      </c>
      <c r="F679" s="55">
        <f t="shared" si="73"/>
        <v>0</v>
      </c>
      <c r="G679" s="55">
        <f t="shared" si="74"/>
        <v>0</v>
      </c>
      <c r="H679" s="55" t="str">
        <f t="shared" si="75"/>
        <v/>
      </c>
      <c r="J679" s="61">
        <f t="shared" si="76"/>
        <v>0</v>
      </c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</row>
    <row r="680" spans="1:36" x14ac:dyDescent="0.2">
      <c r="A680" s="61">
        <f t="shared" si="70"/>
        <v>0</v>
      </c>
      <c r="B680" s="55">
        <f t="shared" si="71"/>
        <v>0</v>
      </c>
      <c r="C680" s="55"/>
      <c r="D680" s="55"/>
      <c r="E680" s="55">
        <f t="shared" si="72"/>
        <v>0</v>
      </c>
      <c r="F680" s="55">
        <f t="shared" si="73"/>
        <v>0</v>
      </c>
      <c r="G680" s="55">
        <f t="shared" si="74"/>
        <v>0</v>
      </c>
      <c r="H680" s="55" t="str">
        <f t="shared" si="75"/>
        <v/>
      </c>
      <c r="J680" s="61">
        <f t="shared" si="76"/>
        <v>0</v>
      </c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</row>
    <row r="681" spans="1:36" x14ac:dyDescent="0.2">
      <c r="A681" s="61">
        <f t="shared" si="70"/>
        <v>0</v>
      </c>
      <c r="B681" s="55">
        <f t="shared" si="71"/>
        <v>0</v>
      </c>
      <c r="C681" s="55"/>
      <c r="D681" s="55"/>
      <c r="E681" s="55">
        <f t="shared" si="72"/>
        <v>0</v>
      </c>
      <c r="F681" s="55">
        <f t="shared" si="73"/>
        <v>0</v>
      </c>
      <c r="G681" s="55">
        <f t="shared" si="74"/>
        <v>0</v>
      </c>
      <c r="H681" s="55" t="str">
        <f t="shared" si="75"/>
        <v/>
      </c>
      <c r="J681" s="61">
        <f t="shared" si="76"/>
        <v>0</v>
      </c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</row>
    <row r="682" spans="1:36" x14ac:dyDescent="0.2">
      <c r="A682" s="61">
        <f t="shared" si="70"/>
        <v>0</v>
      </c>
      <c r="B682" s="55">
        <f t="shared" si="71"/>
        <v>0</v>
      </c>
      <c r="C682" s="55"/>
      <c r="D682" s="55"/>
      <c r="E682" s="55">
        <f t="shared" si="72"/>
        <v>0</v>
      </c>
      <c r="F682" s="55">
        <f t="shared" si="73"/>
        <v>0</v>
      </c>
      <c r="G682" s="55">
        <f t="shared" si="74"/>
        <v>0</v>
      </c>
      <c r="H682" s="55" t="str">
        <f t="shared" si="75"/>
        <v/>
      </c>
      <c r="J682" s="61">
        <f t="shared" si="76"/>
        <v>0</v>
      </c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</row>
    <row r="683" spans="1:36" x14ac:dyDescent="0.2">
      <c r="A683" s="61">
        <f t="shared" si="70"/>
        <v>0</v>
      </c>
      <c r="B683" s="55">
        <f t="shared" si="71"/>
        <v>0</v>
      </c>
      <c r="C683" s="55"/>
      <c r="D683" s="55"/>
      <c r="E683" s="55">
        <f t="shared" si="72"/>
        <v>0</v>
      </c>
      <c r="F683" s="55">
        <f t="shared" si="73"/>
        <v>0</v>
      </c>
      <c r="G683" s="55">
        <f t="shared" si="74"/>
        <v>0</v>
      </c>
      <c r="H683" s="55" t="str">
        <f t="shared" si="75"/>
        <v/>
      </c>
      <c r="J683" s="61">
        <f t="shared" si="76"/>
        <v>0</v>
      </c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</row>
    <row r="684" spans="1:36" x14ac:dyDescent="0.2">
      <c r="A684" s="61">
        <f t="shared" si="70"/>
        <v>0</v>
      </c>
      <c r="B684" s="55">
        <f t="shared" si="71"/>
        <v>0</v>
      </c>
      <c r="C684" s="55"/>
      <c r="D684" s="55"/>
      <c r="E684" s="55">
        <f t="shared" si="72"/>
        <v>0</v>
      </c>
      <c r="F684" s="55">
        <f t="shared" si="73"/>
        <v>0</v>
      </c>
      <c r="G684" s="55">
        <f t="shared" si="74"/>
        <v>0</v>
      </c>
      <c r="H684" s="55" t="str">
        <f t="shared" si="75"/>
        <v/>
      </c>
      <c r="J684" s="61">
        <f t="shared" si="76"/>
        <v>0</v>
      </c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</row>
    <row r="685" spans="1:36" x14ac:dyDescent="0.2">
      <c r="A685" s="61">
        <f t="shared" si="70"/>
        <v>0</v>
      </c>
      <c r="B685" s="55">
        <f t="shared" si="71"/>
        <v>0</v>
      </c>
      <c r="C685" s="55"/>
      <c r="D685" s="55"/>
      <c r="E685" s="55">
        <f t="shared" si="72"/>
        <v>0</v>
      </c>
      <c r="F685" s="55">
        <f t="shared" si="73"/>
        <v>0</v>
      </c>
      <c r="G685" s="55">
        <f t="shared" si="74"/>
        <v>0</v>
      </c>
      <c r="H685" s="55" t="str">
        <f t="shared" si="75"/>
        <v/>
      </c>
      <c r="J685" s="61">
        <f t="shared" si="76"/>
        <v>0</v>
      </c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</row>
    <row r="686" spans="1:36" x14ac:dyDescent="0.2">
      <c r="A686" s="61">
        <f t="shared" si="70"/>
        <v>0</v>
      </c>
      <c r="B686" s="55">
        <f t="shared" si="71"/>
        <v>0</v>
      </c>
      <c r="C686" s="55"/>
      <c r="D686" s="55"/>
      <c r="E686" s="55">
        <f t="shared" si="72"/>
        <v>0</v>
      </c>
      <c r="F686" s="55">
        <f t="shared" si="73"/>
        <v>0</v>
      </c>
      <c r="G686" s="55">
        <f t="shared" si="74"/>
        <v>0</v>
      </c>
      <c r="H686" s="55" t="str">
        <f t="shared" si="75"/>
        <v/>
      </c>
      <c r="J686" s="61">
        <f t="shared" si="76"/>
        <v>0</v>
      </c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</row>
    <row r="687" spans="1:36" x14ac:dyDescent="0.2">
      <c r="A687" s="61">
        <f t="shared" si="70"/>
        <v>0</v>
      </c>
      <c r="B687" s="55">
        <f t="shared" si="71"/>
        <v>0</v>
      </c>
      <c r="C687" s="55"/>
      <c r="D687" s="55"/>
      <c r="E687" s="55">
        <f t="shared" si="72"/>
        <v>0</v>
      </c>
      <c r="F687" s="55">
        <f t="shared" si="73"/>
        <v>0</v>
      </c>
      <c r="G687" s="55">
        <f t="shared" si="74"/>
        <v>0</v>
      </c>
      <c r="H687" s="55" t="str">
        <f t="shared" si="75"/>
        <v/>
      </c>
      <c r="J687" s="61">
        <f t="shared" si="76"/>
        <v>0</v>
      </c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</row>
    <row r="688" spans="1:36" x14ac:dyDescent="0.2">
      <c r="A688" s="61">
        <f t="shared" si="70"/>
        <v>0</v>
      </c>
      <c r="B688" s="55">
        <f t="shared" si="71"/>
        <v>0</v>
      </c>
      <c r="C688" s="55"/>
      <c r="D688" s="55"/>
      <c r="E688" s="55">
        <f t="shared" si="72"/>
        <v>0</v>
      </c>
      <c r="F688" s="55">
        <f t="shared" si="73"/>
        <v>0</v>
      </c>
      <c r="G688" s="55">
        <f t="shared" si="74"/>
        <v>0</v>
      </c>
      <c r="H688" s="55" t="str">
        <f t="shared" si="75"/>
        <v/>
      </c>
      <c r="J688" s="61">
        <f t="shared" si="76"/>
        <v>0</v>
      </c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</row>
    <row r="689" spans="1:36" x14ac:dyDescent="0.2">
      <c r="A689" s="61">
        <f t="shared" si="70"/>
        <v>0</v>
      </c>
      <c r="B689" s="55">
        <f t="shared" si="71"/>
        <v>0</v>
      </c>
      <c r="C689" s="55"/>
      <c r="D689" s="55"/>
      <c r="E689" s="55">
        <f t="shared" si="72"/>
        <v>0</v>
      </c>
      <c r="F689" s="55">
        <f t="shared" si="73"/>
        <v>0</v>
      </c>
      <c r="G689" s="55">
        <f t="shared" si="74"/>
        <v>0</v>
      </c>
      <c r="H689" s="55" t="str">
        <f t="shared" si="75"/>
        <v/>
      </c>
      <c r="J689" s="61">
        <f t="shared" si="76"/>
        <v>0</v>
      </c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</row>
    <row r="690" spans="1:36" x14ac:dyDescent="0.2">
      <c r="A690" s="61">
        <f t="shared" si="70"/>
        <v>0</v>
      </c>
      <c r="B690" s="55">
        <f t="shared" si="71"/>
        <v>0</v>
      </c>
      <c r="C690" s="55"/>
      <c r="D690" s="55"/>
      <c r="E690" s="55">
        <f t="shared" si="72"/>
        <v>0</v>
      </c>
      <c r="F690" s="55">
        <f t="shared" si="73"/>
        <v>0</v>
      </c>
      <c r="G690" s="55">
        <f t="shared" si="74"/>
        <v>0</v>
      </c>
      <c r="H690" s="55" t="str">
        <f t="shared" si="75"/>
        <v/>
      </c>
      <c r="J690" s="61">
        <f t="shared" si="76"/>
        <v>0</v>
      </c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</row>
    <row r="691" spans="1:36" x14ac:dyDescent="0.2">
      <c r="A691" s="61">
        <f t="shared" si="70"/>
        <v>0</v>
      </c>
      <c r="B691" s="55">
        <f t="shared" si="71"/>
        <v>0</v>
      </c>
      <c r="C691" s="55"/>
      <c r="D691" s="55"/>
      <c r="E691" s="55">
        <f t="shared" si="72"/>
        <v>0</v>
      </c>
      <c r="F691" s="55">
        <f t="shared" si="73"/>
        <v>0</v>
      </c>
      <c r="G691" s="55">
        <f t="shared" si="74"/>
        <v>0</v>
      </c>
      <c r="H691" s="55" t="str">
        <f t="shared" si="75"/>
        <v/>
      </c>
      <c r="J691" s="61">
        <f t="shared" si="76"/>
        <v>0</v>
      </c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</row>
    <row r="692" spans="1:36" x14ac:dyDescent="0.2">
      <c r="A692" s="61">
        <f t="shared" si="70"/>
        <v>0</v>
      </c>
      <c r="B692" s="55">
        <f t="shared" si="71"/>
        <v>0</v>
      </c>
      <c r="C692" s="55"/>
      <c r="D692" s="55"/>
      <c r="E692" s="55">
        <f t="shared" si="72"/>
        <v>0</v>
      </c>
      <c r="F692" s="55">
        <f t="shared" si="73"/>
        <v>0</v>
      </c>
      <c r="G692" s="55">
        <f t="shared" si="74"/>
        <v>0</v>
      </c>
      <c r="H692" s="55" t="str">
        <f t="shared" si="75"/>
        <v/>
      </c>
      <c r="J692" s="61">
        <f t="shared" si="76"/>
        <v>0</v>
      </c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</row>
    <row r="693" spans="1:36" x14ac:dyDescent="0.2">
      <c r="A693" s="61">
        <f t="shared" si="70"/>
        <v>0</v>
      </c>
      <c r="B693" s="55">
        <f t="shared" si="71"/>
        <v>0</v>
      </c>
      <c r="C693" s="55"/>
      <c r="D693" s="55"/>
      <c r="E693" s="55">
        <f t="shared" si="72"/>
        <v>0</v>
      </c>
      <c r="F693" s="55">
        <f t="shared" si="73"/>
        <v>0</v>
      </c>
      <c r="G693" s="55">
        <f t="shared" si="74"/>
        <v>0</v>
      </c>
      <c r="H693" s="55" t="str">
        <f t="shared" si="75"/>
        <v/>
      </c>
      <c r="J693" s="61">
        <f t="shared" si="76"/>
        <v>0</v>
      </c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</row>
    <row r="694" spans="1:36" x14ac:dyDescent="0.2">
      <c r="A694" s="61">
        <f t="shared" si="70"/>
        <v>0</v>
      </c>
      <c r="B694" s="55">
        <f t="shared" si="71"/>
        <v>0</v>
      </c>
      <c r="C694" s="55"/>
      <c r="D694" s="55"/>
      <c r="E694" s="55">
        <f t="shared" si="72"/>
        <v>0</v>
      </c>
      <c r="F694" s="55">
        <f t="shared" si="73"/>
        <v>0</v>
      </c>
      <c r="G694" s="55">
        <f t="shared" si="74"/>
        <v>0</v>
      </c>
      <c r="H694" s="55" t="str">
        <f t="shared" si="75"/>
        <v/>
      </c>
      <c r="J694" s="61">
        <f t="shared" si="76"/>
        <v>0</v>
      </c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</row>
    <row r="695" spans="1:36" x14ac:dyDescent="0.2">
      <c r="A695" s="61">
        <f t="shared" si="70"/>
        <v>0</v>
      </c>
      <c r="B695" s="55">
        <f t="shared" si="71"/>
        <v>0</v>
      </c>
      <c r="C695" s="55"/>
      <c r="D695" s="55"/>
      <c r="E695" s="55">
        <f t="shared" si="72"/>
        <v>0</v>
      </c>
      <c r="F695" s="55">
        <f t="shared" si="73"/>
        <v>0</v>
      </c>
      <c r="G695" s="55">
        <f t="shared" si="74"/>
        <v>0</v>
      </c>
      <c r="H695" s="55" t="str">
        <f t="shared" si="75"/>
        <v/>
      </c>
      <c r="J695" s="61">
        <f t="shared" si="76"/>
        <v>0</v>
      </c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</row>
    <row r="696" spans="1:36" x14ac:dyDescent="0.2">
      <c r="A696" s="61">
        <f t="shared" si="70"/>
        <v>0</v>
      </c>
      <c r="B696" s="55">
        <f t="shared" si="71"/>
        <v>0</v>
      </c>
      <c r="C696" s="55"/>
      <c r="D696" s="55"/>
      <c r="E696" s="55">
        <f t="shared" si="72"/>
        <v>0</v>
      </c>
      <c r="F696" s="55">
        <f t="shared" si="73"/>
        <v>0</v>
      </c>
      <c r="G696" s="55">
        <f t="shared" si="74"/>
        <v>0</v>
      </c>
      <c r="H696" s="55" t="str">
        <f t="shared" si="75"/>
        <v/>
      </c>
      <c r="J696" s="61">
        <f t="shared" si="76"/>
        <v>0</v>
      </c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</row>
    <row r="697" spans="1:36" x14ac:dyDescent="0.2">
      <c r="A697" s="61">
        <f t="shared" si="70"/>
        <v>0</v>
      </c>
      <c r="B697" s="55">
        <f t="shared" si="71"/>
        <v>0</v>
      </c>
      <c r="C697" s="55"/>
      <c r="D697" s="55"/>
      <c r="E697" s="55">
        <f t="shared" si="72"/>
        <v>0</v>
      </c>
      <c r="F697" s="55">
        <f t="shared" si="73"/>
        <v>0</v>
      </c>
      <c r="G697" s="55">
        <f t="shared" si="74"/>
        <v>0</v>
      </c>
      <c r="H697" s="55" t="str">
        <f t="shared" si="75"/>
        <v/>
      </c>
      <c r="J697" s="61">
        <f t="shared" si="76"/>
        <v>0</v>
      </c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</row>
    <row r="698" spans="1:36" x14ac:dyDescent="0.2">
      <c r="A698" s="61">
        <f t="shared" si="70"/>
        <v>0</v>
      </c>
      <c r="B698" s="55">
        <f t="shared" si="71"/>
        <v>0</v>
      </c>
      <c r="C698" s="55"/>
      <c r="D698" s="55"/>
      <c r="E698" s="55">
        <f t="shared" si="72"/>
        <v>0</v>
      </c>
      <c r="F698" s="55">
        <f t="shared" si="73"/>
        <v>0</v>
      </c>
      <c r="G698" s="55">
        <f t="shared" si="74"/>
        <v>0</v>
      </c>
      <c r="H698" s="55" t="str">
        <f t="shared" si="75"/>
        <v/>
      </c>
      <c r="J698" s="61">
        <f t="shared" si="76"/>
        <v>0</v>
      </c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</row>
    <row r="699" spans="1:36" x14ac:dyDescent="0.2">
      <c r="A699" s="61">
        <f t="shared" si="70"/>
        <v>0</v>
      </c>
      <c r="B699" s="55">
        <f t="shared" si="71"/>
        <v>0</v>
      </c>
      <c r="C699" s="55"/>
      <c r="D699" s="55"/>
      <c r="E699" s="55">
        <f t="shared" si="72"/>
        <v>0</v>
      </c>
      <c r="F699" s="55">
        <f t="shared" si="73"/>
        <v>0</v>
      </c>
      <c r="G699" s="55">
        <f t="shared" si="74"/>
        <v>0</v>
      </c>
      <c r="H699" s="55" t="str">
        <f t="shared" si="75"/>
        <v/>
      </c>
      <c r="J699" s="61">
        <f t="shared" si="76"/>
        <v>0</v>
      </c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</row>
    <row r="700" spans="1:36" x14ac:dyDescent="0.2">
      <c r="A700" s="61">
        <f t="shared" si="70"/>
        <v>0</v>
      </c>
      <c r="B700" s="55">
        <f t="shared" si="71"/>
        <v>0</v>
      </c>
      <c r="C700" s="55"/>
      <c r="D700" s="55"/>
      <c r="E700" s="55">
        <f t="shared" si="72"/>
        <v>0</v>
      </c>
      <c r="F700" s="55">
        <f t="shared" si="73"/>
        <v>0</v>
      </c>
      <c r="G700" s="55">
        <f t="shared" si="74"/>
        <v>0</v>
      </c>
      <c r="H700" s="55" t="str">
        <f t="shared" si="75"/>
        <v/>
      </c>
      <c r="J700" s="61">
        <f t="shared" si="76"/>
        <v>0</v>
      </c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</row>
    <row r="701" spans="1:36" x14ac:dyDescent="0.2">
      <c r="A701" s="61">
        <f t="shared" si="70"/>
        <v>0</v>
      </c>
      <c r="B701" s="55">
        <f t="shared" si="71"/>
        <v>0</v>
      </c>
      <c r="C701" s="55"/>
      <c r="D701" s="55"/>
      <c r="E701" s="55">
        <f t="shared" si="72"/>
        <v>0</v>
      </c>
      <c r="F701" s="55">
        <f t="shared" si="73"/>
        <v>0</v>
      </c>
      <c r="G701" s="55">
        <f t="shared" si="74"/>
        <v>0</v>
      </c>
      <c r="H701" s="55" t="str">
        <f t="shared" si="75"/>
        <v/>
      </c>
      <c r="J701" s="61">
        <f t="shared" si="76"/>
        <v>0</v>
      </c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</row>
    <row r="702" spans="1:36" x14ac:dyDescent="0.2">
      <c r="A702" s="61">
        <f t="shared" si="70"/>
        <v>0</v>
      </c>
      <c r="B702" s="55">
        <f t="shared" si="71"/>
        <v>0</v>
      </c>
      <c r="C702" s="55"/>
      <c r="D702" s="55"/>
      <c r="E702" s="55">
        <f t="shared" si="72"/>
        <v>0</v>
      </c>
      <c r="F702" s="55">
        <f t="shared" si="73"/>
        <v>0</v>
      </c>
      <c r="G702" s="55">
        <f t="shared" si="74"/>
        <v>0</v>
      </c>
      <c r="H702" s="55" t="str">
        <f t="shared" si="75"/>
        <v/>
      </c>
      <c r="J702" s="61">
        <f t="shared" si="76"/>
        <v>0</v>
      </c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</row>
    <row r="703" spans="1:36" x14ac:dyDescent="0.2">
      <c r="A703" s="61">
        <f t="shared" si="70"/>
        <v>0</v>
      </c>
      <c r="B703" s="55">
        <f t="shared" si="71"/>
        <v>0</v>
      </c>
      <c r="C703" s="55"/>
      <c r="D703" s="55"/>
      <c r="E703" s="55">
        <f t="shared" si="72"/>
        <v>0</v>
      </c>
      <c r="F703" s="55">
        <f t="shared" si="73"/>
        <v>0</v>
      </c>
      <c r="G703" s="55">
        <f t="shared" si="74"/>
        <v>0</v>
      </c>
      <c r="H703" s="55" t="str">
        <f t="shared" si="75"/>
        <v/>
      </c>
      <c r="J703" s="61">
        <f t="shared" si="76"/>
        <v>0</v>
      </c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</row>
    <row r="704" spans="1:36" x14ac:dyDescent="0.2">
      <c r="A704" s="61">
        <f t="shared" si="70"/>
        <v>0</v>
      </c>
      <c r="B704" s="55">
        <f t="shared" si="71"/>
        <v>0</v>
      </c>
      <c r="C704" s="55"/>
      <c r="D704" s="55"/>
      <c r="E704" s="55">
        <f t="shared" si="72"/>
        <v>0</v>
      </c>
      <c r="F704" s="55">
        <f t="shared" si="73"/>
        <v>0</v>
      </c>
      <c r="G704" s="55">
        <f t="shared" si="74"/>
        <v>0</v>
      </c>
      <c r="H704" s="55" t="str">
        <f t="shared" si="75"/>
        <v/>
      </c>
      <c r="J704" s="61">
        <f t="shared" si="76"/>
        <v>0</v>
      </c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</row>
    <row r="705" spans="1:36" x14ac:dyDescent="0.2">
      <c r="A705" s="61">
        <f t="shared" si="70"/>
        <v>0</v>
      </c>
      <c r="B705" s="55">
        <f t="shared" si="71"/>
        <v>0</v>
      </c>
      <c r="C705" s="55"/>
      <c r="D705" s="55"/>
      <c r="E705" s="55">
        <f t="shared" si="72"/>
        <v>0</v>
      </c>
      <c r="F705" s="55">
        <f t="shared" si="73"/>
        <v>0</v>
      </c>
      <c r="G705" s="55">
        <f t="shared" si="74"/>
        <v>0</v>
      </c>
      <c r="H705" s="55" t="str">
        <f t="shared" si="75"/>
        <v/>
      </c>
      <c r="J705" s="61">
        <f t="shared" si="76"/>
        <v>0</v>
      </c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</row>
    <row r="706" spans="1:36" x14ac:dyDescent="0.2">
      <c r="A706" s="61">
        <f t="shared" ref="A706:A769" si="77">J706</f>
        <v>0</v>
      </c>
      <c r="B706" s="55">
        <f t="shared" ref="B706:B769" si="78">M706</f>
        <v>0</v>
      </c>
      <c r="C706" s="55"/>
      <c r="D706" s="55"/>
      <c r="E706" s="55">
        <f t="shared" ref="E706:E769" si="79">V706</f>
        <v>0</v>
      </c>
      <c r="F706" s="55">
        <f t="shared" ref="F706:F769" si="80">Z706</f>
        <v>0</v>
      </c>
      <c r="G706" s="55">
        <f t="shared" ref="G706:G769" si="81">AH706</f>
        <v>0</v>
      </c>
      <c r="H706" s="55" t="str">
        <f t="shared" ref="H706:H769" si="82">IF(Q706&gt;1,IF(Q706=2,"I","E"),"")</f>
        <v/>
      </c>
      <c r="J706" s="61">
        <f t="shared" ref="J706:J769" si="83">P706*1</f>
        <v>0</v>
      </c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</row>
    <row r="707" spans="1:36" x14ac:dyDescent="0.2">
      <c r="A707" s="61">
        <f t="shared" si="77"/>
        <v>0</v>
      </c>
      <c r="B707" s="55">
        <f t="shared" si="78"/>
        <v>0</v>
      </c>
      <c r="C707" s="55"/>
      <c r="D707" s="55"/>
      <c r="E707" s="55">
        <f t="shared" si="79"/>
        <v>0</v>
      </c>
      <c r="F707" s="55">
        <f t="shared" si="80"/>
        <v>0</v>
      </c>
      <c r="G707" s="55">
        <f t="shared" si="81"/>
        <v>0</v>
      </c>
      <c r="H707" s="55" t="str">
        <f t="shared" si="82"/>
        <v/>
      </c>
      <c r="J707" s="61">
        <f t="shared" si="83"/>
        <v>0</v>
      </c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</row>
    <row r="708" spans="1:36" x14ac:dyDescent="0.2">
      <c r="A708" s="61">
        <f t="shared" si="77"/>
        <v>0</v>
      </c>
      <c r="B708" s="55">
        <f t="shared" si="78"/>
        <v>0</v>
      </c>
      <c r="C708" s="55"/>
      <c r="D708" s="55"/>
      <c r="E708" s="55">
        <f t="shared" si="79"/>
        <v>0</v>
      </c>
      <c r="F708" s="55">
        <f t="shared" si="80"/>
        <v>0</v>
      </c>
      <c r="G708" s="55">
        <f t="shared" si="81"/>
        <v>0</v>
      </c>
      <c r="H708" s="55" t="str">
        <f t="shared" si="82"/>
        <v/>
      </c>
      <c r="J708" s="61">
        <f t="shared" si="83"/>
        <v>0</v>
      </c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</row>
    <row r="709" spans="1:36" x14ac:dyDescent="0.2">
      <c r="A709" s="61">
        <f t="shared" si="77"/>
        <v>0</v>
      </c>
      <c r="B709" s="55">
        <f t="shared" si="78"/>
        <v>0</v>
      </c>
      <c r="C709" s="55"/>
      <c r="D709" s="55"/>
      <c r="E709" s="55">
        <f t="shared" si="79"/>
        <v>0</v>
      </c>
      <c r="F709" s="55">
        <f t="shared" si="80"/>
        <v>0</v>
      </c>
      <c r="G709" s="55">
        <f t="shared" si="81"/>
        <v>0</v>
      </c>
      <c r="H709" s="55" t="str">
        <f t="shared" si="82"/>
        <v/>
      </c>
      <c r="J709" s="61">
        <f t="shared" si="83"/>
        <v>0</v>
      </c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</row>
    <row r="710" spans="1:36" x14ac:dyDescent="0.2">
      <c r="A710" s="61">
        <f t="shared" si="77"/>
        <v>0</v>
      </c>
      <c r="B710" s="55">
        <f t="shared" si="78"/>
        <v>0</v>
      </c>
      <c r="C710" s="55"/>
      <c r="D710" s="55"/>
      <c r="E710" s="55">
        <f t="shared" si="79"/>
        <v>0</v>
      </c>
      <c r="F710" s="55">
        <f t="shared" si="80"/>
        <v>0</v>
      </c>
      <c r="G710" s="55">
        <f t="shared" si="81"/>
        <v>0</v>
      </c>
      <c r="H710" s="55" t="str">
        <f t="shared" si="82"/>
        <v/>
      </c>
      <c r="J710" s="61">
        <f t="shared" si="83"/>
        <v>0</v>
      </c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</row>
    <row r="711" spans="1:36" x14ac:dyDescent="0.2">
      <c r="A711" s="61">
        <f t="shared" si="77"/>
        <v>0</v>
      </c>
      <c r="B711" s="55">
        <f t="shared" si="78"/>
        <v>0</v>
      </c>
      <c r="C711" s="55"/>
      <c r="D711" s="55"/>
      <c r="E711" s="55">
        <f t="shared" si="79"/>
        <v>0</v>
      </c>
      <c r="F711" s="55">
        <f t="shared" si="80"/>
        <v>0</v>
      </c>
      <c r="G711" s="55">
        <f t="shared" si="81"/>
        <v>0</v>
      </c>
      <c r="H711" s="55" t="str">
        <f t="shared" si="82"/>
        <v/>
      </c>
      <c r="J711" s="61">
        <f t="shared" si="83"/>
        <v>0</v>
      </c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</row>
    <row r="712" spans="1:36" x14ac:dyDescent="0.2">
      <c r="A712" s="61">
        <f t="shared" si="77"/>
        <v>0</v>
      </c>
      <c r="B712" s="55">
        <f t="shared" si="78"/>
        <v>0</v>
      </c>
      <c r="C712" s="55"/>
      <c r="D712" s="55"/>
      <c r="E712" s="55">
        <f t="shared" si="79"/>
        <v>0</v>
      </c>
      <c r="F712" s="55">
        <f t="shared" si="80"/>
        <v>0</v>
      </c>
      <c r="G712" s="55">
        <f t="shared" si="81"/>
        <v>0</v>
      </c>
      <c r="H712" s="55" t="str">
        <f t="shared" si="82"/>
        <v/>
      </c>
      <c r="J712" s="61">
        <f t="shared" si="83"/>
        <v>0</v>
      </c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</row>
    <row r="713" spans="1:36" x14ac:dyDescent="0.2">
      <c r="A713" s="61">
        <f t="shared" si="77"/>
        <v>0</v>
      </c>
      <c r="B713" s="55">
        <f t="shared" si="78"/>
        <v>0</v>
      </c>
      <c r="C713" s="55"/>
      <c r="D713" s="55"/>
      <c r="E713" s="55">
        <f t="shared" si="79"/>
        <v>0</v>
      </c>
      <c r="F713" s="55">
        <f t="shared" si="80"/>
        <v>0</v>
      </c>
      <c r="G713" s="55">
        <f t="shared" si="81"/>
        <v>0</v>
      </c>
      <c r="H713" s="55" t="str">
        <f t="shared" si="82"/>
        <v/>
      </c>
      <c r="J713" s="61">
        <f t="shared" si="83"/>
        <v>0</v>
      </c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</row>
    <row r="714" spans="1:36" x14ac:dyDescent="0.2">
      <c r="A714" s="61">
        <f t="shared" si="77"/>
        <v>0</v>
      </c>
      <c r="B714" s="55">
        <f t="shared" si="78"/>
        <v>0</v>
      </c>
      <c r="C714" s="55"/>
      <c r="D714" s="55"/>
      <c r="E714" s="55">
        <f t="shared" si="79"/>
        <v>0</v>
      </c>
      <c r="F714" s="55">
        <f t="shared" si="80"/>
        <v>0</v>
      </c>
      <c r="G714" s="55">
        <f t="shared" si="81"/>
        <v>0</v>
      </c>
      <c r="H714" s="55" t="str">
        <f t="shared" si="82"/>
        <v/>
      </c>
      <c r="J714" s="61">
        <f t="shared" si="83"/>
        <v>0</v>
      </c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</row>
    <row r="715" spans="1:36" x14ac:dyDescent="0.2">
      <c r="A715" s="61">
        <f t="shared" si="77"/>
        <v>0</v>
      </c>
      <c r="B715" s="55">
        <f t="shared" si="78"/>
        <v>0</v>
      </c>
      <c r="C715" s="55"/>
      <c r="D715" s="55"/>
      <c r="E715" s="55">
        <f t="shared" si="79"/>
        <v>0</v>
      </c>
      <c r="F715" s="55">
        <f t="shared" si="80"/>
        <v>0</v>
      </c>
      <c r="G715" s="55">
        <f t="shared" si="81"/>
        <v>0</v>
      </c>
      <c r="H715" s="55" t="str">
        <f t="shared" si="82"/>
        <v/>
      </c>
      <c r="J715" s="61">
        <f t="shared" si="83"/>
        <v>0</v>
      </c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</row>
    <row r="716" spans="1:36" x14ac:dyDescent="0.2">
      <c r="A716" s="61">
        <f t="shared" si="77"/>
        <v>0</v>
      </c>
      <c r="B716" s="55">
        <f t="shared" si="78"/>
        <v>0</v>
      </c>
      <c r="C716" s="55"/>
      <c r="D716" s="55"/>
      <c r="E716" s="55">
        <f t="shared" si="79"/>
        <v>0</v>
      </c>
      <c r="F716" s="55">
        <f t="shared" si="80"/>
        <v>0</v>
      </c>
      <c r="G716" s="55">
        <f t="shared" si="81"/>
        <v>0</v>
      </c>
      <c r="H716" s="55" t="str">
        <f t="shared" si="82"/>
        <v/>
      </c>
      <c r="J716" s="61">
        <f t="shared" si="83"/>
        <v>0</v>
      </c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</row>
    <row r="717" spans="1:36" x14ac:dyDescent="0.2">
      <c r="A717" s="61">
        <f t="shared" si="77"/>
        <v>0</v>
      </c>
      <c r="B717" s="55">
        <f t="shared" si="78"/>
        <v>0</v>
      </c>
      <c r="C717" s="55"/>
      <c r="D717" s="55"/>
      <c r="E717" s="55">
        <f t="shared" si="79"/>
        <v>0</v>
      </c>
      <c r="F717" s="55">
        <f t="shared" si="80"/>
        <v>0</v>
      </c>
      <c r="G717" s="55">
        <f t="shared" si="81"/>
        <v>0</v>
      </c>
      <c r="H717" s="55" t="str">
        <f t="shared" si="82"/>
        <v/>
      </c>
      <c r="J717" s="61">
        <f t="shared" si="83"/>
        <v>0</v>
      </c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</row>
    <row r="718" spans="1:36" x14ac:dyDescent="0.2">
      <c r="A718" s="61">
        <f t="shared" si="77"/>
        <v>0</v>
      </c>
      <c r="B718" s="55">
        <f t="shared" si="78"/>
        <v>0</v>
      </c>
      <c r="C718" s="55"/>
      <c r="D718" s="55"/>
      <c r="E718" s="55">
        <f t="shared" si="79"/>
        <v>0</v>
      </c>
      <c r="F718" s="55">
        <f t="shared" si="80"/>
        <v>0</v>
      </c>
      <c r="G718" s="55">
        <f t="shared" si="81"/>
        <v>0</v>
      </c>
      <c r="H718" s="55" t="str">
        <f t="shared" si="82"/>
        <v/>
      </c>
      <c r="J718" s="61">
        <f t="shared" si="83"/>
        <v>0</v>
      </c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</row>
    <row r="719" spans="1:36" x14ac:dyDescent="0.2">
      <c r="A719" s="61">
        <f t="shared" si="77"/>
        <v>0</v>
      </c>
      <c r="B719" s="55">
        <f t="shared" si="78"/>
        <v>0</v>
      </c>
      <c r="C719" s="55"/>
      <c r="D719" s="55"/>
      <c r="E719" s="55">
        <f t="shared" si="79"/>
        <v>0</v>
      </c>
      <c r="F719" s="55">
        <f t="shared" si="80"/>
        <v>0</v>
      </c>
      <c r="G719" s="55">
        <f t="shared" si="81"/>
        <v>0</v>
      </c>
      <c r="H719" s="55" t="str">
        <f t="shared" si="82"/>
        <v/>
      </c>
      <c r="J719" s="61">
        <f t="shared" si="83"/>
        <v>0</v>
      </c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</row>
    <row r="720" spans="1:36" x14ac:dyDescent="0.2">
      <c r="A720" s="61">
        <f t="shared" si="77"/>
        <v>0</v>
      </c>
      <c r="B720" s="55">
        <f t="shared" si="78"/>
        <v>0</v>
      </c>
      <c r="C720" s="55"/>
      <c r="D720" s="55"/>
      <c r="E720" s="55">
        <f t="shared" si="79"/>
        <v>0</v>
      </c>
      <c r="F720" s="55">
        <f t="shared" si="80"/>
        <v>0</v>
      </c>
      <c r="G720" s="55">
        <f t="shared" si="81"/>
        <v>0</v>
      </c>
      <c r="H720" s="55" t="str">
        <f t="shared" si="82"/>
        <v/>
      </c>
      <c r="J720" s="61">
        <f t="shared" si="83"/>
        <v>0</v>
      </c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</row>
    <row r="721" spans="1:36" x14ac:dyDescent="0.2">
      <c r="A721" s="61">
        <f t="shared" si="77"/>
        <v>0</v>
      </c>
      <c r="B721" s="55">
        <f t="shared" si="78"/>
        <v>0</v>
      </c>
      <c r="C721" s="55"/>
      <c r="D721" s="55"/>
      <c r="E721" s="55">
        <f t="shared" si="79"/>
        <v>0</v>
      </c>
      <c r="F721" s="55">
        <f t="shared" si="80"/>
        <v>0</v>
      </c>
      <c r="G721" s="55">
        <f t="shared" si="81"/>
        <v>0</v>
      </c>
      <c r="H721" s="55" t="str">
        <f t="shared" si="82"/>
        <v/>
      </c>
      <c r="J721" s="61">
        <f t="shared" si="83"/>
        <v>0</v>
      </c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</row>
    <row r="722" spans="1:36" x14ac:dyDescent="0.2">
      <c r="A722" s="61">
        <f t="shared" si="77"/>
        <v>0</v>
      </c>
      <c r="B722" s="55">
        <f t="shared" si="78"/>
        <v>0</v>
      </c>
      <c r="C722" s="55"/>
      <c r="D722" s="55"/>
      <c r="E722" s="55">
        <f t="shared" si="79"/>
        <v>0</v>
      </c>
      <c r="F722" s="55">
        <f t="shared" si="80"/>
        <v>0</v>
      </c>
      <c r="G722" s="55">
        <f t="shared" si="81"/>
        <v>0</v>
      </c>
      <c r="H722" s="55" t="str">
        <f t="shared" si="82"/>
        <v/>
      </c>
      <c r="J722" s="61">
        <f t="shared" si="83"/>
        <v>0</v>
      </c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</row>
    <row r="723" spans="1:36" x14ac:dyDescent="0.2">
      <c r="A723" s="61">
        <f t="shared" si="77"/>
        <v>0</v>
      </c>
      <c r="B723" s="55">
        <f t="shared" si="78"/>
        <v>0</v>
      </c>
      <c r="C723" s="55"/>
      <c r="D723" s="55"/>
      <c r="E723" s="55">
        <f t="shared" si="79"/>
        <v>0</v>
      </c>
      <c r="F723" s="55">
        <f t="shared" si="80"/>
        <v>0</v>
      </c>
      <c r="G723" s="55">
        <f t="shared" si="81"/>
        <v>0</v>
      </c>
      <c r="H723" s="55" t="str">
        <f t="shared" si="82"/>
        <v/>
      </c>
      <c r="J723" s="61">
        <f t="shared" si="83"/>
        <v>0</v>
      </c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</row>
    <row r="724" spans="1:36" x14ac:dyDescent="0.2">
      <c r="A724" s="61">
        <f t="shared" si="77"/>
        <v>0</v>
      </c>
      <c r="B724" s="55">
        <f t="shared" si="78"/>
        <v>0</v>
      </c>
      <c r="C724" s="55"/>
      <c r="D724" s="55"/>
      <c r="E724" s="55">
        <f t="shared" si="79"/>
        <v>0</v>
      </c>
      <c r="F724" s="55">
        <f t="shared" si="80"/>
        <v>0</v>
      </c>
      <c r="G724" s="55">
        <f t="shared" si="81"/>
        <v>0</v>
      </c>
      <c r="H724" s="55" t="str">
        <f t="shared" si="82"/>
        <v/>
      </c>
      <c r="J724" s="61">
        <f t="shared" si="83"/>
        <v>0</v>
      </c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</row>
    <row r="725" spans="1:36" x14ac:dyDescent="0.2">
      <c r="A725" s="61">
        <f t="shared" si="77"/>
        <v>0</v>
      </c>
      <c r="B725" s="55">
        <f t="shared" si="78"/>
        <v>0</v>
      </c>
      <c r="C725" s="55"/>
      <c r="D725" s="55"/>
      <c r="E725" s="55">
        <f t="shared" si="79"/>
        <v>0</v>
      </c>
      <c r="F725" s="55">
        <f t="shared" si="80"/>
        <v>0</v>
      </c>
      <c r="G725" s="55">
        <f t="shared" si="81"/>
        <v>0</v>
      </c>
      <c r="H725" s="55" t="str">
        <f t="shared" si="82"/>
        <v/>
      </c>
      <c r="J725" s="61">
        <f t="shared" si="83"/>
        <v>0</v>
      </c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</row>
    <row r="726" spans="1:36" x14ac:dyDescent="0.2">
      <c r="A726" s="61">
        <f t="shared" si="77"/>
        <v>0</v>
      </c>
      <c r="B726" s="55">
        <f t="shared" si="78"/>
        <v>0</v>
      </c>
      <c r="C726" s="55"/>
      <c r="D726" s="55"/>
      <c r="E726" s="55">
        <f t="shared" si="79"/>
        <v>0</v>
      </c>
      <c r="F726" s="55">
        <f t="shared" si="80"/>
        <v>0</v>
      </c>
      <c r="G726" s="55">
        <f t="shared" si="81"/>
        <v>0</v>
      </c>
      <c r="H726" s="55" t="str">
        <f t="shared" si="82"/>
        <v/>
      </c>
      <c r="J726" s="61">
        <f t="shared" si="83"/>
        <v>0</v>
      </c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</row>
    <row r="727" spans="1:36" x14ac:dyDescent="0.2">
      <c r="A727" s="61">
        <f t="shared" si="77"/>
        <v>0</v>
      </c>
      <c r="B727" s="55">
        <f t="shared" si="78"/>
        <v>0</v>
      </c>
      <c r="C727" s="55"/>
      <c r="D727" s="55"/>
      <c r="E727" s="55">
        <f t="shared" si="79"/>
        <v>0</v>
      </c>
      <c r="F727" s="55">
        <f t="shared" si="80"/>
        <v>0</v>
      </c>
      <c r="G727" s="55">
        <f t="shared" si="81"/>
        <v>0</v>
      </c>
      <c r="H727" s="55" t="str">
        <f t="shared" si="82"/>
        <v/>
      </c>
      <c r="J727" s="61">
        <f t="shared" si="83"/>
        <v>0</v>
      </c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</row>
    <row r="728" spans="1:36" x14ac:dyDescent="0.2">
      <c r="A728" s="61">
        <f t="shared" si="77"/>
        <v>0</v>
      </c>
      <c r="B728" s="55">
        <f t="shared" si="78"/>
        <v>0</v>
      </c>
      <c r="C728" s="55"/>
      <c r="D728" s="55"/>
      <c r="E728" s="55">
        <f t="shared" si="79"/>
        <v>0</v>
      </c>
      <c r="F728" s="55">
        <f t="shared" si="80"/>
        <v>0</v>
      </c>
      <c r="G728" s="55">
        <f t="shared" si="81"/>
        <v>0</v>
      </c>
      <c r="H728" s="55" t="str">
        <f t="shared" si="82"/>
        <v/>
      </c>
      <c r="J728" s="61">
        <f t="shared" si="83"/>
        <v>0</v>
      </c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</row>
    <row r="729" spans="1:36" x14ac:dyDescent="0.2">
      <c r="A729" s="61">
        <f t="shared" si="77"/>
        <v>0</v>
      </c>
      <c r="B729" s="55">
        <f t="shared" si="78"/>
        <v>0</v>
      </c>
      <c r="C729" s="55"/>
      <c r="D729" s="55"/>
      <c r="E729" s="55">
        <f t="shared" si="79"/>
        <v>0</v>
      </c>
      <c r="F729" s="55">
        <f t="shared" si="80"/>
        <v>0</v>
      </c>
      <c r="G729" s="55">
        <f t="shared" si="81"/>
        <v>0</v>
      </c>
      <c r="H729" s="55" t="str">
        <f t="shared" si="82"/>
        <v/>
      </c>
      <c r="J729" s="61">
        <f t="shared" si="83"/>
        <v>0</v>
      </c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</row>
    <row r="730" spans="1:36" x14ac:dyDescent="0.2">
      <c r="A730" s="61">
        <f t="shared" si="77"/>
        <v>0</v>
      </c>
      <c r="B730" s="55">
        <f t="shared" si="78"/>
        <v>0</v>
      </c>
      <c r="C730" s="55"/>
      <c r="D730" s="55"/>
      <c r="E730" s="55">
        <f t="shared" si="79"/>
        <v>0</v>
      </c>
      <c r="F730" s="55">
        <f t="shared" si="80"/>
        <v>0</v>
      </c>
      <c r="G730" s="55">
        <f t="shared" si="81"/>
        <v>0</v>
      </c>
      <c r="H730" s="55" t="str">
        <f t="shared" si="82"/>
        <v/>
      </c>
      <c r="J730" s="61">
        <f t="shared" si="83"/>
        <v>0</v>
      </c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</row>
    <row r="731" spans="1:36" x14ac:dyDescent="0.2">
      <c r="A731" s="61">
        <f t="shared" si="77"/>
        <v>0</v>
      </c>
      <c r="B731" s="55">
        <f t="shared" si="78"/>
        <v>0</v>
      </c>
      <c r="C731" s="55"/>
      <c r="D731" s="55"/>
      <c r="E731" s="55">
        <f t="shared" si="79"/>
        <v>0</v>
      </c>
      <c r="F731" s="55">
        <f t="shared" si="80"/>
        <v>0</v>
      </c>
      <c r="G731" s="55">
        <f t="shared" si="81"/>
        <v>0</v>
      </c>
      <c r="H731" s="55" t="str">
        <f t="shared" si="82"/>
        <v/>
      </c>
      <c r="J731" s="61">
        <f t="shared" si="83"/>
        <v>0</v>
      </c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</row>
    <row r="732" spans="1:36" x14ac:dyDescent="0.2">
      <c r="A732" s="61">
        <f t="shared" si="77"/>
        <v>0</v>
      </c>
      <c r="B732" s="55">
        <f t="shared" si="78"/>
        <v>0</v>
      </c>
      <c r="C732" s="55"/>
      <c r="D732" s="55"/>
      <c r="E732" s="55">
        <f t="shared" si="79"/>
        <v>0</v>
      </c>
      <c r="F732" s="55">
        <f t="shared" si="80"/>
        <v>0</v>
      </c>
      <c r="G732" s="55">
        <f t="shared" si="81"/>
        <v>0</v>
      </c>
      <c r="H732" s="55" t="str">
        <f t="shared" si="82"/>
        <v/>
      </c>
      <c r="J732" s="61">
        <f t="shared" si="83"/>
        <v>0</v>
      </c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</row>
    <row r="733" spans="1:36" x14ac:dyDescent="0.2">
      <c r="A733" s="61">
        <f t="shared" si="77"/>
        <v>0</v>
      </c>
      <c r="B733" s="55">
        <f t="shared" si="78"/>
        <v>0</v>
      </c>
      <c r="C733" s="55"/>
      <c r="D733" s="55"/>
      <c r="E733" s="55">
        <f t="shared" si="79"/>
        <v>0</v>
      </c>
      <c r="F733" s="55">
        <f t="shared" si="80"/>
        <v>0</v>
      </c>
      <c r="G733" s="55">
        <f t="shared" si="81"/>
        <v>0</v>
      </c>
      <c r="H733" s="55" t="str">
        <f t="shared" si="82"/>
        <v/>
      </c>
      <c r="J733" s="61">
        <f t="shared" si="83"/>
        <v>0</v>
      </c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</row>
    <row r="734" spans="1:36" x14ac:dyDescent="0.2">
      <c r="A734" s="61">
        <f t="shared" si="77"/>
        <v>0</v>
      </c>
      <c r="B734" s="55">
        <f t="shared" si="78"/>
        <v>0</v>
      </c>
      <c r="C734" s="55"/>
      <c r="D734" s="55"/>
      <c r="E734" s="55">
        <f t="shared" si="79"/>
        <v>0</v>
      </c>
      <c r="F734" s="55">
        <f t="shared" si="80"/>
        <v>0</v>
      </c>
      <c r="G734" s="55">
        <f t="shared" si="81"/>
        <v>0</v>
      </c>
      <c r="H734" s="55" t="str">
        <f t="shared" si="82"/>
        <v/>
      </c>
      <c r="J734" s="61">
        <f t="shared" si="83"/>
        <v>0</v>
      </c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</row>
    <row r="735" spans="1:36" x14ac:dyDescent="0.2">
      <c r="A735" s="61">
        <f t="shared" si="77"/>
        <v>0</v>
      </c>
      <c r="B735" s="55">
        <f t="shared" si="78"/>
        <v>0</v>
      </c>
      <c r="C735" s="55"/>
      <c r="D735" s="55"/>
      <c r="E735" s="55">
        <f t="shared" si="79"/>
        <v>0</v>
      </c>
      <c r="F735" s="55">
        <f t="shared" si="80"/>
        <v>0</v>
      </c>
      <c r="G735" s="55">
        <f t="shared" si="81"/>
        <v>0</v>
      </c>
      <c r="H735" s="55" t="str">
        <f t="shared" si="82"/>
        <v/>
      </c>
      <c r="J735" s="61">
        <f t="shared" si="83"/>
        <v>0</v>
      </c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</row>
    <row r="736" spans="1:36" x14ac:dyDescent="0.2">
      <c r="A736" s="61">
        <f t="shared" si="77"/>
        <v>0</v>
      </c>
      <c r="B736" s="55">
        <f t="shared" si="78"/>
        <v>0</v>
      </c>
      <c r="C736" s="55"/>
      <c r="D736" s="55"/>
      <c r="E736" s="55">
        <f t="shared" si="79"/>
        <v>0</v>
      </c>
      <c r="F736" s="55">
        <f t="shared" si="80"/>
        <v>0</v>
      </c>
      <c r="G736" s="55">
        <f t="shared" si="81"/>
        <v>0</v>
      </c>
      <c r="H736" s="55" t="str">
        <f t="shared" si="82"/>
        <v/>
      </c>
      <c r="J736" s="61">
        <f t="shared" si="83"/>
        <v>0</v>
      </c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</row>
    <row r="737" spans="1:36" x14ac:dyDescent="0.2">
      <c r="A737" s="61">
        <f t="shared" si="77"/>
        <v>0</v>
      </c>
      <c r="B737" s="55">
        <f t="shared" si="78"/>
        <v>0</v>
      </c>
      <c r="C737" s="55"/>
      <c r="D737" s="55"/>
      <c r="E737" s="55">
        <f t="shared" si="79"/>
        <v>0</v>
      </c>
      <c r="F737" s="55">
        <f t="shared" si="80"/>
        <v>0</v>
      </c>
      <c r="G737" s="55">
        <f t="shared" si="81"/>
        <v>0</v>
      </c>
      <c r="H737" s="55" t="str">
        <f t="shared" si="82"/>
        <v/>
      </c>
      <c r="J737" s="61">
        <f t="shared" si="83"/>
        <v>0</v>
      </c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</row>
    <row r="738" spans="1:36" x14ac:dyDescent="0.2">
      <c r="A738" s="61">
        <f t="shared" si="77"/>
        <v>0</v>
      </c>
      <c r="B738" s="55">
        <f t="shared" si="78"/>
        <v>0</v>
      </c>
      <c r="C738" s="55"/>
      <c r="D738" s="55"/>
      <c r="E738" s="55">
        <f t="shared" si="79"/>
        <v>0</v>
      </c>
      <c r="F738" s="55">
        <f t="shared" si="80"/>
        <v>0</v>
      </c>
      <c r="G738" s="55">
        <f t="shared" si="81"/>
        <v>0</v>
      </c>
      <c r="H738" s="55" t="str">
        <f t="shared" si="82"/>
        <v/>
      </c>
      <c r="J738" s="61">
        <f t="shared" si="83"/>
        <v>0</v>
      </c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</row>
    <row r="739" spans="1:36" x14ac:dyDescent="0.2">
      <c r="A739" s="61">
        <f t="shared" si="77"/>
        <v>0</v>
      </c>
      <c r="B739" s="55">
        <f t="shared" si="78"/>
        <v>0</v>
      </c>
      <c r="C739" s="55"/>
      <c r="D739" s="55"/>
      <c r="E739" s="55">
        <f t="shared" si="79"/>
        <v>0</v>
      </c>
      <c r="F739" s="55">
        <f t="shared" si="80"/>
        <v>0</v>
      </c>
      <c r="G739" s="55">
        <f t="shared" si="81"/>
        <v>0</v>
      </c>
      <c r="H739" s="55" t="str">
        <f t="shared" si="82"/>
        <v/>
      </c>
      <c r="J739" s="61">
        <f t="shared" si="83"/>
        <v>0</v>
      </c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</row>
    <row r="740" spans="1:36" x14ac:dyDescent="0.2">
      <c r="A740" s="61">
        <f t="shared" si="77"/>
        <v>0</v>
      </c>
      <c r="B740" s="55">
        <f t="shared" si="78"/>
        <v>0</v>
      </c>
      <c r="C740" s="55"/>
      <c r="D740" s="55"/>
      <c r="E740" s="55">
        <f t="shared" si="79"/>
        <v>0</v>
      </c>
      <c r="F740" s="55">
        <f t="shared" si="80"/>
        <v>0</v>
      </c>
      <c r="G740" s="55">
        <f t="shared" si="81"/>
        <v>0</v>
      </c>
      <c r="H740" s="55" t="str">
        <f t="shared" si="82"/>
        <v/>
      </c>
      <c r="J740" s="61">
        <f t="shared" si="83"/>
        <v>0</v>
      </c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</row>
    <row r="741" spans="1:36" x14ac:dyDescent="0.2">
      <c r="A741" s="61">
        <f t="shared" si="77"/>
        <v>0</v>
      </c>
      <c r="B741" s="55">
        <f t="shared" si="78"/>
        <v>0</v>
      </c>
      <c r="C741" s="55"/>
      <c r="D741" s="55"/>
      <c r="E741" s="55">
        <f t="shared" si="79"/>
        <v>0</v>
      </c>
      <c r="F741" s="55">
        <f t="shared" si="80"/>
        <v>0</v>
      </c>
      <c r="G741" s="55">
        <f t="shared" si="81"/>
        <v>0</v>
      </c>
      <c r="H741" s="55" t="str">
        <f t="shared" si="82"/>
        <v/>
      </c>
      <c r="J741" s="61">
        <f t="shared" si="83"/>
        <v>0</v>
      </c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</row>
    <row r="742" spans="1:36" x14ac:dyDescent="0.2">
      <c r="A742" s="61">
        <f t="shared" si="77"/>
        <v>0</v>
      </c>
      <c r="B742" s="55">
        <f t="shared" si="78"/>
        <v>0</v>
      </c>
      <c r="C742" s="55"/>
      <c r="D742" s="55"/>
      <c r="E742" s="55">
        <f t="shared" si="79"/>
        <v>0</v>
      </c>
      <c r="F742" s="55">
        <f t="shared" si="80"/>
        <v>0</v>
      </c>
      <c r="G742" s="55">
        <f t="shared" si="81"/>
        <v>0</v>
      </c>
      <c r="H742" s="55" t="str">
        <f t="shared" si="82"/>
        <v/>
      </c>
      <c r="J742" s="61">
        <f t="shared" si="83"/>
        <v>0</v>
      </c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</row>
    <row r="743" spans="1:36" x14ac:dyDescent="0.2">
      <c r="A743" s="61">
        <f t="shared" si="77"/>
        <v>0</v>
      </c>
      <c r="B743" s="55">
        <f t="shared" si="78"/>
        <v>0</v>
      </c>
      <c r="C743" s="55"/>
      <c r="D743" s="55"/>
      <c r="E743" s="55">
        <f t="shared" si="79"/>
        <v>0</v>
      </c>
      <c r="F743" s="55">
        <f t="shared" si="80"/>
        <v>0</v>
      </c>
      <c r="G743" s="55">
        <f t="shared" si="81"/>
        <v>0</v>
      </c>
      <c r="H743" s="55" t="str">
        <f t="shared" si="82"/>
        <v/>
      </c>
      <c r="J743" s="61">
        <f t="shared" si="83"/>
        <v>0</v>
      </c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</row>
    <row r="744" spans="1:36" x14ac:dyDescent="0.2">
      <c r="A744" s="61">
        <f t="shared" si="77"/>
        <v>0</v>
      </c>
      <c r="B744" s="55">
        <f t="shared" si="78"/>
        <v>0</v>
      </c>
      <c r="C744" s="55"/>
      <c r="D744" s="55"/>
      <c r="E744" s="55">
        <f t="shared" si="79"/>
        <v>0</v>
      </c>
      <c r="F744" s="55">
        <f t="shared" si="80"/>
        <v>0</v>
      </c>
      <c r="G744" s="55">
        <f t="shared" si="81"/>
        <v>0</v>
      </c>
      <c r="H744" s="55" t="str">
        <f t="shared" si="82"/>
        <v/>
      </c>
      <c r="J744" s="61">
        <f t="shared" si="83"/>
        <v>0</v>
      </c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</row>
    <row r="745" spans="1:36" x14ac:dyDescent="0.2">
      <c r="A745" s="61">
        <f t="shared" si="77"/>
        <v>0</v>
      </c>
      <c r="B745" s="55">
        <f t="shared" si="78"/>
        <v>0</v>
      </c>
      <c r="C745" s="55"/>
      <c r="D745" s="55"/>
      <c r="E745" s="55">
        <f t="shared" si="79"/>
        <v>0</v>
      </c>
      <c r="F745" s="55">
        <f t="shared" si="80"/>
        <v>0</v>
      </c>
      <c r="G745" s="55">
        <f t="shared" si="81"/>
        <v>0</v>
      </c>
      <c r="H745" s="55" t="str">
        <f t="shared" si="82"/>
        <v/>
      </c>
      <c r="J745" s="61">
        <f t="shared" si="83"/>
        <v>0</v>
      </c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</row>
    <row r="746" spans="1:36" x14ac:dyDescent="0.2">
      <c r="A746" s="61">
        <f t="shared" si="77"/>
        <v>0</v>
      </c>
      <c r="B746" s="55">
        <f t="shared" si="78"/>
        <v>0</v>
      </c>
      <c r="C746" s="55"/>
      <c r="D746" s="55"/>
      <c r="E746" s="55">
        <f t="shared" si="79"/>
        <v>0</v>
      </c>
      <c r="F746" s="55">
        <f t="shared" si="80"/>
        <v>0</v>
      </c>
      <c r="G746" s="55">
        <f t="shared" si="81"/>
        <v>0</v>
      </c>
      <c r="H746" s="55" t="str">
        <f t="shared" si="82"/>
        <v/>
      </c>
      <c r="J746" s="61">
        <f t="shared" si="83"/>
        <v>0</v>
      </c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</row>
    <row r="747" spans="1:36" x14ac:dyDescent="0.2">
      <c r="A747" s="61">
        <f t="shared" si="77"/>
        <v>0</v>
      </c>
      <c r="B747" s="55">
        <f t="shared" si="78"/>
        <v>0</v>
      </c>
      <c r="C747" s="55"/>
      <c r="D747" s="55"/>
      <c r="E747" s="55">
        <f t="shared" si="79"/>
        <v>0</v>
      </c>
      <c r="F747" s="55">
        <f t="shared" si="80"/>
        <v>0</v>
      </c>
      <c r="G747" s="55">
        <f t="shared" si="81"/>
        <v>0</v>
      </c>
      <c r="H747" s="55" t="str">
        <f t="shared" si="82"/>
        <v/>
      </c>
      <c r="J747" s="61">
        <f t="shared" si="83"/>
        <v>0</v>
      </c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</row>
    <row r="748" spans="1:36" x14ac:dyDescent="0.2">
      <c r="A748" s="61">
        <f t="shared" si="77"/>
        <v>0</v>
      </c>
      <c r="B748" s="55">
        <f t="shared" si="78"/>
        <v>0</v>
      </c>
      <c r="C748" s="55"/>
      <c r="D748" s="55"/>
      <c r="E748" s="55">
        <f t="shared" si="79"/>
        <v>0</v>
      </c>
      <c r="F748" s="55">
        <f t="shared" si="80"/>
        <v>0</v>
      </c>
      <c r="G748" s="55">
        <f t="shared" si="81"/>
        <v>0</v>
      </c>
      <c r="H748" s="55" t="str">
        <f t="shared" si="82"/>
        <v/>
      </c>
      <c r="J748" s="61">
        <f t="shared" si="83"/>
        <v>0</v>
      </c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</row>
    <row r="749" spans="1:36" x14ac:dyDescent="0.2">
      <c r="A749" s="61">
        <f t="shared" si="77"/>
        <v>0</v>
      </c>
      <c r="B749" s="55">
        <f t="shared" si="78"/>
        <v>0</v>
      </c>
      <c r="C749" s="55"/>
      <c r="D749" s="55"/>
      <c r="E749" s="55">
        <f t="shared" si="79"/>
        <v>0</v>
      </c>
      <c r="F749" s="55">
        <f t="shared" si="80"/>
        <v>0</v>
      </c>
      <c r="G749" s="55">
        <f t="shared" si="81"/>
        <v>0</v>
      </c>
      <c r="H749" s="55" t="str">
        <f t="shared" si="82"/>
        <v/>
      </c>
      <c r="J749" s="61">
        <f t="shared" si="83"/>
        <v>0</v>
      </c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</row>
    <row r="750" spans="1:36" x14ac:dyDescent="0.2">
      <c r="A750" s="61">
        <f t="shared" si="77"/>
        <v>0</v>
      </c>
      <c r="B750" s="55">
        <f t="shared" si="78"/>
        <v>0</v>
      </c>
      <c r="C750" s="55"/>
      <c r="D750" s="55"/>
      <c r="E750" s="55">
        <f t="shared" si="79"/>
        <v>0</v>
      </c>
      <c r="F750" s="55">
        <f t="shared" si="80"/>
        <v>0</v>
      </c>
      <c r="G750" s="55">
        <f t="shared" si="81"/>
        <v>0</v>
      </c>
      <c r="H750" s="55" t="str">
        <f t="shared" si="82"/>
        <v/>
      </c>
      <c r="J750" s="61">
        <f t="shared" si="83"/>
        <v>0</v>
      </c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</row>
    <row r="751" spans="1:36" x14ac:dyDescent="0.2">
      <c r="A751" s="61">
        <f t="shared" si="77"/>
        <v>0</v>
      </c>
      <c r="B751" s="55">
        <f t="shared" si="78"/>
        <v>0</v>
      </c>
      <c r="C751" s="55"/>
      <c r="D751" s="55"/>
      <c r="E751" s="55">
        <f t="shared" si="79"/>
        <v>0</v>
      </c>
      <c r="F751" s="55">
        <f t="shared" si="80"/>
        <v>0</v>
      </c>
      <c r="G751" s="55">
        <f t="shared" si="81"/>
        <v>0</v>
      </c>
      <c r="H751" s="55" t="str">
        <f t="shared" si="82"/>
        <v/>
      </c>
      <c r="J751" s="61">
        <f t="shared" si="83"/>
        <v>0</v>
      </c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</row>
    <row r="752" spans="1:36" x14ac:dyDescent="0.2">
      <c r="A752" s="61">
        <f t="shared" si="77"/>
        <v>0</v>
      </c>
      <c r="B752" s="55">
        <f t="shared" si="78"/>
        <v>0</v>
      </c>
      <c r="C752" s="55"/>
      <c r="D752" s="55"/>
      <c r="E752" s="55">
        <f t="shared" si="79"/>
        <v>0</v>
      </c>
      <c r="F752" s="55">
        <f t="shared" si="80"/>
        <v>0</v>
      </c>
      <c r="G752" s="55">
        <f t="shared" si="81"/>
        <v>0</v>
      </c>
      <c r="H752" s="55" t="str">
        <f t="shared" si="82"/>
        <v/>
      </c>
      <c r="J752" s="61">
        <f t="shared" si="83"/>
        <v>0</v>
      </c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</row>
    <row r="753" spans="1:36" x14ac:dyDescent="0.2">
      <c r="A753" s="61">
        <f t="shared" si="77"/>
        <v>0</v>
      </c>
      <c r="B753" s="55">
        <f t="shared" si="78"/>
        <v>0</v>
      </c>
      <c r="C753" s="55"/>
      <c r="D753" s="55"/>
      <c r="E753" s="55">
        <f t="shared" si="79"/>
        <v>0</v>
      </c>
      <c r="F753" s="55">
        <f t="shared" si="80"/>
        <v>0</v>
      </c>
      <c r="G753" s="55">
        <f t="shared" si="81"/>
        <v>0</v>
      </c>
      <c r="H753" s="55" t="str">
        <f t="shared" si="82"/>
        <v/>
      </c>
      <c r="J753" s="61">
        <f t="shared" si="83"/>
        <v>0</v>
      </c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</row>
    <row r="754" spans="1:36" x14ac:dyDescent="0.2">
      <c r="A754" s="61">
        <f t="shared" si="77"/>
        <v>0</v>
      </c>
      <c r="B754" s="55">
        <f t="shared" si="78"/>
        <v>0</v>
      </c>
      <c r="C754" s="55"/>
      <c r="D754" s="55"/>
      <c r="E754" s="55">
        <f t="shared" si="79"/>
        <v>0</v>
      </c>
      <c r="F754" s="55">
        <f t="shared" si="80"/>
        <v>0</v>
      </c>
      <c r="G754" s="55">
        <f t="shared" si="81"/>
        <v>0</v>
      </c>
      <c r="H754" s="55" t="str">
        <f t="shared" si="82"/>
        <v/>
      </c>
      <c r="J754" s="61">
        <f t="shared" si="83"/>
        <v>0</v>
      </c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</row>
    <row r="755" spans="1:36" x14ac:dyDescent="0.2">
      <c r="A755" s="61">
        <f t="shared" si="77"/>
        <v>0</v>
      </c>
      <c r="B755" s="55">
        <f t="shared" si="78"/>
        <v>0</v>
      </c>
      <c r="C755" s="55"/>
      <c r="D755" s="55"/>
      <c r="E755" s="55">
        <f t="shared" si="79"/>
        <v>0</v>
      </c>
      <c r="F755" s="55">
        <f t="shared" si="80"/>
        <v>0</v>
      </c>
      <c r="G755" s="55">
        <f t="shared" si="81"/>
        <v>0</v>
      </c>
      <c r="H755" s="55" t="str">
        <f t="shared" si="82"/>
        <v/>
      </c>
      <c r="J755" s="61">
        <f t="shared" si="83"/>
        <v>0</v>
      </c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</row>
    <row r="756" spans="1:36" x14ac:dyDescent="0.2">
      <c r="A756" s="61">
        <f t="shared" si="77"/>
        <v>0</v>
      </c>
      <c r="B756" s="55">
        <f t="shared" si="78"/>
        <v>0</v>
      </c>
      <c r="C756" s="55"/>
      <c r="D756" s="55"/>
      <c r="E756" s="55">
        <f t="shared" si="79"/>
        <v>0</v>
      </c>
      <c r="F756" s="55">
        <f t="shared" si="80"/>
        <v>0</v>
      </c>
      <c r="G756" s="55">
        <f t="shared" si="81"/>
        <v>0</v>
      </c>
      <c r="H756" s="55" t="str">
        <f t="shared" si="82"/>
        <v/>
      </c>
      <c r="J756" s="61">
        <f t="shared" si="83"/>
        <v>0</v>
      </c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</row>
    <row r="757" spans="1:36" x14ac:dyDescent="0.2">
      <c r="A757" s="61">
        <f t="shared" si="77"/>
        <v>0</v>
      </c>
      <c r="B757" s="55">
        <f t="shared" si="78"/>
        <v>0</v>
      </c>
      <c r="C757" s="55"/>
      <c r="D757" s="55"/>
      <c r="E757" s="55">
        <f t="shared" si="79"/>
        <v>0</v>
      </c>
      <c r="F757" s="55">
        <f t="shared" si="80"/>
        <v>0</v>
      </c>
      <c r="G757" s="55">
        <f t="shared" si="81"/>
        <v>0</v>
      </c>
      <c r="H757" s="55" t="str">
        <f t="shared" si="82"/>
        <v/>
      </c>
      <c r="J757" s="61">
        <f t="shared" si="83"/>
        <v>0</v>
      </c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</row>
    <row r="758" spans="1:36" x14ac:dyDescent="0.2">
      <c r="A758" s="61">
        <f t="shared" si="77"/>
        <v>0</v>
      </c>
      <c r="B758" s="55">
        <f t="shared" si="78"/>
        <v>0</v>
      </c>
      <c r="C758" s="55"/>
      <c r="D758" s="55"/>
      <c r="E758" s="55">
        <f t="shared" si="79"/>
        <v>0</v>
      </c>
      <c r="F758" s="55">
        <f t="shared" si="80"/>
        <v>0</v>
      </c>
      <c r="G758" s="55">
        <f t="shared" si="81"/>
        <v>0</v>
      </c>
      <c r="H758" s="55" t="str">
        <f t="shared" si="82"/>
        <v/>
      </c>
      <c r="J758" s="61">
        <f t="shared" si="83"/>
        <v>0</v>
      </c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</row>
    <row r="759" spans="1:36" x14ac:dyDescent="0.2">
      <c r="A759" s="61">
        <f t="shared" si="77"/>
        <v>0</v>
      </c>
      <c r="B759" s="55">
        <f t="shared" si="78"/>
        <v>0</v>
      </c>
      <c r="C759" s="55"/>
      <c r="D759" s="55"/>
      <c r="E759" s="55">
        <f t="shared" si="79"/>
        <v>0</v>
      </c>
      <c r="F759" s="55">
        <f t="shared" si="80"/>
        <v>0</v>
      </c>
      <c r="G759" s="55">
        <f t="shared" si="81"/>
        <v>0</v>
      </c>
      <c r="H759" s="55" t="str">
        <f t="shared" si="82"/>
        <v/>
      </c>
      <c r="J759" s="61">
        <f t="shared" si="83"/>
        <v>0</v>
      </c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</row>
    <row r="760" spans="1:36" x14ac:dyDescent="0.2">
      <c r="A760" s="61">
        <f t="shared" si="77"/>
        <v>0</v>
      </c>
      <c r="B760" s="55">
        <f t="shared" si="78"/>
        <v>0</v>
      </c>
      <c r="C760" s="55"/>
      <c r="D760" s="55"/>
      <c r="E760" s="55">
        <f t="shared" si="79"/>
        <v>0</v>
      </c>
      <c r="F760" s="55">
        <f t="shared" si="80"/>
        <v>0</v>
      </c>
      <c r="G760" s="55">
        <f t="shared" si="81"/>
        <v>0</v>
      </c>
      <c r="H760" s="55" t="str">
        <f t="shared" si="82"/>
        <v/>
      </c>
      <c r="J760" s="61">
        <f t="shared" si="83"/>
        <v>0</v>
      </c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</row>
    <row r="761" spans="1:36" x14ac:dyDescent="0.2">
      <c r="A761" s="61">
        <f t="shared" si="77"/>
        <v>0</v>
      </c>
      <c r="B761" s="55">
        <f t="shared" si="78"/>
        <v>0</v>
      </c>
      <c r="C761" s="55"/>
      <c r="D761" s="55"/>
      <c r="E761" s="55">
        <f t="shared" si="79"/>
        <v>0</v>
      </c>
      <c r="F761" s="55">
        <f t="shared" si="80"/>
        <v>0</v>
      </c>
      <c r="G761" s="55">
        <f t="shared" si="81"/>
        <v>0</v>
      </c>
      <c r="H761" s="55" t="str">
        <f t="shared" si="82"/>
        <v/>
      </c>
      <c r="J761" s="61">
        <f t="shared" si="83"/>
        <v>0</v>
      </c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</row>
    <row r="762" spans="1:36" x14ac:dyDescent="0.2">
      <c r="A762" s="61">
        <f t="shared" si="77"/>
        <v>0</v>
      </c>
      <c r="B762" s="55">
        <f t="shared" si="78"/>
        <v>0</v>
      </c>
      <c r="C762" s="55"/>
      <c r="D762" s="55"/>
      <c r="E762" s="55">
        <f t="shared" si="79"/>
        <v>0</v>
      </c>
      <c r="F762" s="55">
        <f t="shared" si="80"/>
        <v>0</v>
      </c>
      <c r="G762" s="55">
        <f t="shared" si="81"/>
        <v>0</v>
      </c>
      <c r="H762" s="55" t="str">
        <f t="shared" si="82"/>
        <v/>
      </c>
      <c r="J762" s="61">
        <f t="shared" si="83"/>
        <v>0</v>
      </c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</row>
    <row r="763" spans="1:36" x14ac:dyDescent="0.2">
      <c r="A763" s="61">
        <f t="shared" si="77"/>
        <v>0</v>
      </c>
      <c r="B763" s="55">
        <f t="shared" si="78"/>
        <v>0</v>
      </c>
      <c r="C763" s="55"/>
      <c r="D763" s="55"/>
      <c r="E763" s="55">
        <f t="shared" si="79"/>
        <v>0</v>
      </c>
      <c r="F763" s="55">
        <f t="shared" si="80"/>
        <v>0</v>
      </c>
      <c r="G763" s="55">
        <f t="shared" si="81"/>
        <v>0</v>
      </c>
      <c r="H763" s="55" t="str">
        <f t="shared" si="82"/>
        <v/>
      </c>
      <c r="J763" s="61">
        <f t="shared" si="83"/>
        <v>0</v>
      </c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</row>
    <row r="764" spans="1:36" x14ac:dyDescent="0.2">
      <c r="A764" s="61">
        <f t="shared" si="77"/>
        <v>0</v>
      </c>
      <c r="B764" s="55">
        <f t="shared" si="78"/>
        <v>0</v>
      </c>
      <c r="C764" s="55"/>
      <c r="D764" s="55"/>
      <c r="E764" s="55">
        <f t="shared" si="79"/>
        <v>0</v>
      </c>
      <c r="F764" s="55">
        <f t="shared" si="80"/>
        <v>0</v>
      </c>
      <c r="G764" s="55">
        <f t="shared" si="81"/>
        <v>0</v>
      </c>
      <c r="H764" s="55" t="str">
        <f t="shared" si="82"/>
        <v/>
      </c>
      <c r="J764" s="61">
        <f t="shared" si="83"/>
        <v>0</v>
      </c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</row>
    <row r="765" spans="1:36" x14ac:dyDescent="0.2">
      <c r="A765" s="61">
        <f t="shared" si="77"/>
        <v>0</v>
      </c>
      <c r="B765" s="55">
        <f t="shared" si="78"/>
        <v>0</v>
      </c>
      <c r="C765" s="55"/>
      <c r="D765" s="55"/>
      <c r="E765" s="55">
        <f t="shared" si="79"/>
        <v>0</v>
      </c>
      <c r="F765" s="55">
        <f t="shared" si="80"/>
        <v>0</v>
      </c>
      <c r="G765" s="55">
        <f t="shared" si="81"/>
        <v>0</v>
      </c>
      <c r="H765" s="55" t="str">
        <f t="shared" si="82"/>
        <v/>
      </c>
      <c r="J765" s="61">
        <f t="shared" si="83"/>
        <v>0</v>
      </c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</row>
    <row r="766" spans="1:36" x14ac:dyDescent="0.2">
      <c r="A766" s="61">
        <f t="shared" si="77"/>
        <v>0</v>
      </c>
      <c r="B766" s="55">
        <f t="shared" si="78"/>
        <v>0</v>
      </c>
      <c r="C766" s="55"/>
      <c r="D766" s="55"/>
      <c r="E766" s="55">
        <f t="shared" si="79"/>
        <v>0</v>
      </c>
      <c r="F766" s="55">
        <f t="shared" si="80"/>
        <v>0</v>
      </c>
      <c r="G766" s="55">
        <f t="shared" si="81"/>
        <v>0</v>
      </c>
      <c r="H766" s="55" t="str">
        <f t="shared" si="82"/>
        <v/>
      </c>
      <c r="J766" s="61">
        <f t="shared" si="83"/>
        <v>0</v>
      </c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</row>
    <row r="767" spans="1:36" x14ac:dyDescent="0.2">
      <c r="A767" s="61">
        <f t="shared" si="77"/>
        <v>0</v>
      </c>
      <c r="B767" s="55">
        <f t="shared" si="78"/>
        <v>0</v>
      </c>
      <c r="C767" s="55"/>
      <c r="D767" s="55"/>
      <c r="E767" s="55">
        <f t="shared" si="79"/>
        <v>0</v>
      </c>
      <c r="F767" s="55">
        <f t="shared" si="80"/>
        <v>0</v>
      </c>
      <c r="G767" s="55">
        <f t="shared" si="81"/>
        <v>0</v>
      </c>
      <c r="H767" s="55" t="str">
        <f t="shared" si="82"/>
        <v/>
      </c>
      <c r="J767" s="61">
        <f t="shared" si="83"/>
        <v>0</v>
      </c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</row>
    <row r="768" spans="1:36" x14ac:dyDescent="0.2">
      <c r="A768" s="61">
        <f t="shared" si="77"/>
        <v>0</v>
      </c>
      <c r="B768" s="55">
        <f t="shared" si="78"/>
        <v>0</v>
      </c>
      <c r="C768" s="55"/>
      <c r="D768" s="55"/>
      <c r="E768" s="55">
        <f t="shared" si="79"/>
        <v>0</v>
      </c>
      <c r="F768" s="55">
        <f t="shared" si="80"/>
        <v>0</v>
      </c>
      <c r="G768" s="55">
        <f t="shared" si="81"/>
        <v>0</v>
      </c>
      <c r="H768" s="55" t="str">
        <f t="shared" si="82"/>
        <v/>
      </c>
      <c r="J768" s="61">
        <f t="shared" si="83"/>
        <v>0</v>
      </c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</row>
    <row r="769" spans="1:36" x14ac:dyDescent="0.2">
      <c r="A769" s="61">
        <f t="shared" si="77"/>
        <v>0</v>
      </c>
      <c r="B769" s="55">
        <f t="shared" si="78"/>
        <v>0</v>
      </c>
      <c r="C769" s="55"/>
      <c r="D769" s="55"/>
      <c r="E769" s="55">
        <f t="shared" si="79"/>
        <v>0</v>
      </c>
      <c r="F769" s="55">
        <f t="shared" si="80"/>
        <v>0</v>
      </c>
      <c r="G769" s="55">
        <f t="shared" si="81"/>
        <v>0</v>
      </c>
      <c r="H769" s="55" t="str">
        <f t="shared" si="82"/>
        <v/>
      </c>
      <c r="J769" s="61">
        <f t="shared" si="83"/>
        <v>0</v>
      </c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</row>
    <row r="770" spans="1:36" x14ac:dyDescent="0.2">
      <c r="A770" s="61">
        <f t="shared" ref="A770:A833" si="84">J770</f>
        <v>0</v>
      </c>
      <c r="B770" s="55">
        <f t="shared" ref="B770:B833" si="85">M770</f>
        <v>0</v>
      </c>
      <c r="C770" s="55"/>
      <c r="D770" s="55"/>
      <c r="E770" s="55">
        <f t="shared" ref="E770:E833" si="86">V770</f>
        <v>0</v>
      </c>
      <c r="F770" s="55">
        <f t="shared" ref="F770:F833" si="87">Z770</f>
        <v>0</v>
      </c>
      <c r="G770" s="55">
        <f t="shared" ref="G770:G833" si="88">AH770</f>
        <v>0</v>
      </c>
      <c r="H770" s="55" t="str">
        <f t="shared" ref="H770:H833" si="89">IF(Q770&gt;1,IF(Q770=2,"I","E"),"")</f>
        <v/>
      </c>
      <c r="J770" s="61">
        <f t="shared" ref="J770:J833" si="90">P770*1</f>
        <v>0</v>
      </c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</row>
    <row r="771" spans="1:36" x14ac:dyDescent="0.2">
      <c r="A771" s="61">
        <f t="shared" si="84"/>
        <v>0</v>
      </c>
      <c r="B771" s="55">
        <f t="shared" si="85"/>
        <v>0</v>
      </c>
      <c r="C771" s="55"/>
      <c r="D771" s="55"/>
      <c r="E771" s="55">
        <f t="shared" si="86"/>
        <v>0</v>
      </c>
      <c r="F771" s="55">
        <f t="shared" si="87"/>
        <v>0</v>
      </c>
      <c r="G771" s="55">
        <f t="shared" si="88"/>
        <v>0</v>
      </c>
      <c r="H771" s="55" t="str">
        <f t="shared" si="89"/>
        <v/>
      </c>
      <c r="J771" s="61">
        <f t="shared" si="90"/>
        <v>0</v>
      </c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</row>
    <row r="772" spans="1:36" x14ac:dyDescent="0.2">
      <c r="A772" s="61">
        <f t="shared" si="84"/>
        <v>0</v>
      </c>
      <c r="B772" s="55">
        <f t="shared" si="85"/>
        <v>0</v>
      </c>
      <c r="C772" s="55"/>
      <c r="D772" s="55"/>
      <c r="E772" s="55">
        <f t="shared" si="86"/>
        <v>0</v>
      </c>
      <c r="F772" s="55">
        <f t="shared" si="87"/>
        <v>0</v>
      </c>
      <c r="G772" s="55">
        <f t="shared" si="88"/>
        <v>0</v>
      </c>
      <c r="H772" s="55" t="str">
        <f t="shared" si="89"/>
        <v/>
      </c>
      <c r="J772" s="61">
        <f t="shared" si="90"/>
        <v>0</v>
      </c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</row>
    <row r="773" spans="1:36" x14ac:dyDescent="0.2">
      <c r="A773" s="61">
        <f t="shared" si="84"/>
        <v>0</v>
      </c>
      <c r="B773" s="55">
        <f t="shared" si="85"/>
        <v>0</v>
      </c>
      <c r="C773" s="55"/>
      <c r="D773" s="55"/>
      <c r="E773" s="55">
        <f t="shared" si="86"/>
        <v>0</v>
      </c>
      <c r="F773" s="55">
        <f t="shared" si="87"/>
        <v>0</v>
      </c>
      <c r="G773" s="55">
        <f t="shared" si="88"/>
        <v>0</v>
      </c>
      <c r="H773" s="55" t="str">
        <f t="shared" si="89"/>
        <v/>
      </c>
      <c r="J773" s="61">
        <f t="shared" si="90"/>
        <v>0</v>
      </c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</row>
    <row r="774" spans="1:36" x14ac:dyDescent="0.2">
      <c r="A774" s="61">
        <f t="shared" si="84"/>
        <v>0</v>
      </c>
      <c r="B774" s="55">
        <f t="shared" si="85"/>
        <v>0</v>
      </c>
      <c r="C774" s="55"/>
      <c r="D774" s="55"/>
      <c r="E774" s="55">
        <f t="shared" si="86"/>
        <v>0</v>
      </c>
      <c r="F774" s="55">
        <f t="shared" si="87"/>
        <v>0</v>
      </c>
      <c r="G774" s="55">
        <f t="shared" si="88"/>
        <v>0</v>
      </c>
      <c r="H774" s="55" t="str">
        <f t="shared" si="89"/>
        <v/>
      </c>
      <c r="J774" s="61">
        <f t="shared" si="90"/>
        <v>0</v>
      </c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</row>
    <row r="775" spans="1:36" x14ac:dyDescent="0.2">
      <c r="A775" s="61">
        <f t="shared" si="84"/>
        <v>0</v>
      </c>
      <c r="B775" s="55">
        <f t="shared" si="85"/>
        <v>0</v>
      </c>
      <c r="C775" s="55"/>
      <c r="D775" s="55"/>
      <c r="E775" s="55">
        <f t="shared" si="86"/>
        <v>0</v>
      </c>
      <c r="F775" s="55">
        <f t="shared" si="87"/>
        <v>0</v>
      </c>
      <c r="G775" s="55">
        <f t="shared" si="88"/>
        <v>0</v>
      </c>
      <c r="H775" s="55" t="str">
        <f t="shared" si="89"/>
        <v/>
      </c>
      <c r="J775" s="61">
        <f t="shared" si="90"/>
        <v>0</v>
      </c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</row>
    <row r="776" spans="1:36" x14ac:dyDescent="0.2">
      <c r="A776" s="61">
        <f t="shared" si="84"/>
        <v>0</v>
      </c>
      <c r="B776" s="55">
        <f t="shared" si="85"/>
        <v>0</v>
      </c>
      <c r="C776" s="55"/>
      <c r="D776" s="55"/>
      <c r="E776" s="55">
        <f t="shared" si="86"/>
        <v>0</v>
      </c>
      <c r="F776" s="55">
        <f t="shared" si="87"/>
        <v>0</v>
      </c>
      <c r="G776" s="55">
        <f t="shared" si="88"/>
        <v>0</v>
      </c>
      <c r="H776" s="55" t="str">
        <f t="shared" si="89"/>
        <v/>
      </c>
      <c r="J776" s="61">
        <f t="shared" si="90"/>
        <v>0</v>
      </c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</row>
    <row r="777" spans="1:36" x14ac:dyDescent="0.2">
      <c r="A777" s="61">
        <f t="shared" si="84"/>
        <v>0</v>
      </c>
      <c r="B777" s="55">
        <f t="shared" si="85"/>
        <v>0</v>
      </c>
      <c r="C777" s="55"/>
      <c r="D777" s="55"/>
      <c r="E777" s="55">
        <f t="shared" si="86"/>
        <v>0</v>
      </c>
      <c r="F777" s="55">
        <f t="shared" si="87"/>
        <v>0</v>
      </c>
      <c r="G777" s="55">
        <f t="shared" si="88"/>
        <v>0</v>
      </c>
      <c r="H777" s="55" t="str">
        <f t="shared" si="89"/>
        <v/>
      </c>
      <c r="J777" s="61">
        <f t="shared" si="90"/>
        <v>0</v>
      </c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</row>
    <row r="778" spans="1:36" x14ac:dyDescent="0.2">
      <c r="A778" s="61">
        <f t="shared" si="84"/>
        <v>0</v>
      </c>
      <c r="B778" s="55">
        <f t="shared" si="85"/>
        <v>0</v>
      </c>
      <c r="C778" s="55"/>
      <c r="D778" s="55"/>
      <c r="E778" s="55">
        <f t="shared" si="86"/>
        <v>0</v>
      </c>
      <c r="F778" s="55">
        <f t="shared" si="87"/>
        <v>0</v>
      </c>
      <c r="G778" s="55">
        <f t="shared" si="88"/>
        <v>0</v>
      </c>
      <c r="H778" s="55" t="str">
        <f t="shared" si="89"/>
        <v/>
      </c>
      <c r="J778" s="61">
        <f t="shared" si="90"/>
        <v>0</v>
      </c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</row>
    <row r="779" spans="1:36" x14ac:dyDescent="0.2">
      <c r="A779" s="61">
        <f t="shared" si="84"/>
        <v>0</v>
      </c>
      <c r="B779" s="55">
        <f t="shared" si="85"/>
        <v>0</v>
      </c>
      <c r="C779" s="55"/>
      <c r="D779" s="55"/>
      <c r="E779" s="55">
        <f t="shared" si="86"/>
        <v>0</v>
      </c>
      <c r="F779" s="55">
        <f t="shared" si="87"/>
        <v>0</v>
      </c>
      <c r="G779" s="55">
        <f t="shared" si="88"/>
        <v>0</v>
      </c>
      <c r="H779" s="55" t="str">
        <f t="shared" si="89"/>
        <v/>
      </c>
      <c r="J779" s="61">
        <f t="shared" si="90"/>
        <v>0</v>
      </c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</row>
    <row r="780" spans="1:36" x14ac:dyDescent="0.2">
      <c r="A780" s="61">
        <f t="shared" si="84"/>
        <v>0</v>
      </c>
      <c r="B780" s="55">
        <f t="shared" si="85"/>
        <v>0</v>
      </c>
      <c r="C780" s="55"/>
      <c r="D780" s="55"/>
      <c r="E780" s="55">
        <f t="shared" si="86"/>
        <v>0</v>
      </c>
      <c r="F780" s="55">
        <f t="shared" si="87"/>
        <v>0</v>
      </c>
      <c r="G780" s="55">
        <f t="shared" si="88"/>
        <v>0</v>
      </c>
      <c r="H780" s="55" t="str">
        <f t="shared" si="89"/>
        <v/>
      </c>
      <c r="J780" s="61">
        <f t="shared" si="90"/>
        <v>0</v>
      </c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</row>
    <row r="781" spans="1:36" x14ac:dyDescent="0.2">
      <c r="A781" s="61">
        <f t="shared" si="84"/>
        <v>0</v>
      </c>
      <c r="B781" s="55">
        <f t="shared" si="85"/>
        <v>0</v>
      </c>
      <c r="C781" s="55"/>
      <c r="D781" s="55"/>
      <c r="E781" s="55">
        <f t="shared" si="86"/>
        <v>0</v>
      </c>
      <c r="F781" s="55">
        <f t="shared" si="87"/>
        <v>0</v>
      </c>
      <c r="G781" s="55">
        <f t="shared" si="88"/>
        <v>0</v>
      </c>
      <c r="H781" s="55" t="str">
        <f t="shared" si="89"/>
        <v/>
      </c>
      <c r="J781" s="61">
        <f t="shared" si="90"/>
        <v>0</v>
      </c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</row>
    <row r="782" spans="1:36" x14ac:dyDescent="0.2">
      <c r="A782" s="61">
        <f t="shared" si="84"/>
        <v>0</v>
      </c>
      <c r="B782" s="55">
        <f t="shared" si="85"/>
        <v>0</v>
      </c>
      <c r="C782" s="55"/>
      <c r="D782" s="55"/>
      <c r="E782" s="55">
        <f t="shared" si="86"/>
        <v>0</v>
      </c>
      <c r="F782" s="55">
        <f t="shared" si="87"/>
        <v>0</v>
      </c>
      <c r="G782" s="55">
        <f t="shared" si="88"/>
        <v>0</v>
      </c>
      <c r="H782" s="55" t="str">
        <f t="shared" si="89"/>
        <v/>
      </c>
      <c r="J782" s="61">
        <f t="shared" si="90"/>
        <v>0</v>
      </c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</row>
    <row r="783" spans="1:36" x14ac:dyDescent="0.2">
      <c r="A783" s="61">
        <f t="shared" si="84"/>
        <v>0</v>
      </c>
      <c r="B783" s="55">
        <f t="shared" si="85"/>
        <v>0</v>
      </c>
      <c r="C783" s="55"/>
      <c r="D783" s="55"/>
      <c r="E783" s="55">
        <f t="shared" si="86"/>
        <v>0</v>
      </c>
      <c r="F783" s="55">
        <f t="shared" si="87"/>
        <v>0</v>
      </c>
      <c r="G783" s="55">
        <f t="shared" si="88"/>
        <v>0</v>
      </c>
      <c r="H783" s="55" t="str">
        <f t="shared" si="89"/>
        <v/>
      </c>
      <c r="J783" s="61">
        <f t="shared" si="90"/>
        <v>0</v>
      </c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</row>
    <row r="784" spans="1:36" x14ac:dyDescent="0.2">
      <c r="A784" s="61">
        <f t="shared" si="84"/>
        <v>0</v>
      </c>
      <c r="B784" s="55">
        <f t="shared" si="85"/>
        <v>0</v>
      </c>
      <c r="C784" s="55"/>
      <c r="D784" s="55"/>
      <c r="E784" s="55">
        <f t="shared" si="86"/>
        <v>0</v>
      </c>
      <c r="F784" s="55">
        <f t="shared" si="87"/>
        <v>0</v>
      </c>
      <c r="G784" s="55">
        <f t="shared" si="88"/>
        <v>0</v>
      </c>
      <c r="H784" s="55" t="str">
        <f t="shared" si="89"/>
        <v/>
      </c>
      <c r="J784" s="61">
        <f t="shared" si="90"/>
        <v>0</v>
      </c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</row>
    <row r="785" spans="1:36" x14ac:dyDescent="0.2">
      <c r="A785" s="61">
        <f t="shared" si="84"/>
        <v>0</v>
      </c>
      <c r="B785" s="55">
        <f t="shared" si="85"/>
        <v>0</v>
      </c>
      <c r="C785" s="55"/>
      <c r="D785" s="55"/>
      <c r="E785" s="55">
        <f t="shared" si="86"/>
        <v>0</v>
      </c>
      <c r="F785" s="55">
        <f t="shared" si="87"/>
        <v>0</v>
      </c>
      <c r="G785" s="55">
        <f t="shared" si="88"/>
        <v>0</v>
      </c>
      <c r="H785" s="55" t="str">
        <f t="shared" si="89"/>
        <v/>
      </c>
      <c r="J785" s="61">
        <f t="shared" si="90"/>
        <v>0</v>
      </c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</row>
    <row r="786" spans="1:36" x14ac:dyDescent="0.2">
      <c r="A786" s="61">
        <f t="shared" si="84"/>
        <v>0</v>
      </c>
      <c r="B786" s="55">
        <f t="shared" si="85"/>
        <v>0</v>
      </c>
      <c r="C786" s="55"/>
      <c r="D786" s="55"/>
      <c r="E786" s="55">
        <f t="shared" si="86"/>
        <v>0</v>
      </c>
      <c r="F786" s="55">
        <f t="shared" si="87"/>
        <v>0</v>
      </c>
      <c r="G786" s="55">
        <f t="shared" si="88"/>
        <v>0</v>
      </c>
      <c r="H786" s="55" t="str">
        <f t="shared" si="89"/>
        <v/>
      </c>
      <c r="J786" s="61">
        <f t="shared" si="90"/>
        <v>0</v>
      </c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</row>
    <row r="787" spans="1:36" x14ac:dyDescent="0.2">
      <c r="A787" s="61">
        <f t="shared" si="84"/>
        <v>0</v>
      </c>
      <c r="B787" s="55">
        <f t="shared" si="85"/>
        <v>0</v>
      </c>
      <c r="C787" s="55"/>
      <c r="D787" s="55"/>
      <c r="E787" s="55">
        <f t="shared" si="86"/>
        <v>0</v>
      </c>
      <c r="F787" s="55">
        <f t="shared" si="87"/>
        <v>0</v>
      </c>
      <c r="G787" s="55">
        <f t="shared" si="88"/>
        <v>0</v>
      </c>
      <c r="H787" s="55" t="str">
        <f t="shared" si="89"/>
        <v/>
      </c>
      <c r="J787" s="61">
        <f t="shared" si="90"/>
        <v>0</v>
      </c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</row>
    <row r="788" spans="1:36" x14ac:dyDescent="0.2">
      <c r="A788" s="61">
        <f t="shared" si="84"/>
        <v>0</v>
      </c>
      <c r="B788" s="55">
        <f t="shared" si="85"/>
        <v>0</v>
      </c>
      <c r="C788" s="55"/>
      <c r="D788" s="55"/>
      <c r="E788" s="55">
        <f t="shared" si="86"/>
        <v>0</v>
      </c>
      <c r="F788" s="55">
        <f t="shared" si="87"/>
        <v>0</v>
      </c>
      <c r="G788" s="55">
        <f t="shared" si="88"/>
        <v>0</v>
      </c>
      <c r="H788" s="55" t="str">
        <f t="shared" si="89"/>
        <v/>
      </c>
      <c r="J788" s="61">
        <f t="shared" si="90"/>
        <v>0</v>
      </c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</row>
    <row r="789" spans="1:36" x14ac:dyDescent="0.2">
      <c r="A789" s="61">
        <f t="shared" si="84"/>
        <v>0</v>
      </c>
      <c r="B789" s="55">
        <f t="shared" si="85"/>
        <v>0</v>
      </c>
      <c r="C789" s="55"/>
      <c r="D789" s="55"/>
      <c r="E789" s="55">
        <f t="shared" si="86"/>
        <v>0</v>
      </c>
      <c r="F789" s="55">
        <f t="shared" si="87"/>
        <v>0</v>
      </c>
      <c r="G789" s="55">
        <f t="shared" si="88"/>
        <v>0</v>
      </c>
      <c r="H789" s="55" t="str">
        <f t="shared" si="89"/>
        <v/>
      </c>
      <c r="J789" s="61">
        <f t="shared" si="90"/>
        <v>0</v>
      </c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</row>
    <row r="790" spans="1:36" x14ac:dyDescent="0.2">
      <c r="A790" s="61">
        <f t="shared" si="84"/>
        <v>0</v>
      </c>
      <c r="B790" s="55">
        <f t="shared" si="85"/>
        <v>0</v>
      </c>
      <c r="C790" s="55"/>
      <c r="D790" s="55"/>
      <c r="E790" s="55">
        <f t="shared" si="86"/>
        <v>0</v>
      </c>
      <c r="F790" s="55">
        <f t="shared" si="87"/>
        <v>0</v>
      </c>
      <c r="G790" s="55">
        <f t="shared" si="88"/>
        <v>0</v>
      </c>
      <c r="H790" s="55" t="str">
        <f t="shared" si="89"/>
        <v/>
      </c>
      <c r="J790" s="61">
        <f t="shared" si="90"/>
        <v>0</v>
      </c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</row>
    <row r="791" spans="1:36" x14ac:dyDescent="0.2">
      <c r="A791" s="61">
        <f t="shared" si="84"/>
        <v>0</v>
      </c>
      <c r="B791" s="55">
        <f t="shared" si="85"/>
        <v>0</v>
      </c>
      <c r="C791" s="55"/>
      <c r="D791" s="55"/>
      <c r="E791" s="55">
        <f t="shared" si="86"/>
        <v>0</v>
      </c>
      <c r="F791" s="55">
        <f t="shared" si="87"/>
        <v>0</v>
      </c>
      <c r="G791" s="55">
        <f t="shared" si="88"/>
        <v>0</v>
      </c>
      <c r="H791" s="55" t="str">
        <f t="shared" si="89"/>
        <v/>
      </c>
      <c r="J791" s="61">
        <f t="shared" si="90"/>
        <v>0</v>
      </c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</row>
    <row r="792" spans="1:36" x14ac:dyDescent="0.2">
      <c r="A792" s="61">
        <f t="shared" si="84"/>
        <v>0</v>
      </c>
      <c r="B792" s="55">
        <f t="shared" si="85"/>
        <v>0</v>
      </c>
      <c r="C792" s="55"/>
      <c r="D792" s="55"/>
      <c r="E792" s="55">
        <f t="shared" si="86"/>
        <v>0</v>
      </c>
      <c r="F792" s="55">
        <f t="shared" si="87"/>
        <v>0</v>
      </c>
      <c r="G792" s="55">
        <f t="shared" si="88"/>
        <v>0</v>
      </c>
      <c r="H792" s="55" t="str">
        <f t="shared" si="89"/>
        <v/>
      </c>
      <c r="J792" s="61">
        <f t="shared" si="90"/>
        <v>0</v>
      </c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</row>
    <row r="793" spans="1:36" x14ac:dyDescent="0.2">
      <c r="A793" s="61">
        <f t="shared" si="84"/>
        <v>0</v>
      </c>
      <c r="B793" s="55">
        <f t="shared" si="85"/>
        <v>0</v>
      </c>
      <c r="C793" s="55"/>
      <c r="D793" s="55"/>
      <c r="E793" s="55">
        <f t="shared" si="86"/>
        <v>0</v>
      </c>
      <c r="F793" s="55">
        <f t="shared" si="87"/>
        <v>0</v>
      </c>
      <c r="G793" s="55">
        <f t="shared" si="88"/>
        <v>0</v>
      </c>
      <c r="H793" s="55" t="str">
        <f t="shared" si="89"/>
        <v/>
      </c>
      <c r="J793" s="61">
        <f t="shared" si="90"/>
        <v>0</v>
      </c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</row>
    <row r="794" spans="1:36" x14ac:dyDescent="0.2">
      <c r="A794" s="61">
        <f t="shared" si="84"/>
        <v>0</v>
      </c>
      <c r="B794" s="55">
        <f t="shared" si="85"/>
        <v>0</v>
      </c>
      <c r="C794" s="55"/>
      <c r="D794" s="55"/>
      <c r="E794" s="55">
        <f t="shared" si="86"/>
        <v>0</v>
      </c>
      <c r="F794" s="55">
        <f t="shared" si="87"/>
        <v>0</v>
      </c>
      <c r="G794" s="55">
        <f t="shared" si="88"/>
        <v>0</v>
      </c>
      <c r="H794" s="55" t="str">
        <f t="shared" si="89"/>
        <v/>
      </c>
      <c r="J794" s="61">
        <f t="shared" si="90"/>
        <v>0</v>
      </c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</row>
    <row r="795" spans="1:36" x14ac:dyDescent="0.2">
      <c r="A795" s="61">
        <f t="shared" si="84"/>
        <v>0</v>
      </c>
      <c r="B795" s="55">
        <f t="shared" si="85"/>
        <v>0</v>
      </c>
      <c r="C795" s="55"/>
      <c r="D795" s="55"/>
      <c r="E795" s="55">
        <f t="shared" si="86"/>
        <v>0</v>
      </c>
      <c r="F795" s="55">
        <f t="shared" si="87"/>
        <v>0</v>
      </c>
      <c r="G795" s="55">
        <f t="shared" si="88"/>
        <v>0</v>
      </c>
      <c r="H795" s="55" t="str">
        <f t="shared" si="89"/>
        <v/>
      </c>
      <c r="J795" s="61">
        <f t="shared" si="90"/>
        <v>0</v>
      </c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</row>
    <row r="796" spans="1:36" x14ac:dyDescent="0.2">
      <c r="A796" s="61">
        <f t="shared" si="84"/>
        <v>0</v>
      </c>
      <c r="B796" s="55">
        <f t="shared" si="85"/>
        <v>0</v>
      </c>
      <c r="C796" s="55"/>
      <c r="D796" s="55"/>
      <c r="E796" s="55">
        <f t="shared" si="86"/>
        <v>0</v>
      </c>
      <c r="F796" s="55">
        <f t="shared" si="87"/>
        <v>0</v>
      </c>
      <c r="G796" s="55">
        <f t="shared" si="88"/>
        <v>0</v>
      </c>
      <c r="H796" s="55" t="str">
        <f t="shared" si="89"/>
        <v/>
      </c>
      <c r="J796" s="61">
        <f t="shared" si="90"/>
        <v>0</v>
      </c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</row>
    <row r="797" spans="1:36" x14ac:dyDescent="0.2">
      <c r="A797" s="61">
        <f t="shared" si="84"/>
        <v>0</v>
      </c>
      <c r="B797" s="55">
        <f t="shared" si="85"/>
        <v>0</v>
      </c>
      <c r="C797" s="55"/>
      <c r="D797" s="55"/>
      <c r="E797" s="55">
        <f t="shared" si="86"/>
        <v>0</v>
      </c>
      <c r="F797" s="55">
        <f t="shared" si="87"/>
        <v>0</v>
      </c>
      <c r="G797" s="55">
        <f t="shared" si="88"/>
        <v>0</v>
      </c>
      <c r="H797" s="55" t="str">
        <f t="shared" si="89"/>
        <v/>
      </c>
      <c r="J797" s="61">
        <f t="shared" si="90"/>
        <v>0</v>
      </c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</row>
    <row r="798" spans="1:36" x14ac:dyDescent="0.2">
      <c r="A798" s="61">
        <f t="shared" si="84"/>
        <v>0</v>
      </c>
      <c r="B798" s="55">
        <f t="shared" si="85"/>
        <v>0</v>
      </c>
      <c r="C798" s="55"/>
      <c r="D798" s="55"/>
      <c r="E798" s="55">
        <f t="shared" si="86"/>
        <v>0</v>
      </c>
      <c r="F798" s="55">
        <f t="shared" si="87"/>
        <v>0</v>
      </c>
      <c r="G798" s="55">
        <f t="shared" si="88"/>
        <v>0</v>
      </c>
      <c r="H798" s="55" t="str">
        <f t="shared" si="89"/>
        <v/>
      </c>
      <c r="J798" s="61">
        <f t="shared" si="90"/>
        <v>0</v>
      </c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</row>
    <row r="799" spans="1:36" x14ac:dyDescent="0.2">
      <c r="A799" s="61">
        <f t="shared" si="84"/>
        <v>0</v>
      </c>
      <c r="B799" s="55">
        <f t="shared" si="85"/>
        <v>0</v>
      </c>
      <c r="C799" s="55"/>
      <c r="D799" s="55"/>
      <c r="E799" s="55">
        <f t="shared" si="86"/>
        <v>0</v>
      </c>
      <c r="F799" s="55">
        <f t="shared" si="87"/>
        <v>0</v>
      </c>
      <c r="G799" s="55">
        <f t="shared" si="88"/>
        <v>0</v>
      </c>
      <c r="H799" s="55" t="str">
        <f t="shared" si="89"/>
        <v/>
      </c>
      <c r="J799" s="61">
        <f t="shared" si="90"/>
        <v>0</v>
      </c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</row>
    <row r="800" spans="1:36" x14ac:dyDescent="0.2">
      <c r="A800" s="61">
        <f t="shared" si="84"/>
        <v>0</v>
      </c>
      <c r="B800" s="55">
        <f t="shared" si="85"/>
        <v>0</v>
      </c>
      <c r="C800" s="55"/>
      <c r="D800" s="55"/>
      <c r="E800" s="55">
        <f t="shared" si="86"/>
        <v>0</v>
      </c>
      <c r="F800" s="55">
        <f t="shared" si="87"/>
        <v>0</v>
      </c>
      <c r="G800" s="55">
        <f t="shared" si="88"/>
        <v>0</v>
      </c>
      <c r="H800" s="55" t="str">
        <f t="shared" si="89"/>
        <v/>
      </c>
      <c r="J800" s="61">
        <f t="shared" si="90"/>
        <v>0</v>
      </c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</row>
    <row r="801" spans="1:36" x14ac:dyDescent="0.2">
      <c r="A801" s="61">
        <f t="shared" si="84"/>
        <v>0</v>
      </c>
      <c r="B801" s="55">
        <f t="shared" si="85"/>
        <v>0</v>
      </c>
      <c r="C801" s="55"/>
      <c r="D801" s="55"/>
      <c r="E801" s="55">
        <f t="shared" si="86"/>
        <v>0</v>
      </c>
      <c r="F801" s="55">
        <f t="shared" si="87"/>
        <v>0</v>
      </c>
      <c r="G801" s="55">
        <f t="shared" si="88"/>
        <v>0</v>
      </c>
      <c r="H801" s="55" t="str">
        <f t="shared" si="89"/>
        <v/>
      </c>
      <c r="J801" s="61">
        <f t="shared" si="90"/>
        <v>0</v>
      </c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</row>
    <row r="802" spans="1:36" x14ac:dyDescent="0.2">
      <c r="A802" s="61">
        <f t="shared" si="84"/>
        <v>0</v>
      </c>
      <c r="B802" s="55">
        <f t="shared" si="85"/>
        <v>0</v>
      </c>
      <c r="C802" s="55"/>
      <c r="D802" s="55"/>
      <c r="E802" s="55">
        <f t="shared" si="86"/>
        <v>0</v>
      </c>
      <c r="F802" s="55">
        <f t="shared" si="87"/>
        <v>0</v>
      </c>
      <c r="G802" s="55">
        <f t="shared" si="88"/>
        <v>0</v>
      </c>
      <c r="H802" s="55" t="str">
        <f t="shared" si="89"/>
        <v/>
      </c>
      <c r="J802" s="61">
        <f t="shared" si="90"/>
        <v>0</v>
      </c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</row>
    <row r="803" spans="1:36" x14ac:dyDescent="0.2">
      <c r="A803" s="61">
        <f t="shared" si="84"/>
        <v>0</v>
      </c>
      <c r="B803" s="55">
        <f t="shared" si="85"/>
        <v>0</v>
      </c>
      <c r="C803" s="55"/>
      <c r="D803" s="55"/>
      <c r="E803" s="55">
        <f t="shared" si="86"/>
        <v>0</v>
      </c>
      <c r="F803" s="55">
        <f t="shared" si="87"/>
        <v>0</v>
      </c>
      <c r="G803" s="55">
        <f t="shared" si="88"/>
        <v>0</v>
      </c>
      <c r="H803" s="55" t="str">
        <f t="shared" si="89"/>
        <v/>
      </c>
      <c r="J803" s="61">
        <f t="shared" si="90"/>
        <v>0</v>
      </c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</row>
    <row r="804" spans="1:36" x14ac:dyDescent="0.2">
      <c r="A804" s="61">
        <f t="shared" si="84"/>
        <v>0</v>
      </c>
      <c r="B804" s="55">
        <f t="shared" si="85"/>
        <v>0</v>
      </c>
      <c r="C804" s="55"/>
      <c r="D804" s="55"/>
      <c r="E804" s="55">
        <f t="shared" si="86"/>
        <v>0</v>
      </c>
      <c r="F804" s="55">
        <f t="shared" si="87"/>
        <v>0</v>
      </c>
      <c r="G804" s="55">
        <f t="shared" si="88"/>
        <v>0</v>
      </c>
      <c r="H804" s="55" t="str">
        <f t="shared" si="89"/>
        <v/>
      </c>
      <c r="J804" s="61">
        <f t="shared" si="90"/>
        <v>0</v>
      </c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</row>
    <row r="805" spans="1:36" x14ac:dyDescent="0.2">
      <c r="A805" s="61">
        <f t="shared" si="84"/>
        <v>0</v>
      </c>
      <c r="B805" s="55">
        <f t="shared" si="85"/>
        <v>0</v>
      </c>
      <c r="C805" s="55"/>
      <c r="D805" s="55"/>
      <c r="E805" s="55">
        <f t="shared" si="86"/>
        <v>0</v>
      </c>
      <c r="F805" s="55">
        <f t="shared" si="87"/>
        <v>0</v>
      </c>
      <c r="G805" s="55">
        <f t="shared" si="88"/>
        <v>0</v>
      </c>
      <c r="H805" s="55" t="str">
        <f t="shared" si="89"/>
        <v/>
      </c>
      <c r="J805" s="61">
        <f t="shared" si="90"/>
        <v>0</v>
      </c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</row>
    <row r="806" spans="1:36" x14ac:dyDescent="0.2">
      <c r="A806" s="61">
        <f t="shared" si="84"/>
        <v>0</v>
      </c>
      <c r="B806" s="55">
        <f t="shared" si="85"/>
        <v>0</v>
      </c>
      <c r="C806" s="55"/>
      <c r="D806" s="55"/>
      <c r="E806" s="55">
        <f t="shared" si="86"/>
        <v>0</v>
      </c>
      <c r="F806" s="55">
        <f t="shared" si="87"/>
        <v>0</v>
      </c>
      <c r="G806" s="55">
        <f t="shared" si="88"/>
        <v>0</v>
      </c>
      <c r="H806" s="55" t="str">
        <f t="shared" si="89"/>
        <v/>
      </c>
      <c r="J806" s="61">
        <f t="shared" si="90"/>
        <v>0</v>
      </c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</row>
    <row r="807" spans="1:36" x14ac:dyDescent="0.2">
      <c r="A807" s="61">
        <f t="shared" si="84"/>
        <v>0</v>
      </c>
      <c r="B807" s="55">
        <f t="shared" si="85"/>
        <v>0</v>
      </c>
      <c r="C807" s="55"/>
      <c r="D807" s="55"/>
      <c r="E807" s="55">
        <f t="shared" si="86"/>
        <v>0</v>
      </c>
      <c r="F807" s="55">
        <f t="shared" si="87"/>
        <v>0</v>
      </c>
      <c r="G807" s="55">
        <f t="shared" si="88"/>
        <v>0</v>
      </c>
      <c r="H807" s="55" t="str">
        <f t="shared" si="89"/>
        <v/>
      </c>
      <c r="J807" s="61">
        <f t="shared" si="90"/>
        <v>0</v>
      </c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</row>
    <row r="808" spans="1:36" x14ac:dyDescent="0.2">
      <c r="A808" s="61">
        <f t="shared" si="84"/>
        <v>0</v>
      </c>
      <c r="B808" s="55">
        <f t="shared" si="85"/>
        <v>0</v>
      </c>
      <c r="C808" s="55"/>
      <c r="D808" s="55"/>
      <c r="E808" s="55">
        <f t="shared" si="86"/>
        <v>0</v>
      </c>
      <c r="F808" s="55">
        <f t="shared" si="87"/>
        <v>0</v>
      </c>
      <c r="G808" s="55">
        <f t="shared" si="88"/>
        <v>0</v>
      </c>
      <c r="H808" s="55" t="str">
        <f t="shared" si="89"/>
        <v/>
      </c>
      <c r="J808" s="61">
        <f t="shared" si="90"/>
        <v>0</v>
      </c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</row>
    <row r="809" spans="1:36" x14ac:dyDescent="0.2">
      <c r="A809" s="61">
        <f t="shared" si="84"/>
        <v>0</v>
      </c>
      <c r="B809" s="55">
        <f t="shared" si="85"/>
        <v>0</v>
      </c>
      <c r="C809" s="55"/>
      <c r="D809" s="55"/>
      <c r="E809" s="55">
        <f t="shared" si="86"/>
        <v>0</v>
      </c>
      <c r="F809" s="55">
        <f t="shared" si="87"/>
        <v>0</v>
      </c>
      <c r="G809" s="55">
        <f t="shared" si="88"/>
        <v>0</v>
      </c>
      <c r="H809" s="55" t="str">
        <f t="shared" si="89"/>
        <v/>
      </c>
      <c r="J809" s="61">
        <f t="shared" si="90"/>
        <v>0</v>
      </c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</row>
    <row r="810" spans="1:36" x14ac:dyDescent="0.2">
      <c r="A810" s="61">
        <f t="shared" si="84"/>
        <v>0</v>
      </c>
      <c r="B810" s="55">
        <f t="shared" si="85"/>
        <v>0</v>
      </c>
      <c r="C810" s="55"/>
      <c r="D810" s="55"/>
      <c r="E810" s="55">
        <f t="shared" si="86"/>
        <v>0</v>
      </c>
      <c r="F810" s="55">
        <f t="shared" si="87"/>
        <v>0</v>
      </c>
      <c r="G810" s="55">
        <f t="shared" si="88"/>
        <v>0</v>
      </c>
      <c r="H810" s="55" t="str">
        <f t="shared" si="89"/>
        <v/>
      </c>
      <c r="J810" s="61">
        <f t="shared" si="90"/>
        <v>0</v>
      </c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</row>
    <row r="811" spans="1:36" x14ac:dyDescent="0.2">
      <c r="A811" s="61">
        <f t="shared" si="84"/>
        <v>0</v>
      </c>
      <c r="B811" s="55">
        <f t="shared" si="85"/>
        <v>0</v>
      </c>
      <c r="C811" s="55"/>
      <c r="D811" s="55"/>
      <c r="E811" s="55">
        <f t="shared" si="86"/>
        <v>0</v>
      </c>
      <c r="F811" s="55">
        <f t="shared" si="87"/>
        <v>0</v>
      </c>
      <c r="G811" s="55">
        <f t="shared" si="88"/>
        <v>0</v>
      </c>
      <c r="H811" s="55" t="str">
        <f t="shared" si="89"/>
        <v/>
      </c>
      <c r="J811" s="61">
        <f t="shared" si="90"/>
        <v>0</v>
      </c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</row>
    <row r="812" spans="1:36" x14ac:dyDescent="0.2">
      <c r="A812" s="61">
        <f t="shared" si="84"/>
        <v>0</v>
      </c>
      <c r="B812" s="55">
        <f t="shared" si="85"/>
        <v>0</v>
      </c>
      <c r="C812" s="55"/>
      <c r="D812" s="55"/>
      <c r="E812" s="55">
        <f t="shared" si="86"/>
        <v>0</v>
      </c>
      <c r="F812" s="55">
        <f t="shared" si="87"/>
        <v>0</v>
      </c>
      <c r="G812" s="55">
        <f t="shared" si="88"/>
        <v>0</v>
      </c>
      <c r="H812" s="55" t="str">
        <f t="shared" si="89"/>
        <v/>
      </c>
      <c r="J812" s="61">
        <f t="shared" si="90"/>
        <v>0</v>
      </c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</row>
    <row r="813" spans="1:36" x14ac:dyDescent="0.2">
      <c r="A813" s="61">
        <f t="shared" si="84"/>
        <v>0</v>
      </c>
      <c r="B813" s="55">
        <f t="shared" si="85"/>
        <v>0</v>
      </c>
      <c r="C813" s="55"/>
      <c r="D813" s="55"/>
      <c r="E813" s="55">
        <f t="shared" si="86"/>
        <v>0</v>
      </c>
      <c r="F813" s="55">
        <f t="shared" si="87"/>
        <v>0</v>
      </c>
      <c r="G813" s="55">
        <f t="shared" si="88"/>
        <v>0</v>
      </c>
      <c r="H813" s="55" t="str">
        <f t="shared" si="89"/>
        <v/>
      </c>
      <c r="J813" s="61">
        <f t="shared" si="90"/>
        <v>0</v>
      </c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</row>
    <row r="814" spans="1:36" x14ac:dyDescent="0.2">
      <c r="A814" s="61">
        <f t="shared" si="84"/>
        <v>0</v>
      </c>
      <c r="B814" s="55">
        <f t="shared" si="85"/>
        <v>0</v>
      </c>
      <c r="C814" s="55"/>
      <c r="D814" s="55"/>
      <c r="E814" s="55">
        <f t="shared" si="86"/>
        <v>0</v>
      </c>
      <c r="F814" s="55">
        <f t="shared" si="87"/>
        <v>0</v>
      </c>
      <c r="G814" s="55">
        <f t="shared" si="88"/>
        <v>0</v>
      </c>
      <c r="H814" s="55" t="str">
        <f t="shared" si="89"/>
        <v/>
      </c>
      <c r="J814" s="61">
        <f t="shared" si="90"/>
        <v>0</v>
      </c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</row>
    <row r="815" spans="1:36" x14ac:dyDescent="0.2">
      <c r="A815" s="61">
        <f t="shared" si="84"/>
        <v>0</v>
      </c>
      <c r="B815" s="55">
        <f t="shared" si="85"/>
        <v>0</v>
      </c>
      <c r="C815" s="55"/>
      <c r="D815" s="55"/>
      <c r="E815" s="55">
        <f t="shared" si="86"/>
        <v>0</v>
      </c>
      <c r="F815" s="55">
        <f t="shared" si="87"/>
        <v>0</v>
      </c>
      <c r="G815" s="55">
        <f t="shared" si="88"/>
        <v>0</v>
      </c>
      <c r="H815" s="55" t="str">
        <f t="shared" si="89"/>
        <v/>
      </c>
      <c r="J815" s="61">
        <f t="shared" si="90"/>
        <v>0</v>
      </c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</row>
    <row r="816" spans="1:36" x14ac:dyDescent="0.2">
      <c r="A816" s="61">
        <f t="shared" si="84"/>
        <v>0</v>
      </c>
      <c r="B816" s="55">
        <f t="shared" si="85"/>
        <v>0</v>
      </c>
      <c r="C816" s="55"/>
      <c r="D816" s="55"/>
      <c r="E816" s="55">
        <f t="shared" si="86"/>
        <v>0</v>
      </c>
      <c r="F816" s="55">
        <f t="shared" si="87"/>
        <v>0</v>
      </c>
      <c r="G816" s="55">
        <f t="shared" si="88"/>
        <v>0</v>
      </c>
      <c r="H816" s="55" t="str">
        <f t="shared" si="89"/>
        <v/>
      </c>
      <c r="J816" s="61">
        <f t="shared" si="90"/>
        <v>0</v>
      </c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</row>
    <row r="817" spans="1:36" x14ac:dyDescent="0.2">
      <c r="A817" s="61">
        <f t="shared" si="84"/>
        <v>0</v>
      </c>
      <c r="B817" s="55">
        <f t="shared" si="85"/>
        <v>0</v>
      </c>
      <c r="C817" s="55"/>
      <c r="D817" s="55"/>
      <c r="E817" s="55">
        <f t="shared" si="86"/>
        <v>0</v>
      </c>
      <c r="F817" s="55">
        <f t="shared" si="87"/>
        <v>0</v>
      </c>
      <c r="G817" s="55">
        <f t="shared" si="88"/>
        <v>0</v>
      </c>
      <c r="H817" s="55" t="str">
        <f t="shared" si="89"/>
        <v/>
      </c>
      <c r="J817" s="61">
        <f t="shared" si="90"/>
        <v>0</v>
      </c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</row>
    <row r="818" spans="1:36" x14ac:dyDescent="0.2">
      <c r="A818" s="61">
        <f t="shared" si="84"/>
        <v>0</v>
      </c>
      <c r="B818" s="55">
        <f t="shared" si="85"/>
        <v>0</v>
      </c>
      <c r="C818" s="55"/>
      <c r="D818" s="55"/>
      <c r="E818" s="55">
        <f t="shared" si="86"/>
        <v>0</v>
      </c>
      <c r="F818" s="55">
        <f t="shared" si="87"/>
        <v>0</v>
      </c>
      <c r="G818" s="55">
        <f t="shared" si="88"/>
        <v>0</v>
      </c>
      <c r="H818" s="55" t="str">
        <f t="shared" si="89"/>
        <v/>
      </c>
      <c r="J818" s="61">
        <f t="shared" si="90"/>
        <v>0</v>
      </c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</row>
    <row r="819" spans="1:36" x14ac:dyDescent="0.2">
      <c r="A819" s="61">
        <f t="shared" si="84"/>
        <v>0</v>
      </c>
      <c r="B819" s="55">
        <f t="shared" si="85"/>
        <v>0</v>
      </c>
      <c r="C819" s="55"/>
      <c r="D819" s="55"/>
      <c r="E819" s="55">
        <f t="shared" si="86"/>
        <v>0</v>
      </c>
      <c r="F819" s="55">
        <f t="shared" si="87"/>
        <v>0</v>
      </c>
      <c r="G819" s="55">
        <f t="shared" si="88"/>
        <v>0</v>
      </c>
      <c r="H819" s="55" t="str">
        <f t="shared" si="89"/>
        <v/>
      </c>
      <c r="J819" s="61">
        <f t="shared" si="90"/>
        <v>0</v>
      </c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</row>
    <row r="820" spans="1:36" x14ac:dyDescent="0.2">
      <c r="A820" s="61">
        <f t="shared" si="84"/>
        <v>0</v>
      </c>
      <c r="B820" s="55">
        <f t="shared" si="85"/>
        <v>0</v>
      </c>
      <c r="C820" s="55"/>
      <c r="D820" s="55"/>
      <c r="E820" s="55">
        <f t="shared" si="86"/>
        <v>0</v>
      </c>
      <c r="F820" s="55">
        <f t="shared" si="87"/>
        <v>0</v>
      </c>
      <c r="G820" s="55">
        <f t="shared" si="88"/>
        <v>0</v>
      </c>
      <c r="H820" s="55" t="str">
        <f t="shared" si="89"/>
        <v/>
      </c>
      <c r="J820" s="61">
        <f t="shared" si="90"/>
        <v>0</v>
      </c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</row>
    <row r="821" spans="1:36" x14ac:dyDescent="0.2">
      <c r="A821" s="61">
        <f t="shared" si="84"/>
        <v>0</v>
      </c>
      <c r="B821" s="55">
        <f t="shared" si="85"/>
        <v>0</v>
      </c>
      <c r="C821" s="55"/>
      <c r="D821" s="55"/>
      <c r="E821" s="55">
        <f t="shared" si="86"/>
        <v>0</v>
      </c>
      <c r="F821" s="55">
        <f t="shared" si="87"/>
        <v>0</v>
      </c>
      <c r="G821" s="55">
        <f t="shared" si="88"/>
        <v>0</v>
      </c>
      <c r="H821" s="55" t="str">
        <f t="shared" si="89"/>
        <v/>
      </c>
      <c r="J821" s="61">
        <f t="shared" si="90"/>
        <v>0</v>
      </c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</row>
    <row r="822" spans="1:36" x14ac:dyDescent="0.2">
      <c r="A822" s="61">
        <f t="shared" si="84"/>
        <v>0</v>
      </c>
      <c r="B822" s="55">
        <f t="shared" si="85"/>
        <v>0</v>
      </c>
      <c r="C822" s="55"/>
      <c r="D822" s="55"/>
      <c r="E822" s="55">
        <f t="shared" si="86"/>
        <v>0</v>
      </c>
      <c r="F822" s="55">
        <f t="shared" si="87"/>
        <v>0</v>
      </c>
      <c r="G822" s="55">
        <f t="shared" si="88"/>
        <v>0</v>
      </c>
      <c r="H822" s="55" t="str">
        <f t="shared" si="89"/>
        <v/>
      </c>
      <c r="J822" s="61">
        <f t="shared" si="90"/>
        <v>0</v>
      </c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</row>
    <row r="823" spans="1:36" x14ac:dyDescent="0.2">
      <c r="A823" s="61">
        <f t="shared" si="84"/>
        <v>0</v>
      </c>
      <c r="B823" s="55">
        <f t="shared" si="85"/>
        <v>0</v>
      </c>
      <c r="C823" s="55"/>
      <c r="D823" s="55"/>
      <c r="E823" s="55">
        <f t="shared" si="86"/>
        <v>0</v>
      </c>
      <c r="F823" s="55">
        <f t="shared" si="87"/>
        <v>0</v>
      </c>
      <c r="G823" s="55">
        <f t="shared" si="88"/>
        <v>0</v>
      </c>
      <c r="H823" s="55" t="str">
        <f t="shared" si="89"/>
        <v/>
      </c>
      <c r="J823" s="61">
        <f t="shared" si="90"/>
        <v>0</v>
      </c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</row>
    <row r="824" spans="1:36" x14ac:dyDescent="0.2">
      <c r="A824" s="61">
        <f t="shared" si="84"/>
        <v>0</v>
      </c>
      <c r="B824" s="55">
        <f t="shared" si="85"/>
        <v>0</v>
      </c>
      <c r="C824" s="55"/>
      <c r="D824" s="55"/>
      <c r="E824" s="55">
        <f t="shared" si="86"/>
        <v>0</v>
      </c>
      <c r="F824" s="55">
        <f t="shared" si="87"/>
        <v>0</v>
      </c>
      <c r="G824" s="55">
        <f t="shared" si="88"/>
        <v>0</v>
      </c>
      <c r="H824" s="55" t="str">
        <f t="shared" si="89"/>
        <v/>
      </c>
      <c r="J824" s="61">
        <f t="shared" si="90"/>
        <v>0</v>
      </c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</row>
    <row r="825" spans="1:36" x14ac:dyDescent="0.2">
      <c r="A825" s="61">
        <f t="shared" si="84"/>
        <v>0</v>
      </c>
      <c r="B825" s="55">
        <f t="shared" si="85"/>
        <v>0</v>
      </c>
      <c r="C825" s="55"/>
      <c r="D825" s="55"/>
      <c r="E825" s="55">
        <f t="shared" si="86"/>
        <v>0</v>
      </c>
      <c r="F825" s="55">
        <f t="shared" si="87"/>
        <v>0</v>
      </c>
      <c r="G825" s="55">
        <f t="shared" si="88"/>
        <v>0</v>
      </c>
      <c r="H825" s="55" t="str">
        <f t="shared" si="89"/>
        <v/>
      </c>
      <c r="J825" s="61">
        <f t="shared" si="90"/>
        <v>0</v>
      </c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</row>
    <row r="826" spans="1:36" x14ac:dyDescent="0.2">
      <c r="A826" s="61">
        <f t="shared" si="84"/>
        <v>0</v>
      </c>
      <c r="B826" s="55">
        <f t="shared" si="85"/>
        <v>0</v>
      </c>
      <c r="C826" s="55"/>
      <c r="D826" s="55"/>
      <c r="E826" s="55">
        <f t="shared" si="86"/>
        <v>0</v>
      </c>
      <c r="F826" s="55">
        <f t="shared" si="87"/>
        <v>0</v>
      </c>
      <c r="G826" s="55">
        <f t="shared" si="88"/>
        <v>0</v>
      </c>
      <c r="H826" s="55" t="str">
        <f t="shared" si="89"/>
        <v/>
      </c>
      <c r="J826" s="61">
        <f t="shared" si="90"/>
        <v>0</v>
      </c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</row>
    <row r="827" spans="1:36" x14ac:dyDescent="0.2">
      <c r="A827" s="61">
        <f t="shared" si="84"/>
        <v>0</v>
      </c>
      <c r="B827" s="55">
        <f t="shared" si="85"/>
        <v>0</v>
      </c>
      <c r="C827" s="55"/>
      <c r="D827" s="55"/>
      <c r="E827" s="55">
        <f t="shared" si="86"/>
        <v>0</v>
      </c>
      <c r="F827" s="55">
        <f t="shared" si="87"/>
        <v>0</v>
      </c>
      <c r="G827" s="55">
        <f t="shared" si="88"/>
        <v>0</v>
      </c>
      <c r="H827" s="55" t="str">
        <f t="shared" si="89"/>
        <v/>
      </c>
      <c r="J827" s="61">
        <f t="shared" si="90"/>
        <v>0</v>
      </c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</row>
    <row r="828" spans="1:36" x14ac:dyDescent="0.2">
      <c r="A828" s="61">
        <f t="shared" si="84"/>
        <v>0</v>
      </c>
      <c r="B828" s="55">
        <f t="shared" si="85"/>
        <v>0</v>
      </c>
      <c r="C828" s="55"/>
      <c r="D828" s="55"/>
      <c r="E828" s="55">
        <f t="shared" si="86"/>
        <v>0</v>
      </c>
      <c r="F828" s="55">
        <f t="shared" si="87"/>
        <v>0</v>
      </c>
      <c r="G828" s="55">
        <f t="shared" si="88"/>
        <v>0</v>
      </c>
      <c r="H828" s="55" t="str">
        <f t="shared" si="89"/>
        <v/>
      </c>
      <c r="J828" s="61">
        <f t="shared" si="90"/>
        <v>0</v>
      </c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</row>
    <row r="829" spans="1:36" x14ac:dyDescent="0.2">
      <c r="A829" s="61">
        <f t="shared" si="84"/>
        <v>0</v>
      </c>
      <c r="B829" s="55">
        <f t="shared" si="85"/>
        <v>0</v>
      </c>
      <c r="C829" s="55"/>
      <c r="D829" s="55"/>
      <c r="E829" s="55">
        <f t="shared" si="86"/>
        <v>0</v>
      </c>
      <c r="F829" s="55">
        <f t="shared" si="87"/>
        <v>0</v>
      </c>
      <c r="G829" s="55">
        <f t="shared" si="88"/>
        <v>0</v>
      </c>
      <c r="H829" s="55" t="str">
        <f t="shared" si="89"/>
        <v/>
      </c>
      <c r="J829" s="61">
        <f t="shared" si="90"/>
        <v>0</v>
      </c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</row>
    <row r="830" spans="1:36" x14ac:dyDescent="0.2">
      <c r="A830" s="61">
        <f t="shared" si="84"/>
        <v>0</v>
      </c>
      <c r="B830" s="55">
        <f t="shared" si="85"/>
        <v>0</v>
      </c>
      <c r="C830" s="55"/>
      <c r="D830" s="55"/>
      <c r="E830" s="55">
        <f t="shared" si="86"/>
        <v>0</v>
      </c>
      <c r="F830" s="55">
        <f t="shared" si="87"/>
        <v>0</v>
      </c>
      <c r="G830" s="55">
        <f t="shared" si="88"/>
        <v>0</v>
      </c>
      <c r="H830" s="55" t="str">
        <f t="shared" si="89"/>
        <v/>
      </c>
      <c r="J830" s="61">
        <f t="shared" si="90"/>
        <v>0</v>
      </c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</row>
    <row r="831" spans="1:36" x14ac:dyDescent="0.2">
      <c r="A831" s="61">
        <f t="shared" si="84"/>
        <v>0</v>
      </c>
      <c r="B831" s="55">
        <f t="shared" si="85"/>
        <v>0</v>
      </c>
      <c r="C831" s="55"/>
      <c r="D831" s="55"/>
      <c r="E831" s="55">
        <f t="shared" si="86"/>
        <v>0</v>
      </c>
      <c r="F831" s="55">
        <f t="shared" si="87"/>
        <v>0</v>
      </c>
      <c r="G831" s="55">
        <f t="shared" si="88"/>
        <v>0</v>
      </c>
      <c r="H831" s="55" t="str">
        <f t="shared" si="89"/>
        <v/>
      </c>
      <c r="J831" s="61">
        <f t="shared" si="90"/>
        <v>0</v>
      </c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</row>
    <row r="832" spans="1:36" x14ac:dyDescent="0.2">
      <c r="A832" s="61">
        <f t="shared" si="84"/>
        <v>0</v>
      </c>
      <c r="B832" s="55">
        <f t="shared" si="85"/>
        <v>0</v>
      </c>
      <c r="C832" s="55"/>
      <c r="D832" s="55"/>
      <c r="E832" s="55">
        <f t="shared" si="86"/>
        <v>0</v>
      </c>
      <c r="F832" s="55">
        <f t="shared" si="87"/>
        <v>0</v>
      </c>
      <c r="G832" s="55">
        <f t="shared" si="88"/>
        <v>0</v>
      </c>
      <c r="H832" s="55" t="str">
        <f t="shared" si="89"/>
        <v/>
      </c>
      <c r="J832" s="61">
        <f t="shared" si="90"/>
        <v>0</v>
      </c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</row>
    <row r="833" spans="1:36" x14ac:dyDescent="0.2">
      <c r="A833" s="61">
        <f t="shared" si="84"/>
        <v>0</v>
      </c>
      <c r="B833" s="55">
        <f t="shared" si="85"/>
        <v>0</v>
      </c>
      <c r="C833" s="55"/>
      <c r="D833" s="55"/>
      <c r="E833" s="55">
        <f t="shared" si="86"/>
        <v>0</v>
      </c>
      <c r="F833" s="55">
        <f t="shared" si="87"/>
        <v>0</v>
      </c>
      <c r="G833" s="55">
        <f t="shared" si="88"/>
        <v>0</v>
      </c>
      <c r="H833" s="55" t="str">
        <f t="shared" si="89"/>
        <v/>
      </c>
      <c r="J833" s="61">
        <f t="shared" si="90"/>
        <v>0</v>
      </c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</row>
    <row r="834" spans="1:36" x14ac:dyDescent="0.2">
      <c r="A834" s="61">
        <f t="shared" ref="A834:A897" si="91">J834</f>
        <v>0</v>
      </c>
      <c r="B834" s="55">
        <f t="shared" ref="B834:B897" si="92">M834</f>
        <v>0</v>
      </c>
      <c r="C834" s="55"/>
      <c r="D834" s="55"/>
      <c r="E834" s="55">
        <f t="shared" ref="E834:E897" si="93">V834</f>
        <v>0</v>
      </c>
      <c r="F834" s="55">
        <f t="shared" ref="F834:F897" si="94">Z834</f>
        <v>0</v>
      </c>
      <c r="G834" s="55">
        <f t="shared" ref="G834:G897" si="95">AH834</f>
        <v>0</v>
      </c>
      <c r="H834" s="55" t="str">
        <f t="shared" ref="H834:H897" si="96">IF(Q834&gt;1,IF(Q834=2,"I","E"),"")</f>
        <v/>
      </c>
      <c r="J834" s="61">
        <f t="shared" ref="J834:J897" si="97">P834*1</f>
        <v>0</v>
      </c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</row>
    <row r="835" spans="1:36" x14ac:dyDescent="0.2">
      <c r="A835" s="61">
        <f t="shared" si="91"/>
        <v>0</v>
      </c>
      <c r="B835" s="55">
        <f t="shared" si="92"/>
        <v>0</v>
      </c>
      <c r="C835" s="55"/>
      <c r="D835" s="55"/>
      <c r="E835" s="55">
        <f t="shared" si="93"/>
        <v>0</v>
      </c>
      <c r="F835" s="55">
        <f t="shared" si="94"/>
        <v>0</v>
      </c>
      <c r="G835" s="55">
        <f t="shared" si="95"/>
        <v>0</v>
      </c>
      <c r="H835" s="55" t="str">
        <f t="shared" si="96"/>
        <v/>
      </c>
      <c r="J835" s="61">
        <f t="shared" si="97"/>
        <v>0</v>
      </c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</row>
    <row r="836" spans="1:36" x14ac:dyDescent="0.2">
      <c r="A836" s="61">
        <f t="shared" si="91"/>
        <v>0</v>
      </c>
      <c r="B836" s="55">
        <f t="shared" si="92"/>
        <v>0</v>
      </c>
      <c r="C836" s="55"/>
      <c r="D836" s="55"/>
      <c r="E836" s="55">
        <f t="shared" si="93"/>
        <v>0</v>
      </c>
      <c r="F836" s="55">
        <f t="shared" si="94"/>
        <v>0</v>
      </c>
      <c r="G836" s="55">
        <f t="shared" si="95"/>
        <v>0</v>
      </c>
      <c r="H836" s="55" t="str">
        <f t="shared" si="96"/>
        <v/>
      </c>
      <c r="J836" s="61">
        <f t="shared" si="97"/>
        <v>0</v>
      </c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</row>
    <row r="837" spans="1:36" x14ac:dyDescent="0.2">
      <c r="A837" s="61">
        <f t="shared" si="91"/>
        <v>0</v>
      </c>
      <c r="B837" s="55">
        <f t="shared" si="92"/>
        <v>0</v>
      </c>
      <c r="C837" s="55"/>
      <c r="D837" s="55"/>
      <c r="E837" s="55">
        <f t="shared" si="93"/>
        <v>0</v>
      </c>
      <c r="F837" s="55">
        <f t="shared" si="94"/>
        <v>0</v>
      </c>
      <c r="G837" s="55">
        <f t="shared" si="95"/>
        <v>0</v>
      </c>
      <c r="H837" s="55" t="str">
        <f t="shared" si="96"/>
        <v/>
      </c>
      <c r="J837" s="61">
        <f t="shared" si="97"/>
        <v>0</v>
      </c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</row>
    <row r="838" spans="1:36" x14ac:dyDescent="0.2">
      <c r="A838" s="61">
        <f t="shared" si="91"/>
        <v>0</v>
      </c>
      <c r="B838" s="55">
        <f t="shared" si="92"/>
        <v>0</v>
      </c>
      <c r="C838" s="55"/>
      <c r="D838" s="55"/>
      <c r="E838" s="55">
        <f t="shared" si="93"/>
        <v>0</v>
      </c>
      <c r="F838" s="55">
        <f t="shared" si="94"/>
        <v>0</v>
      </c>
      <c r="G838" s="55">
        <f t="shared" si="95"/>
        <v>0</v>
      </c>
      <c r="H838" s="55" t="str">
        <f t="shared" si="96"/>
        <v/>
      </c>
      <c r="J838" s="61">
        <f t="shared" si="97"/>
        <v>0</v>
      </c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</row>
    <row r="839" spans="1:36" x14ac:dyDescent="0.2">
      <c r="A839" s="61">
        <f t="shared" si="91"/>
        <v>0</v>
      </c>
      <c r="B839" s="55">
        <f t="shared" si="92"/>
        <v>0</v>
      </c>
      <c r="C839" s="55"/>
      <c r="D839" s="55"/>
      <c r="E839" s="55">
        <f t="shared" si="93"/>
        <v>0</v>
      </c>
      <c r="F839" s="55">
        <f t="shared" si="94"/>
        <v>0</v>
      </c>
      <c r="G839" s="55">
        <f t="shared" si="95"/>
        <v>0</v>
      </c>
      <c r="H839" s="55" t="str">
        <f t="shared" si="96"/>
        <v/>
      </c>
      <c r="J839" s="61">
        <f t="shared" si="97"/>
        <v>0</v>
      </c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</row>
    <row r="840" spans="1:36" x14ac:dyDescent="0.2">
      <c r="A840" s="61">
        <f t="shared" si="91"/>
        <v>0</v>
      </c>
      <c r="B840" s="55">
        <f t="shared" si="92"/>
        <v>0</v>
      </c>
      <c r="C840" s="55"/>
      <c r="D840" s="55"/>
      <c r="E840" s="55">
        <f t="shared" si="93"/>
        <v>0</v>
      </c>
      <c r="F840" s="55">
        <f t="shared" si="94"/>
        <v>0</v>
      </c>
      <c r="G840" s="55">
        <f t="shared" si="95"/>
        <v>0</v>
      </c>
      <c r="H840" s="55" t="str">
        <f t="shared" si="96"/>
        <v/>
      </c>
      <c r="J840" s="61">
        <f t="shared" si="97"/>
        <v>0</v>
      </c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</row>
    <row r="841" spans="1:36" x14ac:dyDescent="0.2">
      <c r="A841" s="61">
        <f t="shared" si="91"/>
        <v>0</v>
      </c>
      <c r="B841" s="55">
        <f t="shared" si="92"/>
        <v>0</v>
      </c>
      <c r="C841" s="55"/>
      <c r="D841" s="55"/>
      <c r="E841" s="55">
        <f t="shared" si="93"/>
        <v>0</v>
      </c>
      <c r="F841" s="55">
        <f t="shared" si="94"/>
        <v>0</v>
      </c>
      <c r="G841" s="55">
        <f t="shared" si="95"/>
        <v>0</v>
      </c>
      <c r="H841" s="55" t="str">
        <f t="shared" si="96"/>
        <v/>
      </c>
      <c r="J841" s="61">
        <f t="shared" si="97"/>
        <v>0</v>
      </c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</row>
    <row r="842" spans="1:36" x14ac:dyDescent="0.2">
      <c r="A842" s="61">
        <f t="shared" si="91"/>
        <v>0</v>
      </c>
      <c r="B842" s="55">
        <f t="shared" si="92"/>
        <v>0</v>
      </c>
      <c r="C842" s="55"/>
      <c r="D842" s="55"/>
      <c r="E842" s="55">
        <f t="shared" si="93"/>
        <v>0</v>
      </c>
      <c r="F842" s="55">
        <f t="shared" si="94"/>
        <v>0</v>
      </c>
      <c r="G842" s="55">
        <f t="shared" si="95"/>
        <v>0</v>
      </c>
      <c r="H842" s="55" t="str">
        <f t="shared" si="96"/>
        <v/>
      </c>
      <c r="J842" s="61">
        <f t="shared" si="97"/>
        <v>0</v>
      </c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</row>
    <row r="843" spans="1:36" x14ac:dyDescent="0.2">
      <c r="A843" s="61">
        <f t="shared" si="91"/>
        <v>0</v>
      </c>
      <c r="B843" s="55">
        <f t="shared" si="92"/>
        <v>0</v>
      </c>
      <c r="C843" s="55"/>
      <c r="D843" s="55"/>
      <c r="E843" s="55">
        <f t="shared" si="93"/>
        <v>0</v>
      </c>
      <c r="F843" s="55">
        <f t="shared" si="94"/>
        <v>0</v>
      </c>
      <c r="G843" s="55">
        <f t="shared" si="95"/>
        <v>0</v>
      </c>
      <c r="H843" s="55" t="str">
        <f t="shared" si="96"/>
        <v/>
      </c>
      <c r="J843" s="61">
        <f t="shared" si="97"/>
        <v>0</v>
      </c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</row>
    <row r="844" spans="1:36" x14ac:dyDescent="0.2">
      <c r="A844" s="61">
        <f t="shared" si="91"/>
        <v>0</v>
      </c>
      <c r="B844" s="55">
        <f t="shared" si="92"/>
        <v>0</v>
      </c>
      <c r="C844" s="55"/>
      <c r="D844" s="55"/>
      <c r="E844" s="55">
        <f t="shared" si="93"/>
        <v>0</v>
      </c>
      <c r="F844" s="55">
        <f t="shared" si="94"/>
        <v>0</v>
      </c>
      <c r="G844" s="55">
        <f t="shared" si="95"/>
        <v>0</v>
      </c>
      <c r="H844" s="55" t="str">
        <f t="shared" si="96"/>
        <v/>
      </c>
      <c r="J844" s="61">
        <f t="shared" si="97"/>
        <v>0</v>
      </c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</row>
    <row r="845" spans="1:36" x14ac:dyDescent="0.2">
      <c r="A845" s="61">
        <f t="shared" si="91"/>
        <v>0</v>
      </c>
      <c r="B845" s="55">
        <f t="shared" si="92"/>
        <v>0</v>
      </c>
      <c r="C845" s="55"/>
      <c r="D845" s="55"/>
      <c r="E845" s="55">
        <f t="shared" si="93"/>
        <v>0</v>
      </c>
      <c r="F845" s="55">
        <f t="shared" si="94"/>
        <v>0</v>
      </c>
      <c r="G845" s="55">
        <f t="shared" si="95"/>
        <v>0</v>
      </c>
      <c r="H845" s="55" t="str">
        <f t="shared" si="96"/>
        <v/>
      </c>
      <c r="J845" s="61">
        <f t="shared" si="97"/>
        <v>0</v>
      </c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</row>
    <row r="846" spans="1:36" x14ac:dyDescent="0.2">
      <c r="A846" s="61">
        <f t="shared" si="91"/>
        <v>0</v>
      </c>
      <c r="B846" s="55">
        <f t="shared" si="92"/>
        <v>0</v>
      </c>
      <c r="C846" s="55"/>
      <c r="D846" s="55"/>
      <c r="E846" s="55">
        <f t="shared" si="93"/>
        <v>0</v>
      </c>
      <c r="F846" s="55">
        <f t="shared" si="94"/>
        <v>0</v>
      </c>
      <c r="G846" s="55">
        <f t="shared" si="95"/>
        <v>0</v>
      </c>
      <c r="H846" s="55" t="str">
        <f t="shared" si="96"/>
        <v/>
      </c>
      <c r="J846" s="61">
        <f t="shared" si="97"/>
        <v>0</v>
      </c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</row>
    <row r="847" spans="1:36" x14ac:dyDescent="0.2">
      <c r="A847" s="61">
        <f t="shared" si="91"/>
        <v>0</v>
      </c>
      <c r="B847" s="55">
        <f t="shared" si="92"/>
        <v>0</v>
      </c>
      <c r="C847" s="55"/>
      <c r="D847" s="55"/>
      <c r="E847" s="55">
        <f t="shared" si="93"/>
        <v>0</v>
      </c>
      <c r="F847" s="55">
        <f t="shared" si="94"/>
        <v>0</v>
      </c>
      <c r="G847" s="55">
        <f t="shared" si="95"/>
        <v>0</v>
      </c>
      <c r="H847" s="55" t="str">
        <f t="shared" si="96"/>
        <v/>
      </c>
      <c r="J847" s="61">
        <f t="shared" si="97"/>
        <v>0</v>
      </c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</row>
    <row r="848" spans="1:36" x14ac:dyDescent="0.2">
      <c r="A848" s="61">
        <f t="shared" si="91"/>
        <v>0</v>
      </c>
      <c r="B848" s="55">
        <f t="shared" si="92"/>
        <v>0</v>
      </c>
      <c r="C848" s="55"/>
      <c r="D848" s="55"/>
      <c r="E848" s="55">
        <f t="shared" si="93"/>
        <v>0</v>
      </c>
      <c r="F848" s="55">
        <f t="shared" si="94"/>
        <v>0</v>
      </c>
      <c r="G848" s="55">
        <f t="shared" si="95"/>
        <v>0</v>
      </c>
      <c r="H848" s="55" t="str">
        <f t="shared" si="96"/>
        <v/>
      </c>
      <c r="J848" s="61">
        <f t="shared" si="97"/>
        <v>0</v>
      </c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</row>
    <row r="849" spans="1:36" x14ac:dyDescent="0.2">
      <c r="A849" s="61">
        <f t="shared" si="91"/>
        <v>0</v>
      </c>
      <c r="B849" s="55">
        <f t="shared" si="92"/>
        <v>0</v>
      </c>
      <c r="C849" s="55"/>
      <c r="D849" s="55"/>
      <c r="E849" s="55">
        <f t="shared" si="93"/>
        <v>0</v>
      </c>
      <c r="F849" s="55">
        <f t="shared" si="94"/>
        <v>0</v>
      </c>
      <c r="G849" s="55">
        <f t="shared" si="95"/>
        <v>0</v>
      </c>
      <c r="H849" s="55" t="str">
        <f t="shared" si="96"/>
        <v/>
      </c>
      <c r="J849" s="61">
        <f t="shared" si="97"/>
        <v>0</v>
      </c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</row>
    <row r="850" spans="1:36" x14ac:dyDescent="0.2">
      <c r="A850" s="61">
        <f t="shared" si="91"/>
        <v>0</v>
      </c>
      <c r="B850" s="55">
        <f t="shared" si="92"/>
        <v>0</v>
      </c>
      <c r="C850" s="55"/>
      <c r="D850" s="55"/>
      <c r="E850" s="55">
        <f t="shared" si="93"/>
        <v>0</v>
      </c>
      <c r="F850" s="55">
        <f t="shared" si="94"/>
        <v>0</v>
      </c>
      <c r="G850" s="55">
        <f t="shared" si="95"/>
        <v>0</v>
      </c>
      <c r="H850" s="55" t="str">
        <f t="shared" si="96"/>
        <v/>
      </c>
      <c r="J850" s="61">
        <f t="shared" si="97"/>
        <v>0</v>
      </c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</row>
    <row r="851" spans="1:36" x14ac:dyDescent="0.2">
      <c r="A851" s="61">
        <f t="shared" si="91"/>
        <v>0</v>
      </c>
      <c r="B851" s="55">
        <f t="shared" si="92"/>
        <v>0</v>
      </c>
      <c r="C851" s="55"/>
      <c r="D851" s="55"/>
      <c r="E851" s="55">
        <f t="shared" si="93"/>
        <v>0</v>
      </c>
      <c r="F851" s="55">
        <f t="shared" si="94"/>
        <v>0</v>
      </c>
      <c r="G851" s="55">
        <f t="shared" si="95"/>
        <v>0</v>
      </c>
      <c r="H851" s="55" t="str">
        <f t="shared" si="96"/>
        <v/>
      </c>
      <c r="J851" s="61">
        <f t="shared" si="97"/>
        <v>0</v>
      </c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</row>
    <row r="852" spans="1:36" x14ac:dyDescent="0.2">
      <c r="A852" s="61">
        <f t="shared" si="91"/>
        <v>0</v>
      </c>
      <c r="B852" s="55">
        <f t="shared" si="92"/>
        <v>0</v>
      </c>
      <c r="C852" s="55"/>
      <c r="D852" s="55"/>
      <c r="E852" s="55">
        <f t="shared" si="93"/>
        <v>0</v>
      </c>
      <c r="F852" s="55">
        <f t="shared" si="94"/>
        <v>0</v>
      </c>
      <c r="G852" s="55">
        <f t="shared" si="95"/>
        <v>0</v>
      </c>
      <c r="H852" s="55" t="str">
        <f t="shared" si="96"/>
        <v/>
      </c>
      <c r="J852" s="61">
        <f t="shared" si="97"/>
        <v>0</v>
      </c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</row>
    <row r="853" spans="1:36" x14ac:dyDescent="0.2">
      <c r="A853" s="61">
        <f t="shared" si="91"/>
        <v>0</v>
      </c>
      <c r="B853" s="55">
        <f t="shared" si="92"/>
        <v>0</v>
      </c>
      <c r="C853" s="55"/>
      <c r="D853" s="55"/>
      <c r="E853" s="55">
        <f t="shared" si="93"/>
        <v>0</v>
      </c>
      <c r="F853" s="55">
        <f t="shared" si="94"/>
        <v>0</v>
      </c>
      <c r="G853" s="55">
        <f t="shared" si="95"/>
        <v>0</v>
      </c>
      <c r="H853" s="55" t="str">
        <f t="shared" si="96"/>
        <v/>
      </c>
      <c r="J853" s="61">
        <f t="shared" si="97"/>
        <v>0</v>
      </c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</row>
    <row r="854" spans="1:36" x14ac:dyDescent="0.2">
      <c r="A854" s="61">
        <f t="shared" si="91"/>
        <v>0</v>
      </c>
      <c r="B854" s="55">
        <f t="shared" si="92"/>
        <v>0</v>
      </c>
      <c r="C854" s="55"/>
      <c r="D854" s="55"/>
      <c r="E854" s="55">
        <f t="shared" si="93"/>
        <v>0</v>
      </c>
      <c r="F854" s="55">
        <f t="shared" si="94"/>
        <v>0</v>
      </c>
      <c r="G854" s="55">
        <f t="shared" si="95"/>
        <v>0</v>
      </c>
      <c r="H854" s="55" t="str">
        <f t="shared" si="96"/>
        <v/>
      </c>
      <c r="J854" s="61">
        <f t="shared" si="97"/>
        <v>0</v>
      </c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</row>
    <row r="855" spans="1:36" x14ac:dyDescent="0.2">
      <c r="A855" s="61">
        <f t="shared" si="91"/>
        <v>0</v>
      </c>
      <c r="B855" s="55">
        <f t="shared" si="92"/>
        <v>0</v>
      </c>
      <c r="C855" s="55"/>
      <c r="D855" s="55"/>
      <c r="E855" s="55">
        <f t="shared" si="93"/>
        <v>0</v>
      </c>
      <c r="F855" s="55">
        <f t="shared" si="94"/>
        <v>0</v>
      </c>
      <c r="G855" s="55">
        <f t="shared" si="95"/>
        <v>0</v>
      </c>
      <c r="H855" s="55" t="str">
        <f t="shared" si="96"/>
        <v/>
      </c>
      <c r="J855" s="61">
        <f t="shared" si="97"/>
        <v>0</v>
      </c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</row>
    <row r="856" spans="1:36" x14ac:dyDescent="0.2">
      <c r="A856" s="61">
        <f t="shared" si="91"/>
        <v>0</v>
      </c>
      <c r="B856" s="55">
        <f t="shared" si="92"/>
        <v>0</v>
      </c>
      <c r="C856" s="55"/>
      <c r="D856" s="55"/>
      <c r="E856" s="55">
        <f t="shared" si="93"/>
        <v>0</v>
      </c>
      <c r="F856" s="55">
        <f t="shared" si="94"/>
        <v>0</v>
      </c>
      <c r="G856" s="55">
        <f t="shared" si="95"/>
        <v>0</v>
      </c>
      <c r="H856" s="55" t="str">
        <f t="shared" si="96"/>
        <v/>
      </c>
      <c r="J856" s="61">
        <f t="shared" si="97"/>
        <v>0</v>
      </c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</row>
    <row r="857" spans="1:36" x14ac:dyDescent="0.2">
      <c r="A857" s="61">
        <f t="shared" si="91"/>
        <v>0</v>
      </c>
      <c r="B857" s="55">
        <f t="shared" si="92"/>
        <v>0</v>
      </c>
      <c r="C857" s="55"/>
      <c r="D857" s="55"/>
      <c r="E857" s="55">
        <f t="shared" si="93"/>
        <v>0</v>
      </c>
      <c r="F857" s="55">
        <f t="shared" si="94"/>
        <v>0</v>
      </c>
      <c r="G857" s="55">
        <f t="shared" si="95"/>
        <v>0</v>
      </c>
      <c r="H857" s="55" t="str">
        <f t="shared" si="96"/>
        <v/>
      </c>
      <c r="J857" s="61">
        <f t="shared" si="97"/>
        <v>0</v>
      </c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</row>
    <row r="858" spans="1:36" x14ac:dyDescent="0.2">
      <c r="A858" s="61">
        <f t="shared" si="91"/>
        <v>0</v>
      </c>
      <c r="B858" s="55">
        <f t="shared" si="92"/>
        <v>0</v>
      </c>
      <c r="C858" s="55"/>
      <c r="D858" s="55"/>
      <c r="E858" s="55">
        <f t="shared" si="93"/>
        <v>0</v>
      </c>
      <c r="F858" s="55">
        <f t="shared" si="94"/>
        <v>0</v>
      </c>
      <c r="G858" s="55">
        <f t="shared" si="95"/>
        <v>0</v>
      </c>
      <c r="H858" s="55" t="str">
        <f t="shared" si="96"/>
        <v/>
      </c>
      <c r="J858" s="61">
        <f t="shared" si="97"/>
        <v>0</v>
      </c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</row>
    <row r="859" spans="1:36" x14ac:dyDescent="0.2">
      <c r="A859" s="61">
        <f t="shared" si="91"/>
        <v>0</v>
      </c>
      <c r="B859" s="55">
        <f t="shared" si="92"/>
        <v>0</v>
      </c>
      <c r="C859" s="55"/>
      <c r="D859" s="55"/>
      <c r="E859" s="55">
        <f t="shared" si="93"/>
        <v>0</v>
      </c>
      <c r="F859" s="55">
        <f t="shared" si="94"/>
        <v>0</v>
      </c>
      <c r="G859" s="55">
        <f t="shared" si="95"/>
        <v>0</v>
      </c>
      <c r="H859" s="55" t="str">
        <f t="shared" si="96"/>
        <v/>
      </c>
      <c r="J859" s="61">
        <f t="shared" si="97"/>
        <v>0</v>
      </c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</row>
    <row r="860" spans="1:36" x14ac:dyDescent="0.2">
      <c r="A860" s="61">
        <f t="shared" si="91"/>
        <v>0</v>
      </c>
      <c r="B860" s="55">
        <f t="shared" si="92"/>
        <v>0</v>
      </c>
      <c r="C860" s="55"/>
      <c r="D860" s="55"/>
      <c r="E860" s="55">
        <f t="shared" si="93"/>
        <v>0</v>
      </c>
      <c r="F860" s="55">
        <f t="shared" si="94"/>
        <v>0</v>
      </c>
      <c r="G860" s="55">
        <f t="shared" si="95"/>
        <v>0</v>
      </c>
      <c r="H860" s="55" t="str">
        <f t="shared" si="96"/>
        <v/>
      </c>
      <c r="J860" s="61">
        <f t="shared" si="97"/>
        <v>0</v>
      </c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</row>
    <row r="861" spans="1:36" x14ac:dyDescent="0.2">
      <c r="A861" s="61">
        <f t="shared" si="91"/>
        <v>0</v>
      </c>
      <c r="B861" s="55">
        <f t="shared" si="92"/>
        <v>0</v>
      </c>
      <c r="C861" s="55"/>
      <c r="D861" s="55"/>
      <c r="E861" s="55">
        <f t="shared" si="93"/>
        <v>0</v>
      </c>
      <c r="F861" s="55">
        <f t="shared" si="94"/>
        <v>0</v>
      </c>
      <c r="G861" s="55">
        <f t="shared" si="95"/>
        <v>0</v>
      </c>
      <c r="H861" s="55" t="str">
        <f t="shared" si="96"/>
        <v/>
      </c>
      <c r="J861" s="61">
        <f t="shared" si="97"/>
        <v>0</v>
      </c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</row>
    <row r="862" spans="1:36" x14ac:dyDescent="0.2">
      <c r="A862" s="61">
        <f t="shared" si="91"/>
        <v>0</v>
      </c>
      <c r="B862" s="55">
        <f t="shared" si="92"/>
        <v>0</v>
      </c>
      <c r="C862" s="55"/>
      <c r="D862" s="55"/>
      <c r="E862" s="55">
        <f t="shared" si="93"/>
        <v>0</v>
      </c>
      <c r="F862" s="55">
        <f t="shared" si="94"/>
        <v>0</v>
      </c>
      <c r="G862" s="55">
        <f t="shared" si="95"/>
        <v>0</v>
      </c>
      <c r="H862" s="55" t="str">
        <f t="shared" si="96"/>
        <v/>
      </c>
      <c r="J862" s="61">
        <f t="shared" si="97"/>
        <v>0</v>
      </c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</row>
    <row r="863" spans="1:36" x14ac:dyDescent="0.2">
      <c r="A863" s="61">
        <f t="shared" si="91"/>
        <v>0</v>
      </c>
      <c r="B863" s="55">
        <f t="shared" si="92"/>
        <v>0</v>
      </c>
      <c r="C863" s="55"/>
      <c r="D863" s="55"/>
      <c r="E863" s="55">
        <f t="shared" si="93"/>
        <v>0</v>
      </c>
      <c r="F863" s="55">
        <f t="shared" si="94"/>
        <v>0</v>
      </c>
      <c r="G863" s="55">
        <f t="shared" si="95"/>
        <v>0</v>
      </c>
      <c r="H863" s="55" t="str">
        <f t="shared" si="96"/>
        <v/>
      </c>
      <c r="J863" s="61">
        <f t="shared" si="97"/>
        <v>0</v>
      </c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</row>
    <row r="864" spans="1:36" x14ac:dyDescent="0.2">
      <c r="A864" s="61">
        <f t="shared" si="91"/>
        <v>0</v>
      </c>
      <c r="B864" s="55">
        <f t="shared" si="92"/>
        <v>0</v>
      </c>
      <c r="C864" s="55"/>
      <c r="D864" s="55"/>
      <c r="E864" s="55">
        <f t="shared" si="93"/>
        <v>0</v>
      </c>
      <c r="F864" s="55">
        <f t="shared" si="94"/>
        <v>0</v>
      </c>
      <c r="G864" s="55">
        <f t="shared" si="95"/>
        <v>0</v>
      </c>
      <c r="H864" s="55" t="str">
        <f t="shared" si="96"/>
        <v/>
      </c>
      <c r="J864" s="61">
        <f t="shared" si="97"/>
        <v>0</v>
      </c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</row>
    <row r="865" spans="1:36" x14ac:dyDescent="0.2">
      <c r="A865" s="61">
        <f t="shared" si="91"/>
        <v>0</v>
      </c>
      <c r="B865" s="55">
        <f t="shared" si="92"/>
        <v>0</v>
      </c>
      <c r="C865" s="55"/>
      <c r="D865" s="55"/>
      <c r="E865" s="55">
        <f t="shared" si="93"/>
        <v>0</v>
      </c>
      <c r="F865" s="55">
        <f t="shared" si="94"/>
        <v>0</v>
      </c>
      <c r="G865" s="55">
        <f t="shared" si="95"/>
        <v>0</v>
      </c>
      <c r="H865" s="55" t="str">
        <f t="shared" si="96"/>
        <v/>
      </c>
      <c r="J865" s="61">
        <f t="shared" si="97"/>
        <v>0</v>
      </c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</row>
    <row r="866" spans="1:36" x14ac:dyDescent="0.2">
      <c r="A866" s="61">
        <f t="shared" si="91"/>
        <v>0</v>
      </c>
      <c r="B866" s="55">
        <f t="shared" si="92"/>
        <v>0</v>
      </c>
      <c r="C866" s="55"/>
      <c r="D866" s="55"/>
      <c r="E866" s="55">
        <f t="shared" si="93"/>
        <v>0</v>
      </c>
      <c r="F866" s="55">
        <f t="shared" si="94"/>
        <v>0</v>
      </c>
      <c r="G866" s="55">
        <f t="shared" si="95"/>
        <v>0</v>
      </c>
      <c r="H866" s="55" t="str">
        <f t="shared" si="96"/>
        <v/>
      </c>
      <c r="J866" s="61">
        <f t="shared" si="97"/>
        <v>0</v>
      </c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</row>
    <row r="867" spans="1:36" x14ac:dyDescent="0.2">
      <c r="A867" s="61">
        <f t="shared" si="91"/>
        <v>0</v>
      </c>
      <c r="B867" s="55">
        <f t="shared" si="92"/>
        <v>0</v>
      </c>
      <c r="C867" s="55"/>
      <c r="D867" s="55"/>
      <c r="E867" s="55">
        <f t="shared" si="93"/>
        <v>0</v>
      </c>
      <c r="F867" s="55">
        <f t="shared" si="94"/>
        <v>0</v>
      </c>
      <c r="G867" s="55">
        <f t="shared" si="95"/>
        <v>0</v>
      </c>
      <c r="H867" s="55" t="str">
        <f t="shared" si="96"/>
        <v/>
      </c>
      <c r="J867" s="61">
        <f t="shared" si="97"/>
        <v>0</v>
      </c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</row>
    <row r="868" spans="1:36" x14ac:dyDescent="0.2">
      <c r="A868" s="61">
        <f t="shared" si="91"/>
        <v>0</v>
      </c>
      <c r="B868" s="55">
        <f t="shared" si="92"/>
        <v>0</v>
      </c>
      <c r="C868" s="55"/>
      <c r="D868" s="55"/>
      <c r="E868" s="55">
        <f t="shared" si="93"/>
        <v>0</v>
      </c>
      <c r="F868" s="55">
        <f t="shared" si="94"/>
        <v>0</v>
      </c>
      <c r="G868" s="55">
        <f t="shared" si="95"/>
        <v>0</v>
      </c>
      <c r="H868" s="55" t="str">
        <f t="shared" si="96"/>
        <v/>
      </c>
      <c r="J868" s="61">
        <f t="shared" si="97"/>
        <v>0</v>
      </c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</row>
    <row r="869" spans="1:36" x14ac:dyDescent="0.2">
      <c r="A869" s="61">
        <f t="shared" si="91"/>
        <v>0</v>
      </c>
      <c r="B869" s="55">
        <f t="shared" si="92"/>
        <v>0</v>
      </c>
      <c r="C869" s="55"/>
      <c r="D869" s="55"/>
      <c r="E869" s="55">
        <f t="shared" si="93"/>
        <v>0</v>
      </c>
      <c r="F869" s="55">
        <f t="shared" si="94"/>
        <v>0</v>
      </c>
      <c r="G869" s="55">
        <f t="shared" si="95"/>
        <v>0</v>
      </c>
      <c r="H869" s="55" t="str">
        <f t="shared" si="96"/>
        <v/>
      </c>
      <c r="J869" s="61">
        <f t="shared" si="97"/>
        <v>0</v>
      </c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</row>
    <row r="870" spans="1:36" x14ac:dyDescent="0.2">
      <c r="A870" s="61">
        <f t="shared" si="91"/>
        <v>0</v>
      </c>
      <c r="B870" s="55">
        <f t="shared" si="92"/>
        <v>0</v>
      </c>
      <c r="C870" s="55"/>
      <c r="D870" s="55"/>
      <c r="E870" s="55">
        <f t="shared" si="93"/>
        <v>0</v>
      </c>
      <c r="F870" s="55">
        <f t="shared" si="94"/>
        <v>0</v>
      </c>
      <c r="G870" s="55">
        <f t="shared" si="95"/>
        <v>0</v>
      </c>
      <c r="H870" s="55" t="str">
        <f t="shared" si="96"/>
        <v/>
      </c>
      <c r="J870" s="61">
        <f t="shared" si="97"/>
        <v>0</v>
      </c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</row>
    <row r="871" spans="1:36" x14ac:dyDescent="0.2">
      <c r="A871" s="61">
        <f t="shared" si="91"/>
        <v>0</v>
      </c>
      <c r="B871" s="55">
        <f t="shared" si="92"/>
        <v>0</v>
      </c>
      <c r="C871" s="55"/>
      <c r="D871" s="55"/>
      <c r="E871" s="55">
        <f t="shared" si="93"/>
        <v>0</v>
      </c>
      <c r="F871" s="55">
        <f t="shared" si="94"/>
        <v>0</v>
      </c>
      <c r="G871" s="55">
        <f t="shared" si="95"/>
        <v>0</v>
      </c>
      <c r="H871" s="55" t="str">
        <f t="shared" si="96"/>
        <v/>
      </c>
      <c r="J871" s="61">
        <f t="shared" si="97"/>
        <v>0</v>
      </c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</row>
    <row r="872" spans="1:36" x14ac:dyDescent="0.2">
      <c r="A872" s="61">
        <f t="shared" si="91"/>
        <v>0</v>
      </c>
      <c r="B872" s="55">
        <f t="shared" si="92"/>
        <v>0</v>
      </c>
      <c r="C872" s="55"/>
      <c r="D872" s="55"/>
      <c r="E872" s="55">
        <f t="shared" si="93"/>
        <v>0</v>
      </c>
      <c r="F872" s="55">
        <f t="shared" si="94"/>
        <v>0</v>
      </c>
      <c r="G872" s="55">
        <f t="shared" si="95"/>
        <v>0</v>
      </c>
      <c r="H872" s="55" t="str">
        <f t="shared" si="96"/>
        <v/>
      </c>
      <c r="J872" s="61">
        <f t="shared" si="97"/>
        <v>0</v>
      </c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</row>
    <row r="873" spans="1:36" x14ac:dyDescent="0.2">
      <c r="A873" s="61">
        <f t="shared" si="91"/>
        <v>0</v>
      </c>
      <c r="B873" s="55">
        <f t="shared" si="92"/>
        <v>0</v>
      </c>
      <c r="C873" s="55"/>
      <c r="D873" s="55"/>
      <c r="E873" s="55">
        <f t="shared" si="93"/>
        <v>0</v>
      </c>
      <c r="F873" s="55">
        <f t="shared" si="94"/>
        <v>0</v>
      </c>
      <c r="G873" s="55">
        <f t="shared" si="95"/>
        <v>0</v>
      </c>
      <c r="H873" s="55" t="str">
        <f t="shared" si="96"/>
        <v/>
      </c>
      <c r="J873" s="61">
        <f t="shared" si="97"/>
        <v>0</v>
      </c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</row>
    <row r="874" spans="1:36" x14ac:dyDescent="0.2">
      <c r="A874" s="61">
        <f t="shared" si="91"/>
        <v>0</v>
      </c>
      <c r="B874" s="55">
        <f t="shared" si="92"/>
        <v>0</v>
      </c>
      <c r="C874" s="55"/>
      <c r="D874" s="55"/>
      <c r="E874" s="55">
        <f t="shared" si="93"/>
        <v>0</v>
      </c>
      <c r="F874" s="55">
        <f t="shared" si="94"/>
        <v>0</v>
      </c>
      <c r="G874" s="55">
        <f t="shared" si="95"/>
        <v>0</v>
      </c>
      <c r="H874" s="55" t="str">
        <f t="shared" si="96"/>
        <v/>
      </c>
      <c r="J874" s="61">
        <f t="shared" si="97"/>
        <v>0</v>
      </c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</row>
    <row r="875" spans="1:36" x14ac:dyDescent="0.2">
      <c r="A875" s="61">
        <f t="shared" si="91"/>
        <v>0</v>
      </c>
      <c r="B875" s="55">
        <f t="shared" si="92"/>
        <v>0</v>
      </c>
      <c r="C875" s="55"/>
      <c r="D875" s="55"/>
      <c r="E875" s="55">
        <f t="shared" si="93"/>
        <v>0</v>
      </c>
      <c r="F875" s="55">
        <f t="shared" si="94"/>
        <v>0</v>
      </c>
      <c r="G875" s="55">
        <f t="shared" si="95"/>
        <v>0</v>
      </c>
      <c r="H875" s="55" t="str">
        <f t="shared" si="96"/>
        <v/>
      </c>
      <c r="J875" s="61">
        <f t="shared" si="97"/>
        <v>0</v>
      </c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</row>
    <row r="876" spans="1:36" x14ac:dyDescent="0.2">
      <c r="A876" s="61">
        <f t="shared" si="91"/>
        <v>0</v>
      </c>
      <c r="B876" s="55">
        <f t="shared" si="92"/>
        <v>0</v>
      </c>
      <c r="C876" s="55"/>
      <c r="D876" s="55"/>
      <c r="E876" s="55">
        <f t="shared" si="93"/>
        <v>0</v>
      </c>
      <c r="F876" s="55">
        <f t="shared" si="94"/>
        <v>0</v>
      </c>
      <c r="G876" s="55">
        <f t="shared" si="95"/>
        <v>0</v>
      </c>
      <c r="H876" s="55" t="str">
        <f t="shared" si="96"/>
        <v/>
      </c>
      <c r="J876" s="61">
        <f t="shared" si="97"/>
        <v>0</v>
      </c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</row>
    <row r="877" spans="1:36" x14ac:dyDescent="0.2">
      <c r="A877" s="61">
        <f t="shared" si="91"/>
        <v>0</v>
      </c>
      <c r="B877" s="55">
        <f t="shared" si="92"/>
        <v>0</v>
      </c>
      <c r="C877" s="55"/>
      <c r="D877" s="55"/>
      <c r="E877" s="55">
        <f t="shared" si="93"/>
        <v>0</v>
      </c>
      <c r="F877" s="55">
        <f t="shared" si="94"/>
        <v>0</v>
      </c>
      <c r="G877" s="55">
        <f t="shared" si="95"/>
        <v>0</v>
      </c>
      <c r="H877" s="55" t="str">
        <f t="shared" si="96"/>
        <v/>
      </c>
      <c r="J877" s="61">
        <f t="shared" si="97"/>
        <v>0</v>
      </c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</row>
    <row r="878" spans="1:36" x14ac:dyDescent="0.2">
      <c r="A878" s="61">
        <f t="shared" si="91"/>
        <v>0</v>
      </c>
      <c r="B878" s="55">
        <f t="shared" si="92"/>
        <v>0</v>
      </c>
      <c r="C878" s="55"/>
      <c r="D878" s="55"/>
      <c r="E878" s="55">
        <f t="shared" si="93"/>
        <v>0</v>
      </c>
      <c r="F878" s="55">
        <f t="shared" si="94"/>
        <v>0</v>
      </c>
      <c r="G878" s="55">
        <f t="shared" si="95"/>
        <v>0</v>
      </c>
      <c r="H878" s="55" t="str">
        <f t="shared" si="96"/>
        <v/>
      </c>
      <c r="J878" s="61">
        <f t="shared" si="97"/>
        <v>0</v>
      </c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</row>
    <row r="879" spans="1:36" x14ac:dyDescent="0.2">
      <c r="A879" s="61">
        <f t="shared" si="91"/>
        <v>0</v>
      </c>
      <c r="B879" s="55">
        <f t="shared" si="92"/>
        <v>0</v>
      </c>
      <c r="C879" s="55"/>
      <c r="D879" s="55"/>
      <c r="E879" s="55">
        <f t="shared" si="93"/>
        <v>0</v>
      </c>
      <c r="F879" s="55">
        <f t="shared" si="94"/>
        <v>0</v>
      </c>
      <c r="G879" s="55">
        <f t="shared" si="95"/>
        <v>0</v>
      </c>
      <c r="H879" s="55" t="str">
        <f t="shared" si="96"/>
        <v/>
      </c>
      <c r="J879" s="61">
        <f t="shared" si="97"/>
        <v>0</v>
      </c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</row>
    <row r="880" spans="1:36" x14ac:dyDescent="0.2">
      <c r="A880" s="61">
        <f t="shared" si="91"/>
        <v>0</v>
      </c>
      <c r="B880" s="55">
        <f t="shared" si="92"/>
        <v>0</v>
      </c>
      <c r="C880" s="55"/>
      <c r="D880" s="55"/>
      <c r="E880" s="55">
        <f t="shared" si="93"/>
        <v>0</v>
      </c>
      <c r="F880" s="55">
        <f t="shared" si="94"/>
        <v>0</v>
      </c>
      <c r="G880" s="55">
        <f t="shared" si="95"/>
        <v>0</v>
      </c>
      <c r="H880" s="55" t="str">
        <f t="shared" si="96"/>
        <v/>
      </c>
      <c r="J880" s="61">
        <f t="shared" si="97"/>
        <v>0</v>
      </c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</row>
    <row r="881" spans="1:36" x14ac:dyDescent="0.2">
      <c r="A881" s="61">
        <f t="shared" si="91"/>
        <v>0</v>
      </c>
      <c r="B881" s="55">
        <f t="shared" si="92"/>
        <v>0</v>
      </c>
      <c r="C881" s="55"/>
      <c r="D881" s="55"/>
      <c r="E881" s="55">
        <f t="shared" si="93"/>
        <v>0</v>
      </c>
      <c r="F881" s="55">
        <f t="shared" si="94"/>
        <v>0</v>
      </c>
      <c r="G881" s="55">
        <f t="shared" si="95"/>
        <v>0</v>
      </c>
      <c r="H881" s="55" t="str">
        <f t="shared" si="96"/>
        <v/>
      </c>
      <c r="J881" s="61">
        <f t="shared" si="97"/>
        <v>0</v>
      </c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</row>
    <row r="882" spans="1:36" x14ac:dyDescent="0.2">
      <c r="A882" s="61">
        <f t="shared" si="91"/>
        <v>0</v>
      </c>
      <c r="B882" s="55">
        <f t="shared" si="92"/>
        <v>0</v>
      </c>
      <c r="C882" s="55"/>
      <c r="D882" s="55"/>
      <c r="E882" s="55">
        <f t="shared" si="93"/>
        <v>0</v>
      </c>
      <c r="F882" s="55">
        <f t="shared" si="94"/>
        <v>0</v>
      </c>
      <c r="G882" s="55">
        <f t="shared" si="95"/>
        <v>0</v>
      </c>
      <c r="H882" s="55" t="str">
        <f t="shared" si="96"/>
        <v/>
      </c>
      <c r="J882" s="61">
        <f t="shared" si="97"/>
        <v>0</v>
      </c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</row>
    <row r="883" spans="1:36" x14ac:dyDescent="0.2">
      <c r="A883" s="61">
        <f t="shared" si="91"/>
        <v>0</v>
      </c>
      <c r="B883" s="55">
        <f t="shared" si="92"/>
        <v>0</v>
      </c>
      <c r="C883" s="55"/>
      <c r="D883" s="55"/>
      <c r="E883" s="55">
        <f t="shared" si="93"/>
        <v>0</v>
      </c>
      <c r="F883" s="55">
        <f t="shared" si="94"/>
        <v>0</v>
      </c>
      <c r="G883" s="55">
        <f t="shared" si="95"/>
        <v>0</v>
      </c>
      <c r="H883" s="55" t="str">
        <f t="shared" si="96"/>
        <v/>
      </c>
      <c r="J883" s="61">
        <f t="shared" si="97"/>
        <v>0</v>
      </c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</row>
    <row r="884" spans="1:36" x14ac:dyDescent="0.2">
      <c r="A884" s="61">
        <f t="shared" si="91"/>
        <v>0</v>
      </c>
      <c r="B884" s="55">
        <f t="shared" si="92"/>
        <v>0</v>
      </c>
      <c r="C884" s="55"/>
      <c r="D884" s="55"/>
      <c r="E884" s="55">
        <f t="shared" si="93"/>
        <v>0</v>
      </c>
      <c r="F884" s="55">
        <f t="shared" si="94"/>
        <v>0</v>
      </c>
      <c r="G884" s="55">
        <f t="shared" si="95"/>
        <v>0</v>
      </c>
      <c r="H884" s="55" t="str">
        <f t="shared" si="96"/>
        <v/>
      </c>
      <c r="J884" s="61">
        <f t="shared" si="97"/>
        <v>0</v>
      </c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</row>
    <row r="885" spans="1:36" x14ac:dyDescent="0.2">
      <c r="A885" s="61">
        <f t="shared" si="91"/>
        <v>0</v>
      </c>
      <c r="B885" s="55">
        <f t="shared" si="92"/>
        <v>0</v>
      </c>
      <c r="C885" s="55"/>
      <c r="D885" s="55"/>
      <c r="E885" s="55">
        <f t="shared" si="93"/>
        <v>0</v>
      </c>
      <c r="F885" s="55">
        <f t="shared" si="94"/>
        <v>0</v>
      </c>
      <c r="G885" s="55">
        <f t="shared" si="95"/>
        <v>0</v>
      </c>
      <c r="H885" s="55" t="str">
        <f t="shared" si="96"/>
        <v/>
      </c>
      <c r="J885" s="61">
        <f t="shared" si="97"/>
        <v>0</v>
      </c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</row>
    <row r="886" spans="1:36" x14ac:dyDescent="0.2">
      <c r="A886" s="61">
        <f t="shared" si="91"/>
        <v>0</v>
      </c>
      <c r="B886" s="55">
        <f t="shared" si="92"/>
        <v>0</v>
      </c>
      <c r="C886" s="55"/>
      <c r="D886" s="55"/>
      <c r="E886" s="55">
        <f t="shared" si="93"/>
        <v>0</v>
      </c>
      <c r="F886" s="55">
        <f t="shared" si="94"/>
        <v>0</v>
      </c>
      <c r="G886" s="55">
        <f t="shared" si="95"/>
        <v>0</v>
      </c>
      <c r="H886" s="55" t="str">
        <f t="shared" si="96"/>
        <v/>
      </c>
      <c r="J886" s="61">
        <f t="shared" si="97"/>
        <v>0</v>
      </c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</row>
    <row r="887" spans="1:36" x14ac:dyDescent="0.2">
      <c r="A887" s="61">
        <f t="shared" si="91"/>
        <v>0</v>
      </c>
      <c r="B887" s="55">
        <f t="shared" si="92"/>
        <v>0</v>
      </c>
      <c r="C887" s="55"/>
      <c r="D887" s="55"/>
      <c r="E887" s="55">
        <f t="shared" si="93"/>
        <v>0</v>
      </c>
      <c r="F887" s="55">
        <f t="shared" si="94"/>
        <v>0</v>
      </c>
      <c r="G887" s="55">
        <f t="shared" si="95"/>
        <v>0</v>
      </c>
      <c r="H887" s="55" t="str">
        <f t="shared" si="96"/>
        <v/>
      </c>
      <c r="J887" s="61">
        <f t="shared" si="97"/>
        <v>0</v>
      </c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</row>
    <row r="888" spans="1:36" x14ac:dyDescent="0.2">
      <c r="A888" s="61">
        <f t="shared" si="91"/>
        <v>0</v>
      </c>
      <c r="B888" s="55">
        <f t="shared" si="92"/>
        <v>0</v>
      </c>
      <c r="C888" s="55"/>
      <c r="D888" s="55"/>
      <c r="E888" s="55">
        <f t="shared" si="93"/>
        <v>0</v>
      </c>
      <c r="F888" s="55">
        <f t="shared" si="94"/>
        <v>0</v>
      </c>
      <c r="G888" s="55">
        <f t="shared" si="95"/>
        <v>0</v>
      </c>
      <c r="H888" s="55" t="str">
        <f t="shared" si="96"/>
        <v/>
      </c>
      <c r="J888" s="61">
        <f t="shared" si="97"/>
        <v>0</v>
      </c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</row>
    <row r="889" spans="1:36" x14ac:dyDescent="0.2">
      <c r="A889" s="61">
        <f t="shared" si="91"/>
        <v>0</v>
      </c>
      <c r="B889" s="55">
        <f t="shared" si="92"/>
        <v>0</v>
      </c>
      <c r="C889" s="55"/>
      <c r="D889" s="55"/>
      <c r="E889" s="55">
        <f t="shared" si="93"/>
        <v>0</v>
      </c>
      <c r="F889" s="55">
        <f t="shared" si="94"/>
        <v>0</v>
      </c>
      <c r="G889" s="55">
        <f t="shared" si="95"/>
        <v>0</v>
      </c>
      <c r="H889" s="55" t="str">
        <f t="shared" si="96"/>
        <v/>
      </c>
      <c r="J889" s="61">
        <f t="shared" si="97"/>
        <v>0</v>
      </c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</row>
    <row r="890" spans="1:36" x14ac:dyDescent="0.2">
      <c r="A890" s="61">
        <f t="shared" si="91"/>
        <v>0</v>
      </c>
      <c r="B890" s="55">
        <f t="shared" si="92"/>
        <v>0</v>
      </c>
      <c r="C890" s="55"/>
      <c r="D890" s="55"/>
      <c r="E890" s="55">
        <f t="shared" si="93"/>
        <v>0</v>
      </c>
      <c r="F890" s="55">
        <f t="shared" si="94"/>
        <v>0</v>
      </c>
      <c r="G890" s="55">
        <f t="shared" si="95"/>
        <v>0</v>
      </c>
      <c r="H890" s="55" t="str">
        <f t="shared" si="96"/>
        <v/>
      </c>
      <c r="J890" s="61">
        <f t="shared" si="97"/>
        <v>0</v>
      </c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</row>
    <row r="891" spans="1:36" x14ac:dyDescent="0.2">
      <c r="A891" s="61">
        <f t="shared" si="91"/>
        <v>0</v>
      </c>
      <c r="B891" s="55">
        <f t="shared" si="92"/>
        <v>0</v>
      </c>
      <c r="C891" s="55"/>
      <c r="D891" s="55"/>
      <c r="E891" s="55">
        <f t="shared" si="93"/>
        <v>0</v>
      </c>
      <c r="F891" s="55">
        <f t="shared" si="94"/>
        <v>0</v>
      </c>
      <c r="G891" s="55">
        <f t="shared" si="95"/>
        <v>0</v>
      </c>
      <c r="H891" s="55" t="str">
        <f t="shared" si="96"/>
        <v/>
      </c>
      <c r="J891" s="61">
        <f t="shared" si="97"/>
        <v>0</v>
      </c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</row>
    <row r="892" spans="1:36" x14ac:dyDescent="0.2">
      <c r="A892" s="61">
        <f t="shared" si="91"/>
        <v>0</v>
      </c>
      <c r="B892" s="55">
        <f t="shared" si="92"/>
        <v>0</v>
      </c>
      <c r="C892" s="55"/>
      <c r="D892" s="55"/>
      <c r="E892" s="55">
        <f t="shared" si="93"/>
        <v>0</v>
      </c>
      <c r="F892" s="55">
        <f t="shared" si="94"/>
        <v>0</v>
      </c>
      <c r="G892" s="55">
        <f t="shared" si="95"/>
        <v>0</v>
      </c>
      <c r="H892" s="55" t="str">
        <f t="shared" si="96"/>
        <v/>
      </c>
      <c r="J892" s="61">
        <f t="shared" si="97"/>
        <v>0</v>
      </c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</row>
    <row r="893" spans="1:36" x14ac:dyDescent="0.2">
      <c r="A893" s="61">
        <f t="shared" si="91"/>
        <v>0</v>
      </c>
      <c r="B893" s="55">
        <f t="shared" si="92"/>
        <v>0</v>
      </c>
      <c r="C893" s="55"/>
      <c r="D893" s="55"/>
      <c r="E893" s="55">
        <f t="shared" si="93"/>
        <v>0</v>
      </c>
      <c r="F893" s="55">
        <f t="shared" si="94"/>
        <v>0</v>
      </c>
      <c r="G893" s="55">
        <f t="shared" si="95"/>
        <v>0</v>
      </c>
      <c r="H893" s="55" t="str">
        <f t="shared" si="96"/>
        <v/>
      </c>
      <c r="J893" s="61">
        <f t="shared" si="97"/>
        <v>0</v>
      </c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</row>
    <row r="894" spans="1:36" x14ac:dyDescent="0.2">
      <c r="A894" s="61">
        <f t="shared" si="91"/>
        <v>0</v>
      </c>
      <c r="B894" s="55">
        <f t="shared" si="92"/>
        <v>0</v>
      </c>
      <c r="C894" s="55"/>
      <c r="D894" s="55"/>
      <c r="E894" s="55">
        <f t="shared" si="93"/>
        <v>0</v>
      </c>
      <c r="F894" s="55">
        <f t="shared" si="94"/>
        <v>0</v>
      </c>
      <c r="G894" s="55">
        <f t="shared" si="95"/>
        <v>0</v>
      </c>
      <c r="H894" s="55" t="str">
        <f t="shared" si="96"/>
        <v/>
      </c>
      <c r="J894" s="61">
        <f t="shared" si="97"/>
        <v>0</v>
      </c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</row>
    <row r="895" spans="1:36" x14ac:dyDescent="0.2">
      <c r="A895" s="61">
        <f t="shared" si="91"/>
        <v>0</v>
      </c>
      <c r="B895" s="55">
        <f t="shared" si="92"/>
        <v>0</v>
      </c>
      <c r="C895" s="55"/>
      <c r="D895" s="55"/>
      <c r="E895" s="55">
        <f t="shared" si="93"/>
        <v>0</v>
      </c>
      <c r="F895" s="55">
        <f t="shared" si="94"/>
        <v>0</v>
      </c>
      <c r="G895" s="55">
        <f t="shared" si="95"/>
        <v>0</v>
      </c>
      <c r="H895" s="55" t="str">
        <f t="shared" si="96"/>
        <v/>
      </c>
      <c r="J895" s="61">
        <f t="shared" si="97"/>
        <v>0</v>
      </c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</row>
    <row r="896" spans="1:36" x14ac:dyDescent="0.2">
      <c r="A896" s="61">
        <f t="shared" si="91"/>
        <v>0</v>
      </c>
      <c r="B896" s="55">
        <f t="shared" si="92"/>
        <v>0</v>
      </c>
      <c r="C896" s="55"/>
      <c r="D896" s="55"/>
      <c r="E896" s="55">
        <f t="shared" si="93"/>
        <v>0</v>
      </c>
      <c r="F896" s="55">
        <f t="shared" si="94"/>
        <v>0</v>
      </c>
      <c r="G896" s="55">
        <f t="shared" si="95"/>
        <v>0</v>
      </c>
      <c r="H896" s="55" t="str">
        <f t="shared" si="96"/>
        <v/>
      </c>
      <c r="J896" s="61">
        <f t="shared" si="97"/>
        <v>0</v>
      </c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</row>
    <row r="897" spans="1:36" x14ac:dyDescent="0.2">
      <c r="A897" s="61">
        <f t="shared" si="91"/>
        <v>0</v>
      </c>
      <c r="B897" s="55">
        <f t="shared" si="92"/>
        <v>0</v>
      </c>
      <c r="C897" s="55"/>
      <c r="D897" s="55"/>
      <c r="E897" s="55">
        <f t="shared" si="93"/>
        <v>0</v>
      </c>
      <c r="F897" s="55">
        <f t="shared" si="94"/>
        <v>0</v>
      </c>
      <c r="G897" s="55">
        <f t="shared" si="95"/>
        <v>0</v>
      </c>
      <c r="H897" s="55" t="str">
        <f t="shared" si="96"/>
        <v/>
      </c>
      <c r="J897" s="61">
        <f t="shared" si="97"/>
        <v>0</v>
      </c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</row>
    <row r="898" spans="1:36" x14ac:dyDescent="0.2">
      <c r="A898" s="61">
        <f t="shared" ref="A898:A961" si="98">J898</f>
        <v>0</v>
      </c>
      <c r="B898" s="55">
        <f t="shared" ref="B898:B961" si="99">M898</f>
        <v>0</v>
      </c>
      <c r="C898" s="55"/>
      <c r="D898" s="55"/>
      <c r="E898" s="55">
        <f t="shared" ref="E898:E961" si="100">V898</f>
        <v>0</v>
      </c>
      <c r="F898" s="55">
        <f t="shared" ref="F898:F961" si="101">Z898</f>
        <v>0</v>
      </c>
      <c r="G898" s="55">
        <f t="shared" ref="G898:G961" si="102">AH898</f>
        <v>0</v>
      </c>
      <c r="H898" s="55" t="str">
        <f t="shared" ref="H898:H961" si="103">IF(Q898&gt;1,IF(Q898=2,"I","E"),"")</f>
        <v/>
      </c>
      <c r="J898" s="61">
        <f t="shared" ref="J898:J961" si="104">P898*1</f>
        <v>0</v>
      </c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</row>
    <row r="899" spans="1:36" x14ac:dyDescent="0.2">
      <c r="A899" s="61">
        <f t="shared" si="98"/>
        <v>0</v>
      </c>
      <c r="B899" s="55">
        <f t="shared" si="99"/>
        <v>0</v>
      </c>
      <c r="C899" s="55"/>
      <c r="D899" s="55"/>
      <c r="E899" s="55">
        <f t="shared" si="100"/>
        <v>0</v>
      </c>
      <c r="F899" s="55">
        <f t="shared" si="101"/>
        <v>0</v>
      </c>
      <c r="G899" s="55">
        <f t="shared" si="102"/>
        <v>0</v>
      </c>
      <c r="H899" s="55" t="str">
        <f t="shared" si="103"/>
        <v/>
      </c>
      <c r="J899" s="61">
        <f t="shared" si="104"/>
        <v>0</v>
      </c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</row>
    <row r="900" spans="1:36" x14ac:dyDescent="0.2">
      <c r="A900" s="61">
        <f t="shared" si="98"/>
        <v>0</v>
      </c>
      <c r="B900" s="55">
        <f t="shared" si="99"/>
        <v>0</v>
      </c>
      <c r="C900" s="55"/>
      <c r="D900" s="55"/>
      <c r="E900" s="55">
        <f t="shared" si="100"/>
        <v>0</v>
      </c>
      <c r="F900" s="55">
        <f t="shared" si="101"/>
        <v>0</v>
      </c>
      <c r="G900" s="55">
        <f t="shared" si="102"/>
        <v>0</v>
      </c>
      <c r="H900" s="55" t="str">
        <f t="shared" si="103"/>
        <v/>
      </c>
      <c r="J900" s="61">
        <f t="shared" si="104"/>
        <v>0</v>
      </c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</row>
    <row r="901" spans="1:36" x14ac:dyDescent="0.2">
      <c r="A901" s="61">
        <f t="shared" si="98"/>
        <v>0</v>
      </c>
      <c r="B901" s="55">
        <f t="shared" si="99"/>
        <v>0</v>
      </c>
      <c r="C901" s="55"/>
      <c r="D901" s="55"/>
      <c r="E901" s="55">
        <f t="shared" si="100"/>
        <v>0</v>
      </c>
      <c r="F901" s="55">
        <f t="shared" si="101"/>
        <v>0</v>
      </c>
      <c r="G901" s="55">
        <f t="shared" si="102"/>
        <v>0</v>
      </c>
      <c r="H901" s="55" t="str">
        <f t="shared" si="103"/>
        <v/>
      </c>
      <c r="J901" s="61">
        <f t="shared" si="104"/>
        <v>0</v>
      </c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</row>
    <row r="902" spans="1:36" x14ac:dyDescent="0.2">
      <c r="A902" s="61">
        <f t="shared" si="98"/>
        <v>0</v>
      </c>
      <c r="B902" s="55">
        <f t="shared" si="99"/>
        <v>0</v>
      </c>
      <c r="C902" s="55"/>
      <c r="D902" s="55"/>
      <c r="E902" s="55">
        <f t="shared" si="100"/>
        <v>0</v>
      </c>
      <c r="F902" s="55">
        <f t="shared" si="101"/>
        <v>0</v>
      </c>
      <c r="G902" s="55">
        <f t="shared" si="102"/>
        <v>0</v>
      </c>
      <c r="H902" s="55" t="str">
        <f t="shared" si="103"/>
        <v/>
      </c>
      <c r="J902" s="61">
        <f t="shared" si="104"/>
        <v>0</v>
      </c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</row>
    <row r="903" spans="1:36" x14ac:dyDescent="0.2">
      <c r="A903" s="61">
        <f t="shared" si="98"/>
        <v>0</v>
      </c>
      <c r="B903" s="55">
        <f t="shared" si="99"/>
        <v>0</v>
      </c>
      <c r="C903" s="55"/>
      <c r="D903" s="55"/>
      <c r="E903" s="55">
        <f t="shared" si="100"/>
        <v>0</v>
      </c>
      <c r="F903" s="55">
        <f t="shared" si="101"/>
        <v>0</v>
      </c>
      <c r="G903" s="55">
        <f t="shared" si="102"/>
        <v>0</v>
      </c>
      <c r="H903" s="55" t="str">
        <f t="shared" si="103"/>
        <v/>
      </c>
      <c r="J903" s="61">
        <f t="shared" si="104"/>
        <v>0</v>
      </c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</row>
    <row r="904" spans="1:36" x14ac:dyDescent="0.2">
      <c r="A904" s="61">
        <f t="shared" si="98"/>
        <v>0</v>
      </c>
      <c r="B904" s="55">
        <f t="shared" si="99"/>
        <v>0</v>
      </c>
      <c r="C904" s="55"/>
      <c r="D904" s="55"/>
      <c r="E904" s="55">
        <f t="shared" si="100"/>
        <v>0</v>
      </c>
      <c r="F904" s="55">
        <f t="shared" si="101"/>
        <v>0</v>
      </c>
      <c r="G904" s="55">
        <f t="shared" si="102"/>
        <v>0</v>
      </c>
      <c r="H904" s="55" t="str">
        <f t="shared" si="103"/>
        <v/>
      </c>
      <c r="J904" s="61">
        <f t="shared" si="104"/>
        <v>0</v>
      </c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</row>
    <row r="905" spans="1:36" x14ac:dyDescent="0.2">
      <c r="A905" s="61">
        <f t="shared" si="98"/>
        <v>0</v>
      </c>
      <c r="B905" s="55">
        <f t="shared" si="99"/>
        <v>0</v>
      </c>
      <c r="C905" s="55"/>
      <c r="D905" s="55"/>
      <c r="E905" s="55">
        <f t="shared" si="100"/>
        <v>0</v>
      </c>
      <c r="F905" s="55">
        <f t="shared" si="101"/>
        <v>0</v>
      </c>
      <c r="G905" s="55">
        <f t="shared" si="102"/>
        <v>0</v>
      </c>
      <c r="H905" s="55" t="str">
        <f t="shared" si="103"/>
        <v/>
      </c>
      <c r="J905" s="61">
        <f t="shared" si="104"/>
        <v>0</v>
      </c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</row>
    <row r="906" spans="1:36" x14ac:dyDescent="0.2">
      <c r="A906" s="61">
        <f t="shared" si="98"/>
        <v>0</v>
      </c>
      <c r="B906" s="55">
        <f t="shared" si="99"/>
        <v>0</v>
      </c>
      <c r="C906" s="55"/>
      <c r="D906" s="55"/>
      <c r="E906" s="55">
        <f t="shared" si="100"/>
        <v>0</v>
      </c>
      <c r="F906" s="55">
        <f t="shared" si="101"/>
        <v>0</v>
      </c>
      <c r="G906" s="55">
        <f t="shared" si="102"/>
        <v>0</v>
      </c>
      <c r="H906" s="55" t="str">
        <f t="shared" si="103"/>
        <v/>
      </c>
      <c r="J906" s="61">
        <f t="shared" si="104"/>
        <v>0</v>
      </c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</row>
    <row r="907" spans="1:36" x14ac:dyDescent="0.2">
      <c r="A907" s="61">
        <f t="shared" si="98"/>
        <v>0</v>
      </c>
      <c r="B907" s="55">
        <f t="shared" si="99"/>
        <v>0</v>
      </c>
      <c r="C907" s="55"/>
      <c r="D907" s="55"/>
      <c r="E907" s="55">
        <f t="shared" si="100"/>
        <v>0</v>
      </c>
      <c r="F907" s="55">
        <f t="shared" si="101"/>
        <v>0</v>
      </c>
      <c r="G907" s="55">
        <f t="shared" si="102"/>
        <v>0</v>
      </c>
      <c r="H907" s="55" t="str">
        <f t="shared" si="103"/>
        <v/>
      </c>
      <c r="J907" s="61">
        <f t="shared" si="104"/>
        <v>0</v>
      </c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</row>
    <row r="908" spans="1:36" x14ac:dyDescent="0.2">
      <c r="A908" s="61">
        <f t="shared" si="98"/>
        <v>0</v>
      </c>
      <c r="B908" s="55">
        <f t="shared" si="99"/>
        <v>0</v>
      </c>
      <c r="C908" s="55"/>
      <c r="D908" s="55"/>
      <c r="E908" s="55">
        <f t="shared" si="100"/>
        <v>0</v>
      </c>
      <c r="F908" s="55">
        <f t="shared" si="101"/>
        <v>0</v>
      </c>
      <c r="G908" s="55">
        <f t="shared" si="102"/>
        <v>0</v>
      </c>
      <c r="H908" s="55" t="str">
        <f t="shared" si="103"/>
        <v/>
      </c>
      <c r="J908" s="61">
        <f t="shared" si="104"/>
        <v>0</v>
      </c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</row>
    <row r="909" spans="1:36" x14ac:dyDescent="0.2">
      <c r="A909" s="61">
        <f t="shared" si="98"/>
        <v>0</v>
      </c>
      <c r="B909" s="55">
        <f t="shared" si="99"/>
        <v>0</v>
      </c>
      <c r="C909" s="55"/>
      <c r="D909" s="55"/>
      <c r="E909" s="55">
        <f t="shared" si="100"/>
        <v>0</v>
      </c>
      <c r="F909" s="55">
        <f t="shared" si="101"/>
        <v>0</v>
      </c>
      <c r="G909" s="55">
        <f t="shared" si="102"/>
        <v>0</v>
      </c>
      <c r="H909" s="55" t="str">
        <f t="shared" si="103"/>
        <v/>
      </c>
      <c r="J909" s="61">
        <f t="shared" si="104"/>
        <v>0</v>
      </c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</row>
    <row r="910" spans="1:36" x14ac:dyDescent="0.2">
      <c r="A910" s="61">
        <f t="shared" si="98"/>
        <v>0</v>
      </c>
      <c r="B910" s="55">
        <f t="shared" si="99"/>
        <v>0</v>
      </c>
      <c r="C910" s="55"/>
      <c r="D910" s="55"/>
      <c r="E910" s="55">
        <f t="shared" si="100"/>
        <v>0</v>
      </c>
      <c r="F910" s="55">
        <f t="shared" si="101"/>
        <v>0</v>
      </c>
      <c r="G910" s="55">
        <f t="shared" si="102"/>
        <v>0</v>
      </c>
      <c r="H910" s="55" t="str">
        <f t="shared" si="103"/>
        <v/>
      </c>
      <c r="J910" s="61">
        <f t="shared" si="104"/>
        <v>0</v>
      </c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</row>
    <row r="911" spans="1:36" x14ac:dyDescent="0.2">
      <c r="A911" s="61">
        <f t="shared" si="98"/>
        <v>0</v>
      </c>
      <c r="B911" s="55">
        <f t="shared" si="99"/>
        <v>0</v>
      </c>
      <c r="C911" s="55"/>
      <c r="D911" s="55"/>
      <c r="E911" s="55">
        <f t="shared" si="100"/>
        <v>0</v>
      </c>
      <c r="F911" s="55">
        <f t="shared" si="101"/>
        <v>0</v>
      </c>
      <c r="G911" s="55">
        <f t="shared" si="102"/>
        <v>0</v>
      </c>
      <c r="H911" s="55" t="str">
        <f t="shared" si="103"/>
        <v/>
      </c>
      <c r="J911" s="61">
        <f t="shared" si="104"/>
        <v>0</v>
      </c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</row>
    <row r="912" spans="1:36" x14ac:dyDescent="0.2">
      <c r="A912" s="61">
        <f t="shared" si="98"/>
        <v>0</v>
      </c>
      <c r="B912" s="55">
        <f t="shared" si="99"/>
        <v>0</v>
      </c>
      <c r="C912" s="55"/>
      <c r="D912" s="55"/>
      <c r="E912" s="55">
        <f t="shared" si="100"/>
        <v>0</v>
      </c>
      <c r="F912" s="55">
        <f t="shared" si="101"/>
        <v>0</v>
      </c>
      <c r="G912" s="55">
        <f t="shared" si="102"/>
        <v>0</v>
      </c>
      <c r="H912" s="55" t="str">
        <f t="shared" si="103"/>
        <v/>
      </c>
      <c r="J912" s="61">
        <f t="shared" si="104"/>
        <v>0</v>
      </c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</row>
    <row r="913" spans="1:36" x14ac:dyDescent="0.2">
      <c r="A913" s="61">
        <f t="shared" si="98"/>
        <v>0</v>
      </c>
      <c r="B913" s="55">
        <f t="shared" si="99"/>
        <v>0</v>
      </c>
      <c r="C913" s="55"/>
      <c r="D913" s="55"/>
      <c r="E913" s="55">
        <f t="shared" si="100"/>
        <v>0</v>
      </c>
      <c r="F913" s="55">
        <f t="shared" si="101"/>
        <v>0</v>
      </c>
      <c r="G913" s="55">
        <f t="shared" si="102"/>
        <v>0</v>
      </c>
      <c r="H913" s="55" t="str">
        <f t="shared" si="103"/>
        <v/>
      </c>
      <c r="J913" s="61">
        <f t="shared" si="104"/>
        <v>0</v>
      </c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</row>
    <row r="914" spans="1:36" x14ac:dyDescent="0.2">
      <c r="A914" s="61">
        <f t="shared" si="98"/>
        <v>0</v>
      </c>
      <c r="B914" s="55">
        <f t="shared" si="99"/>
        <v>0</v>
      </c>
      <c r="C914" s="55"/>
      <c r="D914" s="55"/>
      <c r="E914" s="55">
        <f t="shared" si="100"/>
        <v>0</v>
      </c>
      <c r="F914" s="55">
        <f t="shared" si="101"/>
        <v>0</v>
      </c>
      <c r="G914" s="55">
        <f t="shared" si="102"/>
        <v>0</v>
      </c>
      <c r="H914" s="55" t="str">
        <f t="shared" si="103"/>
        <v/>
      </c>
      <c r="J914" s="61">
        <f t="shared" si="104"/>
        <v>0</v>
      </c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</row>
    <row r="915" spans="1:36" x14ac:dyDescent="0.2">
      <c r="A915" s="61">
        <f t="shared" si="98"/>
        <v>0</v>
      </c>
      <c r="B915" s="55">
        <f t="shared" si="99"/>
        <v>0</v>
      </c>
      <c r="C915" s="55"/>
      <c r="D915" s="55"/>
      <c r="E915" s="55">
        <f t="shared" si="100"/>
        <v>0</v>
      </c>
      <c r="F915" s="55">
        <f t="shared" si="101"/>
        <v>0</v>
      </c>
      <c r="G915" s="55">
        <f t="shared" si="102"/>
        <v>0</v>
      </c>
      <c r="H915" s="55" t="str">
        <f t="shared" si="103"/>
        <v/>
      </c>
      <c r="J915" s="61">
        <f t="shared" si="104"/>
        <v>0</v>
      </c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</row>
    <row r="916" spans="1:36" x14ac:dyDescent="0.2">
      <c r="A916" s="61">
        <f t="shared" si="98"/>
        <v>0</v>
      </c>
      <c r="B916" s="55">
        <f t="shared" si="99"/>
        <v>0</v>
      </c>
      <c r="C916" s="55"/>
      <c r="D916" s="55"/>
      <c r="E916" s="55">
        <f t="shared" si="100"/>
        <v>0</v>
      </c>
      <c r="F916" s="55">
        <f t="shared" si="101"/>
        <v>0</v>
      </c>
      <c r="G916" s="55">
        <f t="shared" si="102"/>
        <v>0</v>
      </c>
      <c r="H916" s="55" t="str">
        <f t="shared" si="103"/>
        <v/>
      </c>
      <c r="J916" s="61">
        <f t="shared" si="104"/>
        <v>0</v>
      </c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</row>
    <row r="917" spans="1:36" x14ac:dyDescent="0.2">
      <c r="A917" s="61">
        <f t="shared" si="98"/>
        <v>0</v>
      </c>
      <c r="B917" s="55">
        <f t="shared" si="99"/>
        <v>0</v>
      </c>
      <c r="C917" s="55"/>
      <c r="D917" s="55"/>
      <c r="E917" s="55">
        <f t="shared" si="100"/>
        <v>0</v>
      </c>
      <c r="F917" s="55">
        <f t="shared" si="101"/>
        <v>0</v>
      </c>
      <c r="G917" s="55">
        <f t="shared" si="102"/>
        <v>0</v>
      </c>
      <c r="H917" s="55" t="str">
        <f t="shared" si="103"/>
        <v/>
      </c>
      <c r="J917" s="61">
        <f t="shared" si="104"/>
        <v>0</v>
      </c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</row>
    <row r="918" spans="1:36" x14ac:dyDescent="0.2">
      <c r="A918" s="61">
        <f t="shared" si="98"/>
        <v>0</v>
      </c>
      <c r="B918" s="55">
        <f t="shared" si="99"/>
        <v>0</v>
      </c>
      <c r="C918" s="55"/>
      <c r="D918" s="55"/>
      <c r="E918" s="55">
        <f t="shared" si="100"/>
        <v>0</v>
      </c>
      <c r="F918" s="55">
        <f t="shared" si="101"/>
        <v>0</v>
      </c>
      <c r="G918" s="55">
        <f t="shared" si="102"/>
        <v>0</v>
      </c>
      <c r="H918" s="55" t="str">
        <f t="shared" si="103"/>
        <v/>
      </c>
      <c r="J918" s="61">
        <f t="shared" si="104"/>
        <v>0</v>
      </c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</row>
    <row r="919" spans="1:36" x14ac:dyDescent="0.2">
      <c r="A919" s="61">
        <f t="shared" si="98"/>
        <v>0</v>
      </c>
      <c r="B919" s="55">
        <f t="shared" si="99"/>
        <v>0</v>
      </c>
      <c r="C919" s="55"/>
      <c r="D919" s="55"/>
      <c r="E919" s="55">
        <f t="shared" si="100"/>
        <v>0</v>
      </c>
      <c r="F919" s="55">
        <f t="shared" si="101"/>
        <v>0</v>
      </c>
      <c r="G919" s="55">
        <f t="shared" si="102"/>
        <v>0</v>
      </c>
      <c r="H919" s="55" t="str">
        <f t="shared" si="103"/>
        <v/>
      </c>
      <c r="J919" s="61">
        <f t="shared" si="104"/>
        <v>0</v>
      </c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</row>
    <row r="920" spans="1:36" x14ac:dyDescent="0.2">
      <c r="A920" s="61">
        <f t="shared" si="98"/>
        <v>0</v>
      </c>
      <c r="B920" s="55">
        <f t="shared" si="99"/>
        <v>0</v>
      </c>
      <c r="C920" s="55"/>
      <c r="D920" s="55"/>
      <c r="E920" s="55">
        <f t="shared" si="100"/>
        <v>0</v>
      </c>
      <c r="F920" s="55">
        <f t="shared" si="101"/>
        <v>0</v>
      </c>
      <c r="G920" s="55">
        <f t="shared" si="102"/>
        <v>0</v>
      </c>
      <c r="H920" s="55" t="str">
        <f t="shared" si="103"/>
        <v/>
      </c>
      <c r="J920" s="61">
        <f t="shared" si="104"/>
        <v>0</v>
      </c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</row>
    <row r="921" spans="1:36" x14ac:dyDescent="0.2">
      <c r="A921" s="61">
        <f t="shared" si="98"/>
        <v>0</v>
      </c>
      <c r="B921" s="55">
        <f t="shared" si="99"/>
        <v>0</v>
      </c>
      <c r="C921" s="55"/>
      <c r="D921" s="55"/>
      <c r="E921" s="55">
        <f t="shared" si="100"/>
        <v>0</v>
      </c>
      <c r="F921" s="55">
        <f t="shared" si="101"/>
        <v>0</v>
      </c>
      <c r="G921" s="55">
        <f t="shared" si="102"/>
        <v>0</v>
      </c>
      <c r="H921" s="55" t="str">
        <f t="shared" si="103"/>
        <v/>
      </c>
      <c r="J921" s="61">
        <f t="shared" si="104"/>
        <v>0</v>
      </c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</row>
    <row r="922" spans="1:36" x14ac:dyDescent="0.2">
      <c r="A922" s="61">
        <f t="shared" si="98"/>
        <v>0</v>
      </c>
      <c r="B922" s="55">
        <f t="shared" si="99"/>
        <v>0</v>
      </c>
      <c r="C922" s="55"/>
      <c r="D922" s="55"/>
      <c r="E922" s="55">
        <f t="shared" si="100"/>
        <v>0</v>
      </c>
      <c r="F922" s="55">
        <f t="shared" si="101"/>
        <v>0</v>
      </c>
      <c r="G922" s="55">
        <f t="shared" si="102"/>
        <v>0</v>
      </c>
      <c r="H922" s="55" t="str">
        <f t="shared" si="103"/>
        <v/>
      </c>
      <c r="J922" s="61">
        <f t="shared" si="104"/>
        <v>0</v>
      </c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</row>
    <row r="923" spans="1:36" x14ac:dyDescent="0.2">
      <c r="A923" s="61">
        <f t="shared" si="98"/>
        <v>0</v>
      </c>
      <c r="B923" s="55">
        <f t="shared" si="99"/>
        <v>0</v>
      </c>
      <c r="C923" s="55"/>
      <c r="D923" s="55"/>
      <c r="E923" s="55">
        <f t="shared" si="100"/>
        <v>0</v>
      </c>
      <c r="F923" s="55">
        <f t="shared" si="101"/>
        <v>0</v>
      </c>
      <c r="G923" s="55">
        <f t="shared" si="102"/>
        <v>0</v>
      </c>
      <c r="H923" s="55" t="str">
        <f t="shared" si="103"/>
        <v/>
      </c>
      <c r="J923" s="61">
        <f t="shared" si="104"/>
        <v>0</v>
      </c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</row>
    <row r="924" spans="1:36" x14ac:dyDescent="0.2">
      <c r="A924" s="61">
        <f t="shared" si="98"/>
        <v>0</v>
      </c>
      <c r="B924" s="55">
        <f t="shared" si="99"/>
        <v>0</v>
      </c>
      <c r="C924" s="55"/>
      <c r="D924" s="55"/>
      <c r="E924" s="55">
        <f t="shared" si="100"/>
        <v>0</v>
      </c>
      <c r="F924" s="55">
        <f t="shared" si="101"/>
        <v>0</v>
      </c>
      <c r="G924" s="55">
        <f t="shared" si="102"/>
        <v>0</v>
      </c>
      <c r="H924" s="55" t="str">
        <f t="shared" si="103"/>
        <v/>
      </c>
      <c r="J924" s="61">
        <f t="shared" si="104"/>
        <v>0</v>
      </c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</row>
    <row r="925" spans="1:36" x14ac:dyDescent="0.2">
      <c r="A925" s="61">
        <f t="shared" si="98"/>
        <v>0</v>
      </c>
      <c r="B925" s="55">
        <f t="shared" si="99"/>
        <v>0</v>
      </c>
      <c r="C925" s="55"/>
      <c r="D925" s="55"/>
      <c r="E925" s="55">
        <f t="shared" si="100"/>
        <v>0</v>
      </c>
      <c r="F925" s="55">
        <f t="shared" si="101"/>
        <v>0</v>
      </c>
      <c r="G925" s="55">
        <f t="shared" si="102"/>
        <v>0</v>
      </c>
      <c r="H925" s="55" t="str">
        <f t="shared" si="103"/>
        <v/>
      </c>
      <c r="J925" s="61">
        <f t="shared" si="104"/>
        <v>0</v>
      </c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</row>
    <row r="926" spans="1:36" x14ac:dyDescent="0.2">
      <c r="A926" s="61">
        <f t="shared" si="98"/>
        <v>0</v>
      </c>
      <c r="B926" s="55">
        <f t="shared" si="99"/>
        <v>0</v>
      </c>
      <c r="C926" s="55"/>
      <c r="D926" s="55"/>
      <c r="E926" s="55">
        <f t="shared" si="100"/>
        <v>0</v>
      </c>
      <c r="F926" s="55">
        <f t="shared" si="101"/>
        <v>0</v>
      </c>
      <c r="G926" s="55">
        <f t="shared" si="102"/>
        <v>0</v>
      </c>
      <c r="H926" s="55" t="str">
        <f t="shared" si="103"/>
        <v/>
      </c>
      <c r="J926" s="61">
        <f t="shared" si="104"/>
        <v>0</v>
      </c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</row>
    <row r="927" spans="1:36" x14ac:dyDescent="0.2">
      <c r="A927" s="61">
        <f t="shared" si="98"/>
        <v>0</v>
      </c>
      <c r="B927" s="55">
        <f t="shared" si="99"/>
        <v>0</v>
      </c>
      <c r="C927" s="55"/>
      <c r="D927" s="55"/>
      <c r="E927" s="55">
        <f t="shared" si="100"/>
        <v>0</v>
      </c>
      <c r="F927" s="55">
        <f t="shared" si="101"/>
        <v>0</v>
      </c>
      <c r="G927" s="55">
        <f t="shared" si="102"/>
        <v>0</v>
      </c>
      <c r="H927" s="55" t="str">
        <f t="shared" si="103"/>
        <v/>
      </c>
      <c r="J927" s="61">
        <f t="shared" si="104"/>
        <v>0</v>
      </c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</row>
    <row r="928" spans="1:36" x14ac:dyDescent="0.2">
      <c r="A928" s="61">
        <f t="shared" si="98"/>
        <v>0</v>
      </c>
      <c r="B928" s="55">
        <f t="shared" si="99"/>
        <v>0</v>
      </c>
      <c r="C928" s="55"/>
      <c r="D928" s="55"/>
      <c r="E928" s="55">
        <f t="shared" si="100"/>
        <v>0</v>
      </c>
      <c r="F928" s="55">
        <f t="shared" si="101"/>
        <v>0</v>
      </c>
      <c r="G928" s="55">
        <f t="shared" si="102"/>
        <v>0</v>
      </c>
      <c r="H928" s="55" t="str">
        <f t="shared" si="103"/>
        <v/>
      </c>
      <c r="J928" s="61">
        <f t="shared" si="104"/>
        <v>0</v>
      </c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</row>
    <row r="929" spans="1:36" x14ac:dyDescent="0.2">
      <c r="A929" s="61">
        <f t="shared" si="98"/>
        <v>0</v>
      </c>
      <c r="B929" s="55">
        <f t="shared" si="99"/>
        <v>0</v>
      </c>
      <c r="C929" s="55"/>
      <c r="D929" s="55"/>
      <c r="E929" s="55">
        <f t="shared" si="100"/>
        <v>0</v>
      </c>
      <c r="F929" s="55">
        <f t="shared" si="101"/>
        <v>0</v>
      </c>
      <c r="G929" s="55">
        <f t="shared" si="102"/>
        <v>0</v>
      </c>
      <c r="H929" s="55" t="str">
        <f t="shared" si="103"/>
        <v/>
      </c>
      <c r="J929" s="61">
        <f t="shared" si="104"/>
        <v>0</v>
      </c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</row>
    <row r="930" spans="1:36" x14ac:dyDescent="0.2">
      <c r="A930" s="61">
        <f t="shared" si="98"/>
        <v>0</v>
      </c>
      <c r="B930" s="55">
        <f t="shared" si="99"/>
        <v>0</v>
      </c>
      <c r="C930" s="55"/>
      <c r="D930" s="55"/>
      <c r="E930" s="55">
        <f t="shared" si="100"/>
        <v>0</v>
      </c>
      <c r="F930" s="55">
        <f t="shared" si="101"/>
        <v>0</v>
      </c>
      <c r="G930" s="55">
        <f t="shared" si="102"/>
        <v>0</v>
      </c>
      <c r="H930" s="55" t="str">
        <f t="shared" si="103"/>
        <v/>
      </c>
      <c r="J930" s="61">
        <f t="shared" si="104"/>
        <v>0</v>
      </c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</row>
    <row r="931" spans="1:36" x14ac:dyDescent="0.2">
      <c r="A931" s="61">
        <f t="shared" si="98"/>
        <v>0</v>
      </c>
      <c r="B931" s="55">
        <f t="shared" si="99"/>
        <v>0</v>
      </c>
      <c r="C931" s="55"/>
      <c r="D931" s="55"/>
      <c r="E931" s="55">
        <f t="shared" si="100"/>
        <v>0</v>
      </c>
      <c r="F931" s="55">
        <f t="shared" si="101"/>
        <v>0</v>
      </c>
      <c r="G931" s="55">
        <f t="shared" si="102"/>
        <v>0</v>
      </c>
      <c r="H931" s="55" t="str">
        <f t="shared" si="103"/>
        <v/>
      </c>
      <c r="J931" s="61">
        <f t="shared" si="104"/>
        <v>0</v>
      </c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</row>
    <row r="932" spans="1:36" x14ac:dyDescent="0.2">
      <c r="A932" s="61">
        <f t="shared" si="98"/>
        <v>0</v>
      </c>
      <c r="B932" s="55">
        <f t="shared" si="99"/>
        <v>0</v>
      </c>
      <c r="C932" s="55"/>
      <c r="D932" s="55"/>
      <c r="E932" s="55">
        <f t="shared" si="100"/>
        <v>0</v>
      </c>
      <c r="F932" s="55">
        <f t="shared" si="101"/>
        <v>0</v>
      </c>
      <c r="G932" s="55">
        <f t="shared" si="102"/>
        <v>0</v>
      </c>
      <c r="H932" s="55" t="str">
        <f t="shared" si="103"/>
        <v/>
      </c>
      <c r="J932" s="61">
        <f t="shared" si="104"/>
        <v>0</v>
      </c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</row>
    <row r="933" spans="1:36" x14ac:dyDescent="0.2">
      <c r="A933" s="61">
        <f t="shared" si="98"/>
        <v>0</v>
      </c>
      <c r="B933" s="55">
        <f t="shared" si="99"/>
        <v>0</v>
      </c>
      <c r="C933" s="55"/>
      <c r="D933" s="55"/>
      <c r="E933" s="55">
        <f t="shared" si="100"/>
        <v>0</v>
      </c>
      <c r="F933" s="55">
        <f t="shared" si="101"/>
        <v>0</v>
      </c>
      <c r="G933" s="55">
        <f t="shared" si="102"/>
        <v>0</v>
      </c>
      <c r="H933" s="55" t="str">
        <f t="shared" si="103"/>
        <v/>
      </c>
      <c r="J933" s="61">
        <f t="shared" si="104"/>
        <v>0</v>
      </c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</row>
    <row r="934" spans="1:36" x14ac:dyDescent="0.2">
      <c r="A934" s="61">
        <f t="shared" si="98"/>
        <v>0</v>
      </c>
      <c r="B934" s="55">
        <f t="shared" si="99"/>
        <v>0</v>
      </c>
      <c r="C934" s="55"/>
      <c r="D934" s="55"/>
      <c r="E934" s="55">
        <f t="shared" si="100"/>
        <v>0</v>
      </c>
      <c r="F934" s="55">
        <f t="shared" si="101"/>
        <v>0</v>
      </c>
      <c r="G934" s="55">
        <f t="shared" si="102"/>
        <v>0</v>
      </c>
      <c r="H934" s="55" t="str">
        <f t="shared" si="103"/>
        <v/>
      </c>
      <c r="J934" s="61">
        <f t="shared" si="104"/>
        <v>0</v>
      </c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</row>
    <row r="935" spans="1:36" x14ac:dyDescent="0.2">
      <c r="A935" s="61">
        <f t="shared" si="98"/>
        <v>0</v>
      </c>
      <c r="B935" s="55">
        <f t="shared" si="99"/>
        <v>0</v>
      </c>
      <c r="C935" s="55"/>
      <c r="D935" s="55"/>
      <c r="E935" s="55">
        <f t="shared" si="100"/>
        <v>0</v>
      </c>
      <c r="F935" s="55">
        <f t="shared" si="101"/>
        <v>0</v>
      </c>
      <c r="G935" s="55">
        <f t="shared" si="102"/>
        <v>0</v>
      </c>
      <c r="H935" s="55" t="str">
        <f t="shared" si="103"/>
        <v/>
      </c>
      <c r="J935" s="61">
        <f t="shared" si="104"/>
        <v>0</v>
      </c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</row>
    <row r="936" spans="1:36" x14ac:dyDescent="0.2">
      <c r="A936" s="61">
        <f t="shared" si="98"/>
        <v>0</v>
      </c>
      <c r="B936" s="55">
        <f t="shared" si="99"/>
        <v>0</v>
      </c>
      <c r="C936" s="55"/>
      <c r="D936" s="55"/>
      <c r="E936" s="55">
        <f t="shared" si="100"/>
        <v>0</v>
      </c>
      <c r="F936" s="55">
        <f t="shared" si="101"/>
        <v>0</v>
      </c>
      <c r="G936" s="55">
        <f t="shared" si="102"/>
        <v>0</v>
      </c>
      <c r="H936" s="55" t="str">
        <f t="shared" si="103"/>
        <v/>
      </c>
      <c r="J936" s="61">
        <f t="shared" si="104"/>
        <v>0</v>
      </c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</row>
    <row r="937" spans="1:36" x14ac:dyDescent="0.2">
      <c r="A937" s="61">
        <f t="shared" si="98"/>
        <v>0</v>
      </c>
      <c r="B937" s="55">
        <f t="shared" si="99"/>
        <v>0</v>
      </c>
      <c r="C937" s="55"/>
      <c r="D937" s="55"/>
      <c r="E937" s="55">
        <f t="shared" si="100"/>
        <v>0</v>
      </c>
      <c r="F937" s="55">
        <f t="shared" si="101"/>
        <v>0</v>
      </c>
      <c r="G937" s="55">
        <f t="shared" si="102"/>
        <v>0</v>
      </c>
      <c r="H937" s="55" t="str">
        <f t="shared" si="103"/>
        <v/>
      </c>
      <c r="J937" s="61">
        <f t="shared" si="104"/>
        <v>0</v>
      </c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</row>
    <row r="938" spans="1:36" x14ac:dyDescent="0.2">
      <c r="A938" s="61">
        <f t="shared" si="98"/>
        <v>0</v>
      </c>
      <c r="B938" s="55">
        <f t="shared" si="99"/>
        <v>0</v>
      </c>
      <c r="C938" s="55"/>
      <c r="D938" s="55"/>
      <c r="E938" s="55">
        <f t="shared" si="100"/>
        <v>0</v>
      </c>
      <c r="F938" s="55">
        <f t="shared" si="101"/>
        <v>0</v>
      </c>
      <c r="G938" s="55">
        <f t="shared" si="102"/>
        <v>0</v>
      </c>
      <c r="H938" s="55" t="str">
        <f t="shared" si="103"/>
        <v/>
      </c>
      <c r="J938" s="61">
        <f t="shared" si="104"/>
        <v>0</v>
      </c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</row>
    <row r="939" spans="1:36" x14ac:dyDescent="0.2">
      <c r="A939" s="61">
        <f t="shared" si="98"/>
        <v>0</v>
      </c>
      <c r="B939" s="55">
        <f t="shared" si="99"/>
        <v>0</v>
      </c>
      <c r="C939" s="55"/>
      <c r="D939" s="55"/>
      <c r="E939" s="55">
        <f t="shared" si="100"/>
        <v>0</v>
      </c>
      <c r="F939" s="55">
        <f t="shared" si="101"/>
        <v>0</v>
      </c>
      <c r="G939" s="55">
        <f t="shared" si="102"/>
        <v>0</v>
      </c>
      <c r="H939" s="55" t="str">
        <f t="shared" si="103"/>
        <v/>
      </c>
      <c r="J939" s="61">
        <f t="shared" si="104"/>
        <v>0</v>
      </c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</row>
    <row r="940" spans="1:36" x14ac:dyDescent="0.2">
      <c r="A940" s="61">
        <f t="shared" si="98"/>
        <v>0</v>
      </c>
      <c r="B940" s="55">
        <f t="shared" si="99"/>
        <v>0</v>
      </c>
      <c r="C940" s="55"/>
      <c r="D940" s="55"/>
      <c r="E940" s="55">
        <f t="shared" si="100"/>
        <v>0</v>
      </c>
      <c r="F940" s="55">
        <f t="shared" si="101"/>
        <v>0</v>
      </c>
      <c r="G940" s="55">
        <f t="shared" si="102"/>
        <v>0</v>
      </c>
      <c r="H940" s="55" t="str">
        <f t="shared" si="103"/>
        <v/>
      </c>
      <c r="J940" s="61">
        <f t="shared" si="104"/>
        <v>0</v>
      </c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</row>
    <row r="941" spans="1:36" x14ac:dyDescent="0.2">
      <c r="A941" s="61">
        <f t="shared" si="98"/>
        <v>0</v>
      </c>
      <c r="B941" s="55">
        <f t="shared" si="99"/>
        <v>0</v>
      </c>
      <c r="C941" s="55"/>
      <c r="D941" s="55"/>
      <c r="E941" s="55">
        <f t="shared" si="100"/>
        <v>0</v>
      </c>
      <c r="F941" s="55">
        <f t="shared" si="101"/>
        <v>0</v>
      </c>
      <c r="G941" s="55">
        <f t="shared" si="102"/>
        <v>0</v>
      </c>
      <c r="H941" s="55" t="str">
        <f t="shared" si="103"/>
        <v/>
      </c>
      <c r="J941" s="61">
        <f t="shared" si="104"/>
        <v>0</v>
      </c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</row>
    <row r="942" spans="1:36" x14ac:dyDescent="0.2">
      <c r="A942" s="61">
        <f t="shared" si="98"/>
        <v>0</v>
      </c>
      <c r="B942" s="55">
        <f t="shared" si="99"/>
        <v>0</v>
      </c>
      <c r="C942" s="55"/>
      <c r="D942" s="55"/>
      <c r="E942" s="55">
        <f t="shared" si="100"/>
        <v>0</v>
      </c>
      <c r="F942" s="55">
        <f t="shared" si="101"/>
        <v>0</v>
      </c>
      <c r="G942" s="55">
        <f t="shared" si="102"/>
        <v>0</v>
      </c>
      <c r="H942" s="55" t="str">
        <f t="shared" si="103"/>
        <v/>
      </c>
      <c r="J942" s="61">
        <f t="shared" si="104"/>
        <v>0</v>
      </c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</row>
    <row r="943" spans="1:36" x14ac:dyDescent="0.2">
      <c r="A943" s="61">
        <f t="shared" si="98"/>
        <v>0</v>
      </c>
      <c r="B943" s="55">
        <f t="shared" si="99"/>
        <v>0</v>
      </c>
      <c r="C943" s="55"/>
      <c r="D943" s="55"/>
      <c r="E943" s="55">
        <f t="shared" si="100"/>
        <v>0</v>
      </c>
      <c r="F943" s="55">
        <f t="shared" si="101"/>
        <v>0</v>
      </c>
      <c r="G943" s="55">
        <f t="shared" si="102"/>
        <v>0</v>
      </c>
      <c r="H943" s="55" t="str">
        <f t="shared" si="103"/>
        <v/>
      </c>
      <c r="J943" s="61">
        <f t="shared" si="104"/>
        <v>0</v>
      </c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</row>
    <row r="944" spans="1:36" x14ac:dyDescent="0.2">
      <c r="A944" s="61">
        <f t="shared" si="98"/>
        <v>0</v>
      </c>
      <c r="B944" s="55">
        <f t="shared" si="99"/>
        <v>0</v>
      </c>
      <c r="C944" s="55"/>
      <c r="D944" s="55"/>
      <c r="E944" s="55">
        <f t="shared" si="100"/>
        <v>0</v>
      </c>
      <c r="F944" s="55">
        <f t="shared" si="101"/>
        <v>0</v>
      </c>
      <c r="G944" s="55">
        <f t="shared" si="102"/>
        <v>0</v>
      </c>
      <c r="H944" s="55" t="str">
        <f t="shared" si="103"/>
        <v/>
      </c>
      <c r="J944" s="61">
        <f t="shared" si="104"/>
        <v>0</v>
      </c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</row>
    <row r="945" spans="1:36" x14ac:dyDescent="0.2">
      <c r="A945" s="61">
        <f t="shared" si="98"/>
        <v>0</v>
      </c>
      <c r="B945" s="55">
        <f t="shared" si="99"/>
        <v>0</v>
      </c>
      <c r="C945" s="55"/>
      <c r="D945" s="55"/>
      <c r="E945" s="55">
        <f t="shared" si="100"/>
        <v>0</v>
      </c>
      <c r="F945" s="55">
        <f t="shared" si="101"/>
        <v>0</v>
      </c>
      <c r="G945" s="55">
        <f t="shared" si="102"/>
        <v>0</v>
      </c>
      <c r="H945" s="55" t="str">
        <f t="shared" si="103"/>
        <v/>
      </c>
      <c r="J945" s="61">
        <f t="shared" si="104"/>
        <v>0</v>
      </c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</row>
    <row r="946" spans="1:36" x14ac:dyDescent="0.2">
      <c r="A946" s="61">
        <f t="shared" si="98"/>
        <v>0</v>
      </c>
      <c r="B946" s="55">
        <f t="shared" si="99"/>
        <v>0</v>
      </c>
      <c r="C946" s="55"/>
      <c r="D946" s="55"/>
      <c r="E946" s="55">
        <f t="shared" si="100"/>
        <v>0</v>
      </c>
      <c r="F946" s="55">
        <f t="shared" si="101"/>
        <v>0</v>
      </c>
      <c r="G946" s="55">
        <f t="shared" si="102"/>
        <v>0</v>
      </c>
      <c r="H946" s="55" t="str">
        <f t="shared" si="103"/>
        <v/>
      </c>
      <c r="J946" s="61">
        <f t="shared" si="104"/>
        <v>0</v>
      </c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</row>
    <row r="947" spans="1:36" x14ac:dyDescent="0.2">
      <c r="A947" s="61">
        <f t="shared" si="98"/>
        <v>0</v>
      </c>
      <c r="B947" s="55">
        <f t="shared" si="99"/>
        <v>0</v>
      </c>
      <c r="C947" s="55"/>
      <c r="D947" s="55"/>
      <c r="E947" s="55">
        <f t="shared" si="100"/>
        <v>0</v>
      </c>
      <c r="F947" s="55">
        <f t="shared" si="101"/>
        <v>0</v>
      </c>
      <c r="G947" s="55">
        <f t="shared" si="102"/>
        <v>0</v>
      </c>
      <c r="H947" s="55" t="str">
        <f t="shared" si="103"/>
        <v/>
      </c>
      <c r="J947" s="61">
        <f t="shared" si="104"/>
        <v>0</v>
      </c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</row>
    <row r="948" spans="1:36" x14ac:dyDescent="0.2">
      <c r="A948" s="61">
        <f t="shared" si="98"/>
        <v>0</v>
      </c>
      <c r="B948" s="55">
        <f t="shared" si="99"/>
        <v>0</v>
      </c>
      <c r="C948" s="55"/>
      <c r="D948" s="55"/>
      <c r="E948" s="55">
        <f t="shared" si="100"/>
        <v>0</v>
      </c>
      <c r="F948" s="55">
        <f t="shared" si="101"/>
        <v>0</v>
      </c>
      <c r="G948" s="55">
        <f t="shared" si="102"/>
        <v>0</v>
      </c>
      <c r="H948" s="55" t="str">
        <f t="shared" si="103"/>
        <v/>
      </c>
      <c r="J948" s="61">
        <f t="shared" si="104"/>
        <v>0</v>
      </c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</row>
    <row r="949" spans="1:36" x14ac:dyDescent="0.2">
      <c r="A949" s="61">
        <f t="shared" si="98"/>
        <v>0</v>
      </c>
      <c r="B949" s="55">
        <f t="shared" si="99"/>
        <v>0</v>
      </c>
      <c r="C949" s="55"/>
      <c r="D949" s="55"/>
      <c r="E949" s="55">
        <f t="shared" si="100"/>
        <v>0</v>
      </c>
      <c r="F949" s="55">
        <f t="shared" si="101"/>
        <v>0</v>
      </c>
      <c r="G949" s="55">
        <f t="shared" si="102"/>
        <v>0</v>
      </c>
      <c r="H949" s="55" t="str">
        <f t="shared" si="103"/>
        <v/>
      </c>
      <c r="J949" s="61">
        <f t="shared" si="104"/>
        <v>0</v>
      </c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</row>
    <row r="950" spans="1:36" x14ac:dyDescent="0.2">
      <c r="A950" s="61">
        <f t="shared" si="98"/>
        <v>0</v>
      </c>
      <c r="B950" s="55">
        <f t="shared" si="99"/>
        <v>0</v>
      </c>
      <c r="C950" s="55"/>
      <c r="D950" s="55"/>
      <c r="E950" s="55">
        <f t="shared" si="100"/>
        <v>0</v>
      </c>
      <c r="F950" s="55">
        <f t="shared" si="101"/>
        <v>0</v>
      </c>
      <c r="G950" s="55">
        <f t="shared" si="102"/>
        <v>0</v>
      </c>
      <c r="H950" s="55" t="str">
        <f t="shared" si="103"/>
        <v/>
      </c>
      <c r="J950" s="61">
        <f t="shared" si="104"/>
        <v>0</v>
      </c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</row>
    <row r="951" spans="1:36" x14ac:dyDescent="0.2">
      <c r="A951" s="61">
        <f t="shared" si="98"/>
        <v>0</v>
      </c>
      <c r="B951" s="55">
        <f t="shared" si="99"/>
        <v>0</v>
      </c>
      <c r="C951" s="55"/>
      <c r="D951" s="55"/>
      <c r="E951" s="55">
        <f t="shared" si="100"/>
        <v>0</v>
      </c>
      <c r="F951" s="55">
        <f t="shared" si="101"/>
        <v>0</v>
      </c>
      <c r="G951" s="55">
        <f t="shared" si="102"/>
        <v>0</v>
      </c>
      <c r="H951" s="55" t="str">
        <f t="shared" si="103"/>
        <v/>
      </c>
      <c r="J951" s="61">
        <f t="shared" si="104"/>
        <v>0</v>
      </c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</row>
    <row r="952" spans="1:36" x14ac:dyDescent="0.2">
      <c r="A952" s="61">
        <f t="shared" si="98"/>
        <v>0</v>
      </c>
      <c r="B952" s="55">
        <f t="shared" si="99"/>
        <v>0</v>
      </c>
      <c r="C952" s="55"/>
      <c r="D952" s="55"/>
      <c r="E952" s="55">
        <f t="shared" si="100"/>
        <v>0</v>
      </c>
      <c r="F952" s="55">
        <f t="shared" si="101"/>
        <v>0</v>
      </c>
      <c r="G952" s="55">
        <f t="shared" si="102"/>
        <v>0</v>
      </c>
      <c r="H952" s="55" t="str">
        <f t="shared" si="103"/>
        <v/>
      </c>
      <c r="J952" s="61">
        <f t="shared" si="104"/>
        <v>0</v>
      </c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</row>
    <row r="953" spans="1:36" x14ac:dyDescent="0.2">
      <c r="A953" s="61">
        <f t="shared" si="98"/>
        <v>0</v>
      </c>
      <c r="B953" s="55">
        <f t="shared" si="99"/>
        <v>0</v>
      </c>
      <c r="C953" s="55"/>
      <c r="D953" s="55"/>
      <c r="E953" s="55">
        <f t="shared" si="100"/>
        <v>0</v>
      </c>
      <c r="F953" s="55">
        <f t="shared" si="101"/>
        <v>0</v>
      </c>
      <c r="G953" s="55">
        <f t="shared" si="102"/>
        <v>0</v>
      </c>
      <c r="H953" s="55" t="str">
        <f t="shared" si="103"/>
        <v/>
      </c>
      <c r="J953" s="61">
        <f t="shared" si="104"/>
        <v>0</v>
      </c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</row>
    <row r="954" spans="1:36" x14ac:dyDescent="0.2">
      <c r="A954" s="61">
        <f t="shared" si="98"/>
        <v>0</v>
      </c>
      <c r="B954" s="55">
        <f t="shared" si="99"/>
        <v>0</v>
      </c>
      <c r="C954" s="55"/>
      <c r="D954" s="55"/>
      <c r="E954" s="55">
        <f t="shared" si="100"/>
        <v>0</v>
      </c>
      <c r="F954" s="55">
        <f t="shared" si="101"/>
        <v>0</v>
      </c>
      <c r="G954" s="55">
        <f t="shared" si="102"/>
        <v>0</v>
      </c>
      <c r="H954" s="55" t="str">
        <f t="shared" si="103"/>
        <v/>
      </c>
      <c r="J954" s="61">
        <f t="shared" si="104"/>
        <v>0</v>
      </c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</row>
    <row r="955" spans="1:36" x14ac:dyDescent="0.2">
      <c r="A955" s="61">
        <f t="shared" si="98"/>
        <v>0</v>
      </c>
      <c r="B955" s="55">
        <f t="shared" si="99"/>
        <v>0</v>
      </c>
      <c r="C955" s="55"/>
      <c r="D955" s="55"/>
      <c r="E955" s="55">
        <f t="shared" si="100"/>
        <v>0</v>
      </c>
      <c r="F955" s="55">
        <f t="shared" si="101"/>
        <v>0</v>
      </c>
      <c r="G955" s="55">
        <f t="shared" si="102"/>
        <v>0</v>
      </c>
      <c r="H955" s="55" t="str">
        <f t="shared" si="103"/>
        <v/>
      </c>
      <c r="J955" s="61">
        <f t="shared" si="104"/>
        <v>0</v>
      </c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</row>
    <row r="956" spans="1:36" x14ac:dyDescent="0.2">
      <c r="A956" s="61">
        <f t="shared" si="98"/>
        <v>0</v>
      </c>
      <c r="B956" s="55">
        <f t="shared" si="99"/>
        <v>0</v>
      </c>
      <c r="C956" s="55"/>
      <c r="D956" s="55"/>
      <c r="E956" s="55">
        <f t="shared" si="100"/>
        <v>0</v>
      </c>
      <c r="F956" s="55">
        <f t="shared" si="101"/>
        <v>0</v>
      </c>
      <c r="G956" s="55">
        <f t="shared" si="102"/>
        <v>0</v>
      </c>
      <c r="H956" s="55" t="str">
        <f t="shared" si="103"/>
        <v/>
      </c>
      <c r="J956" s="61">
        <f t="shared" si="104"/>
        <v>0</v>
      </c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</row>
    <row r="957" spans="1:36" x14ac:dyDescent="0.2">
      <c r="A957" s="61">
        <f t="shared" si="98"/>
        <v>0</v>
      </c>
      <c r="B957" s="55">
        <f t="shared" si="99"/>
        <v>0</v>
      </c>
      <c r="C957" s="55"/>
      <c r="D957" s="55"/>
      <c r="E957" s="55">
        <f t="shared" si="100"/>
        <v>0</v>
      </c>
      <c r="F957" s="55">
        <f t="shared" si="101"/>
        <v>0</v>
      </c>
      <c r="G957" s="55">
        <f t="shared" si="102"/>
        <v>0</v>
      </c>
      <c r="H957" s="55" t="str">
        <f t="shared" si="103"/>
        <v/>
      </c>
      <c r="J957" s="61">
        <f t="shared" si="104"/>
        <v>0</v>
      </c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</row>
    <row r="958" spans="1:36" x14ac:dyDescent="0.2">
      <c r="A958" s="61">
        <f t="shared" si="98"/>
        <v>0</v>
      </c>
      <c r="B958" s="55">
        <f t="shared" si="99"/>
        <v>0</v>
      </c>
      <c r="C958" s="55"/>
      <c r="D958" s="55"/>
      <c r="E958" s="55">
        <f t="shared" si="100"/>
        <v>0</v>
      </c>
      <c r="F958" s="55">
        <f t="shared" si="101"/>
        <v>0</v>
      </c>
      <c r="G958" s="55">
        <f t="shared" si="102"/>
        <v>0</v>
      </c>
      <c r="H958" s="55" t="str">
        <f t="shared" si="103"/>
        <v/>
      </c>
      <c r="J958" s="61">
        <f t="shared" si="104"/>
        <v>0</v>
      </c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</row>
    <row r="959" spans="1:36" x14ac:dyDescent="0.2">
      <c r="A959" s="61">
        <f t="shared" si="98"/>
        <v>0</v>
      </c>
      <c r="B959" s="55">
        <f t="shared" si="99"/>
        <v>0</v>
      </c>
      <c r="C959" s="55"/>
      <c r="D959" s="55"/>
      <c r="E959" s="55">
        <f t="shared" si="100"/>
        <v>0</v>
      </c>
      <c r="F959" s="55">
        <f t="shared" si="101"/>
        <v>0</v>
      </c>
      <c r="G959" s="55">
        <f t="shared" si="102"/>
        <v>0</v>
      </c>
      <c r="H959" s="55" t="str">
        <f t="shared" si="103"/>
        <v/>
      </c>
      <c r="J959" s="61">
        <f t="shared" si="104"/>
        <v>0</v>
      </c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</row>
    <row r="960" spans="1:36" x14ac:dyDescent="0.2">
      <c r="A960" s="61">
        <f t="shared" si="98"/>
        <v>0</v>
      </c>
      <c r="B960" s="55">
        <f t="shared" si="99"/>
        <v>0</v>
      </c>
      <c r="C960" s="55"/>
      <c r="D960" s="55"/>
      <c r="E960" s="55">
        <f t="shared" si="100"/>
        <v>0</v>
      </c>
      <c r="F960" s="55">
        <f t="shared" si="101"/>
        <v>0</v>
      </c>
      <c r="G960" s="55">
        <f t="shared" si="102"/>
        <v>0</v>
      </c>
      <c r="H960" s="55" t="str">
        <f t="shared" si="103"/>
        <v/>
      </c>
      <c r="J960" s="61">
        <f t="shared" si="104"/>
        <v>0</v>
      </c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</row>
    <row r="961" spans="1:36" x14ac:dyDescent="0.2">
      <c r="A961" s="61">
        <f t="shared" si="98"/>
        <v>0</v>
      </c>
      <c r="B961" s="55">
        <f t="shared" si="99"/>
        <v>0</v>
      </c>
      <c r="C961" s="55"/>
      <c r="D961" s="55"/>
      <c r="E961" s="55">
        <f t="shared" si="100"/>
        <v>0</v>
      </c>
      <c r="F961" s="55">
        <f t="shared" si="101"/>
        <v>0</v>
      </c>
      <c r="G961" s="55">
        <f t="shared" si="102"/>
        <v>0</v>
      </c>
      <c r="H961" s="55" t="str">
        <f t="shared" si="103"/>
        <v/>
      </c>
      <c r="J961" s="61">
        <f t="shared" si="104"/>
        <v>0</v>
      </c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</row>
    <row r="962" spans="1:36" x14ac:dyDescent="0.2">
      <c r="A962" s="61">
        <f t="shared" ref="A962:A1025" si="105">J962</f>
        <v>0</v>
      </c>
      <c r="B962" s="55">
        <f t="shared" ref="B962:B1025" si="106">M962</f>
        <v>0</v>
      </c>
      <c r="C962" s="55"/>
      <c r="D962" s="55"/>
      <c r="E962" s="55">
        <f t="shared" ref="E962:E1025" si="107">V962</f>
        <v>0</v>
      </c>
      <c r="F962" s="55">
        <f t="shared" ref="F962:F1025" si="108">Z962</f>
        <v>0</v>
      </c>
      <c r="G962" s="55">
        <f t="shared" ref="G962:G1025" si="109">AH962</f>
        <v>0</v>
      </c>
      <c r="H962" s="55" t="str">
        <f t="shared" ref="H962:H1025" si="110">IF(Q962&gt;1,IF(Q962=2,"I","E"),"")</f>
        <v/>
      </c>
      <c r="J962" s="61">
        <f t="shared" ref="J962:J1025" si="111">P962*1</f>
        <v>0</v>
      </c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</row>
    <row r="963" spans="1:36" x14ac:dyDescent="0.2">
      <c r="A963" s="61">
        <f t="shared" si="105"/>
        <v>0</v>
      </c>
      <c r="B963" s="55">
        <f t="shared" si="106"/>
        <v>0</v>
      </c>
      <c r="C963" s="55"/>
      <c r="D963" s="55"/>
      <c r="E963" s="55">
        <f t="shared" si="107"/>
        <v>0</v>
      </c>
      <c r="F963" s="55">
        <f t="shared" si="108"/>
        <v>0</v>
      </c>
      <c r="G963" s="55">
        <f t="shared" si="109"/>
        <v>0</v>
      </c>
      <c r="H963" s="55" t="str">
        <f t="shared" si="110"/>
        <v/>
      </c>
      <c r="J963" s="61">
        <f t="shared" si="111"/>
        <v>0</v>
      </c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</row>
    <row r="964" spans="1:36" x14ac:dyDescent="0.2">
      <c r="A964" s="61">
        <f t="shared" si="105"/>
        <v>0</v>
      </c>
      <c r="B964" s="55">
        <f t="shared" si="106"/>
        <v>0</v>
      </c>
      <c r="C964" s="55"/>
      <c r="D964" s="55"/>
      <c r="E964" s="55">
        <f t="shared" si="107"/>
        <v>0</v>
      </c>
      <c r="F964" s="55">
        <f t="shared" si="108"/>
        <v>0</v>
      </c>
      <c r="G964" s="55">
        <f t="shared" si="109"/>
        <v>0</v>
      </c>
      <c r="H964" s="55" t="str">
        <f t="shared" si="110"/>
        <v/>
      </c>
      <c r="J964" s="61">
        <f t="shared" si="111"/>
        <v>0</v>
      </c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</row>
    <row r="965" spans="1:36" x14ac:dyDescent="0.2">
      <c r="A965" s="61">
        <f t="shared" si="105"/>
        <v>0</v>
      </c>
      <c r="B965" s="55">
        <f t="shared" si="106"/>
        <v>0</v>
      </c>
      <c r="C965" s="55"/>
      <c r="D965" s="55"/>
      <c r="E965" s="55">
        <f t="shared" si="107"/>
        <v>0</v>
      </c>
      <c r="F965" s="55">
        <f t="shared" si="108"/>
        <v>0</v>
      </c>
      <c r="G965" s="55">
        <f t="shared" si="109"/>
        <v>0</v>
      </c>
      <c r="H965" s="55" t="str">
        <f t="shared" si="110"/>
        <v/>
      </c>
      <c r="J965" s="61">
        <f t="shared" si="111"/>
        <v>0</v>
      </c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</row>
    <row r="966" spans="1:36" x14ac:dyDescent="0.2">
      <c r="A966" s="61">
        <f t="shared" si="105"/>
        <v>0</v>
      </c>
      <c r="B966" s="55">
        <f t="shared" si="106"/>
        <v>0</v>
      </c>
      <c r="C966" s="55"/>
      <c r="D966" s="55"/>
      <c r="E966" s="55">
        <f t="shared" si="107"/>
        <v>0</v>
      </c>
      <c r="F966" s="55">
        <f t="shared" si="108"/>
        <v>0</v>
      </c>
      <c r="G966" s="55">
        <f t="shared" si="109"/>
        <v>0</v>
      </c>
      <c r="H966" s="55" t="str">
        <f t="shared" si="110"/>
        <v/>
      </c>
      <c r="J966" s="61">
        <f t="shared" si="111"/>
        <v>0</v>
      </c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</row>
    <row r="967" spans="1:36" x14ac:dyDescent="0.2">
      <c r="A967" s="61">
        <f t="shared" si="105"/>
        <v>0</v>
      </c>
      <c r="B967" s="55">
        <f t="shared" si="106"/>
        <v>0</v>
      </c>
      <c r="C967" s="55"/>
      <c r="D967" s="55"/>
      <c r="E967" s="55">
        <f t="shared" si="107"/>
        <v>0</v>
      </c>
      <c r="F967" s="55">
        <f t="shared" si="108"/>
        <v>0</v>
      </c>
      <c r="G967" s="55">
        <f t="shared" si="109"/>
        <v>0</v>
      </c>
      <c r="H967" s="55" t="str">
        <f t="shared" si="110"/>
        <v/>
      </c>
      <c r="J967" s="61">
        <f t="shared" si="111"/>
        <v>0</v>
      </c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</row>
    <row r="968" spans="1:36" x14ac:dyDescent="0.2">
      <c r="A968" s="61">
        <f t="shared" si="105"/>
        <v>0</v>
      </c>
      <c r="B968" s="55">
        <f t="shared" si="106"/>
        <v>0</v>
      </c>
      <c r="C968" s="55"/>
      <c r="D968" s="55"/>
      <c r="E968" s="55">
        <f t="shared" si="107"/>
        <v>0</v>
      </c>
      <c r="F968" s="55">
        <f t="shared" si="108"/>
        <v>0</v>
      </c>
      <c r="G968" s="55">
        <f t="shared" si="109"/>
        <v>0</v>
      </c>
      <c r="H968" s="55" t="str">
        <f t="shared" si="110"/>
        <v/>
      </c>
      <c r="J968" s="61">
        <f t="shared" si="111"/>
        <v>0</v>
      </c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</row>
    <row r="969" spans="1:36" x14ac:dyDescent="0.2">
      <c r="A969" s="61">
        <f t="shared" si="105"/>
        <v>0</v>
      </c>
      <c r="B969" s="55">
        <f t="shared" si="106"/>
        <v>0</v>
      </c>
      <c r="C969" s="55"/>
      <c r="D969" s="55"/>
      <c r="E969" s="55">
        <f t="shared" si="107"/>
        <v>0</v>
      </c>
      <c r="F969" s="55">
        <f t="shared" si="108"/>
        <v>0</v>
      </c>
      <c r="G969" s="55">
        <f t="shared" si="109"/>
        <v>0</v>
      </c>
      <c r="H969" s="55" t="str">
        <f t="shared" si="110"/>
        <v/>
      </c>
      <c r="J969" s="61">
        <f t="shared" si="111"/>
        <v>0</v>
      </c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</row>
    <row r="970" spans="1:36" x14ac:dyDescent="0.2">
      <c r="A970" s="61">
        <f t="shared" si="105"/>
        <v>0</v>
      </c>
      <c r="B970" s="55">
        <f t="shared" si="106"/>
        <v>0</v>
      </c>
      <c r="C970" s="55"/>
      <c r="D970" s="55"/>
      <c r="E970" s="55">
        <f t="shared" si="107"/>
        <v>0</v>
      </c>
      <c r="F970" s="55">
        <f t="shared" si="108"/>
        <v>0</v>
      </c>
      <c r="G970" s="55">
        <f t="shared" si="109"/>
        <v>0</v>
      </c>
      <c r="H970" s="55" t="str">
        <f t="shared" si="110"/>
        <v/>
      </c>
      <c r="J970" s="61">
        <f t="shared" si="111"/>
        <v>0</v>
      </c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</row>
    <row r="971" spans="1:36" x14ac:dyDescent="0.2">
      <c r="A971" s="61">
        <f t="shared" si="105"/>
        <v>0</v>
      </c>
      <c r="B971" s="55">
        <f t="shared" si="106"/>
        <v>0</v>
      </c>
      <c r="C971" s="55"/>
      <c r="D971" s="55"/>
      <c r="E971" s="55">
        <f t="shared" si="107"/>
        <v>0</v>
      </c>
      <c r="F971" s="55">
        <f t="shared" si="108"/>
        <v>0</v>
      </c>
      <c r="G971" s="55">
        <f t="shared" si="109"/>
        <v>0</v>
      </c>
      <c r="H971" s="55" t="str">
        <f t="shared" si="110"/>
        <v/>
      </c>
      <c r="J971" s="61">
        <f t="shared" si="111"/>
        <v>0</v>
      </c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</row>
    <row r="972" spans="1:36" x14ac:dyDescent="0.2">
      <c r="A972" s="61">
        <f t="shared" si="105"/>
        <v>0</v>
      </c>
      <c r="B972" s="55">
        <f t="shared" si="106"/>
        <v>0</v>
      </c>
      <c r="C972" s="55"/>
      <c r="D972" s="55"/>
      <c r="E972" s="55">
        <f t="shared" si="107"/>
        <v>0</v>
      </c>
      <c r="F972" s="55">
        <f t="shared" si="108"/>
        <v>0</v>
      </c>
      <c r="G972" s="55">
        <f t="shared" si="109"/>
        <v>0</v>
      </c>
      <c r="H972" s="55" t="str">
        <f t="shared" si="110"/>
        <v/>
      </c>
      <c r="J972" s="61">
        <f t="shared" si="111"/>
        <v>0</v>
      </c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</row>
    <row r="973" spans="1:36" x14ac:dyDescent="0.2">
      <c r="A973" s="61">
        <f t="shared" si="105"/>
        <v>0</v>
      </c>
      <c r="B973" s="55">
        <f t="shared" si="106"/>
        <v>0</v>
      </c>
      <c r="C973" s="55"/>
      <c r="D973" s="55"/>
      <c r="E973" s="55">
        <f t="shared" si="107"/>
        <v>0</v>
      </c>
      <c r="F973" s="55">
        <f t="shared" si="108"/>
        <v>0</v>
      </c>
      <c r="G973" s="55">
        <f t="shared" si="109"/>
        <v>0</v>
      </c>
      <c r="H973" s="55" t="str">
        <f t="shared" si="110"/>
        <v/>
      </c>
      <c r="J973" s="61">
        <f t="shared" si="111"/>
        <v>0</v>
      </c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</row>
    <row r="974" spans="1:36" x14ac:dyDescent="0.2">
      <c r="A974" s="61">
        <f t="shared" si="105"/>
        <v>0</v>
      </c>
      <c r="B974" s="55">
        <f t="shared" si="106"/>
        <v>0</v>
      </c>
      <c r="C974" s="55"/>
      <c r="D974" s="55"/>
      <c r="E974" s="55">
        <f t="shared" si="107"/>
        <v>0</v>
      </c>
      <c r="F974" s="55">
        <f t="shared" si="108"/>
        <v>0</v>
      </c>
      <c r="G974" s="55">
        <f t="shared" si="109"/>
        <v>0</v>
      </c>
      <c r="H974" s="55" t="str">
        <f t="shared" si="110"/>
        <v/>
      </c>
      <c r="J974" s="61">
        <f t="shared" si="111"/>
        <v>0</v>
      </c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</row>
    <row r="975" spans="1:36" x14ac:dyDescent="0.2">
      <c r="A975" s="61">
        <f t="shared" si="105"/>
        <v>0</v>
      </c>
      <c r="B975" s="55">
        <f t="shared" si="106"/>
        <v>0</v>
      </c>
      <c r="C975" s="55"/>
      <c r="D975" s="55"/>
      <c r="E975" s="55">
        <f t="shared" si="107"/>
        <v>0</v>
      </c>
      <c r="F975" s="55">
        <f t="shared" si="108"/>
        <v>0</v>
      </c>
      <c r="G975" s="55">
        <f t="shared" si="109"/>
        <v>0</v>
      </c>
      <c r="H975" s="55" t="str">
        <f t="shared" si="110"/>
        <v/>
      </c>
      <c r="J975" s="61">
        <f t="shared" si="111"/>
        <v>0</v>
      </c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</row>
    <row r="976" spans="1:36" x14ac:dyDescent="0.2">
      <c r="A976" s="61">
        <f t="shared" si="105"/>
        <v>0</v>
      </c>
      <c r="B976" s="55">
        <f t="shared" si="106"/>
        <v>0</v>
      </c>
      <c r="C976" s="55"/>
      <c r="D976" s="55"/>
      <c r="E976" s="55">
        <f t="shared" si="107"/>
        <v>0</v>
      </c>
      <c r="F976" s="55">
        <f t="shared" si="108"/>
        <v>0</v>
      </c>
      <c r="G976" s="55">
        <f t="shared" si="109"/>
        <v>0</v>
      </c>
      <c r="H976" s="55" t="str">
        <f t="shared" si="110"/>
        <v/>
      </c>
      <c r="J976" s="61">
        <f t="shared" si="111"/>
        <v>0</v>
      </c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</row>
    <row r="977" spans="1:36" x14ac:dyDescent="0.2">
      <c r="A977" s="61">
        <f t="shared" si="105"/>
        <v>0</v>
      </c>
      <c r="B977" s="55">
        <f t="shared" si="106"/>
        <v>0</v>
      </c>
      <c r="C977" s="55"/>
      <c r="D977" s="55"/>
      <c r="E977" s="55">
        <f t="shared" si="107"/>
        <v>0</v>
      </c>
      <c r="F977" s="55">
        <f t="shared" si="108"/>
        <v>0</v>
      </c>
      <c r="G977" s="55">
        <f t="shared" si="109"/>
        <v>0</v>
      </c>
      <c r="H977" s="55" t="str">
        <f t="shared" si="110"/>
        <v/>
      </c>
      <c r="J977" s="61">
        <f t="shared" si="111"/>
        <v>0</v>
      </c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</row>
    <row r="978" spans="1:36" x14ac:dyDescent="0.2">
      <c r="A978" s="61">
        <f t="shared" si="105"/>
        <v>0</v>
      </c>
      <c r="B978" s="55">
        <f t="shared" si="106"/>
        <v>0</v>
      </c>
      <c r="C978" s="55"/>
      <c r="D978" s="55"/>
      <c r="E978" s="55">
        <f t="shared" si="107"/>
        <v>0</v>
      </c>
      <c r="F978" s="55">
        <f t="shared" si="108"/>
        <v>0</v>
      </c>
      <c r="G978" s="55">
        <f t="shared" si="109"/>
        <v>0</v>
      </c>
      <c r="H978" s="55" t="str">
        <f t="shared" si="110"/>
        <v/>
      </c>
      <c r="J978" s="61">
        <f t="shared" si="111"/>
        <v>0</v>
      </c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</row>
    <row r="979" spans="1:36" x14ac:dyDescent="0.2">
      <c r="A979" s="61">
        <f t="shared" si="105"/>
        <v>0</v>
      </c>
      <c r="B979" s="55">
        <f t="shared" si="106"/>
        <v>0</v>
      </c>
      <c r="C979" s="55"/>
      <c r="D979" s="55"/>
      <c r="E979" s="55">
        <f t="shared" si="107"/>
        <v>0</v>
      </c>
      <c r="F979" s="55">
        <f t="shared" si="108"/>
        <v>0</v>
      </c>
      <c r="G979" s="55">
        <f t="shared" si="109"/>
        <v>0</v>
      </c>
      <c r="H979" s="55" t="str">
        <f t="shared" si="110"/>
        <v/>
      </c>
      <c r="J979" s="61">
        <f t="shared" si="111"/>
        <v>0</v>
      </c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</row>
    <row r="980" spans="1:36" x14ac:dyDescent="0.2">
      <c r="A980" s="61">
        <f t="shared" si="105"/>
        <v>0</v>
      </c>
      <c r="B980" s="55">
        <f t="shared" si="106"/>
        <v>0</v>
      </c>
      <c r="C980" s="55"/>
      <c r="D980" s="55"/>
      <c r="E980" s="55">
        <f t="shared" si="107"/>
        <v>0</v>
      </c>
      <c r="F980" s="55">
        <f t="shared" si="108"/>
        <v>0</v>
      </c>
      <c r="G980" s="55">
        <f t="shared" si="109"/>
        <v>0</v>
      </c>
      <c r="H980" s="55" t="str">
        <f t="shared" si="110"/>
        <v/>
      </c>
      <c r="J980" s="61">
        <f t="shared" si="111"/>
        <v>0</v>
      </c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</row>
    <row r="981" spans="1:36" x14ac:dyDescent="0.2">
      <c r="A981" s="61">
        <f t="shared" si="105"/>
        <v>0</v>
      </c>
      <c r="B981" s="55">
        <f t="shared" si="106"/>
        <v>0</v>
      </c>
      <c r="C981" s="55"/>
      <c r="D981" s="55"/>
      <c r="E981" s="55">
        <f t="shared" si="107"/>
        <v>0</v>
      </c>
      <c r="F981" s="55">
        <f t="shared" si="108"/>
        <v>0</v>
      </c>
      <c r="G981" s="55">
        <f t="shared" si="109"/>
        <v>0</v>
      </c>
      <c r="H981" s="55" t="str">
        <f t="shared" si="110"/>
        <v/>
      </c>
      <c r="J981" s="61">
        <f t="shared" si="111"/>
        <v>0</v>
      </c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</row>
    <row r="982" spans="1:36" x14ac:dyDescent="0.2">
      <c r="A982" s="61">
        <f t="shared" si="105"/>
        <v>0</v>
      </c>
      <c r="B982" s="55">
        <f t="shared" si="106"/>
        <v>0</v>
      </c>
      <c r="C982" s="55"/>
      <c r="D982" s="55"/>
      <c r="E982" s="55">
        <f t="shared" si="107"/>
        <v>0</v>
      </c>
      <c r="F982" s="55">
        <f t="shared" si="108"/>
        <v>0</v>
      </c>
      <c r="G982" s="55">
        <f t="shared" si="109"/>
        <v>0</v>
      </c>
      <c r="H982" s="55" t="str">
        <f t="shared" si="110"/>
        <v/>
      </c>
      <c r="J982" s="61">
        <f t="shared" si="111"/>
        <v>0</v>
      </c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</row>
    <row r="983" spans="1:36" x14ac:dyDescent="0.2">
      <c r="A983" s="61">
        <f t="shared" si="105"/>
        <v>0</v>
      </c>
      <c r="B983" s="55">
        <f t="shared" si="106"/>
        <v>0</v>
      </c>
      <c r="C983" s="55"/>
      <c r="D983" s="55"/>
      <c r="E983" s="55">
        <f t="shared" si="107"/>
        <v>0</v>
      </c>
      <c r="F983" s="55">
        <f t="shared" si="108"/>
        <v>0</v>
      </c>
      <c r="G983" s="55">
        <f t="shared" si="109"/>
        <v>0</v>
      </c>
      <c r="H983" s="55" t="str">
        <f t="shared" si="110"/>
        <v/>
      </c>
      <c r="J983" s="61">
        <f t="shared" si="111"/>
        <v>0</v>
      </c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</row>
    <row r="984" spans="1:36" x14ac:dyDescent="0.2">
      <c r="A984" s="61">
        <f t="shared" si="105"/>
        <v>0</v>
      </c>
      <c r="B984" s="55">
        <f t="shared" si="106"/>
        <v>0</v>
      </c>
      <c r="C984" s="55"/>
      <c r="D984" s="55"/>
      <c r="E984" s="55">
        <f t="shared" si="107"/>
        <v>0</v>
      </c>
      <c r="F984" s="55">
        <f t="shared" si="108"/>
        <v>0</v>
      </c>
      <c r="G984" s="55">
        <f t="shared" si="109"/>
        <v>0</v>
      </c>
      <c r="H984" s="55" t="str">
        <f t="shared" si="110"/>
        <v/>
      </c>
      <c r="J984" s="61">
        <f t="shared" si="111"/>
        <v>0</v>
      </c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</row>
    <row r="985" spans="1:36" x14ac:dyDescent="0.2">
      <c r="A985" s="61">
        <f t="shared" si="105"/>
        <v>0</v>
      </c>
      <c r="B985" s="55">
        <f t="shared" si="106"/>
        <v>0</v>
      </c>
      <c r="C985" s="55"/>
      <c r="D985" s="55"/>
      <c r="E985" s="55">
        <f t="shared" si="107"/>
        <v>0</v>
      </c>
      <c r="F985" s="55">
        <f t="shared" si="108"/>
        <v>0</v>
      </c>
      <c r="G985" s="55">
        <f t="shared" si="109"/>
        <v>0</v>
      </c>
      <c r="H985" s="55" t="str">
        <f t="shared" si="110"/>
        <v/>
      </c>
      <c r="J985" s="61">
        <f t="shared" si="111"/>
        <v>0</v>
      </c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</row>
    <row r="986" spans="1:36" x14ac:dyDescent="0.2">
      <c r="A986" s="61">
        <f t="shared" si="105"/>
        <v>0</v>
      </c>
      <c r="B986" s="55">
        <f t="shared" si="106"/>
        <v>0</v>
      </c>
      <c r="C986" s="55"/>
      <c r="D986" s="55"/>
      <c r="E986" s="55">
        <f t="shared" si="107"/>
        <v>0</v>
      </c>
      <c r="F986" s="55">
        <f t="shared" si="108"/>
        <v>0</v>
      </c>
      <c r="G986" s="55">
        <f t="shared" si="109"/>
        <v>0</v>
      </c>
      <c r="H986" s="55" t="str">
        <f t="shared" si="110"/>
        <v/>
      </c>
      <c r="J986" s="61">
        <f t="shared" si="111"/>
        <v>0</v>
      </c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</row>
    <row r="987" spans="1:36" x14ac:dyDescent="0.2">
      <c r="A987" s="61">
        <f t="shared" si="105"/>
        <v>0</v>
      </c>
      <c r="B987" s="55">
        <f t="shared" si="106"/>
        <v>0</v>
      </c>
      <c r="C987" s="55"/>
      <c r="D987" s="55"/>
      <c r="E987" s="55">
        <f t="shared" si="107"/>
        <v>0</v>
      </c>
      <c r="F987" s="55">
        <f t="shared" si="108"/>
        <v>0</v>
      </c>
      <c r="G987" s="55">
        <f t="shared" si="109"/>
        <v>0</v>
      </c>
      <c r="H987" s="55" t="str">
        <f t="shared" si="110"/>
        <v/>
      </c>
      <c r="J987" s="61">
        <f t="shared" si="111"/>
        <v>0</v>
      </c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</row>
    <row r="988" spans="1:36" x14ac:dyDescent="0.2">
      <c r="A988" s="61">
        <f t="shared" si="105"/>
        <v>0</v>
      </c>
      <c r="B988" s="55">
        <f t="shared" si="106"/>
        <v>0</v>
      </c>
      <c r="C988" s="55"/>
      <c r="D988" s="55"/>
      <c r="E988" s="55">
        <f t="shared" si="107"/>
        <v>0</v>
      </c>
      <c r="F988" s="55">
        <f t="shared" si="108"/>
        <v>0</v>
      </c>
      <c r="G988" s="55">
        <f t="shared" si="109"/>
        <v>0</v>
      </c>
      <c r="H988" s="55" t="str">
        <f t="shared" si="110"/>
        <v/>
      </c>
      <c r="J988" s="61">
        <f t="shared" si="111"/>
        <v>0</v>
      </c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</row>
    <row r="989" spans="1:36" x14ac:dyDescent="0.2">
      <c r="A989" s="61">
        <f t="shared" si="105"/>
        <v>0</v>
      </c>
      <c r="B989" s="55">
        <f t="shared" si="106"/>
        <v>0</v>
      </c>
      <c r="C989" s="55"/>
      <c r="D989" s="55"/>
      <c r="E989" s="55">
        <f t="shared" si="107"/>
        <v>0</v>
      </c>
      <c r="F989" s="55">
        <f t="shared" si="108"/>
        <v>0</v>
      </c>
      <c r="G989" s="55">
        <f t="shared" si="109"/>
        <v>0</v>
      </c>
      <c r="H989" s="55" t="str">
        <f t="shared" si="110"/>
        <v/>
      </c>
      <c r="J989" s="61">
        <f t="shared" si="111"/>
        <v>0</v>
      </c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</row>
    <row r="990" spans="1:36" x14ac:dyDescent="0.2">
      <c r="A990" s="61">
        <f t="shared" si="105"/>
        <v>0</v>
      </c>
      <c r="B990" s="55">
        <f t="shared" si="106"/>
        <v>0</v>
      </c>
      <c r="C990" s="55"/>
      <c r="D990" s="55"/>
      <c r="E990" s="55">
        <f t="shared" si="107"/>
        <v>0</v>
      </c>
      <c r="F990" s="55">
        <f t="shared" si="108"/>
        <v>0</v>
      </c>
      <c r="G990" s="55">
        <f t="shared" si="109"/>
        <v>0</v>
      </c>
      <c r="H990" s="55" t="str">
        <f t="shared" si="110"/>
        <v/>
      </c>
      <c r="J990" s="61">
        <f t="shared" si="111"/>
        <v>0</v>
      </c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</row>
    <row r="991" spans="1:36" x14ac:dyDescent="0.2">
      <c r="A991" s="61">
        <f t="shared" si="105"/>
        <v>0</v>
      </c>
      <c r="B991" s="55">
        <f t="shared" si="106"/>
        <v>0</v>
      </c>
      <c r="C991" s="55"/>
      <c r="D991" s="55"/>
      <c r="E991" s="55">
        <f t="shared" si="107"/>
        <v>0</v>
      </c>
      <c r="F991" s="55">
        <f t="shared" si="108"/>
        <v>0</v>
      </c>
      <c r="G991" s="55">
        <f t="shared" si="109"/>
        <v>0</v>
      </c>
      <c r="H991" s="55" t="str">
        <f t="shared" si="110"/>
        <v/>
      </c>
      <c r="J991" s="61">
        <f t="shared" si="111"/>
        <v>0</v>
      </c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</row>
    <row r="992" spans="1:36" x14ac:dyDescent="0.2">
      <c r="A992" s="61">
        <f t="shared" si="105"/>
        <v>0</v>
      </c>
      <c r="B992" s="55">
        <f t="shared" si="106"/>
        <v>0</v>
      </c>
      <c r="C992" s="55"/>
      <c r="D992" s="55"/>
      <c r="E992" s="55">
        <f t="shared" si="107"/>
        <v>0</v>
      </c>
      <c r="F992" s="55">
        <f t="shared" si="108"/>
        <v>0</v>
      </c>
      <c r="G992" s="55">
        <f t="shared" si="109"/>
        <v>0</v>
      </c>
      <c r="H992" s="55" t="str">
        <f t="shared" si="110"/>
        <v/>
      </c>
      <c r="J992" s="61">
        <f t="shared" si="111"/>
        <v>0</v>
      </c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</row>
    <row r="993" spans="1:36" x14ac:dyDescent="0.2">
      <c r="A993" s="61">
        <f t="shared" si="105"/>
        <v>0</v>
      </c>
      <c r="B993" s="55">
        <f t="shared" si="106"/>
        <v>0</v>
      </c>
      <c r="C993" s="55"/>
      <c r="D993" s="55"/>
      <c r="E993" s="55">
        <f t="shared" si="107"/>
        <v>0</v>
      </c>
      <c r="F993" s="55">
        <f t="shared" si="108"/>
        <v>0</v>
      </c>
      <c r="G993" s="55">
        <f t="shared" si="109"/>
        <v>0</v>
      </c>
      <c r="H993" s="55" t="str">
        <f t="shared" si="110"/>
        <v/>
      </c>
      <c r="J993" s="61">
        <f t="shared" si="111"/>
        <v>0</v>
      </c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</row>
    <row r="994" spans="1:36" x14ac:dyDescent="0.2">
      <c r="A994" s="61">
        <f t="shared" si="105"/>
        <v>0</v>
      </c>
      <c r="B994" s="55">
        <f t="shared" si="106"/>
        <v>0</v>
      </c>
      <c r="C994" s="55"/>
      <c r="D994" s="55"/>
      <c r="E994" s="55">
        <f t="shared" si="107"/>
        <v>0</v>
      </c>
      <c r="F994" s="55">
        <f t="shared" si="108"/>
        <v>0</v>
      </c>
      <c r="G994" s="55">
        <f t="shared" si="109"/>
        <v>0</v>
      </c>
      <c r="H994" s="55" t="str">
        <f t="shared" si="110"/>
        <v/>
      </c>
      <c r="J994" s="61">
        <f t="shared" si="111"/>
        <v>0</v>
      </c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</row>
    <row r="995" spans="1:36" x14ac:dyDescent="0.2">
      <c r="A995" s="61">
        <f t="shared" si="105"/>
        <v>0</v>
      </c>
      <c r="B995" s="55">
        <f t="shared" si="106"/>
        <v>0</v>
      </c>
      <c r="C995" s="55"/>
      <c r="D995" s="55"/>
      <c r="E995" s="55">
        <f t="shared" si="107"/>
        <v>0</v>
      </c>
      <c r="F995" s="55">
        <f t="shared" si="108"/>
        <v>0</v>
      </c>
      <c r="G995" s="55">
        <f t="shared" si="109"/>
        <v>0</v>
      </c>
      <c r="H995" s="55" t="str">
        <f t="shared" si="110"/>
        <v/>
      </c>
      <c r="J995" s="61">
        <f t="shared" si="111"/>
        <v>0</v>
      </c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</row>
    <row r="996" spans="1:36" x14ac:dyDescent="0.2">
      <c r="A996" s="61">
        <f t="shared" si="105"/>
        <v>0</v>
      </c>
      <c r="B996" s="55">
        <f t="shared" si="106"/>
        <v>0</v>
      </c>
      <c r="C996" s="55"/>
      <c r="D996" s="55"/>
      <c r="E996" s="55">
        <f t="shared" si="107"/>
        <v>0</v>
      </c>
      <c r="F996" s="55">
        <f t="shared" si="108"/>
        <v>0</v>
      </c>
      <c r="G996" s="55">
        <f t="shared" si="109"/>
        <v>0</v>
      </c>
      <c r="H996" s="55" t="str">
        <f t="shared" si="110"/>
        <v/>
      </c>
      <c r="J996" s="61">
        <f t="shared" si="111"/>
        <v>0</v>
      </c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</row>
    <row r="997" spans="1:36" x14ac:dyDescent="0.2">
      <c r="A997" s="61">
        <f t="shared" si="105"/>
        <v>0</v>
      </c>
      <c r="B997" s="55">
        <f t="shared" si="106"/>
        <v>0</v>
      </c>
      <c r="C997" s="55"/>
      <c r="D997" s="55"/>
      <c r="E997" s="55">
        <f t="shared" si="107"/>
        <v>0</v>
      </c>
      <c r="F997" s="55">
        <f t="shared" si="108"/>
        <v>0</v>
      </c>
      <c r="G997" s="55">
        <f t="shared" si="109"/>
        <v>0</v>
      </c>
      <c r="H997" s="55" t="str">
        <f t="shared" si="110"/>
        <v/>
      </c>
      <c r="J997" s="61">
        <f t="shared" si="111"/>
        <v>0</v>
      </c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</row>
    <row r="998" spans="1:36" x14ac:dyDescent="0.2">
      <c r="A998" s="61">
        <f t="shared" si="105"/>
        <v>0</v>
      </c>
      <c r="B998" s="55">
        <f t="shared" si="106"/>
        <v>0</v>
      </c>
      <c r="C998" s="55"/>
      <c r="D998" s="55"/>
      <c r="E998" s="55">
        <f t="shared" si="107"/>
        <v>0</v>
      </c>
      <c r="F998" s="55">
        <f t="shared" si="108"/>
        <v>0</v>
      </c>
      <c r="G998" s="55">
        <f t="shared" si="109"/>
        <v>0</v>
      </c>
      <c r="H998" s="55" t="str">
        <f t="shared" si="110"/>
        <v/>
      </c>
      <c r="J998" s="61">
        <f t="shared" si="111"/>
        <v>0</v>
      </c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</row>
    <row r="999" spans="1:36" x14ac:dyDescent="0.2">
      <c r="A999" s="61">
        <f t="shared" si="105"/>
        <v>0</v>
      </c>
      <c r="B999" s="55">
        <f t="shared" si="106"/>
        <v>0</v>
      </c>
      <c r="C999" s="55"/>
      <c r="D999" s="55"/>
      <c r="E999" s="55">
        <f t="shared" si="107"/>
        <v>0</v>
      </c>
      <c r="F999" s="55">
        <f t="shared" si="108"/>
        <v>0</v>
      </c>
      <c r="G999" s="55">
        <f t="shared" si="109"/>
        <v>0</v>
      </c>
      <c r="H999" s="55" t="str">
        <f t="shared" si="110"/>
        <v/>
      </c>
      <c r="J999" s="61">
        <f t="shared" si="111"/>
        <v>0</v>
      </c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</row>
    <row r="1000" spans="1:36" x14ac:dyDescent="0.2">
      <c r="A1000" s="61">
        <f t="shared" si="105"/>
        <v>0</v>
      </c>
      <c r="B1000" s="55">
        <f t="shared" si="106"/>
        <v>0</v>
      </c>
      <c r="C1000" s="55"/>
      <c r="D1000" s="55"/>
      <c r="E1000" s="55">
        <f t="shared" si="107"/>
        <v>0</v>
      </c>
      <c r="F1000" s="55">
        <f t="shared" si="108"/>
        <v>0</v>
      </c>
      <c r="G1000" s="55">
        <f t="shared" si="109"/>
        <v>0</v>
      </c>
      <c r="H1000" s="55" t="str">
        <f t="shared" si="110"/>
        <v/>
      </c>
      <c r="J1000" s="61">
        <f t="shared" si="111"/>
        <v>0</v>
      </c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</row>
    <row r="1001" spans="1:36" x14ac:dyDescent="0.2">
      <c r="A1001" s="61">
        <f t="shared" si="105"/>
        <v>0</v>
      </c>
      <c r="B1001" s="55">
        <f t="shared" si="106"/>
        <v>0</v>
      </c>
      <c r="C1001" s="55"/>
      <c r="D1001" s="55"/>
      <c r="E1001" s="55">
        <f t="shared" si="107"/>
        <v>0</v>
      </c>
      <c r="F1001" s="55">
        <f t="shared" si="108"/>
        <v>0</v>
      </c>
      <c r="G1001" s="55">
        <f t="shared" si="109"/>
        <v>0</v>
      </c>
      <c r="H1001" s="55" t="str">
        <f t="shared" si="110"/>
        <v/>
      </c>
      <c r="J1001" s="61">
        <f t="shared" si="111"/>
        <v>0</v>
      </c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</row>
    <row r="1002" spans="1:36" x14ac:dyDescent="0.2">
      <c r="A1002" s="61">
        <f t="shared" si="105"/>
        <v>0</v>
      </c>
      <c r="B1002" s="55">
        <f t="shared" si="106"/>
        <v>0</v>
      </c>
      <c r="C1002" s="55"/>
      <c r="D1002" s="55"/>
      <c r="E1002" s="55">
        <f t="shared" si="107"/>
        <v>0</v>
      </c>
      <c r="F1002" s="55">
        <f t="shared" si="108"/>
        <v>0</v>
      </c>
      <c r="G1002" s="55">
        <f t="shared" si="109"/>
        <v>0</v>
      </c>
      <c r="H1002" s="55" t="str">
        <f t="shared" si="110"/>
        <v/>
      </c>
      <c r="J1002" s="61">
        <f t="shared" si="111"/>
        <v>0</v>
      </c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</row>
    <row r="1003" spans="1:36" x14ac:dyDescent="0.2">
      <c r="A1003" s="61">
        <f t="shared" si="105"/>
        <v>0</v>
      </c>
      <c r="B1003" s="55">
        <f t="shared" si="106"/>
        <v>0</v>
      </c>
      <c r="C1003" s="55"/>
      <c r="D1003" s="55"/>
      <c r="E1003" s="55">
        <f t="shared" si="107"/>
        <v>0</v>
      </c>
      <c r="F1003" s="55">
        <f t="shared" si="108"/>
        <v>0</v>
      </c>
      <c r="G1003" s="55">
        <f t="shared" si="109"/>
        <v>0</v>
      </c>
      <c r="H1003" s="55" t="str">
        <f t="shared" si="110"/>
        <v/>
      </c>
      <c r="J1003" s="61">
        <f t="shared" si="111"/>
        <v>0</v>
      </c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</row>
    <row r="1004" spans="1:36" x14ac:dyDescent="0.2">
      <c r="A1004" s="61">
        <f t="shared" si="105"/>
        <v>0</v>
      </c>
      <c r="B1004" s="55">
        <f t="shared" si="106"/>
        <v>0</v>
      </c>
      <c r="C1004" s="55"/>
      <c r="D1004" s="55"/>
      <c r="E1004" s="55">
        <f t="shared" si="107"/>
        <v>0</v>
      </c>
      <c r="F1004" s="55">
        <f t="shared" si="108"/>
        <v>0</v>
      </c>
      <c r="G1004" s="55">
        <f t="shared" si="109"/>
        <v>0</v>
      </c>
      <c r="H1004" s="55" t="str">
        <f t="shared" si="110"/>
        <v/>
      </c>
      <c r="J1004" s="61">
        <f t="shared" si="111"/>
        <v>0</v>
      </c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</row>
    <row r="1005" spans="1:36" x14ac:dyDescent="0.2">
      <c r="A1005" s="61">
        <f t="shared" si="105"/>
        <v>0</v>
      </c>
      <c r="B1005" s="55">
        <f t="shared" si="106"/>
        <v>0</v>
      </c>
      <c r="C1005" s="55"/>
      <c r="D1005" s="55"/>
      <c r="E1005" s="55">
        <f t="shared" si="107"/>
        <v>0</v>
      </c>
      <c r="F1005" s="55">
        <f t="shared" si="108"/>
        <v>0</v>
      </c>
      <c r="G1005" s="55">
        <f t="shared" si="109"/>
        <v>0</v>
      </c>
      <c r="H1005" s="55" t="str">
        <f t="shared" si="110"/>
        <v/>
      </c>
      <c r="J1005" s="61">
        <f t="shared" si="111"/>
        <v>0</v>
      </c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</row>
    <row r="1006" spans="1:36" x14ac:dyDescent="0.2">
      <c r="A1006" s="61">
        <f t="shared" si="105"/>
        <v>0</v>
      </c>
      <c r="B1006" s="55">
        <f t="shared" si="106"/>
        <v>0</v>
      </c>
      <c r="C1006" s="55"/>
      <c r="D1006" s="55"/>
      <c r="E1006" s="55">
        <f t="shared" si="107"/>
        <v>0</v>
      </c>
      <c r="F1006" s="55">
        <f t="shared" si="108"/>
        <v>0</v>
      </c>
      <c r="G1006" s="55">
        <f t="shared" si="109"/>
        <v>0</v>
      </c>
      <c r="H1006" s="55" t="str">
        <f t="shared" si="110"/>
        <v/>
      </c>
      <c r="J1006" s="61">
        <f t="shared" si="111"/>
        <v>0</v>
      </c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</row>
    <row r="1007" spans="1:36" x14ac:dyDescent="0.2">
      <c r="A1007" s="61">
        <f t="shared" si="105"/>
        <v>0</v>
      </c>
      <c r="B1007" s="55">
        <f t="shared" si="106"/>
        <v>0</v>
      </c>
      <c r="C1007" s="55"/>
      <c r="D1007" s="55"/>
      <c r="E1007" s="55">
        <f t="shared" si="107"/>
        <v>0</v>
      </c>
      <c r="F1007" s="55">
        <f t="shared" si="108"/>
        <v>0</v>
      </c>
      <c r="G1007" s="55">
        <f t="shared" si="109"/>
        <v>0</v>
      </c>
      <c r="H1007" s="55" t="str">
        <f t="shared" si="110"/>
        <v/>
      </c>
      <c r="J1007" s="61">
        <f t="shared" si="111"/>
        <v>0</v>
      </c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</row>
    <row r="1008" spans="1:36" x14ac:dyDescent="0.2">
      <c r="A1008" s="61">
        <f t="shared" si="105"/>
        <v>0</v>
      </c>
      <c r="B1008" s="55">
        <f t="shared" si="106"/>
        <v>0</v>
      </c>
      <c r="C1008" s="55"/>
      <c r="D1008" s="55"/>
      <c r="E1008" s="55">
        <f t="shared" si="107"/>
        <v>0</v>
      </c>
      <c r="F1008" s="55">
        <f t="shared" si="108"/>
        <v>0</v>
      </c>
      <c r="G1008" s="55">
        <f t="shared" si="109"/>
        <v>0</v>
      </c>
      <c r="H1008" s="55" t="str">
        <f t="shared" si="110"/>
        <v/>
      </c>
      <c r="J1008" s="61">
        <f t="shared" si="111"/>
        <v>0</v>
      </c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</row>
    <row r="1009" spans="1:36" x14ac:dyDescent="0.2">
      <c r="A1009" s="61">
        <f t="shared" si="105"/>
        <v>0</v>
      </c>
      <c r="B1009" s="55">
        <f t="shared" si="106"/>
        <v>0</v>
      </c>
      <c r="C1009" s="55"/>
      <c r="D1009" s="55"/>
      <c r="E1009" s="55">
        <f t="shared" si="107"/>
        <v>0</v>
      </c>
      <c r="F1009" s="55">
        <f t="shared" si="108"/>
        <v>0</v>
      </c>
      <c r="G1009" s="55">
        <f t="shared" si="109"/>
        <v>0</v>
      </c>
      <c r="H1009" s="55" t="str">
        <f t="shared" si="110"/>
        <v/>
      </c>
      <c r="J1009" s="61">
        <f t="shared" si="111"/>
        <v>0</v>
      </c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</row>
    <row r="1010" spans="1:36" x14ac:dyDescent="0.2">
      <c r="A1010" s="61">
        <f t="shared" si="105"/>
        <v>0</v>
      </c>
      <c r="B1010" s="55">
        <f t="shared" si="106"/>
        <v>0</v>
      </c>
      <c r="C1010" s="55"/>
      <c r="D1010" s="55"/>
      <c r="E1010" s="55">
        <f t="shared" si="107"/>
        <v>0</v>
      </c>
      <c r="F1010" s="55">
        <f t="shared" si="108"/>
        <v>0</v>
      </c>
      <c r="G1010" s="55">
        <f t="shared" si="109"/>
        <v>0</v>
      </c>
      <c r="H1010" s="55" t="str">
        <f t="shared" si="110"/>
        <v/>
      </c>
      <c r="J1010" s="61">
        <f t="shared" si="111"/>
        <v>0</v>
      </c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</row>
    <row r="1011" spans="1:36" x14ac:dyDescent="0.2">
      <c r="A1011" s="61">
        <f t="shared" si="105"/>
        <v>0</v>
      </c>
      <c r="B1011" s="55">
        <f t="shared" si="106"/>
        <v>0</v>
      </c>
      <c r="C1011" s="55"/>
      <c r="D1011" s="55"/>
      <c r="E1011" s="55">
        <f t="shared" si="107"/>
        <v>0</v>
      </c>
      <c r="F1011" s="55">
        <f t="shared" si="108"/>
        <v>0</v>
      </c>
      <c r="G1011" s="55">
        <f t="shared" si="109"/>
        <v>0</v>
      </c>
      <c r="H1011" s="55" t="str">
        <f t="shared" si="110"/>
        <v/>
      </c>
      <c r="J1011" s="61">
        <f t="shared" si="111"/>
        <v>0</v>
      </c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</row>
    <row r="1012" spans="1:36" x14ac:dyDescent="0.2">
      <c r="A1012" s="61">
        <f t="shared" si="105"/>
        <v>0</v>
      </c>
      <c r="B1012" s="55">
        <f t="shared" si="106"/>
        <v>0</v>
      </c>
      <c r="C1012" s="55"/>
      <c r="D1012" s="55"/>
      <c r="E1012" s="55">
        <f t="shared" si="107"/>
        <v>0</v>
      </c>
      <c r="F1012" s="55">
        <f t="shared" si="108"/>
        <v>0</v>
      </c>
      <c r="G1012" s="55">
        <f t="shared" si="109"/>
        <v>0</v>
      </c>
      <c r="H1012" s="55" t="str">
        <f t="shared" si="110"/>
        <v/>
      </c>
      <c r="J1012" s="61">
        <f t="shared" si="111"/>
        <v>0</v>
      </c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</row>
    <row r="1013" spans="1:36" x14ac:dyDescent="0.2">
      <c r="A1013" s="61">
        <f t="shared" si="105"/>
        <v>0</v>
      </c>
      <c r="B1013" s="55">
        <f t="shared" si="106"/>
        <v>0</v>
      </c>
      <c r="C1013" s="55"/>
      <c r="D1013" s="55"/>
      <c r="E1013" s="55">
        <f t="shared" si="107"/>
        <v>0</v>
      </c>
      <c r="F1013" s="55">
        <f t="shared" si="108"/>
        <v>0</v>
      </c>
      <c r="G1013" s="55">
        <f t="shared" si="109"/>
        <v>0</v>
      </c>
      <c r="H1013" s="55" t="str">
        <f t="shared" si="110"/>
        <v/>
      </c>
      <c r="J1013" s="61">
        <f t="shared" si="111"/>
        <v>0</v>
      </c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</row>
    <row r="1014" spans="1:36" x14ac:dyDescent="0.2">
      <c r="A1014" s="61">
        <f t="shared" si="105"/>
        <v>0</v>
      </c>
      <c r="B1014" s="55">
        <f t="shared" si="106"/>
        <v>0</v>
      </c>
      <c r="C1014" s="55"/>
      <c r="D1014" s="55"/>
      <c r="E1014" s="55">
        <f t="shared" si="107"/>
        <v>0</v>
      </c>
      <c r="F1014" s="55">
        <f t="shared" si="108"/>
        <v>0</v>
      </c>
      <c r="G1014" s="55">
        <f t="shared" si="109"/>
        <v>0</v>
      </c>
      <c r="H1014" s="55" t="str">
        <f t="shared" si="110"/>
        <v/>
      </c>
      <c r="J1014" s="61">
        <f t="shared" si="111"/>
        <v>0</v>
      </c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</row>
    <row r="1015" spans="1:36" x14ac:dyDescent="0.2">
      <c r="A1015" s="61">
        <f t="shared" si="105"/>
        <v>0</v>
      </c>
      <c r="B1015" s="55">
        <f t="shared" si="106"/>
        <v>0</v>
      </c>
      <c r="C1015" s="55"/>
      <c r="D1015" s="55"/>
      <c r="E1015" s="55">
        <f t="shared" si="107"/>
        <v>0</v>
      </c>
      <c r="F1015" s="55">
        <f t="shared" si="108"/>
        <v>0</v>
      </c>
      <c r="G1015" s="55">
        <f t="shared" si="109"/>
        <v>0</v>
      </c>
      <c r="H1015" s="55" t="str">
        <f t="shared" si="110"/>
        <v/>
      </c>
      <c r="J1015" s="61">
        <f t="shared" si="111"/>
        <v>0</v>
      </c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  <c r="AH1015" s="55"/>
      <c r="AI1015" s="55"/>
      <c r="AJ1015" s="55"/>
    </row>
    <row r="1016" spans="1:36" x14ac:dyDescent="0.2">
      <c r="A1016" s="61">
        <f t="shared" si="105"/>
        <v>0</v>
      </c>
      <c r="B1016" s="55">
        <f t="shared" si="106"/>
        <v>0</v>
      </c>
      <c r="C1016" s="55"/>
      <c r="D1016" s="55"/>
      <c r="E1016" s="55">
        <f t="shared" si="107"/>
        <v>0</v>
      </c>
      <c r="F1016" s="55">
        <f t="shared" si="108"/>
        <v>0</v>
      </c>
      <c r="G1016" s="55">
        <f t="shared" si="109"/>
        <v>0</v>
      </c>
      <c r="H1016" s="55" t="str">
        <f t="shared" si="110"/>
        <v/>
      </c>
      <c r="J1016" s="61">
        <f t="shared" si="111"/>
        <v>0</v>
      </c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  <c r="AH1016" s="55"/>
      <c r="AI1016" s="55"/>
      <c r="AJ1016" s="55"/>
    </row>
    <row r="1017" spans="1:36" x14ac:dyDescent="0.2">
      <c r="A1017" s="61">
        <f t="shared" si="105"/>
        <v>0</v>
      </c>
      <c r="B1017" s="55">
        <f t="shared" si="106"/>
        <v>0</v>
      </c>
      <c r="C1017" s="55"/>
      <c r="D1017" s="55"/>
      <c r="E1017" s="55">
        <f t="shared" si="107"/>
        <v>0</v>
      </c>
      <c r="F1017" s="55">
        <f t="shared" si="108"/>
        <v>0</v>
      </c>
      <c r="G1017" s="55">
        <f t="shared" si="109"/>
        <v>0</v>
      </c>
      <c r="H1017" s="55" t="str">
        <f t="shared" si="110"/>
        <v/>
      </c>
      <c r="J1017" s="61">
        <f t="shared" si="111"/>
        <v>0</v>
      </c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</row>
    <row r="1018" spans="1:36" x14ac:dyDescent="0.2">
      <c r="A1018" s="61">
        <f t="shared" si="105"/>
        <v>0</v>
      </c>
      <c r="B1018" s="55">
        <f t="shared" si="106"/>
        <v>0</v>
      </c>
      <c r="C1018" s="55"/>
      <c r="D1018" s="55"/>
      <c r="E1018" s="55">
        <f t="shared" si="107"/>
        <v>0</v>
      </c>
      <c r="F1018" s="55">
        <f t="shared" si="108"/>
        <v>0</v>
      </c>
      <c r="G1018" s="55">
        <f t="shared" si="109"/>
        <v>0</v>
      </c>
      <c r="H1018" s="55" t="str">
        <f t="shared" si="110"/>
        <v/>
      </c>
      <c r="J1018" s="61">
        <f t="shared" si="111"/>
        <v>0</v>
      </c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  <c r="AH1018" s="55"/>
      <c r="AI1018" s="55"/>
      <c r="AJ1018" s="55"/>
    </row>
    <row r="1019" spans="1:36" x14ac:dyDescent="0.2">
      <c r="A1019" s="61">
        <f t="shared" si="105"/>
        <v>0</v>
      </c>
      <c r="B1019" s="55">
        <f t="shared" si="106"/>
        <v>0</v>
      </c>
      <c r="C1019" s="55"/>
      <c r="D1019" s="55"/>
      <c r="E1019" s="55">
        <f t="shared" si="107"/>
        <v>0</v>
      </c>
      <c r="F1019" s="55">
        <f t="shared" si="108"/>
        <v>0</v>
      </c>
      <c r="G1019" s="55">
        <f t="shared" si="109"/>
        <v>0</v>
      </c>
      <c r="H1019" s="55" t="str">
        <f t="shared" si="110"/>
        <v/>
      </c>
      <c r="J1019" s="61">
        <f t="shared" si="111"/>
        <v>0</v>
      </c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  <c r="AH1019" s="55"/>
      <c r="AI1019" s="55"/>
      <c r="AJ1019" s="55"/>
    </row>
    <row r="1020" spans="1:36" x14ac:dyDescent="0.2">
      <c r="A1020" s="61">
        <f t="shared" si="105"/>
        <v>0</v>
      </c>
      <c r="B1020" s="55">
        <f t="shared" si="106"/>
        <v>0</v>
      </c>
      <c r="C1020" s="55"/>
      <c r="D1020" s="55"/>
      <c r="E1020" s="55">
        <f t="shared" si="107"/>
        <v>0</v>
      </c>
      <c r="F1020" s="55">
        <f t="shared" si="108"/>
        <v>0</v>
      </c>
      <c r="G1020" s="55">
        <f t="shared" si="109"/>
        <v>0</v>
      </c>
      <c r="H1020" s="55" t="str">
        <f t="shared" si="110"/>
        <v/>
      </c>
      <c r="J1020" s="61">
        <f t="shared" si="111"/>
        <v>0</v>
      </c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</row>
    <row r="1021" spans="1:36" x14ac:dyDescent="0.2">
      <c r="A1021" s="61">
        <f t="shared" si="105"/>
        <v>0</v>
      </c>
      <c r="B1021" s="55">
        <f t="shared" si="106"/>
        <v>0</v>
      </c>
      <c r="C1021" s="55"/>
      <c r="D1021" s="55"/>
      <c r="E1021" s="55">
        <f t="shared" si="107"/>
        <v>0</v>
      </c>
      <c r="F1021" s="55">
        <f t="shared" si="108"/>
        <v>0</v>
      </c>
      <c r="G1021" s="55">
        <f t="shared" si="109"/>
        <v>0</v>
      </c>
      <c r="H1021" s="55" t="str">
        <f t="shared" si="110"/>
        <v/>
      </c>
      <c r="J1021" s="61">
        <f t="shared" si="111"/>
        <v>0</v>
      </c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</row>
    <row r="1022" spans="1:36" x14ac:dyDescent="0.2">
      <c r="A1022" s="61">
        <f t="shared" si="105"/>
        <v>0</v>
      </c>
      <c r="B1022" s="55">
        <f t="shared" si="106"/>
        <v>0</v>
      </c>
      <c r="C1022" s="55"/>
      <c r="D1022" s="55"/>
      <c r="E1022" s="55">
        <f t="shared" si="107"/>
        <v>0</v>
      </c>
      <c r="F1022" s="55">
        <f t="shared" si="108"/>
        <v>0</v>
      </c>
      <c r="G1022" s="55">
        <f t="shared" si="109"/>
        <v>0</v>
      </c>
      <c r="H1022" s="55" t="str">
        <f t="shared" si="110"/>
        <v/>
      </c>
      <c r="J1022" s="61">
        <f t="shared" si="111"/>
        <v>0</v>
      </c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</row>
    <row r="1023" spans="1:36" x14ac:dyDescent="0.2">
      <c r="A1023" s="61">
        <f t="shared" si="105"/>
        <v>0</v>
      </c>
      <c r="B1023" s="55">
        <f t="shared" si="106"/>
        <v>0</v>
      </c>
      <c r="C1023" s="55"/>
      <c r="D1023" s="55"/>
      <c r="E1023" s="55">
        <f t="shared" si="107"/>
        <v>0</v>
      </c>
      <c r="F1023" s="55">
        <f t="shared" si="108"/>
        <v>0</v>
      </c>
      <c r="G1023" s="55">
        <f t="shared" si="109"/>
        <v>0</v>
      </c>
      <c r="H1023" s="55" t="str">
        <f t="shared" si="110"/>
        <v/>
      </c>
      <c r="J1023" s="61">
        <f t="shared" si="111"/>
        <v>0</v>
      </c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  <c r="AH1023" s="55"/>
      <c r="AI1023" s="55"/>
      <c r="AJ1023" s="55"/>
    </row>
    <row r="1024" spans="1:36" x14ac:dyDescent="0.2">
      <c r="A1024" s="61">
        <f t="shared" si="105"/>
        <v>0</v>
      </c>
      <c r="B1024" s="55">
        <f t="shared" si="106"/>
        <v>0</v>
      </c>
      <c r="C1024" s="55"/>
      <c r="D1024" s="55"/>
      <c r="E1024" s="55">
        <f t="shared" si="107"/>
        <v>0</v>
      </c>
      <c r="F1024" s="55">
        <f t="shared" si="108"/>
        <v>0</v>
      </c>
      <c r="G1024" s="55">
        <f t="shared" si="109"/>
        <v>0</v>
      </c>
      <c r="H1024" s="55" t="str">
        <f t="shared" si="110"/>
        <v/>
      </c>
      <c r="J1024" s="61">
        <f t="shared" si="111"/>
        <v>0</v>
      </c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</row>
    <row r="1025" spans="1:36" x14ac:dyDescent="0.2">
      <c r="A1025" s="61">
        <f t="shared" si="105"/>
        <v>0</v>
      </c>
      <c r="B1025" s="55">
        <f t="shared" si="106"/>
        <v>0</v>
      </c>
      <c r="C1025" s="55"/>
      <c r="D1025" s="55"/>
      <c r="E1025" s="55">
        <f t="shared" si="107"/>
        <v>0</v>
      </c>
      <c r="F1025" s="55">
        <f t="shared" si="108"/>
        <v>0</v>
      </c>
      <c r="G1025" s="55">
        <f t="shared" si="109"/>
        <v>0</v>
      </c>
      <c r="H1025" s="55" t="str">
        <f t="shared" si="110"/>
        <v/>
      </c>
      <c r="J1025" s="61">
        <f t="shared" si="111"/>
        <v>0</v>
      </c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</row>
    <row r="1026" spans="1:36" x14ac:dyDescent="0.2">
      <c r="A1026" s="61">
        <f t="shared" ref="A1026:A1089" si="112">J1026</f>
        <v>0</v>
      </c>
      <c r="B1026" s="55">
        <f t="shared" ref="B1026:B1089" si="113">M1026</f>
        <v>0</v>
      </c>
      <c r="C1026" s="55"/>
      <c r="D1026" s="55"/>
      <c r="E1026" s="55">
        <f t="shared" ref="E1026:E1089" si="114">V1026</f>
        <v>0</v>
      </c>
      <c r="F1026" s="55">
        <f t="shared" ref="F1026:F1089" si="115">Z1026</f>
        <v>0</v>
      </c>
      <c r="G1026" s="55">
        <f t="shared" ref="G1026:G1089" si="116">AH1026</f>
        <v>0</v>
      </c>
      <c r="H1026" s="55" t="str">
        <f t="shared" ref="H1026:H1089" si="117">IF(Q1026&gt;1,IF(Q1026=2,"I","E"),"")</f>
        <v/>
      </c>
      <c r="J1026" s="61">
        <f t="shared" ref="J1026:J1089" si="118">P1026*1</f>
        <v>0</v>
      </c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</row>
    <row r="1027" spans="1:36" x14ac:dyDescent="0.2">
      <c r="A1027" s="61">
        <f t="shared" si="112"/>
        <v>0</v>
      </c>
      <c r="B1027" s="55">
        <f t="shared" si="113"/>
        <v>0</v>
      </c>
      <c r="C1027" s="55"/>
      <c r="D1027" s="55"/>
      <c r="E1027" s="55">
        <f t="shared" si="114"/>
        <v>0</v>
      </c>
      <c r="F1027" s="55">
        <f t="shared" si="115"/>
        <v>0</v>
      </c>
      <c r="G1027" s="55">
        <f t="shared" si="116"/>
        <v>0</v>
      </c>
      <c r="H1027" s="55" t="str">
        <f t="shared" si="117"/>
        <v/>
      </c>
      <c r="J1027" s="61">
        <f t="shared" si="118"/>
        <v>0</v>
      </c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  <c r="AH1027" s="55"/>
      <c r="AI1027" s="55"/>
      <c r="AJ1027" s="55"/>
    </row>
    <row r="1028" spans="1:36" x14ac:dyDescent="0.2">
      <c r="A1028" s="61">
        <f t="shared" si="112"/>
        <v>0</v>
      </c>
      <c r="B1028" s="55">
        <f t="shared" si="113"/>
        <v>0</v>
      </c>
      <c r="C1028" s="55"/>
      <c r="D1028" s="55"/>
      <c r="E1028" s="55">
        <f t="shared" si="114"/>
        <v>0</v>
      </c>
      <c r="F1028" s="55">
        <f t="shared" si="115"/>
        <v>0</v>
      </c>
      <c r="G1028" s="55">
        <f t="shared" si="116"/>
        <v>0</v>
      </c>
      <c r="H1028" s="55" t="str">
        <f t="shared" si="117"/>
        <v/>
      </c>
      <c r="J1028" s="61">
        <f t="shared" si="118"/>
        <v>0</v>
      </c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  <c r="AH1028" s="55"/>
      <c r="AI1028" s="55"/>
      <c r="AJ1028" s="55"/>
    </row>
    <row r="1029" spans="1:36" x14ac:dyDescent="0.2">
      <c r="A1029" s="61">
        <f t="shared" si="112"/>
        <v>0</v>
      </c>
      <c r="B1029" s="55">
        <f t="shared" si="113"/>
        <v>0</v>
      </c>
      <c r="C1029" s="55"/>
      <c r="D1029" s="55"/>
      <c r="E1029" s="55">
        <f t="shared" si="114"/>
        <v>0</v>
      </c>
      <c r="F1029" s="55">
        <f t="shared" si="115"/>
        <v>0</v>
      </c>
      <c r="G1029" s="55">
        <f t="shared" si="116"/>
        <v>0</v>
      </c>
      <c r="H1029" s="55" t="str">
        <f t="shared" si="117"/>
        <v/>
      </c>
      <c r="J1029" s="61">
        <f t="shared" si="118"/>
        <v>0</v>
      </c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  <c r="AH1029" s="55"/>
      <c r="AI1029" s="55"/>
      <c r="AJ1029" s="55"/>
    </row>
    <row r="1030" spans="1:36" x14ac:dyDescent="0.2">
      <c r="A1030" s="61">
        <f t="shared" si="112"/>
        <v>0</v>
      </c>
      <c r="B1030" s="55">
        <f t="shared" si="113"/>
        <v>0</v>
      </c>
      <c r="C1030" s="55"/>
      <c r="D1030" s="55"/>
      <c r="E1030" s="55">
        <f t="shared" si="114"/>
        <v>0</v>
      </c>
      <c r="F1030" s="55">
        <f t="shared" si="115"/>
        <v>0</v>
      </c>
      <c r="G1030" s="55">
        <f t="shared" si="116"/>
        <v>0</v>
      </c>
      <c r="H1030" s="55" t="str">
        <f t="shared" si="117"/>
        <v/>
      </c>
      <c r="J1030" s="61">
        <f t="shared" si="118"/>
        <v>0</v>
      </c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</row>
    <row r="1031" spans="1:36" x14ac:dyDescent="0.2">
      <c r="A1031" s="61">
        <f t="shared" si="112"/>
        <v>0</v>
      </c>
      <c r="B1031" s="55">
        <f t="shared" si="113"/>
        <v>0</v>
      </c>
      <c r="C1031" s="55"/>
      <c r="D1031" s="55"/>
      <c r="E1031" s="55">
        <f t="shared" si="114"/>
        <v>0</v>
      </c>
      <c r="F1031" s="55">
        <f t="shared" si="115"/>
        <v>0</v>
      </c>
      <c r="G1031" s="55">
        <f t="shared" si="116"/>
        <v>0</v>
      </c>
      <c r="H1031" s="55" t="str">
        <f t="shared" si="117"/>
        <v/>
      </c>
      <c r="J1031" s="61">
        <f t="shared" si="118"/>
        <v>0</v>
      </c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</row>
    <row r="1032" spans="1:36" x14ac:dyDescent="0.2">
      <c r="A1032" s="61">
        <f t="shared" si="112"/>
        <v>0</v>
      </c>
      <c r="B1032" s="55">
        <f t="shared" si="113"/>
        <v>0</v>
      </c>
      <c r="C1032" s="55"/>
      <c r="D1032" s="55"/>
      <c r="E1032" s="55">
        <f t="shared" si="114"/>
        <v>0</v>
      </c>
      <c r="F1032" s="55">
        <f t="shared" si="115"/>
        <v>0</v>
      </c>
      <c r="G1032" s="55">
        <f t="shared" si="116"/>
        <v>0</v>
      </c>
      <c r="H1032" s="55" t="str">
        <f t="shared" si="117"/>
        <v/>
      </c>
      <c r="J1032" s="61">
        <f t="shared" si="118"/>
        <v>0</v>
      </c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</row>
    <row r="1033" spans="1:36" x14ac:dyDescent="0.2">
      <c r="A1033" s="61">
        <f t="shared" si="112"/>
        <v>0</v>
      </c>
      <c r="B1033" s="55">
        <f t="shared" si="113"/>
        <v>0</v>
      </c>
      <c r="C1033" s="55"/>
      <c r="D1033" s="55"/>
      <c r="E1033" s="55">
        <f t="shared" si="114"/>
        <v>0</v>
      </c>
      <c r="F1033" s="55">
        <f t="shared" si="115"/>
        <v>0</v>
      </c>
      <c r="G1033" s="55">
        <f t="shared" si="116"/>
        <v>0</v>
      </c>
      <c r="H1033" s="55" t="str">
        <f t="shared" si="117"/>
        <v/>
      </c>
      <c r="J1033" s="61">
        <f t="shared" si="118"/>
        <v>0</v>
      </c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</row>
    <row r="1034" spans="1:36" x14ac:dyDescent="0.2">
      <c r="A1034" s="61">
        <f t="shared" si="112"/>
        <v>0</v>
      </c>
      <c r="B1034" s="55">
        <f t="shared" si="113"/>
        <v>0</v>
      </c>
      <c r="C1034" s="55"/>
      <c r="D1034" s="55"/>
      <c r="E1034" s="55">
        <f t="shared" si="114"/>
        <v>0</v>
      </c>
      <c r="F1034" s="55">
        <f t="shared" si="115"/>
        <v>0</v>
      </c>
      <c r="G1034" s="55">
        <f t="shared" si="116"/>
        <v>0</v>
      </c>
      <c r="H1034" s="55" t="str">
        <f t="shared" si="117"/>
        <v/>
      </c>
      <c r="J1034" s="61">
        <f t="shared" si="118"/>
        <v>0</v>
      </c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</row>
    <row r="1035" spans="1:36" x14ac:dyDescent="0.2">
      <c r="A1035" s="61">
        <f t="shared" si="112"/>
        <v>0</v>
      </c>
      <c r="B1035" s="55">
        <f t="shared" si="113"/>
        <v>0</v>
      </c>
      <c r="C1035" s="55"/>
      <c r="D1035" s="55"/>
      <c r="E1035" s="55">
        <f t="shared" si="114"/>
        <v>0</v>
      </c>
      <c r="F1035" s="55">
        <f t="shared" si="115"/>
        <v>0</v>
      </c>
      <c r="G1035" s="55">
        <f t="shared" si="116"/>
        <v>0</v>
      </c>
      <c r="H1035" s="55" t="str">
        <f t="shared" si="117"/>
        <v/>
      </c>
      <c r="J1035" s="61">
        <f t="shared" si="118"/>
        <v>0</v>
      </c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</row>
    <row r="1036" spans="1:36" x14ac:dyDescent="0.2">
      <c r="A1036" s="61">
        <f t="shared" si="112"/>
        <v>0</v>
      </c>
      <c r="B1036" s="55">
        <f t="shared" si="113"/>
        <v>0</v>
      </c>
      <c r="C1036" s="55"/>
      <c r="D1036" s="55"/>
      <c r="E1036" s="55">
        <f t="shared" si="114"/>
        <v>0</v>
      </c>
      <c r="F1036" s="55">
        <f t="shared" si="115"/>
        <v>0</v>
      </c>
      <c r="G1036" s="55">
        <f t="shared" si="116"/>
        <v>0</v>
      </c>
      <c r="H1036" s="55" t="str">
        <f t="shared" si="117"/>
        <v/>
      </c>
      <c r="J1036" s="61">
        <f t="shared" si="118"/>
        <v>0</v>
      </c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</row>
    <row r="1037" spans="1:36" x14ac:dyDescent="0.2">
      <c r="A1037" s="61">
        <f t="shared" si="112"/>
        <v>0</v>
      </c>
      <c r="B1037" s="55">
        <f t="shared" si="113"/>
        <v>0</v>
      </c>
      <c r="C1037" s="55"/>
      <c r="D1037" s="55"/>
      <c r="E1037" s="55">
        <f t="shared" si="114"/>
        <v>0</v>
      </c>
      <c r="F1037" s="55">
        <f t="shared" si="115"/>
        <v>0</v>
      </c>
      <c r="G1037" s="55">
        <f t="shared" si="116"/>
        <v>0</v>
      </c>
      <c r="H1037" s="55" t="str">
        <f t="shared" si="117"/>
        <v/>
      </c>
      <c r="J1037" s="61">
        <f t="shared" si="118"/>
        <v>0</v>
      </c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</row>
    <row r="1038" spans="1:36" x14ac:dyDescent="0.2">
      <c r="A1038" s="61">
        <f t="shared" si="112"/>
        <v>0</v>
      </c>
      <c r="B1038" s="55">
        <f t="shared" si="113"/>
        <v>0</v>
      </c>
      <c r="C1038" s="55"/>
      <c r="D1038" s="55"/>
      <c r="E1038" s="55">
        <f t="shared" si="114"/>
        <v>0</v>
      </c>
      <c r="F1038" s="55">
        <f t="shared" si="115"/>
        <v>0</v>
      </c>
      <c r="G1038" s="55">
        <f t="shared" si="116"/>
        <v>0</v>
      </c>
      <c r="H1038" s="55" t="str">
        <f t="shared" si="117"/>
        <v/>
      </c>
      <c r="J1038" s="61">
        <f t="shared" si="118"/>
        <v>0</v>
      </c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  <c r="AH1038" s="55"/>
      <c r="AI1038" s="55"/>
      <c r="AJ1038" s="55"/>
    </row>
    <row r="1039" spans="1:36" x14ac:dyDescent="0.2">
      <c r="A1039" s="61">
        <f t="shared" si="112"/>
        <v>0</v>
      </c>
      <c r="B1039" s="55">
        <f t="shared" si="113"/>
        <v>0</v>
      </c>
      <c r="C1039" s="55"/>
      <c r="D1039" s="55"/>
      <c r="E1039" s="55">
        <f t="shared" si="114"/>
        <v>0</v>
      </c>
      <c r="F1039" s="55">
        <f t="shared" si="115"/>
        <v>0</v>
      </c>
      <c r="G1039" s="55">
        <f t="shared" si="116"/>
        <v>0</v>
      </c>
      <c r="H1039" s="55" t="str">
        <f t="shared" si="117"/>
        <v/>
      </c>
      <c r="J1039" s="61">
        <f t="shared" si="118"/>
        <v>0</v>
      </c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</row>
    <row r="1040" spans="1:36" x14ac:dyDescent="0.2">
      <c r="A1040" s="61">
        <f t="shared" si="112"/>
        <v>0</v>
      </c>
      <c r="B1040" s="55">
        <f t="shared" si="113"/>
        <v>0</v>
      </c>
      <c r="C1040" s="55"/>
      <c r="D1040" s="55"/>
      <c r="E1040" s="55">
        <f t="shared" si="114"/>
        <v>0</v>
      </c>
      <c r="F1040" s="55">
        <f t="shared" si="115"/>
        <v>0</v>
      </c>
      <c r="G1040" s="55">
        <f t="shared" si="116"/>
        <v>0</v>
      </c>
      <c r="H1040" s="55" t="str">
        <f t="shared" si="117"/>
        <v/>
      </c>
      <c r="J1040" s="61">
        <f t="shared" si="118"/>
        <v>0</v>
      </c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</row>
    <row r="1041" spans="1:36" x14ac:dyDescent="0.2">
      <c r="A1041" s="61">
        <f t="shared" si="112"/>
        <v>0</v>
      </c>
      <c r="B1041" s="55">
        <f t="shared" si="113"/>
        <v>0</v>
      </c>
      <c r="C1041" s="55"/>
      <c r="D1041" s="55"/>
      <c r="E1041" s="55">
        <f t="shared" si="114"/>
        <v>0</v>
      </c>
      <c r="F1041" s="55">
        <f t="shared" si="115"/>
        <v>0</v>
      </c>
      <c r="G1041" s="55">
        <f t="shared" si="116"/>
        <v>0</v>
      </c>
      <c r="H1041" s="55" t="str">
        <f t="shared" si="117"/>
        <v/>
      </c>
      <c r="J1041" s="61">
        <f t="shared" si="118"/>
        <v>0</v>
      </c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  <c r="AH1041" s="55"/>
      <c r="AI1041" s="55"/>
      <c r="AJ1041" s="55"/>
    </row>
    <row r="1042" spans="1:36" x14ac:dyDescent="0.2">
      <c r="A1042" s="61">
        <f t="shared" si="112"/>
        <v>0</v>
      </c>
      <c r="B1042" s="55">
        <f t="shared" si="113"/>
        <v>0</v>
      </c>
      <c r="C1042" s="55"/>
      <c r="D1042" s="55"/>
      <c r="E1042" s="55">
        <f t="shared" si="114"/>
        <v>0</v>
      </c>
      <c r="F1042" s="55">
        <f t="shared" si="115"/>
        <v>0</v>
      </c>
      <c r="G1042" s="55">
        <f t="shared" si="116"/>
        <v>0</v>
      </c>
      <c r="H1042" s="55" t="str">
        <f t="shared" si="117"/>
        <v/>
      </c>
      <c r="J1042" s="61">
        <f t="shared" si="118"/>
        <v>0</v>
      </c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</row>
    <row r="1043" spans="1:36" x14ac:dyDescent="0.2">
      <c r="A1043" s="61">
        <f t="shared" si="112"/>
        <v>0</v>
      </c>
      <c r="B1043" s="55">
        <f t="shared" si="113"/>
        <v>0</v>
      </c>
      <c r="C1043" s="55"/>
      <c r="D1043" s="55"/>
      <c r="E1043" s="55">
        <f t="shared" si="114"/>
        <v>0</v>
      </c>
      <c r="F1043" s="55">
        <f t="shared" si="115"/>
        <v>0</v>
      </c>
      <c r="G1043" s="55">
        <f t="shared" si="116"/>
        <v>0</v>
      </c>
      <c r="H1043" s="55" t="str">
        <f t="shared" si="117"/>
        <v/>
      </c>
      <c r="J1043" s="61">
        <f t="shared" si="118"/>
        <v>0</v>
      </c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</row>
    <row r="1044" spans="1:36" x14ac:dyDescent="0.2">
      <c r="A1044" s="61">
        <f t="shared" si="112"/>
        <v>0</v>
      </c>
      <c r="B1044" s="55">
        <f t="shared" si="113"/>
        <v>0</v>
      </c>
      <c r="C1044" s="55"/>
      <c r="D1044" s="55"/>
      <c r="E1044" s="55">
        <f t="shared" si="114"/>
        <v>0</v>
      </c>
      <c r="F1044" s="55">
        <f t="shared" si="115"/>
        <v>0</v>
      </c>
      <c r="G1044" s="55">
        <f t="shared" si="116"/>
        <v>0</v>
      </c>
      <c r="H1044" s="55" t="str">
        <f t="shared" si="117"/>
        <v/>
      </c>
      <c r="J1044" s="61">
        <f t="shared" si="118"/>
        <v>0</v>
      </c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</row>
    <row r="1045" spans="1:36" x14ac:dyDescent="0.2">
      <c r="A1045" s="61">
        <f t="shared" si="112"/>
        <v>0</v>
      </c>
      <c r="B1045" s="55">
        <f t="shared" si="113"/>
        <v>0</v>
      </c>
      <c r="C1045" s="55"/>
      <c r="D1045" s="55"/>
      <c r="E1045" s="55">
        <f t="shared" si="114"/>
        <v>0</v>
      </c>
      <c r="F1045" s="55">
        <f t="shared" si="115"/>
        <v>0</v>
      </c>
      <c r="G1045" s="55">
        <f t="shared" si="116"/>
        <v>0</v>
      </c>
      <c r="H1045" s="55" t="str">
        <f t="shared" si="117"/>
        <v/>
      </c>
      <c r="J1045" s="61">
        <f t="shared" si="118"/>
        <v>0</v>
      </c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</row>
    <row r="1046" spans="1:36" x14ac:dyDescent="0.2">
      <c r="A1046" s="61">
        <f t="shared" si="112"/>
        <v>0</v>
      </c>
      <c r="B1046" s="55">
        <f t="shared" si="113"/>
        <v>0</v>
      </c>
      <c r="C1046" s="55"/>
      <c r="D1046" s="55"/>
      <c r="E1046" s="55">
        <f t="shared" si="114"/>
        <v>0</v>
      </c>
      <c r="F1046" s="55">
        <f t="shared" si="115"/>
        <v>0</v>
      </c>
      <c r="G1046" s="55">
        <f t="shared" si="116"/>
        <v>0</v>
      </c>
      <c r="H1046" s="55" t="str">
        <f t="shared" si="117"/>
        <v/>
      </c>
      <c r="J1046" s="61">
        <f t="shared" si="118"/>
        <v>0</v>
      </c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</row>
    <row r="1047" spans="1:36" x14ac:dyDescent="0.2">
      <c r="A1047" s="61">
        <f t="shared" si="112"/>
        <v>0</v>
      </c>
      <c r="B1047" s="55">
        <f t="shared" si="113"/>
        <v>0</v>
      </c>
      <c r="C1047" s="55"/>
      <c r="D1047" s="55"/>
      <c r="E1047" s="55">
        <f t="shared" si="114"/>
        <v>0</v>
      </c>
      <c r="F1047" s="55">
        <f t="shared" si="115"/>
        <v>0</v>
      </c>
      <c r="G1047" s="55">
        <f t="shared" si="116"/>
        <v>0</v>
      </c>
      <c r="H1047" s="55" t="str">
        <f t="shared" si="117"/>
        <v/>
      </c>
      <c r="J1047" s="61">
        <f t="shared" si="118"/>
        <v>0</v>
      </c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  <c r="AH1047" s="55"/>
      <c r="AI1047" s="55"/>
      <c r="AJ1047" s="55"/>
    </row>
    <row r="1048" spans="1:36" x14ac:dyDescent="0.2">
      <c r="A1048" s="61">
        <f t="shared" si="112"/>
        <v>0</v>
      </c>
      <c r="B1048" s="55">
        <f t="shared" si="113"/>
        <v>0</v>
      </c>
      <c r="C1048" s="55"/>
      <c r="D1048" s="55"/>
      <c r="E1048" s="55">
        <f t="shared" si="114"/>
        <v>0</v>
      </c>
      <c r="F1048" s="55">
        <f t="shared" si="115"/>
        <v>0</v>
      </c>
      <c r="G1048" s="55">
        <f t="shared" si="116"/>
        <v>0</v>
      </c>
      <c r="H1048" s="55" t="str">
        <f t="shared" si="117"/>
        <v/>
      </c>
      <c r="J1048" s="61">
        <f t="shared" si="118"/>
        <v>0</v>
      </c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  <c r="AH1048" s="55"/>
      <c r="AI1048" s="55"/>
      <c r="AJ1048" s="55"/>
    </row>
    <row r="1049" spans="1:36" x14ac:dyDescent="0.2">
      <c r="A1049" s="61">
        <f t="shared" si="112"/>
        <v>0</v>
      </c>
      <c r="B1049" s="55">
        <f t="shared" si="113"/>
        <v>0</v>
      </c>
      <c r="C1049" s="55"/>
      <c r="D1049" s="55"/>
      <c r="E1049" s="55">
        <f t="shared" si="114"/>
        <v>0</v>
      </c>
      <c r="F1049" s="55">
        <f t="shared" si="115"/>
        <v>0</v>
      </c>
      <c r="G1049" s="55">
        <f t="shared" si="116"/>
        <v>0</v>
      </c>
      <c r="H1049" s="55" t="str">
        <f t="shared" si="117"/>
        <v/>
      </c>
      <c r="J1049" s="61">
        <f t="shared" si="118"/>
        <v>0</v>
      </c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</row>
    <row r="1050" spans="1:36" x14ac:dyDescent="0.2">
      <c r="A1050" s="61">
        <f t="shared" si="112"/>
        <v>0</v>
      </c>
      <c r="B1050" s="55">
        <f t="shared" si="113"/>
        <v>0</v>
      </c>
      <c r="C1050" s="55"/>
      <c r="D1050" s="55"/>
      <c r="E1050" s="55">
        <f t="shared" si="114"/>
        <v>0</v>
      </c>
      <c r="F1050" s="55">
        <f t="shared" si="115"/>
        <v>0</v>
      </c>
      <c r="G1050" s="55">
        <f t="shared" si="116"/>
        <v>0</v>
      </c>
      <c r="H1050" s="55" t="str">
        <f t="shared" si="117"/>
        <v/>
      </c>
      <c r="J1050" s="61">
        <f t="shared" si="118"/>
        <v>0</v>
      </c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  <c r="AH1050" s="55"/>
      <c r="AI1050" s="55"/>
      <c r="AJ1050" s="55"/>
    </row>
    <row r="1051" spans="1:36" x14ac:dyDescent="0.2">
      <c r="A1051" s="61">
        <f t="shared" si="112"/>
        <v>0</v>
      </c>
      <c r="B1051" s="55">
        <f t="shared" si="113"/>
        <v>0</v>
      </c>
      <c r="C1051" s="55"/>
      <c r="D1051" s="55"/>
      <c r="E1051" s="55">
        <f t="shared" si="114"/>
        <v>0</v>
      </c>
      <c r="F1051" s="55">
        <f t="shared" si="115"/>
        <v>0</v>
      </c>
      <c r="G1051" s="55">
        <f t="shared" si="116"/>
        <v>0</v>
      </c>
      <c r="H1051" s="55" t="str">
        <f t="shared" si="117"/>
        <v/>
      </c>
      <c r="J1051" s="61">
        <f t="shared" si="118"/>
        <v>0</v>
      </c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</row>
    <row r="1052" spans="1:36" x14ac:dyDescent="0.2">
      <c r="A1052" s="61">
        <f t="shared" si="112"/>
        <v>0</v>
      </c>
      <c r="B1052" s="55">
        <f t="shared" si="113"/>
        <v>0</v>
      </c>
      <c r="C1052" s="55"/>
      <c r="D1052" s="55"/>
      <c r="E1052" s="55">
        <f t="shared" si="114"/>
        <v>0</v>
      </c>
      <c r="F1052" s="55">
        <f t="shared" si="115"/>
        <v>0</v>
      </c>
      <c r="G1052" s="55">
        <f t="shared" si="116"/>
        <v>0</v>
      </c>
      <c r="H1052" s="55" t="str">
        <f t="shared" si="117"/>
        <v/>
      </c>
      <c r="J1052" s="61">
        <f t="shared" si="118"/>
        <v>0</v>
      </c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</row>
    <row r="1053" spans="1:36" x14ac:dyDescent="0.2">
      <c r="A1053" s="61">
        <f t="shared" si="112"/>
        <v>0</v>
      </c>
      <c r="B1053" s="55">
        <f t="shared" si="113"/>
        <v>0</v>
      </c>
      <c r="C1053" s="55"/>
      <c r="D1053" s="55"/>
      <c r="E1053" s="55">
        <f t="shared" si="114"/>
        <v>0</v>
      </c>
      <c r="F1053" s="55">
        <f t="shared" si="115"/>
        <v>0</v>
      </c>
      <c r="G1053" s="55">
        <f t="shared" si="116"/>
        <v>0</v>
      </c>
      <c r="H1053" s="55" t="str">
        <f t="shared" si="117"/>
        <v/>
      </c>
      <c r="J1053" s="61">
        <f t="shared" si="118"/>
        <v>0</v>
      </c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  <c r="AH1053" s="55"/>
      <c r="AI1053" s="55"/>
      <c r="AJ1053" s="55"/>
    </row>
    <row r="1054" spans="1:36" x14ac:dyDescent="0.2">
      <c r="A1054" s="61">
        <f t="shared" si="112"/>
        <v>0</v>
      </c>
      <c r="B1054" s="55">
        <f t="shared" si="113"/>
        <v>0</v>
      </c>
      <c r="C1054" s="55"/>
      <c r="D1054" s="55"/>
      <c r="E1054" s="55">
        <f t="shared" si="114"/>
        <v>0</v>
      </c>
      <c r="F1054" s="55">
        <f t="shared" si="115"/>
        <v>0</v>
      </c>
      <c r="G1054" s="55">
        <f t="shared" si="116"/>
        <v>0</v>
      </c>
      <c r="H1054" s="55" t="str">
        <f t="shared" si="117"/>
        <v/>
      </c>
      <c r="J1054" s="61">
        <f t="shared" si="118"/>
        <v>0</v>
      </c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  <c r="AH1054" s="55"/>
      <c r="AI1054" s="55"/>
      <c r="AJ1054" s="55"/>
    </row>
    <row r="1055" spans="1:36" x14ac:dyDescent="0.2">
      <c r="A1055" s="61">
        <f t="shared" si="112"/>
        <v>0</v>
      </c>
      <c r="B1055" s="55">
        <f t="shared" si="113"/>
        <v>0</v>
      </c>
      <c r="C1055" s="55"/>
      <c r="D1055" s="55"/>
      <c r="E1055" s="55">
        <f t="shared" si="114"/>
        <v>0</v>
      </c>
      <c r="F1055" s="55">
        <f t="shared" si="115"/>
        <v>0</v>
      </c>
      <c r="G1055" s="55">
        <f t="shared" si="116"/>
        <v>0</v>
      </c>
      <c r="H1055" s="55" t="str">
        <f t="shared" si="117"/>
        <v/>
      </c>
      <c r="J1055" s="61">
        <f t="shared" si="118"/>
        <v>0</v>
      </c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  <c r="AH1055" s="55"/>
      <c r="AI1055" s="55"/>
      <c r="AJ1055" s="55"/>
    </row>
    <row r="1056" spans="1:36" x14ac:dyDescent="0.2">
      <c r="A1056" s="61">
        <f t="shared" si="112"/>
        <v>0</v>
      </c>
      <c r="B1056" s="55">
        <f t="shared" si="113"/>
        <v>0</v>
      </c>
      <c r="C1056" s="55"/>
      <c r="D1056" s="55"/>
      <c r="E1056" s="55">
        <f t="shared" si="114"/>
        <v>0</v>
      </c>
      <c r="F1056" s="55">
        <f t="shared" si="115"/>
        <v>0</v>
      </c>
      <c r="G1056" s="55">
        <f t="shared" si="116"/>
        <v>0</v>
      </c>
      <c r="H1056" s="55" t="str">
        <f t="shared" si="117"/>
        <v/>
      </c>
      <c r="J1056" s="61">
        <f t="shared" si="118"/>
        <v>0</v>
      </c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</row>
    <row r="1057" spans="1:36" x14ac:dyDescent="0.2">
      <c r="A1057" s="61">
        <f t="shared" si="112"/>
        <v>0</v>
      </c>
      <c r="B1057" s="55">
        <f t="shared" si="113"/>
        <v>0</v>
      </c>
      <c r="C1057" s="55"/>
      <c r="D1057" s="55"/>
      <c r="E1057" s="55">
        <f t="shared" si="114"/>
        <v>0</v>
      </c>
      <c r="F1057" s="55">
        <f t="shared" si="115"/>
        <v>0</v>
      </c>
      <c r="G1057" s="55">
        <f t="shared" si="116"/>
        <v>0</v>
      </c>
      <c r="H1057" s="55" t="str">
        <f t="shared" si="117"/>
        <v/>
      </c>
      <c r="J1057" s="61">
        <f t="shared" si="118"/>
        <v>0</v>
      </c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  <c r="AH1057" s="55"/>
      <c r="AI1057" s="55"/>
      <c r="AJ1057" s="55"/>
    </row>
    <row r="1058" spans="1:36" x14ac:dyDescent="0.2">
      <c r="A1058" s="61">
        <f t="shared" si="112"/>
        <v>0</v>
      </c>
      <c r="B1058" s="55">
        <f t="shared" si="113"/>
        <v>0</v>
      </c>
      <c r="C1058" s="55"/>
      <c r="D1058" s="55"/>
      <c r="E1058" s="55">
        <f t="shared" si="114"/>
        <v>0</v>
      </c>
      <c r="F1058" s="55">
        <f t="shared" si="115"/>
        <v>0</v>
      </c>
      <c r="G1058" s="55">
        <f t="shared" si="116"/>
        <v>0</v>
      </c>
      <c r="H1058" s="55" t="str">
        <f t="shared" si="117"/>
        <v/>
      </c>
      <c r="J1058" s="61">
        <f t="shared" si="118"/>
        <v>0</v>
      </c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  <c r="AH1058" s="55"/>
      <c r="AI1058" s="55"/>
      <c r="AJ1058" s="55"/>
    </row>
    <row r="1059" spans="1:36" x14ac:dyDescent="0.2">
      <c r="A1059" s="61">
        <f t="shared" si="112"/>
        <v>0</v>
      </c>
      <c r="B1059" s="55">
        <f t="shared" si="113"/>
        <v>0</v>
      </c>
      <c r="C1059" s="55"/>
      <c r="D1059" s="55"/>
      <c r="E1059" s="55">
        <f t="shared" si="114"/>
        <v>0</v>
      </c>
      <c r="F1059" s="55">
        <f t="shared" si="115"/>
        <v>0</v>
      </c>
      <c r="G1059" s="55">
        <f t="shared" si="116"/>
        <v>0</v>
      </c>
      <c r="H1059" s="55" t="str">
        <f t="shared" si="117"/>
        <v/>
      </c>
      <c r="J1059" s="61">
        <f t="shared" si="118"/>
        <v>0</v>
      </c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  <c r="AH1059" s="55"/>
      <c r="AI1059" s="55"/>
      <c r="AJ1059" s="55"/>
    </row>
    <row r="1060" spans="1:36" x14ac:dyDescent="0.2">
      <c r="A1060" s="61">
        <f t="shared" si="112"/>
        <v>0</v>
      </c>
      <c r="B1060" s="55">
        <f t="shared" si="113"/>
        <v>0</v>
      </c>
      <c r="C1060" s="55"/>
      <c r="D1060" s="55"/>
      <c r="E1060" s="55">
        <f t="shared" si="114"/>
        <v>0</v>
      </c>
      <c r="F1060" s="55">
        <f t="shared" si="115"/>
        <v>0</v>
      </c>
      <c r="G1060" s="55">
        <f t="shared" si="116"/>
        <v>0</v>
      </c>
      <c r="H1060" s="55" t="str">
        <f t="shared" si="117"/>
        <v/>
      </c>
      <c r="J1060" s="61">
        <f t="shared" si="118"/>
        <v>0</v>
      </c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  <c r="AH1060" s="55"/>
      <c r="AI1060" s="55"/>
      <c r="AJ1060" s="55"/>
    </row>
    <row r="1061" spans="1:36" x14ac:dyDescent="0.2">
      <c r="A1061" s="61">
        <f t="shared" si="112"/>
        <v>0</v>
      </c>
      <c r="B1061" s="55">
        <f t="shared" si="113"/>
        <v>0</v>
      </c>
      <c r="C1061" s="55"/>
      <c r="D1061" s="55"/>
      <c r="E1061" s="55">
        <f t="shared" si="114"/>
        <v>0</v>
      </c>
      <c r="F1061" s="55">
        <f t="shared" si="115"/>
        <v>0</v>
      </c>
      <c r="G1061" s="55">
        <f t="shared" si="116"/>
        <v>0</v>
      </c>
      <c r="H1061" s="55" t="str">
        <f t="shared" si="117"/>
        <v/>
      </c>
      <c r="J1061" s="61">
        <f t="shared" si="118"/>
        <v>0</v>
      </c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</row>
    <row r="1062" spans="1:36" x14ac:dyDescent="0.2">
      <c r="A1062" s="61">
        <f t="shared" si="112"/>
        <v>0</v>
      </c>
      <c r="B1062" s="55">
        <f t="shared" si="113"/>
        <v>0</v>
      </c>
      <c r="C1062" s="55"/>
      <c r="D1062" s="55"/>
      <c r="E1062" s="55">
        <f t="shared" si="114"/>
        <v>0</v>
      </c>
      <c r="F1062" s="55">
        <f t="shared" si="115"/>
        <v>0</v>
      </c>
      <c r="G1062" s="55">
        <f t="shared" si="116"/>
        <v>0</v>
      </c>
      <c r="H1062" s="55" t="str">
        <f t="shared" si="117"/>
        <v/>
      </c>
      <c r="J1062" s="61">
        <f t="shared" si="118"/>
        <v>0</v>
      </c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</row>
    <row r="1063" spans="1:36" x14ac:dyDescent="0.2">
      <c r="A1063" s="61">
        <f t="shared" si="112"/>
        <v>0</v>
      </c>
      <c r="B1063" s="55">
        <f t="shared" si="113"/>
        <v>0</v>
      </c>
      <c r="C1063" s="55"/>
      <c r="D1063" s="55"/>
      <c r="E1063" s="55">
        <f t="shared" si="114"/>
        <v>0</v>
      </c>
      <c r="F1063" s="55">
        <f t="shared" si="115"/>
        <v>0</v>
      </c>
      <c r="G1063" s="55">
        <f t="shared" si="116"/>
        <v>0</v>
      </c>
      <c r="H1063" s="55" t="str">
        <f t="shared" si="117"/>
        <v/>
      </c>
      <c r="J1063" s="61">
        <f t="shared" si="118"/>
        <v>0</v>
      </c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  <c r="AH1063" s="55"/>
      <c r="AI1063" s="55"/>
      <c r="AJ1063" s="55"/>
    </row>
    <row r="1064" spans="1:36" x14ac:dyDescent="0.2">
      <c r="A1064" s="61">
        <f t="shared" si="112"/>
        <v>0</v>
      </c>
      <c r="B1064" s="55">
        <f t="shared" si="113"/>
        <v>0</v>
      </c>
      <c r="C1064" s="55"/>
      <c r="D1064" s="55"/>
      <c r="E1064" s="55">
        <f t="shared" si="114"/>
        <v>0</v>
      </c>
      <c r="F1064" s="55">
        <f t="shared" si="115"/>
        <v>0</v>
      </c>
      <c r="G1064" s="55">
        <f t="shared" si="116"/>
        <v>0</v>
      </c>
      <c r="H1064" s="55" t="str">
        <f t="shared" si="117"/>
        <v/>
      </c>
      <c r="J1064" s="61">
        <f t="shared" si="118"/>
        <v>0</v>
      </c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  <c r="AH1064" s="55"/>
      <c r="AI1064" s="55"/>
      <c r="AJ1064" s="55"/>
    </row>
    <row r="1065" spans="1:36" x14ac:dyDescent="0.2">
      <c r="A1065" s="61">
        <f t="shared" si="112"/>
        <v>0</v>
      </c>
      <c r="B1065" s="55">
        <f t="shared" si="113"/>
        <v>0</v>
      </c>
      <c r="C1065" s="55"/>
      <c r="D1065" s="55"/>
      <c r="E1065" s="55">
        <f t="shared" si="114"/>
        <v>0</v>
      </c>
      <c r="F1065" s="55">
        <f t="shared" si="115"/>
        <v>0</v>
      </c>
      <c r="G1065" s="55">
        <f t="shared" si="116"/>
        <v>0</v>
      </c>
      <c r="H1065" s="55" t="str">
        <f t="shared" si="117"/>
        <v/>
      </c>
      <c r="J1065" s="61">
        <f t="shared" si="118"/>
        <v>0</v>
      </c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</row>
    <row r="1066" spans="1:36" x14ac:dyDescent="0.2">
      <c r="A1066" s="61">
        <f t="shared" si="112"/>
        <v>0</v>
      </c>
      <c r="B1066" s="55">
        <f t="shared" si="113"/>
        <v>0</v>
      </c>
      <c r="C1066" s="55"/>
      <c r="D1066" s="55"/>
      <c r="E1066" s="55">
        <f t="shared" si="114"/>
        <v>0</v>
      </c>
      <c r="F1066" s="55">
        <f t="shared" si="115"/>
        <v>0</v>
      </c>
      <c r="G1066" s="55">
        <f t="shared" si="116"/>
        <v>0</v>
      </c>
      <c r="H1066" s="55" t="str">
        <f t="shared" si="117"/>
        <v/>
      </c>
      <c r="J1066" s="61">
        <f t="shared" si="118"/>
        <v>0</v>
      </c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  <c r="AH1066" s="55"/>
      <c r="AI1066" s="55"/>
      <c r="AJ1066" s="55"/>
    </row>
    <row r="1067" spans="1:36" x14ac:dyDescent="0.2">
      <c r="A1067" s="61">
        <f t="shared" si="112"/>
        <v>0</v>
      </c>
      <c r="B1067" s="55">
        <f t="shared" si="113"/>
        <v>0</v>
      </c>
      <c r="C1067" s="55"/>
      <c r="D1067" s="55"/>
      <c r="E1067" s="55">
        <f t="shared" si="114"/>
        <v>0</v>
      </c>
      <c r="F1067" s="55">
        <f t="shared" si="115"/>
        <v>0</v>
      </c>
      <c r="G1067" s="55">
        <f t="shared" si="116"/>
        <v>0</v>
      </c>
      <c r="H1067" s="55" t="str">
        <f t="shared" si="117"/>
        <v/>
      </c>
      <c r="J1067" s="61">
        <f t="shared" si="118"/>
        <v>0</v>
      </c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</row>
    <row r="1068" spans="1:36" x14ac:dyDescent="0.2">
      <c r="A1068" s="61">
        <f t="shared" si="112"/>
        <v>0</v>
      </c>
      <c r="B1068" s="55">
        <f t="shared" si="113"/>
        <v>0</v>
      </c>
      <c r="C1068" s="55"/>
      <c r="D1068" s="55"/>
      <c r="E1068" s="55">
        <f t="shared" si="114"/>
        <v>0</v>
      </c>
      <c r="F1068" s="55">
        <f t="shared" si="115"/>
        <v>0</v>
      </c>
      <c r="G1068" s="55">
        <f t="shared" si="116"/>
        <v>0</v>
      </c>
      <c r="H1068" s="55" t="str">
        <f t="shared" si="117"/>
        <v/>
      </c>
      <c r="J1068" s="61">
        <f t="shared" si="118"/>
        <v>0</v>
      </c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</row>
    <row r="1069" spans="1:36" x14ac:dyDescent="0.2">
      <c r="A1069" s="61">
        <f t="shared" si="112"/>
        <v>0</v>
      </c>
      <c r="B1069" s="55">
        <f t="shared" si="113"/>
        <v>0</v>
      </c>
      <c r="C1069" s="55"/>
      <c r="D1069" s="55"/>
      <c r="E1069" s="55">
        <f t="shared" si="114"/>
        <v>0</v>
      </c>
      <c r="F1069" s="55">
        <f t="shared" si="115"/>
        <v>0</v>
      </c>
      <c r="G1069" s="55">
        <f t="shared" si="116"/>
        <v>0</v>
      </c>
      <c r="H1069" s="55" t="str">
        <f t="shared" si="117"/>
        <v/>
      </c>
      <c r="J1069" s="61">
        <f t="shared" si="118"/>
        <v>0</v>
      </c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  <c r="AH1069" s="55"/>
      <c r="AI1069" s="55"/>
      <c r="AJ1069" s="55"/>
    </row>
    <row r="1070" spans="1:36" x14ac:dyDescent="0.2">
      <c r="A1070" s="61">
        <f t="shared" si="112"/>
        <v>0</v>
      </c>
      <c r="B1070" s="55">
        <f t="shared" si="113"/>
        <v>0</v>
      </c>
      <c r="C1070" s="55"/>
      <c r="D1070" s="55"/>
      <c r="E1070" s="55">
        <f t="shared" si="114"/>
        <v>0</v>
      </c>
      <c r="F1070" s="55">
        <f t="shared" si="115"/>
        <v>0</v>
      </c>
      <c r="G1070" s="55">
        <f t="shared" si="116"/>
        <v>0</v>
      </c>
      <c r="H1070" s="55" t="str">
        <f t="shared" si="117"/>
        <v/>
      </c>
      <c r="J1070" s="61">
        <f t="shared" si="118"/>
        <v>0</v>
      </c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  <c r="AH1070" s="55"/>
      <c r="AI1070" s="55"/>
      <c r="AJ1070" s="55"/>
    </row>
    <row r="1071" spans="1:36" x14ac:dyDescent="0.2">
      <c r="A1071" s="61">
        <f t="shared" si="112"/>
        <v>0</v>
      </c>
      <c r="B1071" s="55">
        <f t="shared" si="113"/>
        <v>0</v>
      </c>
      <c r="C1071" s="55"/>
      <c r="D1071" s="55"/>
      <c r="E1071" s="55">
        <f t="shared" si="114"/>
        <v>0</v>
      </c>
      <c r="F1071" s="55">
        <f t="shared" si="115"/>
        <v>0</v>
      </c>
      <c r="G1071" s="55">
        <f t="shared" si="116"/>
        <v>0</v>
      </c>
      <c r="H1071" s="55" t="str">
        <f t="shared" si="117"/>
        <v/>
      </c>
      <c r="J1071" s="61">
        <f t="shared" si="118"/>
        <v>0</v>
      </c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</row>
    <row r="1072" spans="1:36" x14ac:dyDescent="0.2">
      <c r="A1072" s="61">
        <f t="shared" si="112"/>
        <v>0</v>
      </c>
      <c r="B1072" s="55">
        <f t="shared" si="113"/>
        <v>0</v>
      </c>
      <c r="C1072" s="55"/>
      <c r="D1072" s="55"/>
      <c r="E1072" s="55">
        <f t="shared" si="114"/>
        <v>0</v>
      </c>
      <c r="F1072" s="55">
        <f t="shared" si="115"/>
        <v>0</v>
      </c>
      <c r="G1072" s="55">
        <f t="shared" si="116"/>
        <v>0</v>
      </c>
      <c r="H1072" s="55" t="str">
        <f t="shared" si="117"/>
        <v/>
      </c>
      <c r="J1072" s="61">
        <f t="shared" si="118"/>
        <v>0</v>
      </c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  <c r="AH1072" s="55"/>
      <c r="AI1072" s="55"/>
      <c r="AJ1072" s="55"/>
    </row>
    <row r="1073" spans="1:36" x14ac:dyDescent="0.2">
      <c r="A1073" s="61">
        <f t="shared" si="112"/>
        <v>0</v>
      </c>
      <c r="B1073" s="55">
        <f t="shared" si="113"/>
        <v>0</v>
      </c>
      <c r="C1073" s="55"/>
      <c r="D1073" s="55"/>
      <c r="E1073" s="55">
        <f t="shared" si="114"/>
        <v>0</v>
      </c>
      <c r="F1073" s="55">
        <f t="shared" si="115"/>
        <v>0</v>
      </c>
      <c r="G1073" s="55">
        <f t="shared" si="116"/>
        <v>0</v>
      </c>
      <c r="H1073" s="55" t="str">
        <f t="shared" si="117"/>
        <v/>
      </c>
      <c r="J1073" s="61">
        <f t="shared" si="118"/>
        <v>0</v>
      </c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</row>
    <row r="1074" spans="1:36" x14ac:dyDescent="0.2">
      <c r="A1074" s="61">
        <f t="shared" si="112"/>
        <v>0</v>
      </c>
      <c r="B1074" s="55">
        <f t="shared" si="113"/>
        <v>0</v>
      </c>
      <c r="C1074" s="55"/>
      <c r="D1074" s="55"/>
      <c r="E1074" s="55">
        <f t="shared" si="114"/>
        <v>0</v>
      </c>
      <c r="F1074" s="55">
        <f t="shared" si="115"/>
        <v>0</v>
      </c>
      <c r="G1074" s="55">
        <f t="shared" si="116"/>
        <v>0</v>
      </c>
      <c r="H1074" s="55" t="str">
        <f t="shared" si="117"/>
        <v/>
      </c>
      <c r="J1074" s="61">
        <f t="shared" si="118"/>
        <v>0</v>
      </c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</row>
    <row r="1075" spans="1:36" x14ac:dyDescent="0.2">
      <c r="A1075" s="61">
        <f t="shared" si="112"/>
        <v>0</v>
      </c>
      <c r="B1075" s="55">
        <f t="shared" si="113"/>
        <v>0</v>
      </c>
      <c r="C1075" s="55"/>
      <c r="D1075" s="55"/>
      <c r="E1075" s="55">
        <f t="shared" si="114"/>
        <v>0</v>
      </c>
      <c r="F1075" s="55">
        <f t="shared" si="115"/>
        <v>0</v>
      </c>
      <c r="G1075" s="55">
        <f t="shared" si="116"/>
        <v>0</v>
      </c>
      <c r="H1075" s="55" t="str">
        <f t="shared" si="117"/>
        <v/>
      </c>
      <c r="J1075" s="61">
        <f t="shared" si="118"/>
        <v>0</v>
      </c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</row>
    <row r="1076" spans="1:36" x14ac:dyDescent="0.2">
      <c r="A1076" s="61">
        <f t="shared" si="112"/>
        <v>0</v>
      </c>
      <c r="B1076" s="55">
        <f t="shared" si="113"/>
        <v>0</v>
      </c>
      <c r="C1076" s="55"/>
      <c r="D1076" s="55"/>
      <c r="E1076" s="55">
        <f t="shared" si="114"/>
        <v>0</v>
      </c>
      <c r="F1076" s="55">
        <f t="shared" si="115"/>
        <v>0</v>
      </c>
      <c r="G1076" s="55">
        <f t="shared" si="116"/>
        <v>0</v>
      </c>
      <c r="H1076" s="55" t="str">
        <f t="shared" si="117"/>
        <v/>
      </c>
      <c r="J1076" s="61">
        <f t="shared" si="118"/>
        <v>0</v>
      </c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  <c r="AH1076" s="55"/>
      <c r="AI1076" s="55"/>
      <c r="AJ1076" s="55"/>
    </row>
    <row r="1077" spans="1:36" x14ac:dyDescent="0.2">
      <c r="A1077" s="61">
        <f t="shared" si="112"/>
        <v>0</v>
      </c>
      <c r="B1077" s="55">
        <f t="shared" si="113"/>
        <v>0</v>
      </c>
      <c r="C1077" s="55"/>
      <c r="D1077" s="55"/>
      <c r="E1077" s="55">
        <f t="shared" si="114"/>
        <v>0</v>
      </c>
      <c r="F1077" s="55">
        <f t="shared" si="115"/>
        <v>0</v>
      </c>
      <c r="G1077" s="55">
        <f t="shared" si="116"/>
        <v>0</v>
      </c>
      <c r="H1077" s="55" t="str">
        <f t="shared" si="117"/>
        <v/>
      </c>
      <c r="J1077" s="61">
        <f t="shared" si="118"/>
        <v>0</v>
      </c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  <c r="AH1077" s="55"/>
      <c r="AI1077" s="55"/>
      <c r="AJ1077" s="55"/>
    </row>
    <row r="1078" spans="1:36" x14ac:dyDescent="0.2">
      <c r="A1078" s="61">
        <f t="shared" si="112"/>
        <v>0</v>
      </c>
      <c r="B1078" s="55">
        <f t="shared" si="113"/>
        <v>0</v>
      </c>
      <c r="C1078" s="55"/>
      <c r="D1078" s="55"/>
      <c r="E1078" s="55">
        <f t="shared" si="114"/>
        <v>0</v>
      </c>
      <c r="F1078" s="55">
        <f t="shared" si="115"/>
        <v>0</v>
      </c>
      <c r="G1078" s="55">
        <f t="shared" si="116"/>
        <v>0</v>
      </c>
      <c r="H1078" s="55" t="str">
        <f t="shared" si="117"/>
        <v/>
      </c>
      <c r="J1078" s="61">
        <f t="shared" si="118"/>
        <v>0</v>
      </c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</row>
    <row r="1079" spans="1:36" x14ac:dyDescent="0.2">
      <c r="A1079" s="61">
        <f t="shared" si="112"/>
        <v>0</v>
      </c>
      <c r="B1079" s="55">
        <f t="shared" si="113"/>
        <v>0</v>
      </c>
      <c r="C1079" s="55"/>
      <c r="D1079" s="55"/>
      <c r="E1079" s="55">
        <f t="shared" si="114"/>
        <v>0</v>
      </c>
      <c r="F1079" s="55">
        <f t="shared" si="115"/>
        <v>0</v>
      </c>
      <c r="G1079" s="55">
        <f t="shared" si="116"/>
        <v>0</v>
      </c>
      <c r="H1079" s="55" t="str">
        <f t="shared" si="117"/>
        <v/>
      </c>
      <c r="J1079" s="61">
        <f t="shared" si="118"/>
        <v>0</v>
      </c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  <c r="AH1079" s="55"/>
      <c r="AI1079" s="55"/>
      <c r="AJ1079" s="55"/>
    </row>
    <row r="1080" spans="1:36" x14ac:dyDescent="0.2">
      <c r="A1080" s="61">
        <f t="shared" si="112"/>
        <v>0</v>
      </c>
      <c r="B1080" s="55">
        <f t="shared" si="113"/>
        <v>0</v>
      </c>
      <c r="C1080" s="55"/>
      <c r="D1080" s="55"/>
      <c r="E1080" s="55">
        <f t="shared" si="114"/>
        <v>0</v>
      </c>
      <c r="F1080" s="55">
        <f t="shared" si="115"/>
        <v>0</v>
      </c>
      <c r="G1080" s="55">
        <f t="shared" si="116"/>
        <v>0</v>
      </c>
      <c r="H1080" s="55" t="str">
        <f t="shared" si="117"/>
        <v/>
      </c>
      <c r="J1080" s="61">
        <f t="shared" si="118"/>
        <v>0</v>
      </c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  <c r="AH1080" s="55"/>
      <c r="AI1080" s="55"/>
      <c r="AJ1080" s="55"/>
    </row>
    <row r="1081" spans="1:36" x14ac:dyDescent="0.2">
      <c r="A1081" s="61">
        <f t="shared" si="112"/>
        <v>0</v>
      </c>
      <c r="B1081" s="55">
        <f t="shared" si="113"/>
        <v>0</v>
      </c>
      <c r="C1081" s="55"/>
      <c r="D1081" s="55"/>
      <c r="E1081" s="55">
        <f t="shared" si="114"/>
        <v>0</v>
      </c>
      <c r="F1081" s="55">
        <f t="shared" si="115"/>
        <v>0</v>
      </c>
      <c r="G1081" s="55">
        <f t="shared" si="116"/>
        <v>0</v>
      </c>
      <c r="H1081" s="55" t="str">
        <f t="shared" si="117"/>
        <v/>
      </c>
      <c r="J1081" s="61">
        <f t="shared" si="118"/>
        <v>0</v>
      </c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</row>
    <row r="1082" spans="1:36" x14ac:dyDescent="0.2">
      <c r="A1082" s="61">
        <f t="shared" si="112"/>
        <v>0</v>
      </c>
      <c r="B1082" s="55">
        <f t="shared" si="113"/>
        <v>0</v>
      </c>
      <c r="C1082" s="55"/>
      <c r="D1082" s="55"/>
      <c r="E1082" s="55">
        <f t="shared" si="114"/>
        <v>0</v>
      </c>
      <c r="F1082" s="55">
        <f t="shared" si="115"/>
        <v>0</v>
      </c>
      <c r="G1082" s="55">
        <f t="shared" si="116"/>
        <v>0</v>
      </c>
      <c r="H1082" s="55" t="str">
        <f t="shared" si="117"/>
        <v/>
      </c>
      <c r="J1082" s="61">
        <f t="shared" si="118"/>
        <v>0</v>
      </c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  <c r="AH1082" s="55"/>
      <c r="AI1082" s="55"/>
      <c r="AJ1082" s="55"/>
    </row>
    <row r="1083" spans="1:36" x14ac:dyDescent="0.2">
      <c r="A1083" s="61">
        <f t="shared" si="112"/>
        <v>0</v>
      </c>
      <c r="B1083" s="55">
        <f t="shared" si="113"/>
        <v>0</v>
      </c>
      <c r="C1083" s="55"/>
      <c r="D1083" s="55"/>
      <c r="E1083" s="55">
        <f t="shared" si="114"/>
        <v>0</v>
      </c>
      <c r="F1083" s="55">
        <f t="shared" si="115"/>
        <v>0</v>
      </c>
      <c r="G1083" s="55">
        <f t="shared" si="116"/>
        <v>0</v>
      </c>
      <c r="H1083" s="55" t="str">
        <f t="shared" si="117"/>
        <v/>
      </c>
      <c r="J1083" s="61">
        <f t="shared" si="118"/>
        <v>0</v>
      </c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  <c r="AH1083" s="55"/>
      <c r="AI1083" s="55"/>
      <c r="AJ1083" s="55"/>
    </row>
    <row r="1084" spans="1:36" x14ac:dyDescent="0.2">
      <c r="A1084" s="61">
        <f t="shared" si="112"/>
        <v>0</v>
      </c>
      <c r="B1084" s="55">
        <f t="shared" si="113"/>
        <v>0</v>
      </c>
      <c r="C1084" s="55"/>
      <c r="D1084" s="55"/>
      <c r="E1084" s="55">
        <f t="shared" si="114"/>
        <v>0</v>
      </c>
      <c r="F1084" s="55">
        <f t="shared" si="115"/>
        <v>0</v>
      </c>
      <c r="G1084" s="55">
        <f t="shared" si="116"/>
        <v>0</v>
      </c>
      <c r="H1084" s="55" t="str">
        <f t="shared" si="117"/>
        <v/>
      </c>
      <c r="J1084" s="61">
        <f t="shared" si="118"/>
        <v>0</v>
      </c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  <c r="AH1084" s="55"/>
      <c r="AI1084" s="55"/>
      <c r="AJ1084" s="55"/>
    </row>
    <row r="1085" spans="1:36" x14ac:dyDescent="0.2">
      <c r="A1085" s="61">
        <f t="shared" si="112"/>
        <v>0</v>
      </c>
      <c r="B1085" s="55">
        <f t="shared" si="113"/>
        <v>0</v>
      </c>
      <c r="C1085" s="55"/>
      <c r="D1085" s="55"/>
      <c r="E1085" s="55">
        <f t="shared" si="114"/>
        <v>0</v>
      </c>
      <c r="F1085" s="55">
        <f t="shared" si="115"/>
        <v>0</v>
      </c>
      <c r="G1085" s="55">
        <f t="shared" si="116"/>
        <v>0</v>
      </c>
      <c r="H1085" s="55" t="str">
        <f t="shared" si="117"/>
        <v/>
      </c>
      <c r="J1085" s="61">
        <f t="shared" si="118"/>
        <v>0</v>
      </c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  <c r="AH1085" s="55"/>
      <c r="AI1085" s="55"/>
      <c r="AJ1085" s="55"/>
    </row>
    <row r="1086" spans="1:36" x14ac:dyDescent="0.2">
      <c r="A1086" s="61">
        <f t="shared" si="112"/>
        <v>0</v>
      </c>
      <c r="B1086" s="55">
        <f t="shared" si="113"/>
        <v>0</v>
      </c>
      <c r="C1086" s="55"/>
      <c r="D1086" s="55"/>
      <c r="E1086" s="55">
        <f t="shared" si="114"/>
        <v>0</v>
      </c>
      <c r="F1086" s="55">
        <f t="shared" si="115"/>
        <v>0</v>
      </c>
      <c r="G1086" s="55">
        <f t="shared" si="116"/>
        <v>0</v>
      </c>
      <c r="H1086" s="55" t="str">
        <f t="shared" si="117"/>
        <v/>
      </c>
      <c r="J1086" s="61">
        <f t="shared" si="118"/>
        <v>0</v>
      </c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  <c r="AH1086" s="55"/>
      <c r="AI1086" s="55"/>
      <c r="AJ1086" s="55"/>
    </row>
    <row r="1087" spans="1:36" x14ac:dyDescent="0.2">
      <c r="A1087" s="61">
        <f t="shared" si="112"/>
        <v>0</v>
      </c>
      <c r="B1087" s="55">
        <f t="shared" si="113"/>
        <v>0</v>
      </c>
      <c r="C1087" s="55"/>
      <c r="D1087" s="55"/>
      <c r="E1087" s="55">
        <f t="shared" si="114"/>
        <v>0</v>
      </c>
      <c r="F1087" s="55">
        <f t="shared" si="115"/>
        <v>0</v>
      </c>
      <c r="G1087" s="55">
        <f t="shared" si="116"/>
        <v>0</v>
      </c>
      <c r="H1087" s="55" t="str">
        <f t="shared" si="117"/>
        <v/>
      </c>
      <c r="J1087" s="61">
        <f t="shared" si="118"/>
        <v>0</v>
      </c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  <c r="AH1087" s="55"/>
      <c r="AI1087" s="55"/>
      <c r="AJ1087" s="55"/>
    </row>
    <row r="1088" spans="1:36" x14ac:dyDescent="0.2">
      <c r="A1088" s="61">
        <f t="shared" si="112"/>
        <v>0</v>
      </c>
      <c r="B1088" s="55">
        <f t="shared" si="113"/>
        <v>0</v>
      </c>
      <c r="C1088" s="55"/>
      <c r="D1088" s="55"/>
      <c r="E1088" s="55">
        <f t="shared" si="114"/>
        <v>0</v>
      </c>
      <c r="F1088" s="55">
        <f t="shared" si="115"/>
        <v>0</v>
      </c>
      <c r="G1088" s="55">
        <f t="shared" si="116"/>
        <v>0</v>
      </c>
      <c r="H1088" s="55" t="str">
        <f t="shared" si="117"/>
        <v/>
      </c>
      <c r="J1088" s="61">
        <f t="shared" si="118"/>
        <v>0</v>
      </c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  <c r="AH1088" s="55"/>
      <c r="AI1088" s="55"/>
      <c r="AJ1088" s="55"/>
    </row>
    <row r="1089" spans="1:36" x14ac:dyDescent="0.2">
      <c r="A1089" s="61">
        <f t="shared" si="112"/>
        <v>0</v>
      </c>
      <c r="B1089" s="55">
        <f t="shared" si="113"/>
        <v>0</v>
      </c>
      <c r="C1089" s="55"/>
      <c r="D1089" s="55"/>
      <c r="E1089" s="55">
        <f t="shared" si="114"/>
        <v>0</v>
      </c>
      <c r="F1089" s="55">
        <f t="shared" si="115"/>
        <v>0</v>
      </c>
      <c r="G1089" s="55">
        <f t="shared" si="116"/>
        <v>0</v>
      </c>
      <c r="H1089" s="55" t="str">
        <f t="shared" si="117"/>
        <v/>
      </c>
      <c r="J1089" s="61">
        <f t="shared" si="118"/>
        <v>0</v>
      </c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  <c r="AH1089" s="55"/>
      <c r="AI1089" s="55"/>
      <c r="AJ1089" s="55"/>
    </row>
    <row r="1090" spans="1:36" x14ac:dyDescent="0.2">
      <c r="A1090" s="61">
        <f t="shared" ref="A1090:A1153" si="119">J1090</f>
        <v>0</v>
      </c>
      <c r="B1090" s="55">
        <f t="shared" ref="B1090:B1153" si="120">M1090</f>
        <v>0</v>
      </c>
      <c r="C1090" s="55"/>
      <c r="D1090" s="55"/>
      <c r="E1090" s="55">
        <f t="shared" ref="E1090:E1153" si="121">V1090</f>
        <v>0</v>
      </c>
      <c r="F1090" s="55">
        <f t="shared" ref="F1090:F1153" si="122">Z1090</f>
        <v>0</v>
      </c>
      <c r="G1090" s="55">
        <f t="shared" ref="G1090:G1153" si="123">AH1090</f>
        <v>0</v>
      </c>
      <c r="H1090" s="55" t="str">
        <f t="shared" ref="H1090:H1153" si="124">IF(Q1090&gt;1,IF(Q1090=2,"I","E"),"")</f>
        <v/>
      </c>
      <c r="J1090" s="61">
        <f t="shared" ref="J1090:J1153" si="125">P1090*1</f>
        <v>0</v>
      </c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  <c r="AH1090" s="55"/>
      <c r="AI1090" s="55"/>
      <c r="AJ1090" s="55"/>
    </row>
    <row r="1091" spans="1:36" x14ac:dyDescent="0.2">
      <c r="A1091" s="61">
        <f t="shared" si="119"/>
        <v>0</v>
      </c>
      <c r="B1091" s="55">
        <f t="shared" si="120"/>
        <v>0</v>
      </c>
      <c r="C1091" s="55"/>
      <c r="D1091" s="55"/>
      <c r="E1091" s="55">
        <f t="shared" si="121"/>
        <v>0</v>
      </c>
      <c r="F1091" s="55">
        <f t="shared" si="122"/>
        <v>0</v>
      </c>
      <c r="G1091" s="55">
        <f t="shared" si="123"/>
        <v>0</v>
      </c>
      <c r="H1091" s="55" t="str">
        <f t="shared" si="124"/>
        <v/>
      </c>
      <c r="J1091" s="61">
        <f t="shared" si="125"/>
        <v>0</v>
      </c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  <c r="AH1091" s="55"/>
      <c r="AI1091" s="55"/>
      <c r="AJ1091" s="55"/>
    </row>
    <row r="1092" spans="1:36" x14ac:dyDescent="0.2">
      <c r="A1092" s="61">
        <f t="shared" si="119"/>
        <v>0</v>
      </c>
      <c r="B1092" s="55">
        <f t="shared" si="120"/>
        <v>0</v>
      </c>
      <c r="C1092" s="55"/>
      <c r="D1092" s="55"/>
      <c r="E1092" s="55">
        <f t="shared" si="121"/>
        <v>0</v>
      </c>
      <c r="F1092" s="55">
        <f t="shared" si="122"/>
        <v>0</v>
      </c>
      <c r="G1092" s="55">
        <f t="shared" si="123"/>
        <v>0</v>
      </c>
      <c r="H1092" s="55" t="str">
        <f t="shared" si="124"/>
        <v/>
      </c>
      <c r="J1092" s="61">
        <f t="shared" si="125"/>
        <v>0</v>
      </c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  <c r="AH1092" s="55"/>
      <c r="AI1092" s="55"/>
      <c r="AJ1092" s="55"/>
    </row>
    <row r="1093" spans="1:36" x14ac:dyDescent="0.2">
      <c r="A1093" s="61">
        <f t="shared" si="119"/>
        <v>0</v>
      </c>
      <c r="B1093" s="55">
        <f t="shared" si="120"/>
        <v>0</v>
      </c>
      <c r="C1093" s="55"/>
      <c r="D1093" s="55"/>
      <c r="E1093" s="55">
        <f t="shared" si="121"/>
        <v>0</v>
      </c>
      <c r="F1093" s="55">
        <f t="shared" si="122"/>
        <v>0</v>
      </c>
      <c r="G1093" s="55">
        <f t="shared" si="123"/>
        <v>0</v>
      </c>
      <c r="H1093" s="55" t="str">
        <f t="shared" si="124"/>
        <v/>
      </c>
      <c r="J1093" s="61">
        <f t="shared" si="125"/>
        <v>0</v>
      </c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  <c r="AH1093" s="55"/>
      <c r="AI1093" s="55"/>
      <c r="AJ1093" s="55"/>
    </row>
    <row r="1094" spans="1:36" x14ac:dyDescent="0.2">
      <c r="A1094" s="61">
        <f t="shared" si="119"/>
        <v>0</v>
      </c>
      <c r="B1094" s="55">
        <f t="shared" si="120"/>
        <v>0</v>
      </c>
      <c r="C1094" s="55"/>
      <c r="D1094" s="55"/>
      <c r="E1094" s="55">
        <f t="shared" si="121"/>
        <v>0</v>
      </c>
      <c r="F1094" s="55">
        <f t="shared" si="122"/>
        <v>0</v>
      </c>
      <c r="G1094" s="55">
        <f t="shared" si="123"/>
        <v>0</v>
      </c>
      <c r="H1094" s="55" t="str">
        <f t="shared" si="124"/>
        <v/>
      </c>
      <c r="J1094" s="61">
        <f t="shared" si="125"/>
        <v>0</v>
      </c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</row>
    <row r="1095" spans="1:36" x14ac:dyDescent="0.2">
      <c r="A1095" s="61">
        <f t="shared" si="119"/>
        <v>0</v>
      </c>
      <c r="B1095" s="55">
        <f t="shared" si="120"/>
        <v>0</v>
      </c>
      <c r="C1095" s="55"/>
      <c r="D1095" s="55"/>
      <c r="E1095" s="55">
        <f t="shared" si="121"/>
        <v>0</v>
      </c>
      <c r="F1095" s="55">
        <f t="shared" si="122"/>
        <v>0</v>
      </c>
      <c r="G1095" s="55">
        <f t="shared" si="123"/>
        <v>0</v>
      </c>
      <c r="H1095" s="55" t="str">
        <f t="shared" si="124"/>
        <v/>
      </c>
      <c r="J1095" s="61">
        <f t="shared" si="125"/>
        <v>0</v>
      </c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  <c r="AH1095" s="55"/>
      <c r="AI1095" s="55"/>
      <c r="AJ1095" s="55"/>
    </row>
    <row r="1096" spans="1:36" x14ac:dyDescent="0.2">
      <c r="A1096" s="61">
        <f t="shared" si="119"/>
        <v>0</v>
      </c>
      <c r="B1096" s="55">
        <f t="shared" si="120"/>
        <v>0</v>
      </c>
      <c r="C1096" s="55"/>
      <c r="D1096" s="55"/>
      <c r="E1096" s="55">
        <f t="shared" si="121"/>
        <v>0</v>
      </c>
      <c r="F1096" s="55">
        <f t="shared" si="122"/>
        <v>0</v>
      </c>
      <c r="G1096" s="55">
        <f t="shared" si="123"/>
        <v>0</v>
      </c>
      <c r="H1096" s="55" t="str">
        <f t="shared" si="124"/>
        <v/>
      </c>
      <c r="J1096" s="61">
        <f t="shared" si="125"/>
        <v>0</v>
      </c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</row>
    <row r="1097" spans="1:36" x14ac:dyDescent="0.2">
      <c r="A1097" s="61">
        <f t="shared" si="119"/>
        <v>0</v>
      </c>
      <c r="B1097" s="55">
        <f t="shared" si="120"/>
        <v>0</v>
      </c>
      <c r="C1097" s="55"/>
      <c r="D1097" s="55"/>
      <c r="E1097" s="55">
        <f t="shared" si="121"/>
        <v>0</v>
      </c>
      <c r="F1097" s="55">
        <f t="shared" si="122"/>
        <v>0</v>
      </c>
      <c r="G1097" s="55">
        <f t="shared" si="123"/>
        <v>0</v>
      </c>
      <c r="H1097" s="55" t="str">
        <f t="shared" si="124"/>
        <v/>
      </c>
      <c r="J1097" s="61">
        <f t="shared" si="125"/>
        <v>0</v>
      </c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  <c r="AH1097" s="55"/>
      <c r="AI1097" s="55"/>
      <c r="AJ1097" s="55"/>
    </row>
    <row r="1098" spans="1:36" x14ac:dyDescent="0.2">
      <c r="A1098" s="61">
        <f t="shared" si="119"/>
        <v>0</v>
      </c>
      <c r="B1098" s="55">
        <f t="shared" si="120"/>
        <v>0</v>
      </c>
      <c r="C1098" s="55"/>
      <c r="D1098" s="55"/>
      <c r="E1098" s="55">
        <f t="shared" si="121"/>
        <v>0</v>
      </c>
      <c r="F1098" s="55">
        <f t="shared" si="122"/>
        <v>0</v>
      </c>
      <c r="G1098" s="55">
        <f t="shared" si="123"/>
        <v>0</v>
      </c>
      <c r="H1098" s="55" t="str">
        <f t="shared" si="124"/>
        <v/>
      </c>
      <c r="J1098" s="61">
        <f t="shared" si="125"/>
        <v>0</v>
      </c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</row>
    <row r="1099" spans="1:36" x14ac:dyDescent="0.2">
      <c r="A1099" s="61">
        <f t="shared" si="119"/>
        <v>0</v>
      </c>
      <c r="B1099" s="55">
        <f t="shared" si="120"/>
        <v>0</v>
      </c>
      <c r="C1099" s="55"/>
      <c r="D1099" s="55"/>
      <c r="E1099" s="55">
        <f t="shared" si="121"/>
        <v>0</v>
      </c>
      <c r="F1099" s="55">
        <f t="shared" si="122"/>
        <v>0</v>
      </c>
      <c r="G1099" s="55">
        <f t="shared" si="123"/>
        <v>0</v>
      </c>
      <c r="H1099" s="55" t="str">
        <f t="shared" si="124"/>
        <v/>
      </c>
      <c r="J1099" s="61">
        <f t="shared" si="125"/>
        <v>0</v>
      </c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  <c r="AH1099" s="55"/>
      <c r="AI1099" s="55"/>
      <c r="AJ1099" s="55"/>
    </row>
    <row r="1100" spans="1:36" x14ac:dyDescent="0.2">
      <c r="A1100" s="61">
        <f t="shared" si="119"/>
        <v>0</v>
      </c>
      <c r="B1100" s="55">
        <f t="shared" si="120"/>
        <v>0</v>
      </c>
      <c r="C1100" s="55"/>
      <c r="D1100" s="55"/>
      <c r="E1100" s="55">
        <f t="shared" si="121"/>
        <v>0</v>
      </c>
      <c r="F1100" s="55">
        <f t="shared" si="122"/>
        <v>0</v>
      </c>
      <c r="G1100" s="55">
        <f t="shared" si="123"/>
        <v>0</v>
      </c>
      <c r="H1100" s="55" t="str">
        <f t="shared" si="124"/>
        <v/>
      </c>
      <c r="J1100" s="61">
        <f t="shared" si="125"/>
        <v>0</v>
      </c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</row>
    <row r="1101" spans="1:36" x14ac:dyDescent="0.2">
      <c r="A1101" s="61">
        <f t="shared" si="119"/>
        <v>0</v>
      </c>
      <c r="B1101" s="55">
        <f t="shared" si="120"/>
        <v>0</v>
      </c>
      <c r="C1101" s="55"/>
      <c r="D1101" s="55"/>
      <c r="E1101" s="55">
        <f t="shared" si="121"/>
        <v>0</v>
      </c>
      <c r="F1101" s="55">
        <f t="shared" si="122"/>
        <v>0</v>
      </c>
      <c r="G1101" s="55">
        <f t="shared" si="123"/>
        <v>0</v>
      </c>
      <c r="H1101" s="55" t="str">
        <f t="shared" si="124"/>
        <v/>
      </c>
      <c r="J1101" s="61">
        <f t="shared" si="125"/>
        <v>0</v>
      </c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</row>
    <row r="1102" spans="1:36" x14ac:dyDescent="0.2">
      <c r="A1102" s="61">
        <f t="shared" si="119"/>
        <v>0</v>
      </c>
      <c r="B1102" s="55">
        <f t="shared" si="120"/>
        <v>0</v>
      </c>
      <c r="C1102" s="55"/>
      <c r="D1102" s="55"/>
      <c r="E1102" s="55">
        <f t="shared" si="121"/>
        <v>0</v>
      </c>
      <c r="F1102" s="55">
        <f t="shared" si="122"/>
        <v>0</v>
      </c>
      <c r="G1102" s="55">
        <f t="shared" si="123"/>
        <v>0</v>
      </c>
      <c r="H1102" s="55" t="str">
        <f t="shared" si="124"/>
        <v/>
      </c>
      <c r="J1102" s="61">
        <f t="shared" si="125"/>
        <v>0</v>
      </c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</row>
    <row r="1103" spans="1:36" x14ac:dyDescent="0.2">
      <c r="A1103" s="61">
        <f t="shared" si="119"/>
        <v>0</v>
      </c>
      <c r="B1103" s="55">
        <f t="shared" si="120"/>
        <v>0</v>
      </c>
      <c r="C1103" s="55"/>
      <c r="D1103" s="55"/>
      <c r="E1103" s="55">
        <f t="shared" si="121"/>
        <v>0</v>
      </c>
      <c r="F1103" s="55">
        <f t="shared" si="122"/>
        <v>0</v>
      </c>
      <c r="G1103" s="55">
        <f t="shared" si="123"/>
        <v>0</v>
      </c>
      <c r="H1103" s="55" t="str">
        <f t="shared" si="124"/>
        <v/>
      </c>
      <c r="J1103" s="61">
        <f t="shared" si="125"/>
        <v>0</v>
      </c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</row>
    <row r="1104" spans="1:36" x14ac:dyDescent="0.2">
      <c r="A1104" s="61">
        <f t="shared" si="119"/>
        <v>0</v>
      </c>
      <c r="B1104" s="55">
        <f t="shared" si="120"/>
        <v>0</v>
      </c>
      <c r="C1104" s="55"/>
      <c r="D1104" s="55"/>
      <c r="E1104" s="55">
        <f t="shared" si="121"/>
        <v>0</v>
      </c>
      <c r="F1104" s="55">
        <f t="shared" si="122"/>
        <v>0</v>
      </c>
      <c r="G1104" s="55">
        <f t="shared" si="123"/>
        <v>0</v>
      </c>
      <c r="H1104" s="55" t="str">
        <f t="shared" si="124"/>
        <v/>
      </c>
      <c r="J1104" s="61">
        <f t="shared" si="125"/>
        <v>0</v>
      </c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  <c r="AH1104" s="55"/>
      <c r="AI1104" s="55"/>
      <c r="AJ1104" s="55"/>
    </row>
    <row r="1105" spans="1:36" x14ac:dyDescent="0.2">
      <c r="A1105" s="61">
        <f t="shared" si="119"/>
        <v>0</v>
      </c>
      <c r="B1105" s="55">
        <f t="shared" si="120"/>
        <v>0</v>
      </c>
      <c r="C1105" s="55"/>
      <c r="D1105" s="55"/>
      <c r="E1105" s="55">
        <f t="shared" si="121"/>
        <v>0</v>
      </c>
      <c r="F1105" s="55">
        <f t="shared" si="122"/>
        <v>0</v>
      </c>
      <c r="G1105" s="55">
        <f t="shared" si="123"/>
        <v>0</v>
      </c>
      <c r="H1105" s="55" t="str">
        <f t="shared" si="124"/>
        <v/>
      </c>
      <c r="J1105" s="61">
        <f t="shared" si="125"/>
        <v>0</v>
      </c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  <c r="AH1105" s="55"/>
      <c r="AI1105" s="55"/>
      <c r="AJ1105" s="55"/>
    </row>
    <row r="1106" spans="1:36" x14ac:dyDescent="0.2">
      <c r="A1106" s="61">
        <f t="shared" si="119"/>
        <v>0</v>
      </c>
      <c r="B1106" s="55">
        <f t="shared" si="120"/>
        <v>0</v>
      </c>
      <c r="C1106" s="55"/>
      <c r="D1106" s="55"/>
      <c r="E1106" s="55">
        <f t="shared" si="121"/>
        <v>0</v>
      </c>
      <c r="F1106" s="55">
        <f t="shared" si="122"/>
        <v>0</v>
      </c>
      <c r="G1106" s="55">
        <f t="shared" si="123"/>
        <v>0</v>
      </c>
      <c r="H1106" s="55" t="str">
        <f t="shared" si="124"/>
        <v/>
      </c>
      <c r="J1106" s="61">
        <f t="shared" si="125"/>
        <v>0</v>
      </c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  <c r="AH1106" s="55"/>
      <c r="AI1106" s="55"/>
      <c r="AJ1106" s="55"/>
    </row>
    <row r="1107" spans="1:36" x14ac:dyDescent="0.2">
      <c r="A1107" s="61">
        <f t="shared" si="119"/>
        <v>0</v>
      </c>
      <c r="B1107" s="55">
        <f t="shared" si="120"/>
        <v>0</v>
      </c>
      <c r="C1107" s="55"/>
      <c r="D1107" s="55"/>
      <c r="E1107" s="55">
        <f t="shared" si="121"/>
        <v>0</v>
      </c>
      <c r="F1107" s="55">
        <f t="shared" si="122"/>
        <v>0</v>
      </c>
      <c r="G1107" s="55">
        <f t="shared" si="123"/>
        <v>0</v>
      </c>
      <c r="H1107" s="55" t="str">
        <f t="shared" si="124"/>
        <v/>
      </c>
      <c r="J1107" s="61">
        <f t="shared" si="125"/>
        <v>0</v>
      </c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  <c r="AH1107" s="55"/>
      <c r="AI1107" s="55"/>
      <c r="AJ1107" s="55"/>
    </row>
    <row r="1108" spans="1:36" x14ac:dyDescent="0.2">
      <c r="A1108" s="61">
        <f t="shared" si="119"/>
        <v>0</v>
      </c>
      <c r="B1108" s="55">
        <f t="shared" si="120"/>
        <v>0</v>
      </c>
      <c r="C1108" s="55"/>
      <c r="D1108" s="55"/>
      <c r="E1108" s="55">
        <f t="shared" si="121"/>
        <v>0</v>
      </c>
      <c r="F1108" s="55">
        <f t="shared" si="122"/>
        <v>0</v>
      </c>
      <c r="G1108" s="55">
        <f t="shared" si="123"/>
        <v>0</v>
      </c>
      <c r="H1108" s="55" t="str">
        <f t="shared" si="124"/>
        <v/>
      </c>
      <c r="J1108" s="61">
        <f t="shared" si="125"/>
        <v>0</v>
      </c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</row>
    <row r="1109" spans="1:36" x14ac:dyDescent="0.2">
      <c r="A1109" s="61">
        <f t="shared" si="119"/>
        <v>0</v>
      </c>
      <c r="B1109" s="55">
        <f t="shared" si="120"/>
        <v>0</v>
      </c>
      <c r="C1109" s="55"/>
      <c r="D1109" s="55"/>
      <c r="E1109" s="55">
        <f t="shared" si="121"/>
        <v>0</v>
      </c>
      <c r="F1109" s="55">
        <f t="shared" si="122"/>
        <v>0</v>
      </c>
      <c r="G1109" s="55">
        <f t="shared" si="123"/>
        <v>0</v>
      </c>
      <c r="H1109" s="55" t="str">
        <f t="shared" si="124"/>
        <v/>
      </c>
      <c r="J1109" s="61">
        <f t="shared" si="125"/>
        <v>0</v>
      </c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55"/>
    </row>
    <row r="1110" spans="1:36" x14ac:dyDescent="0.2">
      <c r="A1110" s="61">
        <f t="shared" si="119"/>
        <v>0</v>
      </c>
      <c r="B1110" s="55">
        <f t="shared" si="120"/>
        <v>0</v>
      </c>
      <c r="C1110" s="55"/>
      <c r="D1110" s="55"/>
      <c r="E1110" s="55">
        <f t="shared" si="121"/>
        <v>0</v>
      </c>
      <c r="F1110" s="55">
        <f t="shared" si="122"/>
        <v>0</v>
      </c>
      <c r="G1110" s="55">
        <f t="shared" si="123"/>
        <v>0</v>
      </c>
      <c r="H1110" s="55" t="str">
        <f t="shared" si="124"/>
        <v/>
      </c>
      <c r="J1110" s="61">
        <f t="shared" si="125"/>
        <v>0</v>
      </c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</row>
    <row r="1111" spans="1:36" x14ac:dyDescent="0.2">
      <c r="A1111" s="61">
        <f t="shared" si="119"/>
        <v>0</v>
      </c>
      <c r="B1111" s="55">
        <f t="shared" si="120"/>
        <v>0</v>
      </c>
      <c r="C1111" s="55"/>
      <c r="D1111" s="55"/>
      <c r="E1111" s="55">
        <f t="shared" si="121"/>
        <v>0</v>
      </c>
      <c r="F1111" s="55">
        <f t="shared" si="122"/>
        <v>0</v>
      </c>
      <c r="G1111" s="55">
        <f t="shared" si="123"/>
        <v>0</v>
      </c>
      <c r="H1111" s="55" t="str">
        <f t="shared" si="124"/>
        <v/>
      </c>
      <c r="J1111" s="61">
        <f t="shared" si="125"/>
        <v>0</v>
      </c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</row>
    <row r="1112" spans="1:36" x14ac:dyDescent="0.2">
      <c r="A1112" s="61">
        <f t="shared" si="119"/>
        <v>0</v>
      </c>
      <c r="B1112" s="55">
        <f t="shared" si="120"/>
        <v>0</v>
      </c>
      <c r="C1112" s="55"/>
      <c r="D1112" s="55"/>
      <c r="E1112" s="55">
        <f t="shared" si="121"/>
        <v>0</v>
      </c>
      <c r="F1112" s="55">
        <f t="shared" si="122"/>
        <v>0</v>
      </c>
      <c r="G1112" s="55">
        <f t="shared" si="123"/>
        <v>0</v>
      </c>
      <c r="H1112" s="55" t="str">
        <f t="shared" si="124"/>
        <v/>
      </c>
      <c r="J1112" s="61">
        <f t="shared" si="125"/>
        <v>0</v>
      </c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  <c r="AH1112" s="55"/>
      <c r="AI1112" s="55"/>
      <c r="AJ1112" s="55"/>
    </row>
    <row r="1113" spans="1:36" x14ac:dyDescent="0.2">
      <c r="A1113" s="61">
        <f t="shared" si="119"/>
        <v>0</v>
      </c>
      <c r="B1113" s="55">
        <f t="shared" si="120"/>
        <v>0</v>
      </c>
      <c r="C1113" s="55"/>
      <c r="D1113" s="55"/>
      <c r="E1113" s="55">
        <f t="shared" si="121"/>
        <v>0</v>
      </c>
      <c r="F1113" s="55">
        <f t="shared" si="122"/>
        <v>0</v>
      </c>
      <c r="G1113" s="55">
        <f t="shared" si="123"/>
        <v>0</v>
      </c>
      <c r="H1113" s="55" t="str">
        <f t="shared" si="124"/>
        <v/>
      </c>
      <c r="J1113" s="61">
        <f t="shared" si="125"/>
        <v>0</v>
      </c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  <c r="AH1113" s="55"/>
      <c r="AI1113" s="55"/>
      <c r="AJ1113" s="55"/>
    </row>
    <row r="1114" spans="1:36" x14ac:dyDescent="0.2">
      <c r="A1114" s="61">
        <f t="shared" si="119"/>
        <v>0</v>
      </c>
      <c r="B1114" s="55">
        <f t="shared" si="120"/>
        <v>0</v>
      </c>
      <c r="C1114" s="55"/>
      <c r="D1114" s="55"/>
      <c r="E1114" s="55">
        <f t="shared" si="121"/>
        <v>0</v>
      </c>
      <c r="F1114" s="55">
        <f t="shared" si="122"/>
        <v>0</v>
      </c>
      <c r="G1114" s="55">
        <f t="shared" si="123"/>
        <v>0</v>
      </c>
      <c r="H1114" s="55" t="str">
        <f t="shared" si="124"/>
        <v/>
      </c>
      <c r="J1114" s="61">
        <f t="shared" si="125"/>
        <v>0</v>
      </c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  <c r="AH1114" s="55"/>
      <c r="AI1114" s="55"/>
      <c r="AJ1114" s="55"/>
    </row>
    <row r="1115" spans="1:36" x14ac:dyDescent="0.2">
      <c r="A1115" s="61">
        <f t="shared" si="119"/>
        <v>0</v>
      </c>
      <c r="B1115" s="55">
        <f t="shared" si="120"/>
        <v>0</v>
      </c>
      <c r="C1115" s="55"/>
      <c r="D1115" s="55"/>
      <c r="E1115" s="55">
        <f t="shared" si="121"/>
        <v>0</v>
      </c>
      <c r="F1115" s="55">
        <f t="shared" si="122"/>
        <v>0</v>
      </c>
      <c r="G1115" s="55">
        <f t="shared" si="123"/>
        <v>0</v>
      </c>
      <c r="H1115" s="55" t="str">
        <f t="shared" si="124"/>
        <v/>
      </c>
      <c r="J1115" s="61">
        <f t="shared" si="125"/>
        <v>0</v>
      </c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</row>
    <row r="1116" spans="1:36" x14ac:dyDescent="0.2">
      <c r="A1116" s="61">
        <f t="shared" si="119"/>
        <v>0</v>
      </c>
      <c r="B1116" s="55">
        <f t="shared" si="120"/>
        <v>0</v>
      </c>
      <c r="C1116" s="55"/>
      <c r="D1116" s="55"/>
      <c r="E1116" s="55">
        <f t="shared" si="121"/>
        <v>0</v>
      </c>
      <c r="F1116" s="55">
        <f t="shared" si="122"/>
        <v>0</v>
      </c>
      <c r="G1116" s="55">
        <f t="shared" si="123"/>
        <v>0</v>
      </c>
      <c r="H1116" s="55" t="str">
        <f t="shared" si="124"/>
        <v/>
      </c>
      <c r="J1116" s="61">
        <f t="shared" si="125"/>
        <v>0</v>
      </c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  <c r="AH1116" s="55"/>
      <c r="AI1116" s="55"/>
      <c r="AJ1116" s="55"/>
    </row>
    <row r="1117" spans="1:36" x14ac:dyDescent="0.2">
      <c r="A1117" s="61">
        <f t="shared" si="119"/>
        <v>0</v>
      </c>
      <c r="B1117" s="55">
        <f t="shared" si="120"/>
        <v>0</v>
      </c>
      <c r="C1117" s="55"/>
      <c r="D1117" s="55"/>
      <c r="E1117" s="55">
        <f t="shared" si="121"/>
        <v>0</v>
      </c>
      <c r="F1117" s="55">
        <f t="shared" si="122"/>
        <v>0</v>
      </c>
      <c r="G1117" s="55">
        <f t="shared" si="123"/>
        <v>0</v>
      </c>
      <c r="H1117" s="55" t="str">
        <f t="shared" si="124"/>
        <v/>
      </c>
      <c r="J1117" s="61">
        <f t="shared" si="125"/>
        <v>0</v>
      </c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  <c r="AH1117" s="55"/>
      <c r="AI1117" s="55"/>
      <c r="AJ1117" s="55"/>
    </row>
    <row r="1118" spans="1:36" x14ac:dyDescent="0.2">
      <c r="A1118" s="61">
        <f t="shared" si="119"/>
        <v>0</v>
      </c>
      <c r="B1118" s="55">
        <f t="shared" si="120"/>
        <v>0</v>
      </c>
      <c r="C1118" s="55"/>
      <c r="D1118" s="55"/>
      <c r="E1118" s="55">
        <f t="shared" si="121"/>
        <v>0</v>
      </c>
      <c r="F1118" s="55">
        <f t="shared" si="122"/>
        <v>0</v>
      </c>
      <c r="G1118" s="55">
        <f t="shared" si="123"/>
        <v>0</v>
      </c>
      <c r="H1118" s="55" t="str">
        <f t="shared" si="124"/>
        <v/>
      </c>
      <c r="J1118" s="61">
        <f t="shared" si="125"/>
        <v>0</v>
      </c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  <c r="AH1118" s="55"/>
      <c r="AI1118" s="55"/>
      <c r="AJ1118" s="55"/>
    </row>
    <row r="1119" spans="1:36" x14ac:dyDescent="0.2">
      <c r="A1119" s="61">
        <f t="shared" si="119"/>
        <v>0</v>
      </c>
      <c r="B1119" s="55">
        <f t="shared" si="120"/>
        <v>0</v>
      </c>
      <c r="C1119" s="55"/>
      <c r="D1119" s="55"/>
      <c r="E1119" s="55">
        <f t="shared" si="121"/>
        <v>0</v>
      </c>
      <c r="F1119" s="55">
        <f t="shared" si="122"/>
        <v>0</v>
      </c>
      <c r="G1119" s="55">
        <f t="shared" si="123"/>
        <v>0</v>
      </c>
      <c r="H1119" s="55" t="str">
        <f t="shared" si="124"/>
        <v/>
      </c>
      <c r="J1119" s="61">
        <f t="shared" si="125"/>
        <v>0</v>
      </c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</row>
    <row r="1120" spans="1:36" x14ac:dyDescent="0.2">
      <c r="A1120" s="61">
        <f t="shared" si="119"/>
        <v>0</v>
      </c>
      <c r="B1120" s="55">
        <f t="shared" si="120"/>
        <v>0</v>
      </c>
      <c r="C1120" s="55"/>
      <c r="D1120" s="55"/>
      <c r="E1120" s="55">
        <f t="shared" si="121"/>
        <v>0</v>
      </c>
      <c r="F1120" s="55">
        <f t="shared" si="122"/>
        <v>0</v>
      </c>
      <c r="G1120" s="55">
        <f t="shared" si="123"/>
        <v>0</v>
      </c>
      <c r="H1120" s="55" t="str">
        <f t="shared" si="124"/>
        <v/>
      </c>
      <c r="J1120" s="61">
        <f t="shared" si="125"/>
        <v>0</v>
      </c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</row>
    <row r="1121" spans="1:36" x14ac:dyDescent="0.2">
      <c r="A1121" s="61">
        <f t="shared" si="119"/>
        <v>0</v>
      </c>
      <c r="B1121" s="55">
        <f t="shared" si="120"/>
        <v>0</v>
      </c>
      <c r="C1121" s="55"/>
      <c r="D1121" s="55"/>
      <c r="E1121" s="55">
        <f t="shared" si="121"/>
        <v>0</v>
      </c>
      <c r="F1121" s="55">
        <f t="shared" si="122"/>
        <v>0</v>
      </c>
      <c r="G1121" s="55">
        <f t="shared" si="123"/>
        <v>0</v>
      </c>
      <c r="H1121" s="55" t="str">
        <f t="shared" si="124"/>
        <v/>
      </c>
      <c r="J1121" s="61">
        <f t="shared" si="125"/>
        <v>0</v>
      </c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  <c r="AH1121" s="55"/>
      <c r="AI1121" s="55"/>
      <c r="AJ1121" s="55"/>
    </row>
    <row r="1122" spans="1:36" x14ac:dyDescent="0.2">
      <c r="A1122" s="61">
        <f t="shared" si="119"/>
        <v>0</v>
      </c>
      <c r="B1122" s="55">
        <f t="shared" si="120"/>
        <v>0</v>
      </c>
      <c r="C1122" s="55"/>
      <c r="D1122" s="55"/>
      <c r="E1122" s="55">
        <f t="shared" si="121"/>
        <v>0</v>
      </c>
      <c r="F1122" s="55">
        <f t="shared" si="122"/>
        <v>0</v>
      </c>
      <c r="G1122" s="55">
        <f t="shared" si="123"/>
        <v>0</v>
      </c>
      <c r="H1122" s="55" t="str">
        <f t="shared" si="124"/>
        <v/>
      </c>
      <c r="J1122" s="61">
        <f t="shared" si="125"/>
        <v>0</v>
      </c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</row>
    <row r="1123" spans="1:36" x14ac:dyDescent="0.2">
      <c r="A1123" s="61">
        <f t="shared" si="119"/>
        <v>0</v>
      </c>
      <c r="B1123" s="55">
        <f t="shared" si="120"/>
        <v>0</v>
      </c>
      <c r="C1123" s="55"/>
      <c r="D1123" s="55"/>
      <c r="E1123" s="55">
        <f t="shared" si="121"/>
        <v>0</v>
      </c>
      <c r="F1123" s="55">
        <f t="shared" si="122"/>
        <v>0</v>
      </c>
      <c r="G1123" s="55">
        <f t="shared" si="123"/>
        <v>0</v>
      </c>
      <c r="H1123" s="55" t="str">
        <f t="shared" si="124"/>
        <v/>
      </c>
      <c r="J1123" s="61">
        <f t="shared" si="125"/>
        <v>0</v>
      </c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  <c r="AH1123" s="55"/>
      <c r="AI1123" s="55"/>
      <c r="AJ1123" s="55"/>
    </row>
    <row r="1124" spans="1:36" x14ac:dyDescent="0.2">
      <c r="A1124" s="61">
        <f t="shared" si="119"/>
        <v>0</v>
      </c>
      <c r="B1124" s="55">
        <f t="shared" si="120"/>
        <v>0</v>
      </c>
      <c r="C1124" s="55"/>
      <c r="D1124" s="55"/>
      <c r="E1124" s="55">
        <f t="shared" si="121"/>
        <v>0</v>
      </c>
      <c r="F1124" s="55">
        <f t="shared" si="122"/>
        <v>0</v>
      </c>
      <c r="G1124" s="55">
        <f t="shared" si="123"/>
        <v>0</v>
      </c>
      <c r="H1124" s="55" t="str">
        <f t="shared" si="124"/>
        <v/>
      </c>
      <c r="J1124" s="61">
        <f t="shared" si="125"/>
        <v>0</v>
      </c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  <c r="AH1124" s="55"/>
      <c r="AI1124" s="55"/>
      <c r="AJ1124" s="55"/>
    </row>
    <row r="1125" spans="1:36" x14ac:dyDescent="0.2">
      <c r="A1125" s="61">
        <f t="shared" si="119"/>
        <v>0</v>
      </c>
      <c r="B1125" s="55">
        <f t="shared" si="120"/>
        <v>0</v>
      </c>
      <c r="C1125" s="55"/>
      <c r="D1125" s="55"/>
      <c r="E1125" s="55">
        <f t="shared" si="121"/>
        <v>0</v>
      </c>
      <c r="F1125" s="55">
        <f t="shared" si="122"/>
        <v>0</v>
      </c>
      <c r="G1125" s="55">
        <f t="shared" si="123"/>
        <v>0</v>
      </c>
      <c r="H1125" s="55" t="str">
        <f t="shared" si="124"/>
        <v/>
      </c>
      <c r="J1125" s="61">
        <f t="shared" si="125"/>
        <v>0</v>
      </c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</row>
    <row r="1126" spans="1:36" x14ac:dyDescent="0.2">
      <c r="A1126" s="61">
        <f t="shared" si="119"/>
        <v>0</v>
      </c>
      <c r="B1126" s="55">
        <f t="shared" si="120"/>
        <v>0</v>
      </c>
      <c r="C1126" s="55"/>
      <c r="D1126" s="55"/>
      <c r="E1126" s="55">
        <f t="shared" si="121"/>
        <v>0</v>
      </c>
      <c r="F1126" s="55">
        <f t="shared" si="122"/>
        <v>0</v>
      </c>
      <c r="G1126" s="55">
        <f t="shared" si="123"/>
        <v>0</v>
      </c>
      <c r="H1126" s="55" t="str">
        <f t="shared" si="124"/>
        <v/>
      </c>
      <c r="J1126" s="61">
        <f t="shared" si="125"/>
        <v>0</v>
      </c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  <c r="AH1126" s="55"/>
      <c r="AI1126" s="55"/>
      <c r="AJ1126" s="55"/>
    </row>
    <row r="1127" spans="1:36" x14ac:dyDescent="0.2">
      <c r="A1127" s="61">
        <f t="shared" si="119"/>
        <v>0</v>
      </c>
      <c r="B1127" s="55">
        <f t="shared" si="120"/>
        <v>0</v>
      </c>
      <c r="C1127" s="55"/>
      <c r="D1127" s="55"/>
      <c r="E1127" s="55">
        <f t="shared" si="121"/>
        <v>0</v>
      </c>
      <c r="F1127" s="55">
        <f t="shared" si="122"/>
        <v>0</v>
      </c>
      <c r="G1127" s="55">
        <f t="shared" si="123"/>
        <v>0</v>
      </c>
      <c r="H1127" s="55" t="str">
        <f t="shared" si="124"/>
        <v/>
      </c>
      <c r="J1127" s="61">
        <f t="shared" si="125"/>
        <v>0</v>
      </c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  <c r="AH1127" s="55"/>
      <c r="AI1127" s="55"/>
      <c r="AJ1127" s="55"/>
    </row>
    <row r="1128" spans="1:36" x14ac:dyDescent="0.2">
      <c r="A1128" s="61">
        <f t="shared" si="119"/>
        <v>0</v>
      </c>
      <c r="B1128" s="55">
        <f t="shared" si="120"/>
        <v>0</v>
      </c>
      <c r="C1128" s="55"/>
      <c r="D1128" s="55"/>
      <c r="E1128" s="55">
        <f t="shared" si="121"/>
        <v>0</v>
      </c>
      <c r="F1128" s="55">
        <f t="shared" si="122"/>
        <v>0</v>
      </c>
      <c r="G1128" s="55">
        <f t="shared" si="123"/>
        <v>0</v>
      </c>
      <c r="H1128" s="55" t="str">
        <f t="shared" si="124"/>
        <v/>
      </c>
      <c r="J1128" s="61">
        <f t="shared" si="125"/>
        <v>0</v>
      </c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  <c r="AH1128" s="55"/>
      <c r="AI1128" s="55"/>
      <c r="AJ1128" s="55"/>
    </row>
    <row r="1129" spans="1:36" x14ac:dyDescent="0.2">
      <c r="A1129" s="61">
        <f t="shared" si="119"/>
        <v>0</v>
      </c>
      <c r="B1129" s="55">
        <f t="shared" si="120"/>
        <v>0</v>
      </c>
      <c r="C1129" s="55"/>
      <c r="D1129" s="55"/>
      <c r="E1129" s="55">
        <f t="shared" si="121"/>
        <v>0</v>
      </c>
      <c r="F1129" s="55">
        <f t="shared" si="122"/>
        <v>0</v>
      </c>
      <c r="G1129" s="55">
        <f t="shared" si="123"/>
        <v>0</v>
      </c>
      <c r="H1129" s="55" t="str">
        <f t="shared" si="124"/>
        <v/>
      </c>
      <c r="J1129" s="61">
        <f t="shared" si="125"/>
        <v>0</v>
      </c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</row>
    <row r="1130" spans="1:36" x14ac:dyDescent="0.2">
      <c r="A1130" s="61">
        <f t="shared" si="119"/>
        <v>0</v>
      </c>
      <c r="B1130" s="55">
        <f t="shared" si="120"/>
        <v>0</v>
      </c>
      <c r="C1130" s="55"/>
      <c r="D1130" s="55"/>
      <c r="E1130" s="55">
        <f t="shared" si="121"/>
        <v>0</v>
      </c>
      <c r="F1130" s="55">
        <f t="shared" si="122"/>
        <v>0</v>
      </c>
      <c r="G1130" s="55">
        <f t="shared" si="123"/>
        <v>0</v>
      </c>
      <c r="H1130" s="55" t="str">
        <f t="shared" si="124"/>
        <v/>
      </c>
      <c r="J1130" s="61">
        <f t="shared" si="125"/>
        <v>0</v>
      </c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  <c r="AH1130" s="55"/>
      <c r="AI1130" s="55"/>
      <c r="AJ1130" s="55"/>
    </row>
    <row r="1131" spans="1:36" x14ac:dyDescent="0.2">
      <c r="A1131" s="61">
        <f t="shared" si="119"/>
        <v>0</v>
      </c>
      <c r="B1131" s="55">
        <f t="shared" si="120"/>
        <v>0</v>
      </c>
      <c r="C1131" s="55"/>
      <c r="D1131" s="55"/>
      <c r="E1131" s="55">
        <f t="shared" si="121"/>
        <v>0</v>
      </c>
      <c r="F1131" s="55">
        <f t="shared" si="122"/>
        <v>0</v>
      </c>
      <c r="G1131" s="55">
        <f t="shared" si="123"/>
        <v>0</v>
      </c>
      <c r="H1131" s="55" t="str">
        <f t="shared" si="124"/>
        <v/>
      </c>
      <c r="J1131" s="61">
        <f t="shared" si="125"/>
        <v>0</v>
      </c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  <c r="AH1131" s="55"/>
      <c r="AI1131" s="55"/>
      <c r="AJ1131" s="55"/>
    </row>
    <row r="1132" spans="1:36" x14ac:dyDescent="0.2">
      <c r="A1132" s="61">
        <f t="shared" si="119"/>
        <v>0</v>
      </c>
      <c r="B1132" s="55">
        <f t="shared" si="120"/>
        <v>0</v>
      </c>
      <c r="C1132" s="55"/>
      <c r="D1132" s="55"/>
      <c r="E1132" s="55">
        <f t="shared" si="121"/>
        <v>0</v>
      </c>
      <c r="F1132" s="55">
        <f t="shared" si="122"/>
        <v>0</v>
      </c>
      <c r="G1132" s="55">
        <f t="shared" si="123"/>
        <v>0</v>
      </c>
      <c r="H1132" s="55" t="str">
        <f t="shared" si="124"/>
        <v/>
      </c>
      <c r="J1132" s="61">
        <f t="shared" si="125"/>
        <v>0</v>
      </c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  <c r="AH1132" s="55"/>
      <c r="AI1132" s="55"/>
      <c r="AJ1132" s="55"/>
    </row>
    <row r="1133" spans="1:36" x14ac:dyDescent="0.2">
      <c r="A1133" s="61">
        <f t="shared" si="119"/>
        <v>0</v>
      </c>
      <c r="B1133" s="55">
        <f t="shared" si="120"/>
        <v>0</v>
      </c>
      <c r="C1133" s="55"/>
      <c r="D1133" s="55"/>
      <c r="E1133" s="55">
        <f t="shared" si="121"/>
        <v>0</v>
      </c>
      <c r="F1133" s="55">
        <f t="shared" si="122"/>
        <v>0</v>
      </c>
      <c r="G1133" s="55">
        <f t="shared" si="123"/>
        <v>0</v>
      </c>
      <c r="H1133" s="55" t="str">
        <f t="shared" si="124"/>
        <v/>
      </c>
      <c r="J1133" s="61">
        <f t="shared" si="125"/>
        <v>0</v>
      </c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</row>
    <row r="1134" spans="1:36" x14ac:dyDescent="0.2">
      <c r="A1134" s="61">
        <f t="shared" si="119"/>
        <v>0</v>
      </c>
      <c r="B1134" s="55">
        <f t="shared" si="120"/>
        <v>0</v>
      </c>
      <c r="C1134" s="55"/>
      <c r="D1134" s="55"/>
      <c r="E1134" s="55">
        <f t="shared" si="121"/>
        <v>0</v>
      </c>
      <c r="F1134" s="55">
        <f t="shared" si="122"/>
        <v>0</v>
      </c>
      <c r="G1134" s="55">
        <f t="shared" si="123"/>
        <v>0</v>
      </c>
      <c r="H1134" s="55" t="str">
        <f t="shared" si="124"/>
        <v/>
      </c>
      <c r="J1134" s="61">
        <f t="shared" si="125"/>
        <v>0</v>
      </c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  <c r="AH1134" s="55"/>
      <c r="AI1134" s="55"/>
      <c r="AJ1134" s="55"/>
    </row>
    <row r="1135" spans="1:36" x14ac:dyDescent="0.2">
      <c r="A1135" s="61">
        <f t="shared" si="119"/>
        <v>0</v>
      </c>
      <c r="B1135" s="55">
        <f t="shared" si="120"/>
        <v>0</v>
      </c>
      <c r="C1135" s="55"/>
      <c r="D1135" s="55"/>
      <c r="E1135" s="55">
        <f t="shared" si="121"/>
        <v>0</v>
      </c>
      <c r="F1135" s="55">
        <f t="shared" si="122"/>
        <v>0</v>
      </c>
      <c r="G1135" s="55">
        <f t="shared" si="123"/>
        <v>0</v>
      </c>
      <c r="H1135" s="55" t="str">
        <f t="shared" si="124"/>
        <v/>
      </c>
      <c r="J1135" s="61">
        <f t="shared" si="125"/>
        <v>0</v>
      </c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  <c r="AH1135" s="55"/>
      <c r="AI1135" s="55"/>
      <c r="AJ1135" s="55"/>
    </row>
    <row r="1136" spans="1:36" x14ac:dyDescent="0.2">
      <c r="A1136" s="61">
        <f t="shared" si="119"/>
        <v>0</v>
      </c>
      <c r="B1136" s="55">
        <f t="shared" si="120"/>
        <v>0</v>
      </c>
      <c r="C1136" s="55"/>
      <c r="D1136" s="55"/>
      <c r="E1136" s="55">
        <f t="shared" si="121"/>
        <v>0</v>
      </c>
      <c r="F1136" s="55">
        <f t="shared" si="122"/>
        <v>0</v>
      </c>
      <c r="G1136" s="55">
        <f t="shared" si="123"/>
        <v>0</v>
      </c>
      <c r="H1136" s="55" t="str">
        <f t="shared" si="124"/>
        <v/>
      </c>
      <c r="J1136" s="61">
        <f t="shared" si="125"/>
        <v>0</v>
      </c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  <c r="AH1136" s="55"/>
      <c r="AI1136" s="55"/>
      <c r="AJ1136" s="55"/>
    </row>
    <row r="1137" spans="1:36" x14ac:dyDescent="0.2">
      <c r="A1137" s="61">
        <f t="shared" si="119"/>
        <v>0</v>
      </c>
      <c r="B1137" s="55">
        <f t="shared" si="120"/>
        <v>0</v>
      </c>
      <c r="C1137" s="55"/>
      <c r="D1137" s="55"/>
      <c r="E1137" s="55">
        <f t="shared" si="121"/>
        <v>0</v>
      </c>
      <c r="F1137" s="55">
        <f t="shared" si="122"/>
        <v>0</v>
      </c>
      <c r="G1137" s="55">
        <f t="shared" si="123"/>
        <v>0</v>
      </c>
      <c r="H1137" s="55" t="str">
        <f t="shared" si="124"/>
        <v/>
      </c>
      <c r="J1137" s="61">
        <f t="shared" si="125"/>
        <v>0</v>
      </c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  <c r="AH1137" s="55"/>
      <c r="AI1137" s="55"/>
      <c r="AJ1137" s="55"/>
    </row>
    <row r="1138" spans="1:36" x14ac:dyDescent="0.2">
      <c r="A1138" s="61">
        <f t="shared" si="119"/>
        <v>0</v>
      </c>
      <c r="B1138" s="55">
        <f t="shared" si="120"/>
        <v>0</v>
      </c>
      <c r="C1138" s="55"/>
      <c r="D1138" s="55"/>
      <c r="E1138" s="55">
        <f t="shared" si="121"/>
        <v>0</v>
      </c>
      <c r="F1138" s="55">
        <f t="shared" si="122"/>
        <v>0</v>
      </c>
      <c r="G1138" s="55">
        <f t="shared" si="123"/>
        <v>0</v>
      </c>
      <c r="H1138" s="55" t="str">
        <f t="shared" si="124"/>
        <v/>
      </c>
      <c r="J1138" s="61">
        <f t="shared" si="125"/>
        <v>0</v>
      </c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  <c r="AH1138" s="55"/>
      <c r="AI1138" s="55"/>
      <c r="AJ1138" s="55"/>
    </row>
    <row r="1139" spans="1:36" x14ac:dyDescent="0.2">
      <c r="A1139" s="61">
        <f t="shared" si="119"/>
        <v>0</v>
      </c>
      <c r="B1139" s="55">
        <f t="shared" si="120"/>
        <v>0</v>
      </c>
      <c r="C1139" s="55"/>
      <c r="D1139" s="55"/>
      <c r="E1139" s="55">
        <f t="shared" si="121"/>
        <v>0</v>
      </c>
      <c r="F1139" s="55">
        <f t="shared" si="122"/>
        <v>0</v>
      </c>
      <c r="G1139" s="55">
        <f t="shared" si="123"/>
        <v>0</v>
      </c>
      <c r="H1139" s="55" t="str">
        <f t="shared" si="124"/>
        <v/>
      </c>
      <c r="J1139" s="61">
        <f t="shared" si="125"/>
        <v>0</v>
      </c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  <c r="AH1139" s="55"/>
      <c r="AI1139" s="55"/>
      <c r="AJ1139" s="55"/>
    </row>
    <row r="1140" spans="1:36" x14ac:dyDescent="0.2">
      <c r="A1140" s="61">
        <f t="shared" si="119"/>
        <v>0</v>
      </c>
      <c r="B1140" s="55">
        <f t="shared" si="120"/>
        <v>0</v>
      </c>
      <c r="C1140" s="55"/>
      <c r="D1140" s="55"/>
      <c r="E1140" s="55">
        <f t="shared" si="121"/>
        <v>0</v>
      </c>
      <c r="F1140" s="55">
        <f t="shared" si="122"/>
        <v>0</v>
      </c>
      <c r="G1140" s="55">
        <f t="shared" si="123"/>
        <v>0</v>
      </c>
      <c r="H1140" s="55" t="str">
        <f t="shared" si="124"/>
        <v/>
      </c>
      <c r="J1140" s="61">
        <f t="shared" si="125"/>
        <v>0</v>
      </c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</row>
    <row r="1141" spans="1:36" x14ac:dyDescent="0.2">
      <c r="A1141" s="61">
        <f t="shared" si="119"/>
        <v>0</v>
      </c>
      <c r="B1141" s="55">
        <f t="shared" si="120"/>
        <v>0</v>
      </c>
      <c r="C1141" s="55"/>
      <c r="D1141" s="55"/>
      <c r="E1141" s="55">
        <f t="shared" si="121"/>
        <v>0</v>
      </c>
      <c r="F1141" s="55">
        <f t="shared" si="122"/>
        <v>0</v>
      </c>
      <c r="G1141" s="55">
        <f t="shared" si="123"/>
        <v>0</v>
      </c>
      <c r="H1141" s="55" t="str">
        <f t="shared" si="124"/>
        <v/>
      </c>
      <c r="J1141" s="61">
        <f t="shared" si="125"/>
        <v>0</v>
      </c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</row>
    <row r="1142" spans="1:36" x14ac:dyDescent="0.2">
      <c r="A1142" s="61">
        <f t="shared" si="119"/>
        <v>0</v>
      </c>
      <c r="B1142" s="55">
        <f t="shared" si="120"/>
        <v>0</v>
      </c>
      <c r="C1142" s="55"/>
      <c r="D1142" s="55"/>
      <c r="E1142" s="55">
        <f t="shared" si="121"/>
        <v>0</v>
      </c>
      <c r="F1142" s="55">
        <f t="shared" si="122"/>
        <v>0</v>
      </c>
      <c r="G1142" s="55">
        <f t="shared" si="123"/>
        <v>0</v>
      </c>
      <c r="H1142" s="55" t="str">
        <f t="shared" si="124"/>
        <v/>
      </c>
      <c r="J1142" s="61">
        <f t="shared" si="125"/>
        <v>0</v>
      </c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  <c r="AH1142" s="55"/>
      <c r="AI1142" s="55"/>
      <c r="AJ1142" s="55"/>
    </row>
    <row r="1143" spans="1:36" x14ac:dyDescent="0.2">
      <c r="A1143" s="61">
        <f t="shared" si="119"/>
        <v>0</v>
      </c>
      <c r="B1143" s="55">
        <f t="shared" si="120"/>
        <v>0</v>
      </c>
      <c r="C1143" s="55"/>
      <c r="D1143" s="55"/>
      <c r="E1143" s="55">
        <f t="shared" si="121"/>
        <v>0</v>
      </c>
      <c r="F1143" s="55">
        <f t="shared" si="122"/>
        <v>0</v>
      </c>
      <c r="G1143" s="55">
        <f t="shared" si="123"/>
        <v>0</v>
      </c>
      <c r="H1143" s="55" t="str">
        <f t="shared" si="124"/>
        <v/>
      </c>
      <c r="J1143" s="61">
        <f t="shared" si="125"/>
        <v>0</v>
      </c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  <c r="AH1143" s="55"/>
      <c r="AI1143" s="55"/>
      <c r="AJ1143" s="55"/>
    </row>
    <row r="1144" spans="1:36" x14ac:dyDescent="0.2">
      <c r="A1144" s="61">
        <f t="shared" si="119"/>
        <v>0</v>
      </c>
      <c r="B1144" s="55">
        <f t="shared" si="120"/>
        <v>0</v>
      </c>
      <c r="C1144" s="55"/>
      <c r="D1144" s="55"/>
      <c r="E1144" s="55">
        <f t="shared" si="121"/>
        <v>0</v>
      </c>
      <c r="F1144" s="55">
        <f t="shared" si="122"/>
        <v>0</v>
      </c>
      <c r="G1144" s="55">
        <f t="shared" si="123"/>
        <v>0</v>
      </c>
      <c r="H1144" s="55" t="str">
        <f t="shared" si="124"/>
        <v/>
      </c>
      <c r="J1144" s="61">
        <f t="shared" si="125"/>
        <v>0</v>
      </c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  <c r="AH1144" s="55"/>
      <c r="AI1144" s="55"/>
      <c r="AJ1144" s="55"/>
    </row>
    <row r="1145" spans="1:36" x14ac:dyDescent="0.2">
      <c r="A1145" s="61">
        <f t="shared" si="119"/>
        <v>0</v>
      </c>
      <c r="B1145" s="55">
        <f t="shared" si="120"/>
        <v>0</v>
      </c>
      <c r="C1145" s="55"/>
      <c r="D1145" s="55"/>
      <c r="E1145" s="55">
        <f t="shared" si="121"/>
        <v>0</v>
      </c>
      <c r="F1145" s="55">
        <f t="shared" si="122"/>
        <v>0</v>
      </c>
      <c r="G1145" s="55">
        <f t="shared" si="123"/>
        <v>0</v>
      </c>
      <c r="H1145" s="55" t="str">
        <f t="shared" si="124"/>
        <v/>
      </c>
      <c r="J1145" s="61">
        <f t="shared" si="125"/>
        <v>0</v>
      </c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</row>
    <row r="1146" spans="1:36" x14ac:dyDescent="0.2">
      <c r="A1146" s="61">
        <f t="shared" si="119"/>
        <v>0</v>
      </c>
      <c r="B1146" s="55">
        <f t="shared" si="120"/>
        <v>0</v>
      </c>
      <c r="C1146" s="55"/>
      <c r="D1146" s="55"/>
      <c r="E1146" s="55">
        <f t="shared" si="121"/>
        <v>0</v>
      </c>
      <c r="F1146" s="55">
        <f t="shared" si="122"/>
        <v>0</v>
      </c>
      <c r="G1146" s="55">
        <f t="shared" si="123"/>
        <v>0</v>
      </c>
      <c r="H1146" s="55" t="str">
        <f t="shared" si="124"/>
        <v/>
      </c>
      <c r="J1146" s="61">
        <f t="shared" si="125"/>
        <v>0</v>
      </c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  <c r="AH1146" s="55"/>
      <c r="AI1146" s="55"/>
      <c r="AJ1146" s="55"/>
    </row>
    <row r="1147" spans="1:36" x14ac:dyDescent="0.2">
      <c r="A1147" s="61">
        <f t="shared" si="119"/>
        <v>0</v>
      </c>
      <c r="B1147" s="55">
        <f t="shared" si="120"/>
        <v>0</v>
      </c>
      <c r="C1147" s="55"/>
      <c r="D1147" s="55"/>
      <c r="E1147" s="55">
        <f t="shared" si="121"/>
        <v>0</v>
      </c>
      <c r="F1147" s="55">
        <f t="shared" si="122"/>
        <v>0</v>
      </c>
      <c r="G1147" s="55">
        <f t="shared" si="123"/>
        <v>0</v>
      </c>
      <c r="H1147" s="55" t="str">
        <f t="shared" si="124"/>
        <v/>
      </c>
      <c r="J1147" s="61">
        <f t="shared" si="125"/>
        <v>0</v>
      </c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  <c r="AH1147" s="55"/>
      <c r="AI1147" s="55"/>
      <c r="AJ1147" s="55"/>
    </row>
    <row r="1148" spans="1:36" x14ac:dyDescent="0.2">
      <c r="A1148" s="61">
        <f t="shared" si="119"/>
        <v>0</v>
      </c>
      <c r="B1148" s="55">
        <f t="shared" si="120"/>
        <v>0</v>
      </c>
      <c r="C1148" s="55"/>
      <c r="D1148" s="55"/>
      <c r="E1148" s="55">
        <f t="shared" si="121"/>
        <v>0</v>
      </c>
      <c r="F1148" s="55">
        <f t="shared" si="122"/>
        <v>0</v>
      </c>
      <c r="G1148" s="55">
        <f t="shared" si="123"/>
        <v>0</v>
      </c>
      <c r="H1148" s="55" t="str">
        <f t="shared" si="124"/>
        <v/>
      </c>
      <c r="J1148" s="61">
        <f t="shared" si="125"/>
        <v>0</v>
      </c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  <c r="AH1148" s="55"/>
      <c r="AI1148" s="55"/>
      <c r="AJ1148" s="55"/>
    </row>
    <row r="1149" spans="1:36" x14ac:dyDescent="0.2">
      <c r="A1149" s="61">
        <f t="shared" si="119"/>
        <v>0</v>
      </c>
      <c r="B1149" s="55">
        <f t="shared" si="120"/>
        <v>0</v>
      </c>
      <c r="C1149" s="55"/>
      <c r="D1149" s="55"/>
      <c r="E1149" s="55">
        <f t="shared" si="121"/>
        <v>0</v>
      </c>
      <c r="F1149" s="55">
        <f t="shared" si="122"/>
        <v>0</v>
      </c>
      <c r="G1149" s="55">
        <f t="shared" si="123"/>
        <v>0</v>
      </c>
      <c r="H1149" s="55" t="str">
        <f t="shared" si="124"/>
        <v/>
      </c>
      <c r="J1149" s="61">
        <f t="shared" si="125"/>
        <v>0</v>
      </c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  <c r="AH1149" s="55"/>
      <c r="AI1149" s="55"/>
      <c r="AJ1149" s="55"/>
    </row>
    <row r="1150" spans="1:36" x14ac:dyDescent="0.2">
      <c r="A1150" s="61">
        <f t="shared" si="119"/>
        <v>0</v>
      </c>
      <c r="B1150" s="55">
        <f t="shared" si="120"/>
        <v>0</v>
      </c>
      <c r="C1150" s="55"/>
      <c r="D1150" s="55"/>
      <c r="E1150" s="55">
        <f t="shared" si="121"/>
        <v>0</v>
      </c>
      <c r="F1150" s="55">
        <f t="shared" si="122"/>
        <v>0</v>
      </c>
      <c r="G1150" s="55">
        <f t="shared" si="123"/>
        <v>0</v>
      </c>
      <c r="H1150" s="55" t="str">
        <f t="shared" si="124"/>
        <v/>
      </c>
      <c r="J1150" s="61">
        <f t="shared" si="125"/>
        <v>0</v>
      </c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  <c r="AH1150" s="55"/>
      <c r="AI1150" s="55"/>
      <c r="AJ1150" s="55"/>
    </row>
    <row r="1151" spans="1:36" x14ac:dyDescent="0.2">
      <c r="A1151" s="61">
        <f t="shared" si="119"/>
        <v>0</v>
      </c>
      <c r="B1151" s="55">
        <f t="shared" si="120"/>
        <v>0</v>
      </c>
      <c r="C1151" s="55"/>
      <c r="D1151" s="55"/>
      <c r="E1151" s="55">
        <f t="shared" si="121"/>
        <v>0</v>
      </c>
      <c r="F1151" s="55">
        <f t="shared" si="122"/>
        <v>0</v>
      </c>
      <c r="G1151" s="55">
        <f t="shared" si="123"/>
        <v>0</v>
      </c>
      <c r="H1151" s="55" t="str">
        <f t="shared" si="124"/>
        <v/>
      </c>
      <c r="J1151" s="61">
        <f t="shared" si="125"/>
        <v>0</v>
      </c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</row>
    <row r="1152" spans="1:36" x14ac:dyDescent="0.2">
      <c r="A1152" s="61">
        <f t="shared" si="119"/>
        <v>0</v>
      </c>
      <c r="B1152" s="55">
        <f t="shared" si="120"/>
        <v>0</v>
      </c>
      <c r="C1152" s="55"/>
      <c r="D1152" s="55"/>
      <c r="E1152" s="55">
        <f t="shared" si="121"/>
        <v>0</v>
      </c>
      <c r="F1152" s="55">
        <f t="shared" si="122"/>
        <v>0</v>
      </c>
      <c r="G1152" s="55">
        <f t="shared" si="123"/>
        <v>0</v>
      </c>
      <c r="H1152" s="55" t="str">
        <f t="shared" si="124"/>
        <v/>
      </c>
      <c r="J1152" s="61">
        <f t="shared" si="125"/>
        <v>0</v>
      </c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  <c r="AH1152" s="55"/>
      <c r="AI1152" s="55"/>
      <c r="AJ1152" s="55"/>
    </row>
    <row r="1153" spans="1:36" x14ac:dyDescent="0.2">
      <c r="A1153" s="61">
        <f t="shared" si="119"/>
        <v>0</v>
      </c>
      <c r="B1153" s="55">
        <f t="shared" si="120"/>
        <v>0</v>
      </c>
      <c r="C1153" s="55"/>
      <c r="D1153" s="55"/>
      <c r="E1153" s="55">
        <f t="shared" si="121"/>
        <v>0</v>
      </c>
      <c r="F1153" s="55">
        <f t="shared" si="122"/>
        <v>0</v>
      </c>
      <c r="G1153" s="55">
        <f t="shared" si="123"/>
        <v>0</v>
      </c>
      <c r="H1153" s="55" t="str">
        <f t="shared" si="124"/>
        <v/>
      </c>
      <c r="J1153" s="61">
        <f t="shared" si="125"/>
        <v>0</v>
      </c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  <c r="AH1153" s="55"/>
      <c r="AI1153" s="55"/>
      <c r="AJ1153" s="55"/>
    </row>
    <row r="1154" spans="1:36" x14ac:dyDescent="0.2">
      <c r="A1154" s="61">
        <f t="shared" ref="A1154:A1217" si="126">J1154</f>
        <v>0</v>
      </c>
      <c r="B1154" s="55">
        <f t="shared" ref="B1154:B1217" si="127">M1154</f>
        <v>0</v>
      </c>
      <c r="C1154" s="55"/>
      <c r="D1154" s="55"/>
      <c r="E1154" s="55">
        <f t="shared" ref="E1154:E1217" si="128">V1154</f>
        <v>0</v>
      </c>
      <c r="F1154" s="55">
        <f t="shared" ref="F1154:F1217" si="129">Z1154</f>
        <v>0</v>
      </c>
      <c r="G1154" s="55">
        <f t="shared" ref="G1154:G1217" si="130">AH1154</f>
        <v>0</v>
      </c>
      <c r="H1154" s="55" t="str">
        <f t="shared" ref="H1154:H1217" si="131">IF(Q1154&gt;1,IF(Q1154=2,"I","E"),"")</f>
        <v/>
      </c>
      <c r="J1154" s="61">
        <f t="shared" ref="J1154:J1217" si="132">P1154*1</f>
        <v>0</v>
      </c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  <c r="AH1154" s="55"/>
      <c r="AI1154" s="55"/>
      <c r="AJ1154" s="55"/>
    </row>
    <row r="1155" spans="1:36" x14ac:dyDescent="0.2">
      <c r="A1155" s="61">
        <f t="shared" si="126"/>
        <v>0</v>
      </c>
      <c r="B1155" s="55">
        <f t="shared" si="127"/>
        <v>0</v>
      </c>
      <c r="C1155" s="55"/>
      <c r="D1155" s="55"/>
      <c r="E1155" s="55">
        <f t="shared" si="128"/>
        <v>0</v>
      </c>
      <c r="F1155" s="55">
        <f t="shared" si="129"/>
        <v>0</v>
      </c>
      <c r="G1155" s="55">
        <f t="shared" si="130"/>
        <v>0</v>
      </c>
      <c r="H1155" s="55" t="str">
        <f t="shared" si="131"/>
        <v/>
      </c>
      <c r="J1155" s="61">
        <f t="shared" si="132"/>
        <v>0</v>
      </c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  <c r="AH1155" s="55"/>
      <c r="AI1155" s="55"/>
      <c r="AJ1155" s="55"/>
    </row>
    <row r="1156" spans="1:36" x14ac:dyDescent="0.2">
      <c r="A1156" s="61">
        <f t="shared" si="126"/>
        <v>0</v>
      </c>
      <c r="B1156" s="55">
        <f t="shared" si="127"/>
        <v>0</v>
      </c>
      <c r="C1156" s="55"/>
      <c r="D1156" s="55"/>
      <c r="E1156" s="55">
        <f t="shared" si="128"/>
        <v>0</v>
      </c>
      <c r="F1156" s="55">
        <f t="shared" si="129"/>
        <v>0</v>
      </c>
      <c r="G1156" s="55">
        <f t="shared" si="130"/>
        <v>0</v>
      </c>
      <c r="H1156" s="55" t="str">
        <f t="shared" si="131"/>
        <v/>
      </c>
      <c r="J1156" s="61">
        <f t="shared" si="132"/>
        <v>0</v>
      </c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  <c r="AH1156" s="55"/>
      <c r="AI1156" s="55"/>
      <c r="AJ1156" s="55"/>
    </row>
    <row r="1157" spans="1:36" x14ac:dyDescent="0.2">
      <c r="A1157" s="61">
        <f t="shared" si="126"/>
        <v>0</v>
      </c>
      <c r="B1157" s="55">
        <f t="shared" si="127"/>
        <v>0</v>
      </c>
      <c r="C1157" s="55"/>
      <c r="D1157" s="55"/>
      <c r="E1157" s="55">
        <f t="shared" si="128"/>
        <v>0</v>
      </c>
      <c r="F1157" s="55">
        <f t="shared" si="129"/>
        <v>0</v>
      </c>
      <c r="G1157" s="55">
        <f t="shared" si="130"/>
        <v>0</v>
      </c>
      <c r="H1157" s="55" t="str">
        <f t="shared" si="131"/>
        <v/>
      </c>
      <c r="J1157" s="61">
        <f t="shared" si="132"/>
        <v>0</v>
      </c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  <c r="AH1157" s="55"/>
      <c r="AI1157" s="55"/>
      <c r="AJ1157" s="55"/>
    </row>
    <row r="1158" spans="1:36" x14ac:dyDescent="0.2">
      <c r="A1158" s="61">
        <f t="shared" si="126"/>
        <v>0</v>
      </c>
      <c r="B1158" s="55">
        <f t="shared" si="127"/>
        <v>0</v>
      </c>
      <c r="C1158" s="55"/>
      <c r="D1158" s="55"/>
      <c r="E1158" s="55">
        <f t="shared" si="128"/>
        <v>0</v>
      </c>
      <c r="F1158" s="55">
        <f t="shared" si="129"/>
        <v>0</v>
      </c>
      <c r="G1158" s="55">
        <f t="shared" si="130"/>
        <v>0</v>
      </c>
      <c r="H1158" s="55" t="str">
        <f t="shared" si="131"/>
        <v/>
      </c>
      <c r="J1158" s="61">
        <f t="shared" si="132"/>
        <v>0</v>
      </c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  <c r="AH1158" s="55"/>
      <c r="AI1158" s="55"/>
      <c r="AJ1158" s="55"/>
    </row>
    <row r="1159" spans="1:36" x14ac:dyDescent="0.2">
      <c r="A1159" s="61">
        <f t="shared" si="126"/>
        <v>0</v>
      </c>
      <c r="B1159" s="55">
        <f t="shared" si="127"/>
        <v>0</v>
      </c>
      <c r="C1159" s="55"/>
      <c r="D1159" s="55"/>
      <c r="E1159" s="55">
        <f t="shared" si="128"/>
        <v>0</v>
      </c>
      <c r="F1159" s="55">
        <f t="shared" si="129"/>
        <v>0</v>
      </c>
      <c r="G1159" s="55">
        <f t="shared" si="130"/>
        <v>0</v>
      </c>
      <c r="H1159" s="55" t="str">
        <f t="shared" si="131"/>
        <v/>
      </c>
      <c r="J1159" s="61">
        <f t="shared" si="132"/>
        <v>0</v>
      </c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  <c r="AH1159" s="55"/>
      <c r="AI1159" s="55"/>
      <c r="AJ1159" s="55"/>
    </row>
    <row r="1160" spans="1:36" x14ac:dyDescent="0.2">
      <c r="A1160" s="61">
        <f t="shared" si="126"/>
        <v>0</v>
      </c>
      <c r="B1160" s="55">
        <f t="shared" si="127"/>
        <v>0</v>
      </c>
      <c r="C1160" s="55"/>
      <c r="D1160" s="55"/>
      <c r="E1160" s="55">
        <f t="shared" si="128"/>
        <v>0</v>
      </c>
      <c r="F1160" s="55">
        <f t="shared" si="129"/>
        <v>0</v>
      </c>
      <c r="G1160" s="55">
        <f t="shared" si="130"/>
        <v>0</v>
      </c>
      <c r="H1160" s="55" t="str">
        <f t="shared" si="131"/>
        <v/>
      </c>
      <c r="J1160" s="61">
        <f t="shared" si="132"/>
        <v>0</v>
      </c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</row>
    <row r="1161" spans="1:36" x14ac:dyDescent="0.2">
      <c r="A1161" s="61">
        <f t="shared" si="126"/>
        <v>0</v>
      </c>
      <c r="B1161" s="55">
        <f t="shared" si="127"/>
        <v>0</v>
      </c>
      <c r="C1161" s="55"/>
      <c r="D1161" s="55"/>
      <c r="E1161" s="55">
        <f t="shared" si="128"/>
        <v>0</v>
      </c>
      <c r="F1161" s="55">
        <f t="shared" si="129"/>
        <v>0</v>
      </c>
      <c r="G1161" s="55">
        <f t="shared" si="130"/>
        <v>0</v>
      </c>
      <c r="H1161" s="55" t="str">
        <f t="shared" si="131"/>
        <v/>
      </c>
      <c r="J1161" s="61">
        <f t="shared" si="132"/>
        <v>0</v>
      </c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</row>
    <row r="1162" spans="1:36" x14ac:dyDescent="0.2">
      <c r="A1162" s="61">
        <f t="shared" si="126"/>
        <v>0</v>
      </c>
      <c r="B1162" s="55">
        <f t="shared" si="127"/>
        <v>0</v>
      </c>
      <c r="C1162" s="55"/>
      <c r="D1162" s="55"/>
      <c r="E1162" s="55">
        <f t="shared" si="128"/>
        <v>0</v>
      </c>
      <c r="F1162" s="55">
        <f t="shared" si="129"/>
        <v>0</v>
      </c>
      <c r="G1162" s="55">
        <f t="shared" si="130"/>
        <v>0</v>
      </c>
      <c r="H1162" s="55" t="str">
        <f t="shared" si="131"/>
        <v/>
      </c>
      <c r="J1162" s="61">
        <f t="shared" si="132"/>
        <v>0</v>
      </c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</row>
    <row r="1163" spans="1:36" x14ac:dyDescent="0.2">
      <c r="A1163" s="61">
        <f t="shared" si="126"/>
        <v>0</v>
      </c>
      <c r="B1163" s="55">
        <f t="shared" si="127"/>
        <v>0</v>
      </c>
      <c r="C1163" s="55"/>
      <c r="D1163" s="55"/>
      <c r="E1163" s="55">
        <f t="shared" si="128"/>
        <v>0</v>
      </c>
      <c r="F1163" s="55">
        <f t="shared" si="129"/>
        <v>0</v>
      </c>
      <c r="G1163" s="55">
        <f t="shared" si="130"/>
        <v>0</v>
      </c>
      <c r="H1163" s="55" t="str">
        <f t="shared" si="131"/>
        <v/>
      </c>
      <c r="J1163" s="61">
        <f t="shared" si="132"/>
        <v>0</v>
      </c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</row>
    <row r="1164" spans="1:36" x14ac:dyDescent="0.2">
      <c r="A1164" s="61">
        <f t="shared" si="126"/>
        <v>0</v>
      </c>
      <c r="B1164" s="55">
        <f t="shared" si="127"/>
        <v>0</v>
      </c>
      <c r="C1164" s="55"/>
      <c r="D1164" s="55"/>
      <c r="E1164" s="55">
        <f t="shared" si="128"/>
        <v>0</v>
      </c>
      <c r="F1164" s="55">
        <f t="shared" si="129"/>
        <v>0</v>
      </c>
      <c r="G1164" s="55">
        <f t="shared" si="130"/>
        <v>0</v>
      </c>
      <c r="H1164" s="55" t="str">
        <f t="shared" si="131"/>
        <v/>
      </c>
      <c r="J1164" s="61">
        <f t="shared" si="132"/>
        <v>0</v>
      </c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  <c r="AH1164" s="55"/>
      <c r="AI1164" s="55"/>
      <c r="AJ1164" s="55"/>
    </row>
    <row r="1165" spans="1:36" x14ac:dyDescent="0.2">
      <c r="A1165" s="61">
        <f t="shared" si="126"/>
        <v>0</v>
      </c>
      <c r="B1165" s="55">
        <f t="shared" si="127"/>
        <v>0</v>
      </c>
      <c r="C1165" s="55"/>
      <c r="D1165" s="55"/>
      <c r="E1165" s="55">
        <f t="shared" si="128"/>
        <v>0</v>
      </c>
      <c r="F1165" s="55">
        <f t="shared" si="129"/>
        <v>0</v>
      </c>
      <c r="G1165" s="55">
        <f t="shared" si="130"/>
        <v>0</v>
      </c>
      <c r="H1165" s="55" t="str">
        <f t="shared" si="131"/>
        <v/>
      </c>
      <c r="J1165" s="61">
        <f t="shared" si="132"/>
        <v>0</v>
      </c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  <c r="AH1165" s="55"/>
      <c r="AI1165" s="55"/>
      <c r="AJ1165" s="55"/>
    </row>
    <row r="1166" spans="1:36" x14ac:dyDescent="0.2">
      <c r="A1166" s="61">
        <f t="shared" si="126"/>
        <v>0</v>
      </c>
      <c r="B1166" s="55">
        <f t="shared" si="127"/>
        <v>0</v>
      </c>
      <c r="C1166" s="55"/>
      <c r="D1166" s="55"/>
      <c r="E1166" s="55">
        <f t="shared" si="128"/>
        <v>0</v>
      </c>
      <c r="F1166" s="55">
        <f t="shared" si="129"/>
        <v>0</v>
      </c>
      <c r="G1166" s="55">
        <f t="shared" si="130"/>
        <v>0</v>
      </c>
      <c r="H1166" s="55" t="str">
        <f t="shared" si="131"/>
        <v/>
      </c>
      <c r="J1166" s="61">
        <f t="shared" si="132"/>
        <v>0</v>
      </c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  <c r="AH1166" s="55"/>
      <c r="AI1166" s="55"/>
      <c r="AJ1166" s="55"/>
    </row>
    <row r="1167" spans="1:36" x14ac:dyDescent="0.2">
      <c r="A1167" s="61">
        <f t="shared" si="126"/>
        <v>0</v>
      </c>
      <c r="B1167" s="55">
        <f t="shared" si="127"/>
        <v>0</v>
      </c>
      <c r="C1167" s="55"/>
      <c r="D1167" s="55"/>
      <c r="E1167" s="55">
        <f t="shared" si="128"/>
        <v>0</v>
      </c>
      <c r="F1167" s="55">
        <f t="shared" si="129"/>
        <v>0</v>
      </c>
      <c r="G1167" s="55">
        <f t="shared" si="130"/>
        <v>0</v>
      </c>
      <c r="H1167" s="55" t="str">
        <f t="shared" si="131"/>
        <v/>
      </c>
      <c r="J1167" s="61">
        <f t="shared" si="132"/>
        <v>0</v>
      </c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  <c r="AH1167" s="55"/>
      <c r="AI1167" s="55"/>
      <c r="AJ1167" s="55"/>
    </row>
    <row r="1168" spans="1:36" x14ac:dyDescent="0.2">
      <c r="A1168" s="61">
        <f t="shared" si="126"/>
        <v>0</v>
      </c>
      <c r="B1168" s="55">
        <f t="shared" si="127"/>
        <v>0</v>
      </c>
      <c r="C1168" s="55"/>
      <c r="D1168" s="55"/>
      <c r="E1168" s="55">
        <f t="shared" si="128"/>
        <v>0</v>
      </c>
      <c r="F1168" s="55">
        <f t="shared" si="129"/>
        <v>0</v>
      </c>
      <c r="G1168" s="55">
        <f t="shared" si="130"/>
        <v>0</v>
      </c>
      <c r="H1168" s="55" t="str">
        <f t="shared" si="131"/>
        <v/>
      </c>
      <c r="J1168" s="61">
        <f t="shared" si="132"/>
        <v>0</v>
      </c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  <c r="AH1168" s="55"/>
      <c r="AI1168" s="55"/>
      <c r="AJ1168" s="55"/>
    </row>
    <row r="1169" spans="1:36" x14ac:dyDescent="0.2">
      <c r="A1169" s="61">
        <f t="shared" si="126"/>
        <v>0</v>
      </c>
      <c r="B1169" s="55">
        <f t="shared" si="127"/>
        <v>0</v>
      </c>
      <c r="C1169" s="55"/>
      <c r="D1169" s="55"/>
      <c r="E1169" s="55">
        <f t="shared" si="128"/>
        <v>0</v>
      </c>
      <c r="F1169" s="55">
        <f t="shared" si="129"/>
        <v>0</v>
      </c>
      <c r="G1169" s="55">
        <f t="shared" si="130"/>
        <v>0</v>
      </c>
      <c r="H1169" s="55" t="str">
        <f t="shared" si="131"/>
        <v/>
      </c>
      <c r="J1169" s="61">
        <f t="shared" si="132"/>
        <v>0</v>
      </c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  <c r="AH1169" s="55"/>
      <c r="AI1169" s="55"/>
      <c r="AJ1169" s="55"/>
    </row>
    <row r="1170" spans="1:36" x14ac:dyDescent="0.2">
      <c r="A1170" s="61">
        <f t="shared" si="126"/>
        <v>0</v>
      </c>
      <c r="B1170" s="55">
        <f t="shared" si="127"/>
        <v>0</v>
      </c>
      <c r="C1170" s="55"/>
      <c r="D1170" s="55"/>
      <c r="E1170" s="55">
        <f t="shared" si="128"/>
        <v>0</v>
      </c>
      <c r="F1170" s="55">
        <f t="shared" si="129"/>
        <v>0</v>
      </c>
      <c r="G1170" s="55">
        <f t="shared" si="130"/>
        <v>0</v>
      </c>
      <c r="H1170" s="55" t="str">
        <f t="shared" si="131"/>
        <v/>
      </c>
      <c r="J1170" s="61">
        <f t="shared" si="132"/>
        <v>0</v>
      </c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  <c r="AH1170" s="55"/>
      <c r="AI1170" s="55"/>
      <c r="AJ1170" s="55"/>
    </row>
    <row r="1171" spans="1:36" x14ac:dyDescent="0.2">
      <c r="A1171" s="61">
        <f t="shared" si="126"/>
        <v>0</v>
      </c>
      <c r="B1171" s="55">
        <f t="shared" si="127"/>
        <v>0</v>
      </c>
      <c r="C1171" s="55"/>
      <c r="D1171" s="55"/>
      <c r="E1171" s="55">
        <f t="shared" si="128"/>
        <v>0</v>
      </c>
      <c r="F1171" s="55">
        <f t="shared" si="129"/>
        <v>0</v>
      </c>
      <c r="G1171" s="55">
        <f t="shared" si="130"/>
        <v>0</v>
      </c>
      <c r="H1171" s="55" t="str">
        <f t="shared" si="131"/>
        <v/>
      </c>
      <c r="J1171" s="61">
        <f t="shared" si="132"/>
        <v>0</v>
      </c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  <c r="AH1171" s="55"/>
      <c r="AI1171" s="55"/>
      <c r="AJ1171" s="55"/>
    </row>
    <row r="1172" spans="1:36" x14ac:dyDescent="0.2">
      <c r="A1172" s="61">
        <f t="shared" si="126"/>
        <v>0</v>
      </c>
      <c r="B1172" s="55">
        <f t="shared" si="127"/>
        <v>0</v>
      </c>
      <c r="C1172" s="55"/>
      <c r="D1172" s="55"/>
      <c r="E1172" s="55">
        <f t="shared" si="128"/>
        <v>0</v>
      </c>
      <c r="F1172" s="55">
        <f t="shared" si="129"/>
        <v>0</v>
      </c>
      <c r="G1172" s="55">
        <f t="shared" si="130"/>
        <v>0</v>
      </c>
      <c r="H1172" s="55" t="str">
        <f t="shared" si="131"/>
        <v/>
      </c>
      <c r="J1172" s="61">
        <f t="shared" si="132"/>
        <v>0</v>
      </c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  <c r="AH1172" s="55"/>
      <c r="AI1172" s="55"/>
      <c r="AJ1172" s="55"/>
    </row>
    <row r="1173" spans="1:36" x14ac:dyDescent="0.2">
      <c r="A1173" s="61">
        <f t="shared" si="126"/>
        <v>0</v>
      </c>
      <c r="B1173" s="55">
        <f t="shared" si="127"/>
        <v>0</v>
      </c>
      <c r="C1173" s="55"/>
      <c r="D1173" s="55"/>
      <c r="E1173" s="55">
        <f t="shared" si="128"/>
        <v>0</v>
      </c>
      <c r="F1173" s="55">
        <f t="shared" si="129"/>
        <v>0</v>
      </c>
      <c r="G1173" s="55">
        <f t="shared" si="130"/>
        <v>0</v>
      </c>
      <c r="H1173" s="55" t="str">
        <f t="shared" si="131"/>
        <v/>
      </c>
      <c r="J1173" s="61">
        <f t="shared" si="132"/>
        <v>0</v>
      </c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  <c r="AH1173" s="55"/>
      <c r="AI1173" s="55"/>
      <c r="AJ1173" s="55"/>
    </row>
    <row r="1174" spans="1:36" x14ac:dyDescent="0.2">
      <c r="A1174" s="61">
        <f t="shared" si="126"/>
        <v>0</v>
      </c>
      <c r="B1174" s="55">
        <f t="shared" si="127"/>
        <v>0</v>
      </c>
      <c r="C1174" s="55"/>
      <c r="D1174" s="55"/>
      <c r="E1174" s="55">
        <f t="shared" si="128"/>
        <v>0</v>
      </c>
      <c r="F1174" s="55">
        <f t="shared" si="129"/>
        <v>0</v>
      </c>
      <c r="G1174" s="55">
        <f t="shared" si="130"/>
        <v>0</v>
      </c>
      <c r="H1174" s="55" t="str">
        <f t="shared" si="131"/>
        <v/>
      </c>
      <c r="J1174" s="61">
        <f t="shared" si="132"/>
        <v>0</v>
      </c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  <c r="AH1174" s="55"/>
      <c r="AI1174" s="55"/>
      <c r="AJ1174" s="55"/>
    </row>
    <row r="1175" spans="1:36" x14ac:dyDescent="0.2">
      <c r="A1175" s="61">
        <f t="shared" si="126"/>
        <v>0</v>
      </c>
      <c r="B1175" s="55">
        <f t="shared" si="127"/>
        <v>0</v>
      </c>
      <c r="C1175" s="55"/>
      <c r="D1175" s="55"/>
      <c r="E1175" s="55">
        <f t="shared" si="128"/>
        <v>0</v>
      </c>
      <c r="F1175" s="55">
        <f t="shared" si="129"/>
        <v>0</v>
      </c>
      <c r="G1175" s="55">
        <f t="shared" si="130"/>
        <v>0</v>
      </c>
      <c r="H1175" s="55" t="str">
        <f t="shared" si="131"/>
        <v/>
      </c>
      <c r="J1175" s="61">
        <f t="shared" si="132"/>
        <v>0</v>
      </c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</row>
    <row r="1176" spans="1:36" x14ac:dyDescent="0.2">
      <c r="A1176" s="61">
        <f t="shared" si="126"/>
        <v>0</v>
      </c>
      <c r="B1176" s="55">
        <f t="shared" si="127"/>
        <v>0</v>
      </c>
      <c r="C1176" s="55"/>
      <c r="D1176" s="55"/>
      <c r="E1176" s="55">
        <f t="shared" si="128"/>
        <v>0</v>
      </c>
      <c r="F1176" s="55">
        <f t="shared" si="129"/>
        <v>0</v>
      </c>
      <c r="G1176" s="55">
        <f t="shared" si="130"/>
        <v>0</v>
      </c>
      <c r="H1176" s="55" t="str">
        <f t="shared" si="131"/>
        <v/>
      </c>
      <c r="J1176" s="61">
        <f t="shared" si="132"/>
        <v>0</v>
      </c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  <c r="AH1176" s="55"/>
      <c r="AI1176" s="55"/>
      <c r="AJ1176" s="55"/>
    </row>
    <row r="1177" spans="1:36" x14ac:dyDescent="0.2">
      <c r="A1177" s="61">
        <f t="shared" si="126"/>
        <v>0</v>
      </c>
      <c r="B1177" s="55">
        <f t="shared" si="127"/>
        <v>0</v>
      </c>
      <c r="C1177" s="55"/>
      <c r="D1177" s="55"/>
      <c r="E1177" s="55">
        <f t="shared" si="128"/>
        <v>0</v>
      </c>
      <c r="F1177" s="55">
        <f t="shared" si="129"/>
        <v>0</v>
      </c>
      <c r="G1177" s="55">
        <f t="shared" si="130"/>
        <v>0</v>
      </c>
      <c r="H1177" s="55" t="str">
        <f t="shared" si="131"/>
        <v/>
      </c>
      <c r="J1177" s="61">
        <f t="shared" si="132"/>
        <v>0</v>
      </c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  <c r="AH1177" s="55"/>
      <c r="AI1177" s="55"/>
      <c r="AJ1177" s="55"/>
    </row>
    <row r="1178" spans="1:36" x14ac:dyDescent="0.2">
      <c r="A1178" s="61">
        <f t="shared" si="126"/>
        <v>0</v>
      </c>
      <c r="B1178" s="55">
        <f t="shared" si="127"/>
        <v>0</v>
      </c>
      <c r="C1178" s="55"/>
      <c r="D1178" s="55"/>
      <c r="E1178" s="55">
        <f t="shared" si="128"/>
        <v>0</v>
      </c>
      <c r="F1178" s="55">
        <f t="shared" si="129"/>
        <v>0</v>
      </c>
      <c r="G1178" s="55">
        <f t="shared" si="130"/>
        <v>0</v>
      </c>
      <c r="H1178" s="55" t="str">
        <f t="shared" si="131"/>
        <v/>
      </c>
      <c r="J1178" s="61">
        <f t="shared" si="132"/>
        <v>0</v>
      </c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  <c r="AH1178" s="55"/>
      <c r="AI1178" s="55"/>
      <c r="AJ1178" s="55"/>
    </row>
    <row r="1179" spans="1:36" x14ac:dyDescent="0.2">
      <c r="A1179" s="61">
        <f t="shared" si="126"/>
        <v>0</v>
      </c>
      <c r="B1179" s="55">
        <f t="shared" si="127"/>
        <v>0</v>
      </c>
      <c r="C1179" s="55"/>
      <c r="D1179" s="55"/>
      <c r="E1179" s="55">
        <f t="shared" si="128"/>
        <v>0</v>
      </c>
      <c r="F1179" s="55">
        <f t="shared" si="129"/>
        <v>0</v>
      </c>
      <c r="G1179" s="55">
        <f t="shared" si="130"/>
        <v>0</v>
      </c>
      <c r="H1179" s="55" t="str">
        <f t="shared" si="131"/>
        <v/>
      </c>
      <c r="J1179" s="61">
        <f t="shared" si="132"/>
        <v>0</v>
      </c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  <c r="AH1179" s="55"/>
      <c r="AI1179" s="55"/>
      <c r="AJ1179" s="55"/>
    </row>
    <row r="1180" spans="1:36" x14ac:dyDescent="0.2">
      <c r="A1180" s="61">
        <f t="shared" si="126"/>
        <v>0</v>
      </c>
      <c r="B1180" s="55">
        <f t="shared" si="127"/>
        <v>0</v>
      </c>
      <c r="C1180" s="55"/>
      <c r="D1180" s="55"/>
      <c r="E1180" s="55">
        <f t="shared" si="128"/>
        <v>0</v>
      </c>
      <c r="F1180" s="55">
        <f t="shared" si="129"/>
        <v>0</v>
      </c>
      <c r="G1180" s="55">
        <f t="shared" si="130"/>
        <v>0</v>
      </c>
      <c r="H1180" s="55" t="str">
        <f t="shared" si="131"/>
        <v/>
      </c>
      <c r="J1180" s="61">
        <f t="shared" si="132"/>
        <v>0</v>
      </c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  <c r="AH1180" s="55"/>
      <c r="AI1180" s="55"/>
      <c r="AJ1180" s="55"/>
    </row>
    <row r="1181" spans="1:36" x14ac:dyDescent="0.2">
      <c r="A1181" s="61">
        <f t="shared" si="126"/>
        <v>0</v>
      </c>
      <c r="B1181" s="55">
        <f t="shared" si="127"/>
        <v>0</v>
      </c>
      <c r="C1181" s="55"/>
      <c r="D1181" s="55"/>
      <c r="E1181" s="55">
        <f t="shared" si="128"/>
        <v>0</v>
      </c>
      <c r="F1181" s="55">
        <f t="shared" si="129"/>
        <v>0</v>
      </c>
      <c r="G1181" s="55">
        <f t="shared" si="130"/>
        <v>0</v>
      </c>
      <c r="H1181" s="55" t="str">
        <f t="shared" si="131"/>
        <v/>
      </c>
      <c r="J1181" s="61">
        <f t="shared" si="132"/>
        <v>0</v>
      </c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  <c r="AH1181" s="55"/>
      <c r="AI1181" s="55"/>
      <c r="AJ1181" s="55"/>
    </row>
    <row r="1182" spans="1:36" x14ac:dyDescent="0.2">
      <c r="A1182" s="61">
        <f t="shared" si="126"/>
        <v>0</v>
      </c>
      <c r="B1182" s="55">
        <f t="shared" si="127"/>
        <v>0</v>
      </c>
      <c r="C1182" s="55"/>
      <c r="D1182" s="55"/>
      <c r="E1182" s="55">
        <f t="shared" si="128"/>
        <v>0</v>
      </c>
      <c r="F1182" s="55">
        <f t="shared" si="129"/>
        <v>0</v>
      </c>
      <c r="G1182" s="55">
        <f t="shared" si="130"/>
        <v>0</v>
      </c>
      <c r="H1182" s="55" t="str">
        <f t="shared" si="131"/>
        <v/>
      </c>
      <c r="J1182" s="61">
        <f t="shared" si="132"/>
        <v>0</v>
      </c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</row>
    <row r="1183" spans="1:36" x14ac:dyDescent="0.2">
      <c r="A1183" s="61">
        <f t="shared" si="126"/>
        <v>0</v>
      </c>
      <c r="B1183" s="55">
        <f t="shared" si="127"/>
        <v>0</v>
      </c>
      <c r="C1183" s="55"/>
      <c r="D1183" s="55"/>
      <c r="E1183" s="55">
        <f t="shared" si="128"/>
        <v>0</v>
      </c>
      <c r="F1183" s="55">
        <f t="shared" si="129"/>
        <v>0</v>
      </c>
      <c r="G1183" s="55">
        <f t="shared" si="130"/>
        <v>0</v>
      </c>
      <c r="H1183" s="55" t="str">
        <f t="shared" si="131"/>
        <v/>
      </c>
      <c r="J1183" s="61">
        <f t="shared" si="132"/>
        <v>0</v>
      </c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</row>
    <row r="1184" spans="1:36" x14ac:dyDescent="0.2">
      <c r="A1184" s="61">
        <f t="shared" si="126"/>
        <v>0</v>
      </c>
      <c r="B1184" s="55">
        <f t="shared" si="127"/>
        <v>0</v>
      </c>
      <c r="C1184" s="55"/>
      <c r="D1184" s="55"/>
      <c r="E1184" s="55">
        <f t="shared" si="128"/>
        <v>0</v>
      </c>
      <c r="F1184" s="55">
        <f t="shared" si="129"/>
        <v>0</v>
      </c>
      <c r="G1184" s="55">
        <f t="shared" si="130"/>
        <v>0</v>
      </c>
      <c r="H1184" s="55" t="str">
        <f t="shared" si="131"/>
        <v/>
      </c>
      <c r="J1184" s="61">
        <f t="shared" si="132"/>
        <v>0</v>
      </c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</row>
    <row r="1185" spans="1:36" x14ac:dyDescent="0.2">
      <c r="A1185" s="61">
        <f t="shared" si="126"/>
        <v>0</v>
      </c>
      <c r="B1185" s="55">
        <f t="shared" si="127"/>
        <v>0</v>
      </c>
      <c r="C1185" s="55"/>
      <c r="D1185" s="55"/>
      <c r="E1185" s="55">
        <f t="shared" si="128"/>
        <v>0</v>
      </c>
      <c r="F1185" s="55">
        <f t="shared" si="129"/>
        <v>0</v>
      </c>
      <c r="G1185" s="55">
        <f t="shared" si="130"/>
        <v>0</v>
      </c>
      <c r="H1185" s="55" t="str">
        <f t="shared" si="131"/>
        <v/>
      </c>
      <c r="J1185" s="61">
        <f t="shared" si="132"/>
        <v>0</v>
      </c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</row>
    <row r="1186" spans="1:36" x14ac:dyDescent="0.2">
      <c r="A1186" s="61">
        <f t="shared" si="126"/>
        <v>0</v>
      </c>
      <c r="B1186" s="55">
        <f t="shared" si="127"/>
        <v>0</v>
      </c>
      <c r="C1186" s="55"/>
      <c r="D1186" s="55"/>
      <c r="E1186" s="55">
        <f t="shared" si="128"/>
        <v>0</v>
      </c>
      <c r="F1186" s="55">
        <f t="shared" si="129"/>
        <v>0</v>
      </c>
      <c r="G1186" s="55">
        <f t="shared" si="130"/>
        <v>0</v>
      </c>
      <c r="H1186" s="55" t="str">
        <f t="shared" si="131"/>
        <v/>
      </c>
      <c r="J1186" s="61">
        <f t="shared" si="132"/>
        <v>0</v>
      </c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</row>
    <row r="1187" spans="1:36" x14ac:dyDescent="0.2">
      <c r="A1187" s="61">
        <f t="shared" si="126"/>
        <v>0</v>
      </c>
      <c r="B1187" s="55">
        <f t="shared" si="127"/>
        <v>0</v>
      </c>
      <c r="C1187" s="55"/>
      <c r="D1187" s="55"/>
      <c r="E1187" s="55">
        <f t="shared" si="128"/>
        <v>0</v>
      </c>
      <c r="F1187" s="55">
        <f t="shared" si="129"/>
        <v>0</v>
      </c>
      <c r="G1187" s="55">
        <f t="shared" si="130"/>
        <v>0</v>
      </c>
      <c r="H1187" s="55" t="str">
        <f t="shared" si="131"/>
        <v/>
      </c>
      <c r="J1187" s="61">
        <f t="shared" si="132"/>
        <v>0</v>
      </c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</row>
    <row r="1188" spans="1:36" x14ac:dyDescent="0.2">
      <c r="A1188" s="61">
        <f t="shared" si="126"/>
        <v>0</v>
      </c>
      <c r="B1188" s="55">
        <f t="shared" si="127"/>
        <v>0</v>
      </c>
      <c r="C1188" s="55"/>
      <c r="D1188" s="55"/>
      <c r="E1188" s="55">
        <f t="shared" si="128"/>
        <v>0</v>
      </c>
      <c r="F1188" s="55">
        <f t="shared" si="129"/>
        <v>0</v>
      </c>
      <c r="G1188" s="55">
        <f t="shared" si="130"/>
        <v>0</v>
      </c>
      <c r="H1188" s="55" t="str">
        <f t="shared" si="131"/>
        <v/>
      </c>
      <c r="J1188" s="61">
        <f t="shared" si="132"/>
        <v>0</v>
      </c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  <c r="AH1188" s="55"/>
      <c r="AI1188" s="55"/>
      <c r="AJ1188" s="55"/>
    </row>
    <row r="1189" spans="1:36" x14ac:dyDescent="0.2">
      <c r="A1189" s="61">
        <f t="shared" si="126"/>
        <v>0</v>
      </c>
      <c r="B1189" s="55">
        <f t="shared" si="127"/>
        <v>0</v>
      </c>
      <c r="C1189" s="55"/>
      <c r="D1189" s="55"/>
      <c r="E1189" s="55">
        <f t="shared" si="128"/>
        <v>0</v>
      </c>
      <c r="F1189" s="55">
        <f t="shared" si="129"/>
        <v>0</v>
      </c>
      <c r="G1189" s="55">
        <f t="shared" si="130"/>
        <v>0</v>
      </c>
      <c r="H1189" s="55" t="str">
        <f t="shared" si="131"/>
        <v/>
      </c>
      <c r="J1189" s="61">
        <f t="shared" si="132"/>
        <v>0</v>
      </c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</row>
    <row r="1190" spans="1:36" x14ac:dyDescent="0.2">
      <c r="A1190" s="61">
        <f t="shared" si="126"/>
        <v>0</v>
      </c>
      <c r="B1190" s="55">
        <f t="shared" si="127"/>
        <v>0</v>
      </c>
      <c r="C1190" s="55"/>
      <c r="D1190" s="55"/>
      <c r="E1190" s="55">
        <f t="shared" si="128"/>
        <v>0</v>
      </c>
      <c r="F1190" s="55">
        <f t="shared" si="129"/>
        <v>0</v>
      </c>
      <c r="G1190" s="55">
        <f t="shared" si="130"/>
        <v>0</v>
      </c>
      <c r="H1190" s="55" t="str">
        <f t="shared" si="131"/>
        <v/>
      </c>
      <c r="J1190" s="61">
        <f t="shared" si="132"/>
        <v>0</v>
      </c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</row>
    <row r="1191" spans="1:36" x14ac:dyDescent="0.2">
      <c r="A1191" s="61">
        <f t="shared" si="126"/>
        <v>0</v>
      </c>
      <c r="B1191" s="55">
        <f t="shared" si="127"/>
        <v>0</v>
      </c>
      <c r="C1191" s="55"/>
      <c r="D1191" s="55"/>
      <c r="E1191" s="55">
        <f t="shared" si="128"/>
        <v>0</v>
      </c>
      <c r="F1191" s="55">
        <f t="shared" si="129"/>
        <v>0</v>
      </c>
      <c r="G1191" s="55">
        <f t="shared" si="130"/>
        <v>0</v>
      </c>
      <c r="H1191" s="55" t="str">
        <f t="shared" si="131"/>
        <v/>
      </c>
      <c r="J1191" s="61">
        <f t="shared" si="132"/>
        <v>0</v>
      </c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</row>
    <row r="1192" spans="1:36" x14ac:dyDescent="0.2">
      <c r="A1192" s="61">
        <f t="shared" si="126"/>
        <v>0</v>
      </c>
      <c r="B1192" s="55">
        <f t="shared" si="127"/>
        <v>0</v>
      </c>
      <c r="C1192" s="55"/>
      <c r="D1192" s="55"/>
      <c r="E1192" s="55">
        <f t="shared" si="128"/>
        <v>0</v>
      </c>
      <c r="F1192" s="55">
        <f t="shared" si="129"/>
        <v>0</v>
      </c>
      <c r="G1192" s="55">
        <f t="shared" si="130"/>
        <v>0</v>
      </c>
      <c r="H1192" s="55" t="str">
        <f t="shared" si="131"/>
        <v/>
      </c>
      <c r="J1192" s="61">
        <f t="shared" si="132"/>
        <v>0</v>
      </c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</row>
    <row r="1193" spans="1:36" x14ac:dyDescent="0.2">
      <c r="A1193" s="61">
        <f t="shared" si="126"/>
        <v>0</v>
      </c>
      <c r="B1193" s="55">
        <f t="shared" si="127"/>
        <v>0</v>
      </c>
      <c r="C1193" s="55"/>
      <c r="D1193" s="55"/>
      <c r="E1193" s="55">
        <f t="shared" si="128"/>
        <v>0</v>
      </c>
      <c r="F1193" s="55">
        <f t="shared" si="129"/>
        <v>0</v>
      </c>
      <c r="G1193" s="55">
        <f t="shared" si="130"/>
        <v>0</v>
      </c>
      <c r="H1193" s="55" t="str">
        <f t="shared" si="131"/>
        <v/>
      </c>
      <c r="J1193" s="61">
        <f t="shared" si="132"/>
        <v>0</v>
      </c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</row>
    <row r="1194" spans="1:36" x14ac:dyDescent="0.2">
      <c r="A1194" s="61">
        <f t="shared" si="126"/>
        <v>0</v>
      </c>
      <c r="B1194" s="55">
        <f t="shared" si="127"/>
        <v>0</v>
      </c>
      <c r="C1194" s="55"/>
      <c r="D1194" s="55"/>
      <c r="E1194" s="55">
        <f t="shared" si="128"/>
        <v>0</v>
      </c>
      <c r="F1194" s="55">
        <f t="shared" si="129"/>
        <v>0</v>
      </c>
      <c r="G1194" s="55">
        <f t="shared" si="130"/>
        <v>0</v>
      </c>
      <c r="H1194" s="55" t="str">
        <f t="shared" si="131"/>
        <v/>
      </c>
      <c r="J1194" s="61">
        <f t="shared" si="132"/>
        <v>0</v>
      </c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</row>
    <row r="1195" spans="1:36" x14ac:dyDescent="0.2">
      <c r="A1195" s="61">
        <f t="shared" si="126"/>
        <v>0</v>
      </c>
      <c r="B1195" s="55">
        <f t="shared" si="127"/>
        <v>0</v>
      </c>
      <c r="C1195" s="55"/>
      <c r="D1195" s="55"/>
      <c r="E1195" s="55">
        <f t="shared" si="128"/>
        <v>0</v>
      </c>
      <c r="F1195" s="55">
        <f t="shared" si="129"/>
        <v>0</v>
      </c>
      <c r="G1195" s="55">
        <f t="shared" si="130"/>
        <v>0</v>
      </c>
      <c r="H1195" s="55" t="str">
        <f t="shared" si="131"/>
        <v/>
      </c>
      <c r="J1195" s="61">
        <f t="shared" si="132"/>
        <v>0</v>
      </c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</row>
    <row r="1196" spans="1:36" x14ac:dyDescent="0.2">
      <c r="A1196" s="61">
        <f t="shared" si="126"/>
        <v>0</v>
      </c>
      <c r="B1196" s="55">
        <f t="shared" si="127"/>
        <v>0</v>
      </c>
      <c r="C1196" s="55"/>
      <c r="D1196" s="55"/>
      <c r="E1196" s="55">
        <f t="shared" si="128"/>
        <v>0</v>
      </c>
      <c r="F1196" s="55">
        <f t="shared" si="129"/>
        <v>0</v>
      </c>
      <c r="G1196" s="55">
        <f t="shared" si="130"/>
        <v>0</v>
      </c>
      <c r="H1196" s="55" t="str">
        <f t="shared" si="131"/>
        <v/>
      </c>
      <c r="J1196" s="61">
        <f t="shared" si="132"/>
        <v>0</v>
      </c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</row>
    <row r="1197" spans="1:36" x14ac:dyDescent="0.2">
      <c r="A1197" s="61">
        <f t="shared" si="126"/>
        <v>0</v>
      </c>
      <c r="B1197" s="55">
        <f t="shared" si="127"/>
        <v>0</v>
      </c>
      <c r="C1197" s="55"/>
      <c r="D1197" s="55"/>
      <c r="E1197" s="55">
        <f t="shared" si="128"/>
        <v>0</v>
      </c>
      <c r="F1197" s="55">
        <f t="shared" si="129"/>
        <v>0</v>
      </c>
      <c r="G1197" s="55">
        <f t="shared" si="130"/>
        <v>0</v>
      </c>
      <c r="H1197" s="55" t="str">
        <f t="shared" si="131"/>
        <v/>
      </c>
      <c r="J1197" s="61">
        <f t="shared" si="132"/>
        <v>0</v>
      </c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</row>
    <row r="1198" spans="1:36" x14ac:dyDescent="0.2">
      <c r="A1198" s="61">
        <f t="shared" si="126"/>
        <v>0</v>
      </c>
      <c r="B1198" s="55">
        <f t="shared" si="127"/>
        <v>0</v>
      </c>
      <c r="C1198" s="55"/>
      <c r="D1198" s="55"/>
      <c r="E1198" s="55">
        <f t="shared" si="128"/>
        <v>0</v>
      </c>
      <c r="F1198" s="55">
        <f t="shared" si="129"/>
        <v>0</v>
      </c>
      <c r="G1198" s="55">
        <f t="shared" si="130"/>
        <v>0</v>
      </c>
      <c r="H1198" s="55" t="str">
        <f t="shared" si="131"/>
        <v/>
      </c>
      <c r="J1198" s="61">
        <f t="shared" si="132"/>
        <v>0</v>
      </c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</row>
    <row r="1199" spans="1:36" x14ac:dyDescent="0.2">
      <c r="A1199" s="61">
        <f t="shared" si="126"/>
        <v>0</v>
      </c>
      <c r="B1199" s="55">
        <f t="shared" si="127"/>
        <v>0</v>
      </c>
      <c r="C1199" s="55"/>
      <c r="D1199" s="55"/>
      <c r="E1199" s="55">
        <f t="shared" si="128"/>
        <v>0</v>
      </c>
      <c r="F1199" s="55">
        <f t="shared" si="129"/>
        <v>0</v>
      </c>
      <c r="G1199" s="55">
        <f t="shared" si="130"/>
        <v>0</v>
      </c>
      <c r="H1199" s="55" t="str">
        <f t="shared" si="131"/>
        <v/>
      </c>
      <c r="J1199" s="61">
        <f t="shared" si="132"/>
        <v>0</v>
      </c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</row>
    <row r="1200" spans="1:36" x14ac:dyDescent="0.2">
      <c r="A1200" s="61">
        <f t="shared" si="126"/>
        <v>0</v>
      </c>
      <c r="B1200" s="55">
        <f t="shared" si="127"/>
        <v>0</v>
      </c>
      <c r="C1200" s="55"/>
      <c r="D1200" s="55"/>
      <c r="E1200" s="55">
        <f t="shared" si="128"/>
        <v>0</v>
      </c>
      <c r="F1200" s="55">
        <f t="shared" si="129"/>
        <v>0</v>
      </c>
      <c r="G1200" s="55">
        <f t="shared" si="130"/>
        <v>0</v>
      </c>
      <c r="H1200" s="55" t="str">
        <f t="shared" si="131"/>
        <v/>
      </c>
      <c r="J1200" s="61">
        <f t="shared" si="132"/>
        <v>0</v>
      </c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</row>
    <row r="1201" spans="1:36" x14ac:dyDescent="0.2">
      <c r="A1201" s="61">
        <f t="shared" si="126"/>
        <v>0</v>
      </c>
      <c r="B1201" s="55">
        <f t="shared" si="127"/>
        <v>0</v>
      </c>
      <c r="C1201" s="55"/>
      <c r="D1201" s="55"/>
      <c r="E1201" s="55">
        <f t="shared" si="128"/>
        <v>0</v>
      </c>
      <c r="F1201" s="55">
        <f t="shared" si="129"/>
        <v>0</v>
      </c>
      <c r="G1201" s="55">
        <f t="shared" si="130"/>
        <v>0</v>
      </c>
      <c r="H1201" s="55" t="str">
        <f t="shared" si="131"/>
        <v/>
      </c>
      <c r="J1201" s="61">
        <f t="shared" si="132"/>
        <v>0</v>
      </c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</row>
    <row r="1202" spans="1:36" x14ac:dyDescent="0.2">
      <c r="A1202" s="61">
        <f t="shared" si="126"/>
        <v>0</v>
      </c>
      <c r="B1202" s="55">
        <f t="shared" si="127"/>
        <v>0</v>
      </c>
      <c r="C1202" s="55"/>
      <c r="D1202" s="55"/>
      <c r="E1202" s="55">
        <f t="shared" si="128"/>
        <v>0</v>
      </c>
      <c r="F1202" s="55">
        <f t="shared" si="129"/>
        <v>0</v>
      </c>
      <c r="G1202" s="55">
        <f t="shared" si="130"/>
        <v>0</v>
      </c>
      <c r="H1202" s="55" t="str">
        <f t="shared" si="131"/>
        <v/>
      </c>
      <c r="J1202" s="61">
        <f t="shared" si="132"/>
        <v>0</v>
      </c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</row>
    <row r="1203" spans="1:36" x14ac:dyDescent="0.2">
      <c r="A1203" s="61">
        <f t="shared" si="126"/>
        <v>0</v>
      </c>
      <c r="B1203" s="55">
        <f t="shared" si="127"/>
        <v>0</v>
      </c>
      <c r="C1203" s="55"/>
      <c r="D1203" s="55"/>
      <c r="E1203" s="55">
        <f t="shared" si="128"/>
        <v>0</v>
      </c>
      <c r="F1203" s="55">
        <f t="shared" si="129"/>
        <v>0</v>
      </c>
      <c r="G1203" s="55">
        <f t="shared" si="130"/>
        <v>0</v>
      </c>
      <c r="H1203" s="55" t="str">
        <f t="shared" si="131"/>
        <v/>
      </c>
      <c r="J1203" s="61">
        <f t="shared" si="132"/>
        <v>0</v>
      </c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</row>
    <row r="1204" spans="1:36" x14ac:dyDescent="0.2">
      <c r="A1204" s="61">
        <f t="shared" si="126"/>
        <v>0</v>
      </c>
      <c r="B1204" s="55">
        <f t="shared" si="127"/>
        <v>0</v>
      </c>
      <c r="C1204" s="55"/>
      <c r="D1204" s="55"/>
      <c r="E1204" s="55">
        <f t="shared" si="128"/>
        <v>0</v>
      </c>
      <c r="F1204" s="55">
        <f t="shared" si="129"/>
        <v>0</v>
      </c>
      <c r="G1204" s="55">
        <f t="shared" si="130"/>
        <v>0</v>
      </c>
      <c r="H1204" s="55" t="str">
        <f t="shared" si="131"/>
        <v/>
      </c>
      <c r="J1204" s="61">
        <f t="shared" si="132"/>
        <v>0</v>
      </c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</row>
    <row r="1205" spans="1:36" x14ac:dyDescent="0.2">
      <c r="A1205" s="61">
        <f t="shared" si="126"/>
        <v>0</v>
      </c>
      <c r="B1205" s="55">
        <f t="shared" si="127"/>
        <v>0</v>
      </c>
      <c r="C1205" s="55"/>
      <c r="D1205" s="55"/>
      <c r="E1205" s="55">
        <f t="shared" si="128"/>
        <v>0</v>
      </c>
      <c r="F1205" s="55">
        <f t="shared" si="129"/>
        <v>0</v>
      </c>
      <c r="G1205" s="55">
        <f t="shared" si="130"/>
        <v>0</v>
      </c>
      <c r="H1205" s="55" t="str">
        <f t="shared" si="131"/>
        <v/>
      </c>
      <c r="J1205" s="61">
        <f t="shared" si="132"/>
        <v>0</v>
      </c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</row>
    <row r="1206" spans="1:36" x14ac:dyDescent="0.2">
      <c r="A1206" s="61">
        <f t="shared" si="126"/>
        <v>0</v>
      </c>
      <c r="B1206" s="55">
        <f t="shared" si="127"/>
        <v>0</v>
      </c>
      <c r="C1206" s="55"/>
      <c r="D1206" s="55"/>
      <c r="E1206" s="55">
        <f t="shared" si="128"/>
        <v>0</v>
      </c>
      <c r="F1206" s="55">
        <f t="shared" si="129"/>
        <v>0</v>
      </c>
      <c r="G1206" s="55">
        <f t="shared" si="130"/>
        <v>0</v>
      </c>
      <c r="H1206" s="55" t="str">
        <f t="shared" si="131"/>
        <v/>
      </c>
      <c r="J1206" s="61">
        <f t="shared" si="132"/>
        <v>0</v>
      </c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</row>
    <row r="1207" spans="1:36" x14ac:dyDescent="0.2">
      <c r="A1207" s="61">
        <f t="shared" si="126"/>
        <v>0</v>
      </c>
      <c r="B1207" s="55">
        <f t="shared" si="127"/>
        <v>0</v>
      </c>
      <c r="C1207" s="55"/>
      <c r="D1207" s="55"/>
      <c r="E1207" s="55">
        <f t="shared" si="128"/>
        <v>0</v>
      </c>
      <c r="F1207" s="55">
        <f t="shared" si="129"/>
        <v>0</v>
      </c>
      <c r="G1207" s="55">
        <f t="shared" si="130"/>
        <v>0</v>
      </c>
      <c r="H1207" s="55" t="str">
        <f t="shared" si="131"/>
        <v/>
      </c>
      <c r="J1207" s="61">
        <f t="shared" si="132"/>
        <v>0</v>
      </c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</row>
    <row r="1208" spans="1:36" x14ac:dyDescent="0.2">
      <c r="A1208" s="61">
        <f t="shared" si="126"/>
        <v>0</v>
      </c>
      <c r="B1208" s="55">
        <f t="shared" si="127"/>
        <v>0</v>
      </c>
      <c r="C1208" s="55"/>
      <c r="D1208" s="55"/>
      <c r="E1208" s="55">
        <f t="shared" si="128"/>
        <v>0</v>
      </c>
      <c r="F1208" s="55">
        <f t="shared" si="129"/>
        <v>0</v>
      </c>
      <c r="G1208" s="55">
        <f t="shared" si="130"/>
        <v>0</v>
      </c>
      <c r="H1208" s="55" t="str">
        <f t="shared" si="131"/>
        <v/>
      </c>
      <c r="J1208" s="61">
        <f t="shared" si="132"/>
        <v>0</v>
      </c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</row>
    <row r="1209" spans="1:36" x14ac:dyDescent="0.2">
      <c r="A1209" s="61">
        <f t="shared" si="126"/>
        <v>0</v>
      </c>
      <c r="B1209" s="55">
        <f t="shared" si="127"/>
        <v>0</v>
      </c>
      <c r="C1209" s="55"/>
      <c r="D1209" s="55"/>
      <c r="E1209" s="55">
        <f t="shared" si="128"/>
        <v>0</v>
      </c>
      <c r="F1209" s="55">
        <f t="shared" si="129"/>
        <v>0</v>
      </c>
      <c r="G1209" s="55">
        <f t="shared" si="130"/>
        <v>0</v>
      </c>
      <c r="H1209" s="55" t="str">
        <f t="shared" si="131"/>
        <v/>
      </c>
      <c r="J1209" s="61">
        <f t="shared" si="132"/>
        <v>0</v>
      </c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</row>
    <row r="1210" spans="1:36" x14ac:dyDescent="0.2">
      <c r="A1210" s="61">
        <f t="shared" si="126"/>
        <v>0</v>
      </c>
      <c r="B1210" s="55">
        <f t="shared" si="127"/>
        <v>0</v>
      </c>
      <c r="C1210" s="55"/>
      <c r="D1210" s="55"/>
      <c r="E1210" s="55">
        <f t="shared" si="128"/>
        <v>0</v>
      </c>
      <c r="F1210" s="55">
        <f t="shared" si="129"/>
        <v>0</v>
      </c>
      <c r="G1210" s="55">
        <f t="shared" si="130"/>
        <v>0</v>
      </c>
      <c r="H1210" s="55" t="str">
        <f t="shared" si="131"/>
        <v/>
      </c>
      <c r="J1210" s="61">
        <f t="shared" si="132"/>
        <v>0</v>
      </c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</row>
    <row r="1211" spans="1:36" x14ac:dyDescent="0.2">
      <c r="A1211" s="61">
        <f t="shared" si="126"/>
        <v>0</v>
      </c>
      <c r="B1211" s="55">
        <f t="shared" si="127"/>
        <v>0</v>
      </c>
      <c r="C1211" s="55"/>
      <c r="D1211" s="55"/>
      <c r="E1211" s="55">
        <f t="shared" si="128"/>
        <v>0</v>
      </c>
      <c r="F1211" s="55">
        <f t="shared" si="129"/>
        <v>0</v>
      </c>
      <c r="G1211" s="55">
        <f t="shared" si="130"/>
        <v>0</v>
      </c>
      <c r="H1211" s="55" t="str">
        <f t="shared" si="131"/>
        <v/>
      </c>
      <c r="J1211" s="61">
        <f t="shared" si="132"/>
        <v>0</v>
      </c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</row>
    <row r="1212" spans="1:36" x14ac:dyDescent="0.2">
      <c r="A1212" s="61">
        <f t="shared" si="126"/>
        <v>0</v>
      </c>
      <c r="B1212" s="55">
        <f t="shared" si="127"/>
        <v>0</v>
      </c>
      <c r="C1212" s="55"/>
      <c r="D1212" s="55"/>
      <c r="E1212" s="55">
        <f t="shared" si="128"/>
        <v>0</v>
      </c>
      <c r="F1212" s="55">
        <f t="shared" si="129"/>
        <v>0</v>
      </c>
      <c r="G1212" s="55">
        <f t="shared" si="130"/>
        <v>0</v>
      </c>
      <c r="H1212" s="55" t="str">
        <f t="shared" si="131"/>
        <v/>
      </c>
      <c r="J1212" s="61">
        <f t="shared" si="132"/>
        <v>0</v>
      </c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</row>
    <row r="1213" spans="1:36" x14ac:dyDescent="0.2">
      <c r="A1213" s="61">
        <f t="shared" si="126"/>
        <v>0</v>
      </c>
      <c r="B1213" s="55">
        <f t="shared" si="127"/>
        <v>0</v>
      </c>
      <c r="C1213" s="55"/>
      <c r="D1213" s="55"/>
      <c r="E1213" s="55">
        <f t="shared" si="128"/>
        <v>0</v>
      </c>
      <c r="F1213" s="55">
        <f t="shared" si="129"/>
        <v>0</v>
      </c>
      <c r="G1213" s="55">
        <f t="shared" si="130"/>
        <v>0</v>
      </c>
      <c r="H1213" s="55" t="str">
        <f t="shared" si="131"/>
        <v/>
      </c>
      <c r="J1213" s="61">
        <f t="shared" si="132"/>
        <v>0</v>
      </c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</row>
    <row r="1214" spans="1:36" x14ac:dyDescent="0.2">
      <c r="A1214" s="61">
        <f t="shared" si="126"/>
        <v>0</v>
      </c>
      <c r="B1214" s="55">
        <f t="shared" si="127"/>
        <v>0</v>
      </c>
      <c r="C1214" s="55"/>
      <c r="D1214" s="55"/>
      <c r="E1214" s="55">
        <f t="shared" si="128"/>
        <v>0</v>
      </c>
      <c r="F1214" s="55">
        <f t="shared" si="129"/>
        <v>0</v>
      </c>
      <c r="G1214" s="55">
        <f t="shared" si="130"/>
        <v>0</v>
      </c>
      <c r="H1214" s="55" t="str">
        <f t="shared" si="131"/>
        <v/>
      </c>
      <c r="J1214" s="61">
        <f t="shared" si="132"/>
        <v>0</v>
      </c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</row>
    <row r="1215" spans="1:36" x14ac:dyDescent="0.2">
      <c r="A1215" s="61">
        <f t="shared" si="126"/>
        <v>0</v>
      </c>
      <c r="B1215" s="55">
        <f t="shared" si="127"/>
        <v>0</v>
      </c>
      <c r="C1215" s="55"/>
      <c r="D1215" s="55"/>
      <c r="E1215" s="55">
        <f t="shared" si="128"/>
        <v>0</v>
      </c>
      <c r="F1215" s="55">
        <f t="shared" si="129"/>
        <v>0</v>
      </c>
      <c r="G1215" s="55">
        <f t="shared" si="130"/>
        <v>0</v>
      </c>
      <c r="H1215" s="55" t="str">
        <f t="shared" si="131"/>
        <v/>
      </c>
      <c r="J1215" s="61">
        <f t="shared" si="132"/>
        <v>0</v>
      </c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</row>
    <row r="1216" spans="1:36" x14ac:dyDescent="0.2">
      <c r="A1216" s="61">
        <f t="shared" si="126"/>
        <v>0</v>
      </c>
      <c r="B1216" s="55">
        <f t="shared" si="127"/>
        <v>0</v>
      </c>
      <c r="C1216" s="55"/>
      <c r="D1216" s="55"/>
      <c r="E1216" s="55">
        <f t="shared" si="128"/>
        <v>0</v>
      </c>
      <c r="F1216" s="55">
        <f t="shared" si="129"/>
        <v>0</v>
      </c>
      <c r="G1216" s="55">
        <f t="shared" si="130"/>
        <v>0</v>
      </c>
      <c r="H1216" s="55" t="str">
        <f t="shared" si="131"/>
        <v/>
      </c>
      <c r="J1216" s="61">
        <f t="shared" si="132"/>
        <v>0</v>
      </c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</row>
    <row r="1217" spans="1:36" x14ac:dyDescent="0.2">
      <c r="A1217" s="61">
        <f t="shared" si="126"/>
        <v>0</v>
      </c>
      <c r="B1217" s="55">
        <f t="shared" si="127"/>
        <v>0</v>
      </c>
      <c r="C1217" s="55"/>
      <c r="D1217" s="55"/>
      <c r="E1217" s="55">
        <f t="shared" si="128"/>
        <v>0</v>
      </c>
      <c r="F1217" s="55">
        <f t="shared" si="129"/>
        <v>0</v>
      </c>
      <c r="G1217" s="55">
        <f t="shared" si="130"/>
        <v>0</v>
      </c>
      <c r="H1217" s="55" t="str">
        <f t="shared" si="131"/>
        <v/>
      </c>
      <c r="J1217" s="61">
        <f t="shared" si="132"/>
        <v>0</v>
      </c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</row>
    <row r="1218" spans="1:36" x14ac:dyDescent="0.2">
      <c r="A1218" s="61">
        <f t="shared" ref="A1218:A1279" si="133">J1218</f>
        <v>0</v>
      </c>
      <c r="B1218" s="55">
        <f t="shared" ref="B1218:B1279" si="134">M1218</f>
        <v>0</v>
      </c>
      <c r="C1218" s="55"/>
      <c r="D1218" s="55"/>
      <c r="E1218" s="55">
        <f t="shared" ref="E1218:E1279" si="135">V1218</f>
        <v>0</v>
      </c>
      <c r="F1218" s="55">
        <f t="shared" ref="F1218:F1279" si="136">Z1218</f>
        <v>0</v>
      </c>
      <c r="G1218" s="55">
        <f t="shared" ref="G1218:G1279" si="137">AH1218</f>
        <v>0</v>
      </c>
      <c r="H1218" s="55" t="str">
        <f t="shared" ref="H1218:H1279" si="138">IF(Q1218&gt;1,IF(Q1218=2,"I","E"),"")</f>
        <v/>
      </c>
      <c r="J1218" s="61">
        <f t="shared" ref="J1218:J1279" si="139">P1218*1</f>
        <v>0</v>
      </c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</row>
    <row r="1219" spans="1:36" x14ac:dyDescent="0.2">
      <c r="A1219" s="61">
        <f t="shared" si="133"/>
        <v>0</v>
      </c>
      <c r="B1219" s="55">
        <f t="shared" si="134"/>
        <v>0</v>
      </c>
      <c r="C1219" s="55"/>
      <c r="D1219" s="55"/>
      <c r="E1219" s="55">
        <f t="shared" si="135"/>
        <v>0</v>
      </c>
      <c r="F1219" s="55">
        <f t="shared" si="136"/>
        <v>0</v>
      </c>
      <c r="G1219" s="55">
        <f t="shared" si="137"/>
        <v>0</v>
      </c>
      <c r="H1219" s="55" t="str">
        <f t="shared" si="138"/>
        <v/>
      </c>
      <c r="J1219" s="61">
        <f t="shared" si="139"/>
        <v>0</v>
      </c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</row>
    <row r="1220" spans="1:36" x14ac:dyDescent="0.2">
      <c r="A1220" s="61">
        <f t="shared" si="133"/>
        <v>0</v>
      </c>
      <c r="B1220" s="55">
        <f t="shared" si="134"/>
        <v>0</v>
      </c>
      <c r="C1220" s="55"/>
      <c r="D1220" s="55"/>
      <c r="E1220" s="55">
        <f t="shared" si="135"/>
        <v>0</v>
      </c>
      <c r="F1220" s="55">
        <f t="shared" si="136"/>
        <v>0</v>
      </c>
      <c r="G1220" s="55">
        <f t="shared" si="137"/>
        <v>0</v>
      </c>
      <c r="H1220" s="55" t="str">
        <f t="shared" si="138"/>
        <v/>
      </c>
      <c r="J1220" s="61">
        <f t="shared" si="139"/>
        <v>0</v>
      </c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</row>
    <row r="1221" spans="1:36" x14ac:dyDescent="0.2">
      <c r="A1221" s="61">
        <f t="shared" si="133"/>
        <v>0</v>
      </c>
      <c r="B1221" s="55">
        <f t="shared" si="134"/>
        <v>0</v>
      </c>
      <c r="C1221" s="55"/>
      <c r="D1221" s="55"/>
      <c r="E1221" s="55">
        <f t="shared" si="135"/>
        <v>0</v>
      </c>
      <c r="F1221" s="55">
        <f t="shared" si="136"/>
        <v>0</v>
      </c>
      <c r="G1221" s="55">
        <f t="shared" si="137"/>
        <v>0</v>
      </c>
      <c r="H1221" s="55" t="str">
        <f t="shared" si="138"/>
        <v/>
      </c>
      <c r="J1221" s="61">
        <f t="shared" si="139"/>
        <v>0</v>
      </c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</row>
    <row r="1222" spans="1:36" x14ac:dyDescent="0.2">
      <c r="A1222" s="61">
        <f t="shared" si="133"/>
        <v>0</v>
      </c>
      <c r="B1222" s="55">
        <f t="shared" si="134"/>
        <v>0</v>
      </c>
      <c r="C1222" s="55"/>
      <c r="D1222" s="55"/>
      <c r="E1222" s="55">
        <f t="shared" si="135"/>
        <v>0</v>
      </c>
      <c r="F1222" s="55">
        <f t="shared" si="136"/>
        <v>0</v>
      </c>
      <c r="G1222" s="55">
        <f t="shared" si="137"/>
        <v>0</v>
      </c>
      <c r="H1222" s="55" t="str">
        <f t="shared" si="138"/>
        <v/>
      </c>
      <c r="J1222" s="61">
        <f t="shared" si="139"/>
        <v>0</v>
      </c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</row>
    <row r="1223" spans="1:36" x14ac:dyDescent="0.2">
      <c r="A1223" s="61">
        <f t="shared" si="133"/>
        <v>0</v>
      </c>
      <c r="B1223" s="55">
        <f t="shared" si="134"/>
        <v>0</v>
      </c>
      <c r="C1223" s="55"/>
      <c r="D1223" s="55"/>
      <c r="E1223" s="55">
        <f t="shared" si="135"/>
        <v>0</v>
      </c>
      <c r="F1223" s="55">
        <f t="shared" si="136"/>
        <v>0</v>
      </c>
      <c r="G1223" s="55">
        <f t="shared" si="137"/>
        <v>0</v>
      </c>
      <c r="H1223" s="55" t="str">
        <f t="shared" si="138"/>
        <v/>
      </c>
      <c r="J1223" s="61">
        <f t="shared" si="139"/>
        <v>0</v>
      </c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</row>
    <row r="1224" spans="1:36" x14ac:dyDescent="0.2">
      <c r="A1224" s="61">
        <f t="shared" si="133"/>
        <v>0</v>
      </c>
      <c r="B1224" s="55">
        <f t="shared" si="134"/>
        <v>0</v>
      </c>
      <c r="C1224" s="55"/>
      <c r="D1224" s="55"/>
      <c r="E1224" s="55">
        <f t="shared" si="135"/>
        <v>0</v>
      </c>
      <c r="F1224" s="55">
        <f t="shared" si="136"/>
        <v>0</v>
      </c>
      <c r="G1224" s="55">
        <f t="shared" si="137"/>
        <v>0</v>
      </c>
      <c r="H1224" s="55" t="str">
        <f t="shared" si="138"/>
        <v/>
      </c>
      <c r="J1224" s="61">
        <f t="shared" si="139"/>
        <v>0</v>
      </c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</row>
    <row r="1225" spans="1:36" x14ac:dyDescent="0.2">
      <c r="A1225" s="61">
        <f t="shared" si="133"/>
        <v>0</v>
      </c>
      <c r="B1225" s="55">
        <f t="shared" si="134"/>
        <v>0</v>
      </c>
      <c r="C1225" s="55"/>
      <c r="D1225" s="55"/>
      <c r="E1225" s="55">
        <f t="shared" si="135"/>
        <v>0</v>
      </c>
      <c r="F1225" s="55">
        <f t="shared" si="136"/>
        <v>0</v>
      </c>
      <c r="G1225" s="55">
        <f t="shared" si="137"/>
        <v>0</v>
      </c>
      <c r="H1225" s="55" t="str">
        <f t="shared" si="138"/>
        <v/>
      </c>
      <c r="J1225" s="61">
        <f t="shared" si="139"/>
        <v>0</v>
      </c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</row>
    <row r="1226" spans="1:36" x14ac:dyDescent="0.2">
      <c r="A1226" s="61">
        <f t="shared" si="133"/>
        <v>0</v>
      </c>
      <c r="B1226" s="55">
        <f t="shared" si="134"/>
        <v>0</v>
      </c>
      <c r="C1226" s="55"/>
      <c r="D1226" s="55"/>
      <c r="E1226" s="55">
        <f t="shared" si="135"/>
        <v>0</v>
      </c>
      <c r="F1226" s="55">
        <f t="shared" si="136"/>
        <v>0</v>
      </c>
      <c r="G1226" s="55">
        <f t="shared" si="137"/>
        <v>0</v>
      </c>
      <c r="H1226" s="55" t="str">
        <f t="shared" si="138"/>
        <v/>
      </c>
      <c r="J1226" s="61">
        <f t="shared" si="139"/>
        <v>0</v>
      </c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</row>
    <row r="1227" spans="1:36" x14ac:dyDescent="0.2">
      <c r="A1227" s="61">
        <f t="shared" si="133"/>
        <v>0</v>
      </c>
      <c r="B1227" s="55">
        <f t="shared" si="134"/>
        <v>0</v>
      </c>
      <c r="C1227" s="55"/>
      <c r="D1227" s="55"/>
      <c r="E1227" s="55">
        <f t="shared" si="135"/>
        <v>0</v>
      </c>
      <c r="F1227" s="55">
        <f t="shared" si="136"/>
        <v>0</v>
      </c>
      <c r="G1227" s="55">
        <f t="shared" si="137"/>
        <v>0</v>
      </c>
      <c r="H1227" s="55" t="str">
        <f t="shared" si="138"/>
        <v/>
      </c>
      <c r="J1227" s="61">
        <f t="shared" si="139"/>
        <v>0</v>
      </c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</row>
    <row r="1228" spans="1:36" x14ac:dyDescent="0.2">
      <c r="A1228" s="61">
        <f t="shared" si="133"/>
        <v>0</v>
      </c>
      <c r="B1228" s="55">
        <f t="shared" si="134"/>
        <v>0</v>
      </c>
      <c r="C1228" s="55"/>
      <c r="D1228" s="55"/>
      <c r="E1228" s="55">
        <f t="shared" si="135"/>
        <v>0</v>
      </c>
      <c r="F1228" s="55">
        <f t="shared" si="136"/>
        <v>0</v>
      </c>
      <c r="G1228" s="55">
        <f t="shared" si="137"/>
        <v>0</v>
      </c>
      <c r="H1228" s="55" t="str">
        <f t="shared" si="138"/>
        <v/>
      </c>
      <c r="J1228" s="61">
        <f t="shared" si="139"/>
        <v>0</v>
      </c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</row>
    <row r="1229" spans="1:36" x14ac:dyDescent="0.2">
      <c r="A1229" s="61">
        <f t="shared" si="133"/>
        <v>0</v>
      </c>
      <c r="B1229" s="55">
        <f t="shared" si="134"/>
        <v>0</v>
      </c>
      <c r="C1229" s="55"/>
      <c r="D1229" s="55"/>
      <c r="E1229" s="55">
        <f t="shared" si="135"/>
        <v>0</v>
      </c>
      <c r="F1229" s="55">
        <f t="shared" si="136"/>
        <v>0</v>
      </c>
      <c r="G1229" s="55">
        <f t="shared" si="137"/>
        <v>0</v>
      </c>
      <c r="H1229" s="55" t="str">
        <f t="shared" si="138"/>
        <v/>
      </c>
      <c r="J1229" s="61">
        <f t="shared" si="139"/>
        <v>0</v>
      </c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</row>
    <row r="1230" spans="1:36" x14ac:dyDescent="0.2">
      <c r="A1230" s="61">
        <f t="shared" si="133"/>
        <v>0</v>
      </c>
      <c r="B1230" s="55">
        <f t="shared" si="134"/>
        <v>0</v>
      </c>
      <c r="C1230" s="55"/>
      <c r="D1230" s="55"/>
      <c r="E1230" s="55">
        <f t="shared" si="135"/>
        <v>0</v>
      </c>
      <c r="F1230" s="55">
        <f t="shared" si="136"/>
        <v>0</v>
      </c>
      <c r="G1230" s="55">
        <f t="shared" si="137"/>
        <v>0</v>
      </c>
      <c r="H1230" s="55" t="str">
        <f t="shared" si="138"/>
        <v/>
      </c>
      <c r="J1230" s="61">
        <f t="shared" si="139"/>
        <v>0</v>
      </c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</row>
    <row r="1231" spans="1:36" x14ac:dyDescent="0.2">
      <c r="A1231" s="61">
        <f t="shared" si="133"/>
        <v>0</v>
      </c>
      <c r="B1231" s="55">
        <f t="shared" si="134"/>
        <v>0</v>
      </c>
      <c r="C1231" s="55"/>
      <c r="D1231" s="55"/>
      <c r="E1231" s="55">
        <f t="shared" si="135"/>
        <v>0</v>
      </c>
      <c r="F1231" s="55">
        <f t="shared" si="136"/>
        <v>0</v>
      </c>
      <c r="G1231" s="55">
        <f t="shared" si="137"/>
        <v>0</v>
      </c>
      <c r="H1231" s="55" t="str">
        <f t="shared" si="138"/>
        <v/>
      </c>
      <c r="J1231" s="61">
        <f t="shared" si="139"/>
        <v>0</v>
      </c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</row>
    <row r="1232" spans="1:36" x14ac:dyDescent="0.2">
      <c r="A1232" s="61">
        <f t="shared" si="133"/>
        <v>0</v>
      </c>
      <c r="B1232" s="55">
        <f t="shared" si="134"/>
        <v>0</v>
      </c>
      <c r="C1232" s="55"/>
      <c r="D1232" s="55"/>
      <c r="E1232" s="55">
        <f t="shared" si="135"/>
        <v>0</v>
      </c>
      <c r="F1232" s="55">
        <f t="shared" si="136"/>
        <v>0</v>
      </c>
      <c r="G1232" s="55">
        <f t="shared" si="137"/>
        <v>0</v>
      </c>
      <c r="H1232" s="55" t="str">
        <f t="shared" si="138"/>
        <v/>
      </c>
      <c r="J1232" s="61">
        <f t="shared" si="139"/>
        <v>0</v>
      </c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</row>
    <row r="1233" spans="1:36" x14ac:dyDescent="0.2">
      <c r="A1233" s="61">
        <f t="shared" si="133"/>
        <v>0</v>
      </c>
      <c r="B1233" s="55">
        <f t="shared" si="134"/>
        <v>0</v>
      </c>
      <c r="C1233" s="55"/>
      <c r="D1233" s="55"/>
      <c r="E1233" s="55">
        <f t="shared" si="135"/>
        <v>0</v>
      </c>
      <c r="F1233" s="55">
        <f t="shared" si="136"/>
        <v>0</v>
      </c>
      <c r="G1233" s="55">
        <f t="shared" si="137"/>
        <v>0</v>
      </c>
      <c r="H1233" s="55" t="str">
        <f t="shared" si="138"/>
        <v/>
      </c>
      <c r="J1233" s="61">
        <f t="shared" si="139"/>
        <v>0</v>
      </c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</row>
    <row r="1234" spans="1:36" x14ac:dyDescent="0.2">
      <c r="A1234" s="61">
        <f t="shared" si="133"/>
        <v>0</v>
      </c>
      <c r="B1234" s="55">
        <f t="shared" si="134"/>
        <v>0</v>
      </c>
      <c r="C1234" s="55"/>
      <c r="D1234" s="55"/>
      <c r="E1234" s="55">
        <f t="shared" si="135"/>
        <v>0</v>
      </c>
      <c r="F1234" s="55">
        <f t="shared" si="136"/>
        <v>0</v>
      </c>
      <c r="G1234" s="55">
        <f t="shared" si="137"/>
        <v>0</v>
      </c>
      <c r="H1234" s="55" t="str">
        <f t="shared" si="138"/>
        <v/>
      </c>
      <c r="J1234" s="61">
        <f t="shared" si="139"/>
        <v>0</v>
      </c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</row>
    <row r="1235" spans="1:36" x14ac:dyDescent="0.2">
      <c r="A1235" s="61">
        <f t="shared" si="133"/>
        <v>0</v>
      </c>
      <c r="B1235" s="55">
        <f t="shared" si="134"/>
        <v>0</v>
      </c>
      <c r="C1235" s="55"/>
      <c r="D1235" s="55"/>
      <c r="E1235" s="55">
        <f t="shared" si="135"/>
        <v>0</v>
      </c>
      <c r="F1235" s="55">
        <f t="shared" si="136"/>
        <v>0</v>
      </c>
      <c r="G1235" s="55">
        <f t="shared" si="137"/>
        <v>0</v>
      </c>
      <c r="H1235" s="55" t="str">
        <f t="shared" si="138"/>
        <v/>
      </c>
      <c r="J1235" s="61">
        <f t="shared" si="139"/>
        <v>0</v>
      </c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</row>
    <row r="1236" spans="1:36" x14ac:dyDescent="0.2">
      <c r="A1236" s="61">
        <f t="shared" si="133"/>
        <v>0</v>
      </c>
      <c r="B1236" s="55">
        <f t="shared" si="134"/>
        <v>0</v>
      </c>
      <c r="C1236" s="55"/>
      <c r="D1236" s="55"/>
      <c r="E1236" s="55">
        <f t="shared" si="135"/>
        <v>0</v>
      </c>
      <c r="F1236" s="55">
        <f t="shared" si="136"/>
        <v>0</v>
      </c>
      <c r="G1236" s="55">
        <f t="shared" si="137"/>
        <v>0</v>
      </c>
      <c r="H1236" s="55" t="str">
        <f t="shared" si="138"/>
        <v/>
      </c>
      <c r="J1236" s="61">
        <f t="shared" si="139"/>
        <v>0</v>
      </c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</row>
    <row r="1237" spans="1:36" x14ac:dyDescent="0.2">
      <c r="A1237" s="61">
        <f t="shared" si="133"/>
        <v>0</v>
      </c>
      <c r="B1237" s="55">
        <f t="shared" si="134"/>
        <v>0</v>
      </c>
      <c r="C1237" s="55"/>
      <c r="D1237" s="55"/>
      <c r="E1237" s="55">
        <f t="shared" si="135"/>
        <v>0</v>
      </c>
      <c r="F1237" s="55">
        <f t="shared" si="136"/>
        <v>0</v>
      </c>
      <c r="G1237" s="55">
        <f t="shared" si="137"/>
        <v>0</v>
      </c>
      <c r="H1237" s="55" t="str">
        <f t="shared" si="138"/>
        <v/>
      </c>
      <c r="J1237" s="61">
        <f t="shared" si="139"/>
        <v>0</v>
      </c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</row>
    <row r="1238" spans="1:36" x14ac:dyDescent="0.2">
      <c r="A1238" s="61">
        <f t="shared" si="133"/>
        <v>0</v>
      </c>
      <c r="B1238" s="55">
        <f t="shared" si="134"/>
        <v>0</v>
      </c>
      <c r="C1238" s="55"/>
      <c r="D1238" s="55"/>
      <c r="E1238" s="55">
        <f t="shared" si="135"/>
        <v>0</v>
      </c>
      <c r="F1238" s="55">
        <f t="shared" si="136"/>
        <v>0</v>
      </c>
      <c r="G1238" s="55">
        <f t="shared" si="137"/>
        <v>0</v>
      </c>
      <c r="H1238" s="55" t="str">
        <f t="shared" si="138"/>
        <v/>
      </c>
      <c r="J1238" s="61">
        <f t="shared" si="139"/>
        <v>0</v>
      </c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</row>
    <row r="1239" spans="1:36" x14ac:dyDescent="0.2">
      <c r="A1239" s="61">
        <f t="shared" si="133"/>
        <v>0</v>
      </c>
      <c r="B1239" s="55">
        <f t="shared" si="134"/>
        <v>0</v>
      </c>
      <c r="C1239" s="55"/>
      <c r="D1239" s="55"/>
      <c r="E1239" s="55">
        <f t="shared" si="135"/>
        <v>0</v>
      </c>
      <c r="F1239" s="55">
        <f t="shared" si="136"/>
        <v>0</v>
      </c>
      <c r="G1239" s="55">
        <f t="shared" si="137"/>
        <v>0</v>
      </c>
      <c r="H1239" s="55" t="str">
        <f t="shared" si="138"/>
        <v/>
      </c>
      <c r="J1239" s="61">
        <f t="shared" si="139"/>
        <v>0</v>
      </c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</row>
    <row r="1240" spans="1:36" x14ac:dyDescent="0.2">
      <c r="A1240" s="61">
        <f t="shared" si="133"/>
        <v>0</v>
      </c>
      <c r="B1240" s="55">
        <f t="shared" si="134"/>
        <v>0</v>
      </c>
      <c r="C1240" s="55"/>
      <c r="D1240" s="55"/>
      <c r="E1240" s="55">
        <f t="shared" si="135"/>
        <v>0</v>
      </c>
      <c r="F1240" s="55">
        <f t="shared" si="136"/>
        <v>0</v>
      </c>
      <c r="G1240" s="55">
        <f t="shared" si="137"/>
        <v>0</v>
      </c>
      <c r="H1240" s="55" t="str">
        <f t="shared" si="138"/>
        <v/>
      </c>
      <c r="J1240" s="61">
        <f t="shared" si="139"/>
        <v>0</v>
      </c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</row>
    <row r="1241" spans="1:36" x14ac:dyDescent="0.2">
      <c r="A1241" s="61">
        <f t="shared" si="133"/>
        <v>0</v>
      </c>
      <c r="B1241" s="55">
        <f t="shared" si="134"/>
        <v>0</v>
      </c>
      <c r="C1241" s="55"/>
      <c r="D1241" s="55"/>
      <c r="E1241" s="55">
        <f t="shared" si="135"/>
        <v>0</v>
      </c>
      <c r="F1241" s="55">
        <f t="shared" si="136"/>
        <v>0</v>
      </c>
      <c r="G1241" s="55">
        <f t="shared" si="137"/>
        <v>0</v>
      </c>
      <c r="H1241" s="55" t="str">
        <f t="shared" si="138"/>
        <v/>
      </c>
      <c r="J1241" s="61">
        <f t="shared" si="139"/>
        <v>0</v>
      </c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</row>
    <row r="1242" spans="1:36" x14ac:dyDescent="0.2">
      <c r="A1242" s="61">
        <f t="shared" si="133"/>
        <v>0</v>
      </c>
      <c r="B1242" s="55">
        <f t="shared" si="134"/>
        <v>0</v>
      </c>
      <c r="C1242" s="55"/>
      <c r="D1242" s="55"/>
      <c r="E1242" s="55">
        <f t="shared" si="135"/>
        <v>0</v>
      </c>
      <c r="F1242" s="55">
        <f t="shared" si="136"/>
        <v>0</v>
      </c>
      <c r="G1242" s="55">
        <f t="shared" si="137"/>
        <v>0</v>
      </c>
      <c r="H1242" s="55" t="str">
        <f t="shared" si="138"/>
        <v/>
      </c>
      <c r="J1242" s="61">
        <f t="shared" si="139"/>
        <v>0</v>
      </c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</row>
    <row r="1243" spans="1:36" x14ac:dyDescent="0.2">
      <c r="A1243" s="61">
        <f t="shared" si="133"/>
        <v>0</v>
      </c>
      <c r="B1243" s="55">
        <f t="shared" si="134"/>
        <v>0</v>
      </c>
      <c r="C1243" s="55"/>
      <c r="D1243" s="55"/>
      <c r="E1243" s="55">
        <f t="shared" si="135"/>
        <v>0</v>
      </c>
      <c r="F1243" s="55">
        <f t="shared" si="136"/>
        <v>0</v>
      </c>
      <c r="G1243" s="55">
        <f t="shared" si="137"/>
        <v>0</v>
      </c>
      <c r="H1243" s="55" t="str">
        <f t="shared" si="138"/>
        <v/>
      </c>
      <c r="J1243" s="61">
        <f t="shared" si="139"/>
        <v>0</v>
      </c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</row>
    <row r="1244" spans="1:36" x14ac:dyDescent="0.2">
      <c r="A1244" s="61">
        <f t="shared" si="133"/>
        <v>0</v>
      </c>
      <c r="B1244" s="55">
        <f t="shared" si="134"/>
        <v>0</v>
      </c>
      <c r="C1244" s="55"/>
      <c r="D1244" s="55"/>
      <c r="E1244" s="55">
        <f t="shared" si="135"/>
        <v>0</v>
      </c>
      <c r="F1244" s="55">
        <f t="shared" si="136"/>
        <v>0</v>
      </c>
      <c r="G1244" s="55">
        <f t="shared" si="137"/>
        <v>0</v>
      </c>
      <c r="H1244" s="55" t="str">
        <f t="shared" si="138"/>
        <v/>
      </c>
      <c r="J1244" s="61">
        <f t="shared" si="139"/>
        <v>0</v>
      </c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</row>
    <row r="1245" spans="1:36" x14ac:dyDescent="0.2">
      <c r="A1245" s="61">
        <f t="shared" si="133"/>
        <v>0</v>
      </c>
      <c r="B1245" s="55">
        <f t="shared" si="134"/>
        <v>0</v>
      </c>
      <c r="C1245" s="55"/>
      <c r="D1245" s="55"/>
      <c r="E1245" s="55">
        <f t="shared" si="135"/>
        <v>0</v>
      </c>
      <c r="F1245" s="55">
        <f t="shared" si="136"/>
        <v>0</v>
      </c>
      <c r="G1245" s="55">
        <f t="shared" si="137"/>
        <v>0</v>
      </c>
      <c r="H1245" s="55" t="str">
        <f t="shared" si="138"/>
        <v/>
      </c>
      <c r="J1245" s="61">
        <f t="shared" si="139"/>
        <v>0</v>
      </c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</row>
    <row r="1246" spans="1:36" x14ac:dyDescent="0.2">
      <c r="A1246" s="61">
        <f t="shared" si="133"/>
        <v>0</v>
      </c>
      <c r="B1246" s="55">
        <f t="shared" si="134"/>
        <v>0</v>
      </c>
      <c r="C1246" s="55"/>
      <c r="D1246" s="55"/>
      <c r="E1246" s="55">
        <f t="shared" si="135"/>
        <v>0</v>
      </c>
      <c r="F1246" s="55">
        <f t="shared" si="136"/>
        <v>0</v>
      </c>
      <c r="G1246" s="55">
        <f t="shared" si="137"/>
        <v>0</v>
      </c>
      <c r="H1246" s="55" t="str">
        <f t="shared" si="138"/>
        <v/>
      </c>
      <c r="J1246" s="61">
        <f t="shared" si="139"/>
        <v>0</v>
      </c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</row>
    <row r="1247" spans="1:36" x14ac:dyDescent="0.2">
      <c r="A1247" s="61">
        <f t="shared" si="133"/>
        <v>0</v>
      </c>
      <c r="B1247" s="55">
        <f t="shared" si="134"/>
        <v>0</v>
      </c>
      <c r="C1247" s="55"/>
      <c r="D1247" s="55"/>
      <c r="E1247" s="55">
        <f t="shared" si="135"/>
        <v>0</v>
      </c>
      <c r="F1247" s="55">
        <f t="shared" si="136"/>
        <v>0</v>
      </c>
      <c r="G1247" s="55">
        <f t="shared" si="137"/>
        <v>0</v>
      </c>
      <c r="H1247" s="55" t="str">
        <f t="shared" si="138"/>
        <v/>
      </c>
      <c r="J1247" s="61">
        <f t="shared" si="139"/>
        <v>0</v>
      </c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</row>
    <row r="1248" spans="1:36" x14ac:dyDescent="0.2">
      <c r="A1248" s="61">
        <f t="shared" si="133"/>
        <v>0</v>
      </c>
      <c r="B1248" s="55">
        <f t="shared" si="134"/>
        <v>0</v>
      </c>
      <c r="C1248" s="55"/>
      <c r="D1248" s="55"/>
      <c r="E1248" s="55">
        <f t="shared" si="135"/>
        <v>0</v>
      </c>
      <c r="F1248" s="55">
        <f t="shared" si="136"/>
        <v>0</v>
      </c>
      <c r="G1248" s="55">
        <f t="shared" si="137"/>
        <v>0</v>
      </c>
      <c r="H1248" s="55" t="str">
        <f t="shared" si="138"/>
        <v/>
      </c>
      <c r="J1248" s="61">
        <f t="shared" si="139"/>
        <v>0</v>
      </c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</row>
    <row r="1249" spans="1:36" x14ac:dyDescent="0.2">
      <c r="A1249" s="61">
        <f t="shared" si="133"/>
        <v>0</v>
      </c>
      <c r="B1249" s="55">
        <f t="shared" si="134"/>
        <v>0</v>
      </c>
      <c r="C1249" s="55"/>
      <c r="D1249" s="55"/>
      <c r="E1249" s="55">
        <f t="shared" si="135"/>
        <v>0</v>
      </c>
      <c r="F1249" s="55">
        <f t="shared" si="136"/>
        <v>0</v>
      </c>
      <c r="G1249" s="55">
        <f t="shared" si="137"/>
        <v>0</v>
      </c>
      <c r="H1249" s="55" t="str">
        <f t="shared" si="138"/>
        <v/>
      </c>
      <c r="J1249" s="61">
        <f t="shared" si="139"/>
        <v>0</v>
      </c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</row>
    <row r="1250" spans="1:36" x14ac:dyDescent="0.2">
      <c r="A1250" s="61">
        <f t="shared" si="133"/>
        <v>0</v>
      </c>
      <c r="B1250" s="55">
        <f t="shared" si="134"/>
        <v>0</v>
      </c>
      <c r="C1250" s="55"/>
      <c r="D1250" s="55"/>
      <c r="E1250" s="55">
        <f t="shared" si="135"/>
        <v>0</v>
      </c>
      <c r="F1250" s="55">
        <f t="shared" si="136"/>
        <v>0</v>
      </c>
      <c r="G1250" s="55">
        <f t="shared" si="137"/>
        <v>0</v>
      </c>
      <c r="H1250" s="55" t="str">
        <f t="shared" si="138"/>
        <v/>
      </c>
      <c r="J1250" s="61">
        <f t="shared" si="139"/>
        <v>0</v>
      </c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</row>
    <row r="1251" spans="1:36" x14ac:dyDescent="0.2">
      <c r="A1251" s="61">
        <f t="shared" si="133"/>
        <v>0</v>
      </c>
      <c r="B1251" s="55">
        <f t="shared" si="134"/>
        <v>0</v>
      </c>
      <c r="C1251" s="55"/>
      <c r="D1251" s="55"/>
      <c r="E1251" s="55">
        <f t="shared" si="135"/>
        <v>0</v>
      </c>
      <c r="F1251" s="55">
        <f t="shared" si="136"/>
        <v>0</v>
      </c>
      <c r="G1251" s="55">
        <f t="shared" si="137"/>
        <v>0</v>
      </c>
      <c r="H1251" s="55" t="str">
        <f t="shared" si="138"/>
        <v/>
      </c>
      <c r="J1251" s="61">
        <f t="shared" si="139"/>
        <v>0</v>
      </c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</row>
    <row r="1252" spans="1:36" x14ac:dyDescent="0.2">
      <c r="A1252" s="61">
        <f t="shared" si="133"/>
        <v>0</v>
      </c>
      <c r="B1252" s="55">
        <f t="shared" si="134"/>
        <v>0</v>
      </c>
      <c r="C1252" s="55"/>
      <c r="D1252" s="55"/>
      <c r="E1252" s="55">
        <f t="shared" si="135"/>
        <v>0</v>
      </c>
      <c r="F1252" s="55">
        <f t="shared" si="136"/>
        <v>0</v>
      </c>
      <c r="G1252" s="55">
        <f t="shared" si="137"/>
        <v>0</v>
      </c>
      <c r="H1252" s="55" t="str">
        <f t="shared" si="138"/>
        <v/>
      </c>
      <c r="J1252" s="61">
        <f t="shared" si="139"/>
        <v>0</v>
      </c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</row>
    <row r="1253" spans="1:36" x14ac:dyDescent="0.2">
      <c r="A1253" s="61">
        <f t="shared" si="133"/>
        <v>0</v>
      </c>
      <c r="B1253" s="55">
        <f t="shared" si="134"/>
        <v>0</v>
      </c>
      <c r="C1253" s="55"/>
      <c r="D1253" s="55"/>
      <c r="E1253" s="55">
        <f t="shared" si="135"/>
        <v>0</v>
      </c>
      <c r="F1253" s="55">
        <f t="shared" si="136"/>
        <v>0</v>
      </c>
      <c r="G1253" s="55">
        <f t="shared" si="137"/>
        <v>0</v>
      </c>
      <c r="H1253" s="55" t="str">
        <f t="shared" si="138"/>
        <v/>
      </c>
      <c r="J1253" s="61">
        <f t="shared" si="139"/>
        <v>0</v>
      </c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</row>
    <row r="1254" spans="1:36" x14ac:dyDescent="0.2">
      <c r="A1254" s="61">
        <f t="shared" si="133"/>
        <v>0</v>
      </c>
      <c r="B1254" s="55">
        <f t="shared" si="134"/>
        <v>0</v>
      </c>
      <c r="C1254" s="55"/>
      <c r="D1254" s="55"/>
      <c r="E1254" s="55">
        <f t="shared" si="135"/>
        <v>0</v>
      </c>
      <c r="F1254" s="55">
        <f t="shared" si="136"/>
        <v>0</v>
      </c>
      <c r="G1254" s="55">
        <f t="shared" si="137"/>
        <v>0</v>
      </c>
      <c r="H1254" s="55" t="str">
        <f t="shared" si="138"/>
        <v/>
      </c>
      <c r="J1254" s="61">
        <f t="shared" si="139"/>
        <v>0</v>
      </c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</row>
    <row r="1255" spans="1:36" x14ac:dyDescent="0.2">
      <c r="A1255" s="61">
        <f t="shared" si="133"/>
        <v>0</v>
      </c>
      <c r="B1255" s="55">
        <f t="shared" si="134"/>
        <v>0</v>
      </c>
      <c r="C1255" s="55"/>
      <c r="D1255" s="55"/>
      <c r="E1255" s="55">
        <f t="shared" si="135"/>
        <v>0</v>
      </c>
      <c r="F1255" s="55">
        <f t="shared" si="136"/>
        <v>0</v>
      </c>
      <c r="G1255" s="55">
        <f t="shared" si="137"/>
        <v>0</v>
      </c>
      <c r="H1255" s="55" t="str">
        <f t="shared" si="138"/>
        <v/>
      </c>
      <c r="J1255" s="61">
        <f t="shared" si="139"/>
        <v>0</v>
      </c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</row>
    <row r="1256" spans="1:36" x14ac:dyDescent="0.2">
      <c r="A1256" s="61">
        <f t="shared" si="133"/>
        <v>0</v>
      </c>
      <c r="B1256" s="55">
        <f t="shared" si="134"/>
        <v>0</v>
      </c>
      <c r="C1256" s="55"/>
      <c r="D1256" s="55"/>
      <c r="E1256" s="55">
        <f t="shared" si="135"/>
        <v>0</v>
      </c>
      <c r="F1256" s="55">
        <f t="shared" si="136"/>
        <v>0</v>
      </c>
      <c r="G1256" s="55">
        <f t="shared" si="137"/>
        <v>0</v>
      </c>
      <c r="H1256" s="55" t="str">
        <f t="shared" si="138"/>
        <v/>
      </c>
      <c r="J1256" s="61">
        <f t="shared" si="139"/>
        <v>0</v>
      </c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</row>
    <row r="1257" spans="1:36" x14ac:dyDescent="0.2">
      <c r="A1257" s="61">
        <f t="shared" si="133"/>
        <v>0</v>
      </c>
      <c r="B1257" s="55">
        <f t="shared" si="134"/>
        <v>0</v>
      </c>
      <c r="C1257" s="55"/>
      <c r="D1257" s="55"/>
      <c r="E1257" s="55">
        <f t="shared" si="135"/>
        <v>0</v>
      </c>
      <c r="F1257" s="55">
        <f t="shared" si="136"/>
        <v>0</v>
      </c>
      <c r="G1257" s="55">
        <f t="shared" si="137"/>
        <v>0</v>
      </c>
      <c r="H1257" s="55" t="str">
        <f t="shared" si="138"/>
        <v/>
      </c>
      <c r="J1257" s="61">
        <f t="shared" si="139"/>
        <v>0</v>
      </c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</row>
    <row r="1258" spans="1:36" x14ac:dyDescent="0.2">
      <c r="A1258" s="61">
        <f t="shared" si="133"/>
        <v>0</v>
      </c>
      <c r="B1258" s="55">
        <f t="shared" si="134"/>
        <v>0</v>
      </c>
      <c r="C1258" s="55"/>
      <c r="D1258" s="55"/>
      <c r="E1258" s="55">
        <f t="shared" si="135"/>
        <v>0</v>
      </c>
      <c r="F1258" s="55">
        <f t="shared" si="136"/>
        <v>0</v>
      </c>
      <c r="G1258" s="55">
        <f t="shared" si="137"/>
        <v>0</v>
      </c>
      <c r="H1258" s="55" t="str">
        <f t="shared" si="138"/>
        <v/>
      </c>
      <c r="J1258" s="61">
        <f t="shared" si="139"/>
        <v>0</v>
      </c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</row>
    <row r="1259" spans="1:36" x14ac:dyDescent="0.2">
      <c r="A1259" s="61">
        <f t="shared" si="133"/>
        <v>0</v>
      </c>
      <c r="B1259" s="55">
        <f t="shared" si="134"/>
        <v>0</v>
      </c>
      <c r="C1259" s="55"/>
      <c r="D1259" s="55"/>
      <c r="E1259" s="55">
        <f t="shared" si="135"/>
        <v>0</v>
      </c>
      <c r="F1259" s="55">
        <f t="shared" si="136"/>
        <v>0</v>
      </c>
      <c r="G1259" s="55">
        <f t="shared" si="137"/>
        <v>0</v>
      </c>
      <c r="H1259" s="55" t="str">
        <f t="shared" si="138"/>
        <v/>
      </c>
      <c r="J1259" s="61">
        <f t="shared" si="139"/>
        <v>0</v>
      </c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</row>
    <row r="1260" spans="1:36" x14ac:dyDescent="0.2">
      <c r="A1260" s="61">
        <f t="shared" si="133"/>
        <v>0</v>
      </c>
      <c r="B1260" s="55">
        <f t="shared" si="134"/>
        <v>0</v>
      </c>
      <c r="C1260" s="55"/>
      <c r="D1260" s="55"/>
      <c r="E1260" s="55">
        <f t="shared" si="135"/>
        <v>0</v>
      </c>
      <c r="F1260" s="55">
        <f t="shared" si="136"/>
        <v>0</v>
      </c>
      <c r="G1260" s="55">
        <f t="shared" si="137"/>
        <v>0</v>
      </c>
      <c r="H1260" s="55" t="str">
        <f t="shared" si="138"/>
        <v/>
      </c>
      <c r="J1260" s="61">
        <f t="shared" si="139"/>
        <v>0</v>
      </c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</row>
    <row r="1261" spans="1:36" x14ac:dyDescent="0.2">
      <c r="A1261" s="61">
        <f t="shared" si="133"/>
        <v>0</v>
      </c>
      <c r="B1261" s="55">
        <f t="shared" si="134"/>
        <v>0</v>
      </c>
      <c r="C1261" s="55"/>
      <c r="D1261" s="55"/>
      <c r="E1261" s="55">
        <f t="shared" si="135"/>
        <v>0</v>
      </c>
      <c r="F1261" s="55">
        <f t="shared" si="136"/>
        <v>0</v>
      </c>
      <c r="G1261" s="55">
        <f t="shared" si="137"/>
        <v>0</v>
      </c>
      <c r="H1261" s="55" t="str">
        <f t="shared" si="138"/>
        <v/>
      </c>
      <c r="J1261" s="61">
        <f t="shared" si="139"/>
        <v>0</v>
      </c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</row>
    <row r="1262" spans="1:36" x14ac:dyDescent="0.2">
      <c r="A1262" s="61">
        <f t="shared" si="133"/>
        <v>0</v>
      </c>
      <c r="B1262" s="55">
        <f t="shared" si="134"/>
        <v>0</v>
      </c>
      <c r="C1262" s="55"/>
      <c r="D1262" s="55"/>
      <c r="E1262" s="55">
        <f t="shared" si="135"/>
        <v>0</v>
      </c>
      <c r="F1262" s="55">
        <f t="shared" si="136"/>
        <v>0</v>
      </c>
      <c r="G1262" s="55">
        <f t="shared" si="137"/>
        <v>0</v>
      </c>
      <c r="H1262" s="55" t="str">
        <f t="shared" si="138"/>
        <v/>
      </c>
      <c r="J1262" s="61">
        <f t="shared" si="139"/>
        <v>0</v>
      </c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</row>
    <row r="1263" spans="1:36" x14ac:dyDescent="0.2">
      <c r="A1263" s="61">
        <f t="shared" si="133"/>
        <v>0</v>
      </c>
      <c r="B1263" s="55">
        <f t="shared" si="134"/>
        <v>0</v>
      </c>
      <c r="C1263" s="55"/>
      <c r="D1263" s="55"/>
      <c r="E1263" s="55">
        <f t="shared" si="135"/>
        <v>0</v>
      </c>
      <c r="F1263" s="55">
        <f t="shared" si="136"/>
        <v>0</v>
      </c>
      <c r="G1263" s="55">
        <f t="shared" si="137"/>
        <v>0</v>
      </c>
      <c r="H1263" s="55" t="str">
        <f t="shared" si="138"/>
        <v/>
      </c>
      <c r="J1263" s="61">
        <f t="shared" si="139"/>
        <v>0</v>
      </c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</row>
    <row r="1264" spans="1:36" x14ac:dyDescent="0.2">
      <c r="A1264" s="61">
        <f t="shared" si="133"/>
        <v>0</v>
      </c>
      <c r="B1264" s="55">
        <f t="shared" si="134"/>
        <v>0</v>
      </c>
      <c r="C1264" s="55"/>
      <c r="D1264" s="55"/>
      <c r="E1264" s="55">
        <f t="shared" si="135"/>
        <v>0</v>
      </c>
      <c r="F1264" s="55">
        <f t="shared" si="136"/>
        <v>0</v>
      </c>
      <c r="G1264" s="55">
        <f t="shared" si="137"/>
        <v>0</v>
      </c>
      <c r="H1264" s="55" t="str">
        <f t="shared" si="138"/>
        <v/>
      </c>
      <c r="J1264" s="61">
        <f t="shared" si="139"/>
        <v>0</v>
      </c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</row>
    <row r="1265" spans="1:36" x14ac:dyDescent="0.2">
      <c r="A1265" s="61">
        <f t="shared" si="133"/>
        <v>0</v>
      </c>
      <c r="B1265" s="55">
        <f t="shared" si="134"/>
        <v>0</v>
      </c>
      <c r="C1265" s="55"/>
      <c r="D1265" s="55"/>
      <c r="E1265" s="55">
        <f t="shared" si="135"/>
        <v>0</v>
      </c>
      <c r="F1265" s="55">
        <f t="shared" si="136"/>
        <v>0</v>
      </c>
      <c r="G1265" s="55">
        <f t="shared" si="137"/>
        <v>0</v>
      </c>
      <c r="H1265" s="55" t="str">
        <f t="shared" si="138"/>
        <v/>
      </c>
      <c r="J1265" s="61">
        <f t="shared" si="139"/>
        <v>0</v>
      </c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</row>
    <row r="1266" spans="1:36" x14ac:dyDescent="0.2">
      <c r="A1266" s="61">
        <f t="shared" si="133"/>
        <v>0</v>
      </c>
      <c r="B1266" s="55">
        <f t="shared" si="134"/>
        <v>0</v>
      </c>
      <c r="C1266" s="55"/>
      <c r="D1266" s="55"/>
      <c r="E1266" s="55">
        <f t="shared" si="135"/>
        <v>0</v>
      </c>
      <c r="F1266" s="55">
        <f t="shared" si="136"/>
        <v>0</v>
      </c>
      <c r="G1266" s="55">
        <f t="shared" si="137"/>
        <v>0</v>
      </c>
      <c r="H1266" s="55" t="str">
        <f t="shared" si="138"/>
        <v/>
      </c>
      <c r="J1266" s="61">
        <f t="shared" si="139"/>
        <v>0</v>
      </c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</row>
    <row r="1267" spans="1:36" x14ac:dyDescent="0.2">
      <c r="A1267" s="61">
        <f t="shared" si="133"/>
        <v>0</v>
      </c>
      <c r="B1267" s="55">
        <f t="shared" si="134"/>
        <v>0</v>
      </c>
      <c r="C1267" s="55"/>
      <c r="D1267" s="55"/>
      <c r="E1267" s="55">
        <f t="shared" si="135"/>
        <v>0</v>
      </c>
      <c r="F1267" s="55">
        <f t="shared" si="136"/>
        <v>0</v>
      </c>
      <c r="G1267" s="55">
        <f t="shared" si="137"/>
        <v>0</v>
      </c>
      <c r="H1267" s="55" t="str">
        <f t="shared" si="138"/>
        <v/>
      </c>
      <c r="J1267" s="61">
        <f t="shared" si="139"/>
        <v>0</v>
      </c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</row>
    <row r="1268" spans="1:36" x14ac:dyDescent="0.2">
      <c r="A1268" s="61">
        <f t="shared" si="133"/>
        <v>0</v>
      </c>
      <c r="B1268" s="55">
        <f t="shared" si="134"/>
        <v>0</v>
      </c>
      <c r="C1268" s="55"/>
      <c r="D1268" s="55"/>
      <c r="E1268" s="55">
        <f t="shared" si="135"/>
        <v>0</v>
      </c>
      <c r="F1268" s="55">
        <f t="shared" si="136"/>
        <v>0</v>
      </c>
      <c r="G1268" s="55">
        <f t="shared" si="137"/>
        <v>0</v>
      </c>
      <c r="H1268" s="55" t="str">
        <f t="shared" si="138"/>
        <v/>
      </c>
      <c r="J1268" s="61">
        <f t="shared" si="139"/>
        <v>0</v>
      </c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</row>
    <row r="1269" spans="1:36" x14ac:dyDescent="0.2">
      <c r="A1269" s="61">
        <f t="shared" si="133"/>
        <v>0</v>
      </c>
      <c r="B1269" s="55">
        <f t="shared" si="134"/>
        <v>0</v>
      </c>
      <c r="C1269" s="55"/>
      <c r="D1269" s="55"/>
      <c r="E1269" s="55">
        <f t="shared" si="135"/>
        <v>0</v>
      </c>
      <c r="F1269" s="55">
        <f t="shared" si="136"/>
        <v>0</v>
      </c>
      <c r="G1269" s="55">
        <f t="shared" si="137"/>
        <v>0</v>
      </c>
      <c r="H1269" s="55" t="str">
        <f t="shared" si="138"/>
        <v/>
      </c>
      <c r="J1269" s="61">
        <f t="shared" si="139"/>
        <v>0</v>
      </c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</row>
    <row r="1270" spans="1:36" x14ac:dyDescent="0.2">
      <c r="A1270" s="61">
        <f t="shared" si="133"/>
        <v>0</v>
      </c>
      <c r="B1270" s="55">
        <f t="shared" si="134"/>
        <v>0</v>
      </c>
      <c r="C1270" s="55"/>
      <c r="D1270" s="55"/>
      <c r="E1270" s="55">
        <f t="shared" si="135"/>
        <v>0</v>
      </c>
      <c r="F1270" s="55">
        <f t="shared" si="136"/>
        <v>0</v>
      </c>
      <c r="G1270" s="55">
        <f t="shared" si="137"/>
        <v>0</v>
      </c>
      <c r="H1270" s="55" t="str">
        <f t="shared" si="138"/>
        <v/>
      </c>
      <c r="J1270" s="61">
        <f t="shared" si="139"/>
        <v>0</v>
      </c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</row>
    <row r="1271" spans="1:36" x14ac:dyDescent="0.2">
      <c r="A1271" s="61">
        <f t="shared" si="133"/>
        <v>0</v>
      </c>
      <c r="B1271" s="55">
        <f t="shared" si="134"/>
        <v>0</v>
      </c>
      <c r="C1271" s="55"/>
      <c r="D1271" s="55"/>
      <c r="E1271" s="55">
        <f t="shared" si="135"/>
        <v>0</v>
      </c>
      <c r="F1271" s="55">
        <f t="shared" si="136"/>
        <v>0</v>
      </c>
      <c r="G1271" s="55">
        <f t="shared" si="137"/>
        <v>0</v>
      </c>
      <c r="H1271" s="55" t="str">
        <f t="shared" si="138"/>
        <v/>
      </c>
      <c r="J1271" s="61">
        <f t="shared" si="139"/>
        <v>0</v>
      </c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</row>
    <row r="1272" spans="1:36" x14ac:dyDescent="0.2">
      <c r="A1272" s="61">
        <f t="shared" si="133"/>
        <v>0</v>
      </c>
      <c r="B1272" s="55">
        <f t="shared" si="134"/>
        <v>0</v>
      </c>
      <c r="C1272" s="55"/>
      <c r="D1272" s="55"/>
      <c r="E1272" s="55">
        <f t="shared" si="135"/>
        <v>0</v>
      </c>
      <c r="F1272" s="55">
        <f t="shared" si="136"/>
        <v>0</v>
      </c>
      <c r="G1272" s="55">
        <f t="shared" si="137"/>
        <v>0</v>
      </c>
      <c r="H1272" s="55" t="str">
        <f t="shared" si="138"/>
        <v/>
      </c>
      <c r="J1272" s="61">
        <f t="shared" si="139"/>
        <v>0</v>
      </c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</row>
    <row r="1273" spans="1:36" x14ac:dyDescent="0.2">
      <c r="A1273" s="61">
        <f t="shared" si="133"/>
        <v>0</v>
      </c>
      <c r="B1273" s="55">
        <f t="shared" si="134"/>
        <v>0</v>
      </c>
      <c r="C1273" s="55"/>
      <c r="D1273" s="55"/>
      <c r="E1273" s="55">
        <f t="shared" si="135"/>
        <v>0</v>
      </c>
      <c r="F1273" s="55">
        <f t="shared" si="136"/>
        <v>0</v>
      </c>
      <c r="G1273" s="55">
        <f t="shared" si="137"/>
        <v>0</v>
      </c>
      <c r="H1273" s="55" t="str">
        <f t="shared" si="138"/>
        <v/>
      </c>
      <c r="J1273" s="61">
        <f t="shared" si="139"/>
        <v>0</v>
      </c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</row>
    <row r="1274" spans="1:36" x14ac:dyDescent="0.2">
      <c r="A1274" s="61">
        <f t="shared" si="133"/>
        <v>0</v>
      </c>
      <c r="B1274" s="55">
        <f t="shared" si="134"/>
        <v>0</v>
      </c>
      <c r="C1274" s="55"/>
      <c r="D1274" s="55"/>
      <c r="E1274" s="55">
        <f t="shared" si="135"/>
        <v>0</v>
      </c>
      <c r="F1274" s="55">
        <f t="shared" si="136"/>
        <v>0</v>
      </c>
      <c r="G1274" s="55">
        <f t="shared" si="137"/>
        <v>0</v>
      </c>
      <c r="H1274" s="55" t="str">
        <f t="shared" si="138"/>
        <v/>
      </c>
      <c r="J1274" s="61">
        <f t="shared" si="139"/>
        <v>0</v>
      </c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</row>
    <row r="1275" spans="1:36" x14ac:dyDescent="0.2">
      <c r="A1275" s="61">
        <f t="shared" si="133"/>
        <v>0</v>
      </c>
      <c r="B1275" s="55">
        <f t="shared" si="134"/>
        <v>0</v>
      </c>
      <c r="C1275" s="55"/>
      <c r="D1275" s="55"/>
      <c r="E1275" s="55">
        <f t="shared" si="135"/>
        <v>0</v>
      </c>
      <c r="F1275" s="55">
        <f t="shared" si="136"/>
        <v>0</v>
      </c>
      <c r="G1275" s="55">
        <f t="shared" si="137"/>
        <v>0</v>
      </c>
      <c r="H1275" s="55" t="str">
        <f t="shared" si="138"/>
        <v/>
      </c>
      <c r="J1275" s="61">
        <f t="shared" si="139"/>
        <v>0</v>
      </c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</row>
    <row r="1276" spans="1:36" x14ac:dyDescent="0.2">
      <c r="A1276" s="61">
        <f t="shared" si="133"/>
        <v>0</v>
      </c>
      <c r="B1276" s="55">
        <f t="shared" si="134"/>
        <v>0</v>
      </c>
      <c r="C1276" s="55"/>
      <c r="D1276" s="55"/>
      <c r="E1276" s="55">
        <f t="shared" si="135"/>
        <v>0</v>
      </c>
      <c r="F1276" s="55">
        <f t="shared" si="136"/>
        <v>0</v>
      </c>
      <c r="G1276" s="55">
        <f t="shared" si="137"/>
        <v>0</v>
      </c>
      <c r="H1276" s="55" t="str">
        <f t="shared" si="138"/>
        <v/>
      </c>
      <c r="J1276" s="61">
        <f t="shared" si="139"/>
        <v>0</v>
      </c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</row>
    <row r="1277" spans="1:36" x14ac:dyDescent="0.2">
      <c r="A1277" s="61">
        <f t="shared" si="133"/>
        <v>0</v>
      </c>
      <c r="B1277" s="55">
        <f t="shared" si="134"/>
        <v>0</v>
      </c>
      <c r="C1277" s="55"/>
      <c r="D1277" s="55"/>
      <c r="E1277" s="55">
        <f t="shared" si="135"/>
        <v>0</v>
      </c>
      <c r="F1277" s="55">
        <f t="shared" si="136"/>
        <v>0</v>
      </c>
      <c r="G1277" s="55">
        <f t="shared" si="137"/>
        <v>0</v>
      </c>
      <c r="H1277" s="55" t="str">
        <f t="shared" si="138"/>
        <v/>
      </c>
      <c r="J1277" s="61">
        <f t="shared" si="139"/>
        <v>0</v>
      </c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</row>
    <row r="1278" spans="1:36" x14ac:dyDescent="0.2">
      <c r="A1278" s="61">
        <f t="shared" si="133"/>
        <v>0</v>
      </c>
      <c r="B1278" s="55">
        <f t="shared" si="134"/>
        <v>0</v>
      </c>
      <c r="C1278" s="55"/>
      <c r="D1278" s="55"/>
      <c r="E1278" s="55">
        <f t="shared" si="135"/>
        <v>0</v>
      </c>
      <c r="F1278" s="55">
        <f t="shared" si="136"/>
        <v>0</v>
      </c>
      <c r="G1278" s="55">
        <f t="shared" si="137"/>
        <v>0</v>
      </c>
      <c r="H1278" s="55" t="str">
        <f t="shared" si="138"/>
        <v/>
      </c>
      <c r="J1278" s="61">
        <f t="shared" si="139"/>
        <v>0</v>
      </c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</row>
    <row r="1279" spans="1:36" x14ac:dyDescent="0.2">
      <c r="A1279" s="61">
        <f t="shared" si="133"/>
        <v>0</v>
      </c>
      <c r="B1279" s="55">
        <f t="shared" si="134"/>
        <v>0</v>
      </c>
      <c r="C1279" s="55"/>
      <c r="D1279" s="55"/>
      <c r="E1279" s="55">
        <f t="shared" si="135"/>
        <v>0</v>
      </c>
      <c r="F1279" s="55">
        <f t="shared" si="136"/>
        <v>0</v>
      </c>
      <c r="G1279" s="55">
        <f t="shared" si="137"/>
        <v>0</v>
      </c>
      <c r="H1279" s="55" t="str">
        <f t="shared" si="138"/>
        <v/>
      </c>
      <c r="J1279" s="61">
        <f t="shared" si="139"/>
        <v>0</v>
      </c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</row>
  </sheetData>
  <autoFilter ref="A1:AK1279" xr:uid="{20ED7C82-933D-4DDF-BE07-5E9D404C6F74}">
    <sortState xmlns:xlrd2="http://schemas.microsoft.com/office/spreadsheetml/2017/richdata2" ref="A2:AJ1279">
      <sortCondition descending="1" ref="A1:A1279"/>
    </sortState>
  </autoFilter>
  <conditionalFormatting sqref="A1:XFD1048576">
    <cfRule type="cellIs" dxfId="52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44C4-6024-4279-888A-4B71646EAEAF}">
  <sheetPr codeName="Planilha7"/>
  <dimension ref="A2:D83"/>
  <sheetViews>
    <sheetView topLeftCell="A37" workbookViewId="0">
      <selection activeCell="B44" sqref="A44:XFD44"/>
    </sheetView>
  </sheetViews>
  <sheetFormatPr defaultRowHeight="11.25" x14ac:dyDescent="0.2"/>
  <cols>
    <col min="1" max="1" width="20.140625" style="56" bestFit="1" customWidth="1"/>
    <col min="2" max="3" width="9.140625" style="56"/>
    <col min="4" max="4" width="13.140625" style="56" bestFit="1" customWidth="1"/>
    <col min="5" max="8" width="9.140625" style="56"/>
    <col min="9" max="9" width="9.5703125" style="56" bestFit="1" customWidth="1"/>
    <col min="10" max="10" width="9.42578125" style="56" bestFit="1" customWidth="1"/>
    <col min="11" max="11" width="10.5703125" style="56" bestFit="1" customWidth="1"/>
    <col min="12" max="16384" width="9.140625" style="56"/>
  </cols>
  <sheetData>
    <row r="2" spans="1:4" x14ac:dyDescent="0.2">
      <c r="A2" s="111" t="s">
        <v>219</v>
      </c>
      <c r="D2" s="55" t="s">
        <v>220</v>
      </c>
    </row>
    <row r="3" spans="1:4" x14ac:dyDescent="0.2">
      <c r="A3" s="111" t="s">
        <v>233</v>
      </c>
      <c r="D3" s="55" t="s">
        <v>225</v>
      </c>
    </row>
    <row r="4" spans="1:4" x14ac:dyDescent="0.2">
      <c r="A4" s="111" t="s">
        <v>165</v>
      </c>
      <c r="D4" s="55" t="s">
        <v>221</v>
      </c>
    </row>
    <row r="5" spans="1:4" x14ac:dyDescent="0.2">
      <c r="A5" s="111" t="s">
        <v>166</v>
      </c>
      <c r="D5" s="55" t="s">
        <v>222</v>
      </c>
    </row>
    <row r="6" spans="1:4" x14ac:dyDescent="0.2">
      <c r="A6" s="111" t="s">
        <v>217</v>
      </c>
    </row>
    <row r="7" spans="1:4" x14ac:dyDescent="0.2">
      <c r="A7" s="111" t="s">
        <v>218</v>
      </c>
    </row>
    <row r="8" spans="1:4" x14ac:dyDescent="0.2">
      <c r="A8" s="111" t="s">
        <v>216</v>
      </c>
    </row>
    <row r="9" spans="1:4" x14ac:dyDescent="0.2">
      <c r="A9" s="111" t="s">
        <v>224</v>
      </c>
    </row>
    <row r="10" spans="1:4" x14ac:dyDescent="0.2">
      <c r="A10" s="111" t="s">
        <v>241</v>
      </c>
    </row>
    <row r="11" spans="1:4" x14ac:dyDescent="0.2">
      <c r="A11" s="111" t="s">
        <v>226</v>
      </c>
    </row>
    <row r="12" spans="1:4" x14ac:dyDescent="0.2">
      <c r="A12" s="111" t="s">
        <v>227</v>
      </c>
    </row>
    <row r="13" spans="1:4" x14ac:dyDescent="0.2">
      <c r="A13" s="111" t="s">
        <v>239</v>
      </c>
    </row>
    <row r="14" spans="1:4" x14ac:dyDescent="0.2">
      <c r="A14" s="111" t="s">
        <v>228</v>
      </c>
    </row>
    <row r="15" spans="1:4" x14ac:dyDescent="0.2">
      <c r="A15" s="111" t="s">
        <v>240</v>
      </c>
    </row>
    <row r="16" spans="1:4" x14ac:dyDescent="0.2">
      <c r="A16" s="111" t="s">
        <v>229</v>
      </c>
    </row>
    <row r="17" spans="1:1" x14ac:dyDescent="0.2">
      <c r="A17" s="111" t="s">
        <v>231</v>
      </c>
    </row>
    <row r="18" spans="1:1" x14ac:dyDescent="0.2">
      <c r="A18" s="111" t="s">
        <v>286</v>
      </c>
    </row>
    <row r="19" spans="1:1" x14ac:dyDescent="0.2">
      <c r="A19" s="111" t="s">
        <v>2404</v>
      </c>
    </row>
    <row r="20" spans="1:1" x14ac:dyDescent="0.2">
      <c r="A20" s="111" t="s">
        <v>288</v>
      </c>
    </row>
    <row r="21" spans="1:1" x14ac:dyDescent="0.2">
      <c r="A21" s="112" t="s">
        <v>176</v>
      </c>
    </row>
    <row r="22" spans="1:1" x14ac:dyDescent="0.2">
      <c r="A22" s="112" t="s">
        <v>215</v>
      </c>
    </row>
    <row r="23" spans="1:1" x14ac:dyDescent="0.2">
      <c r="A23" s="112" t="s">
        <v>272</v>
      </c>
    </row>
    <row r="24" spans="1:1" x14ac:dyDescent="0.2">
      <c r="A24" s="112" t="s">
        <v>237</v>
      </c>
    </row>
    <row r="25" spans="1:1" x14ac:dyDescent="0.2">
      <c r="A25" s="112" t="s">
        <v>210</v>
      </c>
    </row>
    <row r="26" spans="1:1" x14ac:dyDescent="0.2">
      <c r="A26" s="112" t="s">
        <v>177</v>
      </c>
    </row>
    <row r="27" spans="1:1" x14ac:dyDescent="0.2">
      <c r="A27" s="112" t="s">
        <v>211</v>
      </c>
    </row>
    <row r="28" spans="1:1" x14ac:dyDescent="0.2">
      <c r="A28" s="112" t="s">
        <v>206</v>
      </c>
    </row>
    <row r="29" spans="1:1" x14ac:dyDescent="0.2">
      <c r="A29" s="112" t="s">
        <v>193</v>
      </c>
    </row>
    <row r="30" spans="1:1" x14ac:dyDescent="0.2">
      <c r="A30" s="112" t="s">
        <v>205</v>
      </c>
    </row>
    <row r="31" spans="1:1" x14ac:dyDescent="0.2">
      <c r="A31" s="112" t="s">
        <v>180</v>
      </c>
    </row>
    <row r="32" spans="1:1" x14ac:dyDescent="0.2">
      <c r="A32" s="112" t="s">
        <v>199</v>
      </c>
    </row>
    <row r="33" spans="1:1" x14ac:dyDescent="0.2">
      <c r="A33" s="112" t="s">
        <v>282</v>
      </c>
    </row>
    <row r="34" spans="1:1" x14ac:dyDescent="0.2">
      <c r="A34" s="112" t="s">
        <v>200</v>
      </c>
    </row>
    <row r="35" spans="1:1" x14ac:dyDescent="0.2">
      <c r="A35" s="112" t="s">
        <v>251</v>
      </c>
    </row>
    <row r="36" spans="1:1" x14ac:dyDescent="0.2">
      <c r="A36" s="112" t="s">
        <v>172</v>
      </c>
    </row>
    <row r="37" spans="1:1" x14ac:dyDescent="0.2">
      <c r="A37" s="112" t="s">
        <v>195</v>
      </c>
    </row>
    <row r="38" spans="1:1" x14ac:dyDescent="0.2">
      <c r="A38" s="112" t="s">
        <v>168</v>
      </c>
    </row>
    <row r="39" spans="1:1" x14ac:dyDescent="0.2">
      <c r="A39" s="112" t="s">
        <v>198</v>
      </c>
    </row>
    <row r="40" spans="1:1" x14ac:dyDescent="0.2">
      <c r="A40" s="112" t="s">
        <v>169</v>
      </c>
    </row>
    <row r="41" spans="1:1" x14ac:dyDescent="0.2">
      <c r="A41" s="112" t="s">
        <v>191</v>
      </c>
    </row>
    <row r="42" spans="1:1" x14ac:dyDescent="0.2">
      <c r="A42" s="112" t="s">
        <v>178</v>
      </c>
    </row>
    <row r="43" spans="1:1" x14ac:dyDescent="0.2">
      <c r="A43" s="112" t="s">
        <v>214</v>
      </c>
    </row>
    <row r="44" spans="1:1" x14ac:dyDescent="0.2">
      <c r="A44" s="112" t="s">
        <v>2417</v>
      </c>
    </row>
    <row r="45" spans="1:1" x14ac:dyDescent="0.2">
      <c r="A45" s="112" t="s">
        <v>209</v>
      </c>
    </row>
    <row r="46" spans="1:1" x14ac:dyDescent="0.2">
      <c r="A46" s="112" t="s">
        <v>171</v>
      </c>
    </row>
    <row r="47" spans="1:1" x14ac:dyDescent="0.2">
      <c r="A47" s="112" t="s">
        <v>189</v>
      </c>
    </row>
    <row r="48" spans="1:1" x14ac:dyDescent="0.2">
      <c r="A48" s="112" t="s">
        <v>212</v>
      </c>
    </row>
    <row r="49" spans="1:1" x14ac:dyDescent="0.2">
      <c r="A49" s="112" t="s">
        <v>230</v>
      </c>
    </row>
    <row r="50" spans="1:1" x14ac:dyDescent="0.2">
      <c r="A50" s="112" t="s">
        <v>438</v>
      </c>
    </row>
    <row r="51" spans="1:1" x14ac:dyDescent="0.2">
      <c r="A51" s="112" t="s">
        <v>184</v>
      </c>
    </row>
    <row r="52" spans="1:1" x14ac:dyDescent="0.2">
      <c r="A52" s="112" t="s">
        <v>173</v>
      </c>
    </row>
    <row r="53" spans="1:1" x14ac:dyDescent="0.2">
      <c r="A53" s="112" t="s">
        <v>234</v>
      </c>
    </row>
    <row r="54" spans="1:1" x14ac:dyDescent="0.2">
      <c r="A54" s="112" t="s">
        <v>213</v>
      </c>
    </row>
    <row r="55" spans="1:1" x14ac:dyDescent="0.2">
      <c r="A55" s="112" t="s">
        <v>202</v>
      </c>
    </row>
    <row r="56" spans="1:1" x14ac:dyDescent="0.2">
      <c r="A56" s="112" t="s">
        <v>281</v>
      </c>
    </row>
    <row r="57" spans="1:1" x14ac:dyDescent="0.2">
      <c r="A57" s="112" t="s">
        <v>192</v>
      </c>
    </row>
    <row r="58" spans="1:1" x14ac:dyDescent="0.2">
      <c r="A58" s="112" t="s">
        <v>185</v>
      </c>
    </row>
    <row r="59" spans="1:1" x14ac:dyDescent="0.2">
      <c r="A59" s="112" t="s">
        <v>182</v>
      </c>
    </row>
    <row r="60" spans="1:1" x14ac:dyDescent="0.2">
      <c r="A60" s="112" t="s">
        <v>190</v>
      </c>
    </row>
    <row r="61" spans="1:1" x14ac:dyDescent="0.2">
      <c r="A61" s="112" t="s">
        <v>183</v>
      </c>
    </row>
    <row r="62" spans="1:1" x14ac:dyDescent="0.2">
      <c r="A62" s="112" t="s">
        <v>186</v>
      </c>
    </row>
    <row r="63" spans="1:1" x14ac:dyDescent="0.2">
      <c r="A63" s="112" t="s">
        <v>204</v>
      </c>
    </row>
    <row r="64" spans="1:1" x14ac:dyDescent="0.2">
      <c r="A64" s="112" t="s">
        <v>188</v>
      </c>
    </row>
    <row r="65" spans="1:1" x14ac:dyDescent="0.2">
      <c r="A65" s="112" t="s">
        <v>208</v>
      </c>
    </row>
    <row r="66" spans="1:1" x14ac:dyDescent="0.2">
      <c r="A66" s="112" t="s">
        <v>187</v>
      </c>
    </row>
    <row r="67" spans="1:1" x14ac:dyDescent="0.2">
      <c r="A67" s="112" t="s">
        <v>181</v>
      </c>
    </row>
    <row r="68" spans="1:1" x14ac:dyDescent="0.2">
      <c r="A68" s="112" t="s">
        <v>174</v>
      </c>
    </row>
    <row r="69" spans="1:1" x14ac:dyDescent="0.2">
      <c r="A69" s="112" t="s">
        <v>203</v>
      </c>
    </row>
    <row r="70" spans="1:1" x14ac:dyDescent="0.2">
      <c r="A70" s="112" t="s">
        <v>232</v>
      </c>
    </row>
    <row r="71" spans="1:1" x14ac:dyDescent="0.2">
      <c r="A71" s="112" t="s">
        <v>175</v>
      </c>
    </row>
    <row r="72" spans="1:1" x14ac:dyDescent="0.2">
      <c r="A72" s="112" t="s">
        <v>252</v>
      </c>
    </row>
    <row r="73" spans="1:1" x14ac:dyDescent="0.2">
      <c r="A73" s="112" t="s">
        <v>283</v>
      </c>
    </row>
    <row r="74" spans="1:1" x14ac:dyDescent="0.2">
      <c r="A74" s="112" t="s">
        <v>196</v>
      </c>
    </row>
    <row r="75" spans="1:1" x14ac:dyDescent="0.2">
      <c r="A75" s="112" t="s">
        <v>284</v>
      </c>
    </row>
    <row r="76" spans="1:1" x14ac:dyDescent="0.2">
      <c r="A76" s="112" t="s">
        <v>207</v>
      </c>
    </row>
    <row r="77" spans="1:1" x14ac:dyDescent="0.2">
      <c r="A77" s="112" t="s">
        <v>179</v>
      </c>
    </row>
    <row r="78" spans="1:1" x14ac:dyDescent="0.2">
      <c r="A78" s="112" t="s">
        <v>201</v>
      </c>
    </row>
    <row r="79" spans="1:1" x14ac:dyDescent="0.2">
      <c r="A79" s="112" t="s">
        <v>194</v>
      </c>
    </row>
    <row r="80" spans="1:1" x14ac:dyDescent="0.2">
      <c r="A80" s="112" t="s">
        <v>287</v>
      </c>
    </row>
    <row r="81" spans="1:1" x14ac:dyDescent="0.2">
      <c r="A81" s="112" t="s">
        <v>170</v>
      </c>
    </row>
    <row r="82" spans="1:1" x14ac:dyDescent="0.2">
      <c r="A82" s="112" t="s">
        <v>197</v>
      </c>
    </row>
    <row r="83" spans="1:1" x14ac:dyDescent="0.2">
      <c r="A83" s="112" t="s">
        <v>167</v>
      </c>
    </row>
  </sheetData>
  <sortState xmlns:xlrd2="http://schemas.microsoft.com/office/spreadsheetml/2017/richdata2" ref="A21:A83">
    <sortCondition ref="A21:A83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7B16-DE79-4B28-AEF0-672DAC991F3E}">
  <sheetPr codeName="Planilha3">
    <pageSetUpPr fitToPage="1"/>
  </sheetPr>
  <dimension ref="A1:AP55"/>
  <sheetViews>
    <sheetView topLeftCell="D1" zoomScaleNormal="100" workbookViewId="0">
      <selection activeCell="D6" sqref="D6:Q24"/>
    </sheetView>
  </sheetViews>
  <sheetFormatPr defaultColWidth="11.85546875" defaultRowHeight="12" x14ac:dyDescent="0.2"/>
  <cols>
    <col min="1" max="3" width="2.7109375" style="3" hidden="1" customWidth="1"/>
    <col min="4" max="4" width="8" style="3" bestFit="1" customWidth="1"/>
    <col min="5" max="5" width="10.85546875" style="3" bestFit="1" customWidth="1"/>
    <col min="6" max="6" width="10.7109375" style="3" bestFit="1" customWidth="1"/>
    <col min="7" max="7" width="10.28515625" style="3" bestFit="1" customWidth="1"/>
    <col min="8" max="8" width="6.7109375" style="3" bestFit="1" customWidth="1"/>
    <col min="9" max="9" width="5.85546875" style="3" bestFit="1" customWidth="1"/>
    <col min="10" max="10" width="5" style="3" customWidth="1"/>
    <col min="11" max="11" width="7.5703125" style="3" customWidth="1"/>
    <col min="12" max="12" width="8.28515625" style="3" bestFit="1" customWidth="1"/>
    <col min="13" max="13" width="10.5703125" style="3" customWidth="1"/>
    <col min="14" max="14" width="9.7109375" style="3" bestFit="1" customWidth="1"/>
    <col min="15" max="15" width="11" style="3" bestFit="1" customWidth="1"/>
    <col min="16" max="16" width="9.7109375" style="3" bestFit="1" customWidth="1"/>
    <col min="17" max="17" width="7.140625" style="3" bestFit="1" customWidth="1"/>
    <col min="18" max="18" width="8.140625" style="3" bestFit="1" customWidth="1"/>
    <col min="19" max="19" width="8.28515625" style="3" bestFit="1" customWidth="1"/>
    <col min="20" max="20" width="7.42578125" style="3" bestFit="1" customWidth="1"/>
    <col min="21" max="21" width="5.140625" style="3" bestFit="1" customWidth="1"/>
    <col min="22" max="22" width="9.85546875" style="3" bestFit="1" customWidth="1"/>
    <col min="23" max="23" width="10" style="39" bestFit="1" customWidth="1"/>
    <col min="24" max="24" width="9.7109375" style="39" bestFit="1" customWidth="1"/>
    <col min="25" max="25" width="8" style="3" bestFit="1" customWidth="1"/>
    <col min="26" max="26" width="4.85546875" style="3" customWidth="1"/>
    <col min="27" max="27" width="4.85546875" style="3" bestFit="1" customWidth="1"/>
    <col min="28" max="28" width="6.85546875" style="3" hidden="1" customWidth="1"/>
    <col min="29" max="29" width="13.7109375" style="3" bestFit="1" customWidth="1"/>
    <col min="30" max="30" width="4" style="3" bestFit="1" customWidth="1"/>
    <col min="31" max="32" width="17.85546875" style="3" hidden="1" customWidth="1"/>
    <col min="33" max="16384" width="11.85546875" style="3"/>
  </cols>
  <sheetData>
    <row r="1" spans="1:42" s="28" customFormat="1" ht="15.75" x14ac:dyDescent="0.25">
      <c r="D1" s="24"/>
      <c r="E1" s="24"/>
      <c r="F1" s="24"/>
      <c r="G1" s="24"/>
      <c r="H1" s="24"/>
      <c r="I1" s="220" t="s">
        <v>0</v>
      </c>
      <c r="J1" s="220"/>
      <c r="K1" s="220"/>
      <c r="L1" s="220"/>
      <c r="M1" s="124"/>
      <c r="N1" s="24"/>
      <c r="O1" s="25" t="s">
        <v>1</v>
      </c>
      <c r="P1" s="25" t="s">
        <v>2</v>
      </c>
      <c r="Q1" s="57"/>
      <c r="R1" s="24"/>
      <c r="S1" s="24"/>
      <c r="T1" s="24"/>
      <c r="U1" s="24"/>
      <c r="V1" s="24"/>
      <c r="W1" s="26"/>
      <c r="X1" s="24"/>
      <c r="Y1" s="24"/>
      <c r="Z1" s="24"/>
      <c r="AA1" s="27"/>
      <c r="AB1" s="27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</row>
    <row r="2" spans="1:42" s="28" customFormat="1" ht="15.75" x14ac:dyDescent="0.25">
      <c r="D2" s="24"/>
      <c r="E2" s="24"/>
      <c r="F2" s="24"/>
      <c r="G2" s="24"/>
      <c r="H2" s="24"/>
      <c r="I2" s="221" t="s">
        <v>279</v>
      </c>
      <c r="J2" s="221"/>
      <c r="K2" s="221"/>
      <c r="L2" s="221"/>
      <c r="M2" s="59"/>
      <c r="N2" s="29"/>
      <c r="O2" s="40"/>
      <c r="P2" s="40"/>
      <c r="Q2" s="57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  <c r="AE2" s="27">
        <f>DATE(YEAR(VLOOKUP(I2,DATAS!$A$1:$C$4996,2,FALSE)),MONTH(VLOOKUP(I2,DATAS!$A$1:$C$4996,2,FALSE)),IF(O2&gt;0,O2,DAY(VLOOKUP(I2,DATAS!$A$1:$C$4996,2,FALSE))))</f>
        <v>44927</v>
      </c>
      <c r="AF2" s="27">
        <f>DATE(YEAR(VLOOKUP(I2,DATAS!$A$1:$C$4996,3,FALSE)),MONTH(VLOOKUP(I2,DATAS!$A$1:$C$4996,3,FALSE)),IF(P2&gt;0,P2,DAY(VLOOKUP(I2,DATAS!$A$1:$C$4996,3,FALSE))))+0.99999</f>
        <v>44957.999989999997</v>
      </c>
      <c r="AG2" s="24"/>
      <c r="AH2" s="24"/>
      <c r="AI2" s="24"/>
      <c r="AJ2" s="24"/>
      <c r="AK2" s="24"/>
      <c r="AL2" s="24"/>
      <c r="AM2" s="24"/>
      <c r="AN2" s="24"/>
      <c r="AO2" s="24"/>
    </row>
    <row r="3" spans="1:42" ht="15.75" x14ac:dyDescent="0.25"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219" t="str">
        <f>IF(SUM(O2:P2)&gt;=1,"VALORES SENDO EXIBIDOS PARCIALMENTE","")</f>
        <v/>
      </c>
      <c r="P3" s="219"/>
      <c r="Q3" s="219"/>
      <c r="R3" s="219"/>
      <c r="S3" s="31"/>
      <c r="T3" s="31"/>
      <c r="U3" s="31"/>
      <c r="V3" s="31"/>
      <c r="W3" s="32"/>
      <c r="X3" s="29"/>
      <c r="Y3" s="29"/>
      <c r="Z3" s="29"/>
      <c r="AA3" s="33"/>
      <c r="AB3" s="33"/>
      <c r="AC3" s="34"/>
      <c r="AD3" s="34"/>
      <c r="AE3" s="34">
        <f>MONTH(AE2)</f>
        <v>1</v>
      </c>
      <c r="AF3" s="34">
        <f>YEAR(AF2)</f>
        <v>2023</v>
      </c>
      <c r="AG3" s="34"/>
      <c r="AH3" s="34"/>
      <c r="AI3" s="34"/>
      <c r="AJ3" s="34"/>
      <c r="AK3" s="34"/>
      <c r="AL3" s="34"/>
      <c r="AM3" s="34"/>
      <c r="AN3" s="34"/>
      <c r="AO3" s="34"/>
    </row>
    <row r="4" spans="1:42" ht="12" customHeight="1" x14ac:dyDescent="0.25">
      <c r="D4" s="35"/>
      <c r="E4" s="35"/>
      <c r="F4" s="35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29"/>
      <c r="Y4" s="29"/>
      <c r="Z4" s="29"/>
      <c r="AA4" s="34"/>
      <c r="AB4" s="34"/>
      <c r="AC4" s="34"/>
      <c r="AD4" s="34"/>
      <c r="AE4" s="144">
        <f>AE2</f>
        <v>44927</v>
      </c>
      <c r="AF4" s="145"/>
      <c r="AG4" s="34"/>
      <c r="AH4" s="34"/>
      <c r="AI4" s="34"/>
      <c r="AJ4" s="34"/>
      <c r="AK4" s="34"/>
      <c r="AL4" s="34"/>
      <c r="AM4" s="34"/>
      <c r="AN4" s="34"/>
      <c r="AO4" s="34"/>
    </row>
    <row r="5" spans="1:42" ht="11.25" customHeight="1" x14ac:dyDescent="0.25">
      <c r="D5" s="35"/>
      <c r="E5" s="35"/>
      <c r="F5" s="35"/>
      <c r="G5" s="35"/>
      <c r="H5" s="35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29"/>
      <c r="Y5" s="29"/>
      <c r="Z5" s="29"/>
      <c r="AA5" s="35"/>
      <c r="AB5" s="35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2" ht="24" customHeight="1" x14ac:dyDescent="0.2">
      <c r="D6" s="179" t="s">
        <v>3</v>
      </c>
      <c r="E6" s="179" t="s">
        <v>276</v>
      </c>
      <c r="F6" s="179" t="s">
        <v>4</v>
      </c>
      <c r="G6" s="179" t="s">
        <v>5</v>
      </c>
      <c r="H6" s="179" t="s">
        <v>6</v>
      </c>
      <c r="I6" s="179" t="s">
        <v>7</v>
      </c>
      <c r="J6" s="179" t="s">
        <v>456</v>
      </c>
      <c r="K6" s="179" t="s">
        <v>16</v>
      </c>
      <c r="L6" s="180" t="s">
        <v>8</v>
      </c>
      <c r="M6" s="180" t="s">
        <v>250</v>
      </c>
      <c r="N6" s="179" t="s">
        <v>164</v>
      </c>
      <c r="O6" s="180" t="s">
        <v>10</v>
      </c>
      <c r="P6" s="179" t="s">
        <v>11</v>
      </c>
      <c r="Q6" s="180" t="s">
        <v>12</v>
      </c>
      <c r="R6" s="180" t="s">
        <v>13</v>
      </c>
      <c r="S6" s="180" t="s">
        <v>14</v>
      </c>
      <c r="T6" s="179" t="s">
        <v>15</v>
      </c>
      <c r="U6" s="181" t="s">
        <v>17</v>
      </c>
      <c r="V6" s="181" t="s">
        <v>18</v>
      </c>
      <c r="W6" s="181" t="s">
        <v>19</v>
      </c>
      <c r="X6" s="181" t="s">
        <v>9</v>
      </c>
      <c r="Y6" s="181" t="s">
        <v>3</v>
      </c>
      <c r="Z6" s="181" t="s">
        <v>20</v>
      </c>
      <c r="AA6" s="181" t="s">
        <v>21</v>
      </c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</row>
    <row r="7" spans="1:42" x14ac:dyDescent="0.2">
      <c r="A7" s="3">
        <v>1</v>
      </c>
      <c r="B7" s="3">
        <f>SUMIFS(MSOLICITADA!A:A,MSOLICITADA!A:A,MENSAL!A7,MSOLICITADA!C:C,$AE$3,MSOLICITADA!D:D,$AF$3)</f>
        <v>1</v>
      </c>
      <c r="C7" s="3" cm="1">
        <f t="array" ref="C7:C24">_xlfn._xlws.FILTER($B$7:B48,(B7:B48&gt;0),0)</f>
        <v>1</v>
      </c>
      <c r="D7" s="175" t="str">
        <f>IFERROR(VLOOKUP(C7,MSOLICITADA!$A:$H,6,FALSE),"")</f>
        <v>BZA3587</v>
      </c>
      <c r="E7" s="165" t="str">
        <f>IFERROR(VLOOKUP(SUMIFS(MSOLICITADA!$I:$I,MSOLICITADA!$B:$B,$AE$2,MSOLICITADA!$F:$F,MENSAL!D7),CODIGOSPLACAS!$A$64:$B$89,2,FALSE),"")</f>
        <v>DIEGO</v>
      </c>
      <c r="F7" s="166" t="str">
        <f>IF(D7="","",VLOOKUP(D7,DATAS!$A$220:$C$260,3,FALSE))</f>
        <v>DAF XF 510</v>
      </c>
      <c r="G7" s="167" t="str">
        <f>IFERROR(VLOOKUP(SUMIFS(MSOLICITADA!$G:$G,MSOLICITADA!$F:$F,D7,MSOLICITADA!$C:$C,MONTH($AE$2),MSOLICITADA!$D:$D,YEAR($AE$2)),DATAS!$A$270:$B$274,2,FALSE),"")</f>
        <v>9 EIXOS</v>
      </c>
      <c r="H7" s="168">
        <f>IF(D7&lt;&gt;"",SUMIFS(MSOLICITADA!$H:$H,MSOLICITADA!$F:$F,D7,MSOLICITADA!$C:$C,MONTH($AE$2),MSOLICITADA!$D:$D,YEAR($AE$2)),"")</f>
        <v>1.6</v>
      </c>
      <c r="I7" s="169">
        <f>IF(D7&lt;&gt;"",IFERROR(IF(V7&gt;0,V7,Q7/P7),0),"")</f>
        <v>1.4763574081151452</v>
      </c>
      <c r="J7" s="178">
        <f>IFERROR(((H7-I7)/H7)*-1,"")</f>
        <v>-7.7276619928034335E-2</v>
      </c>
      <c r="K7" s="37">
        <f>IF(D7&lt;&gt;"",IFERROR(R7/Q7,0),"")</f>
        <v>0.65927198875175752</v>
      </c>
      <c r="L7" s="167" t="str">
        <f>IF(D7&lt;&gt;"",IF(I7=0,"",IF(I7&lt;=SUMIFS(MSOLICITADA!$H:$H,MSOLICITADA!$F:$F,D7,MSOLICITADA!$C:$C,MONTH($AE$2),MSOLICITADA!$D:$D,YEAR($AE$2)),"Abaixo","OK")),"")</f>
        <v>Abaixo</v>
      </c>
      <c r="M7" s="170">
        <f>IFERROR(((Q7/H7)-(Q7/I7))*(O7/P7),"")</f>
        <v>-2058.2364204557971</v>
      </c>
      <c r="N7" s="170">
        <f t="shared" ref="N7:N24" si="0">IF(D7&lt;&gt;"",IF(M7&gt;0,M7*0.5,0),"")</f>
        <v>0</v>
      </c>
      <c r="O7" s="171">
        <f>IF(D7&lt;&gt;"",SUMIFS(DIESEL!$K:$K,DIESEL!$D:$D,"="&amp;$AE$4,DIESEL!$F:$F,D7),"")</f>
        <v>26634.659</v>
      </c>
      <c r="P7" s="172">
        <f>IF(D7&lt;&gt;"",SUMIFS(DIESEL!$J:$J,DIESEL!$D:$D,"="&amp;$AE$4,DIESEL!$F:$F,$D7),"")</f>
        <v>4335.6710000000003</v>
      </c>
      <c r="Q7" s="173">
        <f>IF(D7&lt;&gt;"",SUMIFS(DIESEL!$M:$M,DIESEL!$D:$D,"="&amp;$AE$4,DIESEL!$F:$F,D7)+SUMIFS(DIESEL!$N:$N,DIESEL!$D:$D,"="&amp;$AE$4,DIESEL!$F:$F,D7),"")</f>
        <v>6401</v>
      </c>
      <c r="R7" s="173">
        <f>IF(D7&lt;&gt;"",SUMIFS(DIESEL!$M:$M,DIESEL!$D:$D,"="&amp;$AE$4,DIESEL!$F:$F,D7),"")</f>
        <v>4220</v>
      </c>
      <c r="S7" s="173">
        <f>IF(D7&lt;&gt;"",SUMIFS(DIESEL!$N:$N,DIESEL!$D:$D,"="&amp;$AE$4,DIESEL!$F:$F,D7),"")</f>
        <v>2181</v>
      </c>
      <c r="T7" s="22">
        <f>IF(D7&lt;&gt;"",COUNTIFS(DIESEL!$F:$F,D7,DIESEL!$D:$D,"="&amp;$AE$4),"")</f>
        <v>10</v>
      </c>
      <c r="U7" s="22">
        <f>IF(D7&lt;&gt;"",IF(SUMIFS(DIESEL!$AK:$AK,DIESEL!$D:$D,"="&amp;$AE$4,DIESEL!$F:$F,D7)=0,0,SUMIFS(DIESEL!$AK:$AK,DIESEL!$D:$D,"="&amp;$AE$4,DIESEL!$F:$F,D7)),"")</f>
        <v>0</v>
      </c>
      <c r="V7" s="174">
        <f t="shared" ref="V7:V24" si="1">IF(D7&lt;&gt;"",IF(U7&lt;&gt;0,(Q7-U7)/(P7-(U7/5)),0),"")</f>
        <v>0</v>
      </c>
      <c r="W7" s="170">
        <f t="shared" ref="W7:W24" si="2">IF(D7&lt;&gt;"",IF(IF(U7&gt;0,M7,0)&lt;0,0,IF(U7&gt;0,M7,0)),"")</f>
        <v>0</v>
      </c>
      <c r="X7" s="170">
        <f t="shared" ref="X7:X24" si="3">IF(D7&lt;&gt;"",IFERROR(W7*0.5,0),"")</f>
        <v>0</v>
      </c>
      <c r="Y7" s="175" t="str">
        <f t="shared" ref="Y7:Y24" si="4">D7</f>
        <v>BZA3587</v>
      </c>
      <c r="Z7" s="163">
        <f>IF(D7&lt;&gt;"",IFERROR(SUMIFS(DIESEL!$J:$J,DIESEL!$D:$D,"="&amp;$AE$4,DIESEL!$F:$F,$D7,DIESEL!$L:$L,"I")/SUMIFS(DIESEL!$J:$J,DIESEL!$D:$D,"="&amp;$AE$4,DIESEL!$F:$F,$D7),0),"")</f>
        <v>0.20349791301046594</v>
      </c>
      <c r="AA7" s="163">
        <f t="shared" ref="AA7:AA24" si="5">IF(D7&lt;&gt;"",1-Z7,"")</f>
        <v>0.79650208698953406</v>
      </c>
      <c r="AB7" s="52"/>
      <c r="AC7" s="208" t="str">
        <f>IF(MONTH(_xlfn.MAXIFS(DIESEL!E:E,DIESEL!D:D,MENSAL!$AE$4,DIESEL!F:F,MENSAL!D7))=2,"","FALTA ABASTECER")</f>
        <v/>
      </c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</row>
    <row r="8" spans="1:42" x14ac:dyDescent="0.2">
      <c r="A8" s="3">
        <v>2</v>
      </c>
      <c r="B8" s="3">
        <f>SUMIFS(MSOLICITADA!A:A,MSOLICITADA!A:A,MENSAL!A8,MSOLICITADA!C:C,$AE$3,MSOLICITADA!D:D,$AF$3)</f>
        <v>2</v>
      </c>
      <c r="C8" s="3">
        <v>2</v>
      </c>
      <c r="D8" s="164" t="str">
        <f>IFERROR(VLOOKUP(C8,MSOLICITADA!$A:$H,6,FALSE),"")</f>
        <v>FKS0J24</v>
      </c>
      <c r="E8" s="165" t="str">
        <f>IFERROR(VLOOKUP(SUMIFS(MSOLICITADA!$I:$I,MSOLICITADA!$B:$B,$AE$2,MSOLICITADA!$F:$F,MENSAL!D8),CODIGOSPLACAS!$A$64:$B$89,2,FALSE),"")</f>
        <v>PAULO HENR.</v>
      </c>
      <c r="F8" s="166" t="str">
        <f>IF(D8="","",VLOOKUP(D8,DATAS!$A$220:$C$260,3,FALSE))</f>
        <v>VOLVO FH 540</v>
      </c>
      <c r="G8" s="167" t="str">
        <f>IFERROR(VLOOKUP(SUMIFS(MSOLICITADA!$G:$G,MSOLICITADA!$F:$F,D8,MSOLICITADA!$C:$C,MONTH($AE$2),MSOLICITADA!$D:$D,YEAR($AE$2)),DATAS!$A$270:$B$274,2,FALSE),"")</f>
        <v>9 EIXOS</v>
      </c>
      <c r="H8" s="168">
        <f>IF(D8&lt;&gt;"",SUMIFS(MSOLICITADA!$H:$H,MSOLICITADA!$F:$F,D8,MSOLICITADA!$C:$C,MONTH($AE$2),MSOLICITADA!$D:$D,YEAR($AE$2)),"")</f>
        <v>1.6</v>
      </c>
      <c r="I8" s="169">
        <f t="shared" ref="I8:I24" si="6">IF(D8&lt;&gt;"",IFERROR(IF(V8&gt;0,V8,Q8/P8),0),"")</f>
        <v>1.5194077812359499</v>
      </c>
      <c r="J8" s="178">
        <f t="shared" ref="J8:J29" si="7">IFERROR(((H8-I8)/H8)*-1,"")</f>
        <v>-5.0370136727531378E-2</v>
      </c>
      <c r="K8" s="37">
        <f t="shared" ref="K8:K24" si="8">IF(D8&lt;&gt;"",IFERROR(R8/Q8,0),"")</f>
        <v>0.68597316205986925</v>
      </c>
      <c r="L8" s="167" t="str">
        <f>IF(D8&lt;&gt;"",IF(I8=0,"",IF(I8&lt;=SUMIFS(MSOLICITADA!$H:$H,MSOLICITADA!$F:$F,D8,MSOLICITADA!$C:$C,MONTH($AE$2),MSOLICITADA!$D:$D,YEAR($AE$2)),"Abaixo","OK")),"")</f>
        <v>Abaixo</v>
      </c>
      <c r="M8" s="170">
        <f t="shared" ref="M8:M23" si="9">IFERROR(((Q8/H8)-(Q8/I8))*(O8/P8),"")</f>
        <v>-1765.6831342895782</v>
      </c>
      <c r="N8" s="170">
        <f t="shared" si="0"/>
        <v>0</v>
      </c>
      <c r="O8" s="171">
        <f>IF(D8&lt;&gt;"",SUMIFS(DIESEL!$K:$K,DIESEL!$D:$D,"="&amp;$AE$4,DIESEL!$F:$F,D8),"")</f>
        <v>35054.165999999997</v>
      </c>
      <c r="P8" s="172">
        <f>IF(D8&lt;&gt;"",SUMIFS(DIESEL!$J:$J,DIESEL!$D:$D,"="&amp;$AE$4,DIESEL!$F:$F,$D8),"")</f>
        <v>5738.42</v>
      </c>
      <c r="Q8" s="173">
        <f>IF(D8&lt;&gt;"",SUMIFS(DIESEL!$M:$M,DIESEL!$D:$D,"="&amp;$AE$4,DIESEL!$F:$F,D8)+SUMIFS(DIESEL!$N:$N,DIESEL!$D:$D,"="&amp;$AE$4,DIESEL!$F:$F,D8),"")</f>
        <v>8719</v>
      </c>
      <c r="R8" s="173">
        <f>IF(D8&lt;&gt;"",SUMIFS(DIESEL!$M:$M,DIESEL!$D:$D,"="&amp;$AE$4,DIESEL!$F:$F,D8),"")</f>
        <v>5981</v>
      </c>
      <c r="S8" s="173">
        <f>IF(D8&lt;&gt;"",SUMIFS(DIESEL!$N:$N,DIESEL!$D:$D,"="&amp;$AE$4,DIESEL!$F:$F,D8),"")</f>
        <v>2738</v>
      </c>
      <c r="T8" s="22">
        <f>IF(D8&lt;&gt;"",COUNTIFS(DIESEL!$F:$F,D8,DIESEL!$D:$D,"="&amp;$AE$4),"")</f>
        <v>12</v>
      </c>
      <c r="U8" s="22">
        <f>IF(D8&lt;&gt;"",IF(SUMIFS(DIESEL!$AK:$AK,DIESEL!$D:$D,"="&amp;$AE$4,DIESEL!$F:$F,D8)=0,0,SUMIFS(DIESEL!$AK:$AK,DIESEL!$D:$D,"="&amp;$AE$4,DIESEL!$F:$F,D8)),"")</f>
        <v>0</v>
      </c>
      <c r="V8" s="174">
        <f t="shared" si="1"/>
        <v>0</v>
      </c>
      <c r="W8" s="170">
        <f t="shared" si="2"/>
        <v>0</v>
      </c>
      <c r="X8" s="170">
        <f t="shared" si="3"/>
        <v>0</v>
      </c>
      <c r="Y8" s="164" t="str">
        <f t="shared" si="4"/>
        <v>FKS0J24</v>
      </c>
      <c r="Z8" s="163">
        <f>IF(D8&lt;&gt;"",IFERROR(SUMIFS(DIESEL!$J:$J,DIESEL!$D:$D,"="&amp;$AE$4,DIESEL!$F:$F,$D8,DIESEL!$L:$L,"I")/SUMIFS(DIESEL!$J:$J,DIESEL!$D:$D,"="&amp;$AE$4,DIESEL!$F:$F,$D8),0),"")</f>
        <v>0.21617448705392772</v>
      </c>
      <c r="AA8" s="163">
        <f t="shared" si="5"/>
        <v>0.78382551294607228</v>
      </c>
      <c r="AB8" s="52"/>
      <c r="AC8" s="208" t="str">
        <f>IF(MONTH(_xlfn.MAXIFS(DIESEL!E:E,DIESEL!D:D,MENSAL!$AE$4,DIESEL!F:F,MENSAL!D8))=2,"","FALTA ABASTECER")</f>
        <v/>
      </c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</row>
    <row r="9" spans="1:42" x14ac:dyDescent="0.2">
      <c r="A9" s="3">
        <v>3</v>
      </c>
      <c r="B9" s="3">
        <f>SUMIFS(MSOLICITADA!A:A,MSOLICITADA!A:A,MENSAL!A9,MSOLICITADA!C:C,$AE$3,MSOLICITADA!D:D,$AF$3)</f>
        <v>3</v>
      </c>
      <c r="C9" s="3">
        <v>3</v>
      </c>
      <c r="D9" s="164" t="str">
        <f>IFERROR(VLOOKUP(C9,MSOLICITADA!$A:$H,6,FALSE),"")</f>
        <v>FZA3E94</v>
      </c>
      <c r="E9" s="165" t="str">
        <f>IFERROR(VLOOKUP(SUMIFS(MSOLICITADA!$I:$I,MSOLICITADA!$B:$B,$AE$2,MSOLICITADA!$F:$F,MENSAL!D9),CODIGOSPLACAS!$A$64:$B$89,2,FALSE),"")</f>
        <v>RONY</v>
      </c>
      <c r="F9" s="166" t="str">
        <f>IF(D9="","",VLOOKUP(D9,DATAS!$A$220:$C$260,3,FALSE))</f>
        <v>DAF XF FTT 530</v>
      </c>
      <c r="G9" s="167" t="str">
        <f>IFERROR(VLOOKUP(SUMIFS(MSOLICITADA!$G:$G,MSOLICITADA!$F:$F,D9,MSOLICITADA!$C:$C,MONTH($AE$2),MSOLICITADA!$D:$D,YEAR($AE$2)),DATAS!$A$270:$B$274,2,FALSE),"")</f>
        <v>9 EIXOS</v>
      </c>
      <c r="H9" s="168">
        <f>IF(D9&lt;&gt;"",SUMIFS(MSOLICITADA!$H:$H,MSOLICITADA!$F:$F,D9,MSOLICITADA!$C:$C,MONTH($AE$2),MSOLICITADA!$D:$D,YEAR($AE$2)),"")</f>
        <v>1.6</v>
      </c>
      <c r="I9" s="169">
        <f t="shared" si="6"/>
        <v>1.519654959485309</v>
      </c>
      <c r="J9" s="178">
        <f t="shared" si="7"/>
        <v>-5.0215650321681904E-2</v>
      </c>
      <c r="K9" s="37">
        <f t="shared" si="8"/>
        <v>0.59755974589089444</v>
      </c>
      <c r="L9" s="167" t="str">
        <f>IF(D9&lt;&gt;"",IF(I9=0,"",IF(I9&lt;=SUMIFS(MSOLICITADA!$H:$H,MSOLICITADA!$F:$F,D9,MSOLICITADA!$C:$C,MONTH($AE$2),MSOLICITADA!$D:$D,YEAR($AE$2)),"Abaixo","OK")),"")</f>
        <v>Abaixo</v>
      </c>
      <c r="M9" s="170">
        <f t="shared" si="9"/>
        <v>-2010.3535999497453</v>
      </c>
      <c r="N9" s="170">
        <f t="shared" si="0"/>
        <v>0</v>
      </c>
      <c r="O9" s="171">
        <f>IF(D9&lt;&gt;"",SUMIFS(DIESEL!$K:$K,DIESEL!$D:$D,"="&amp;$AE$4,DIESEL!$F:$F,D9),"")</f>
        <v>39303.805</v>
      </c>
      <c r="P9" s="172">
        <f>IF(D9&lt;&gt;"",SUMIFS(DIESEL!$J:$J,DIESEL!$D:$D,"="&amp;$AE$4,DIESEL!$F:$F,$D9),"")</f>
        <v>6406.7320000000018</v>
      </c>
      <c r="Q9" s="173">
        <f>IF(D9&lt;&gt;"",SUMIFS(DIESEL!$M:$M,DIESEL!$D:$D,"="&amp;$AE$4,DIESEL!$F:$F,D9)+SUMIFS(DIESEL!$N:$N,DIESEL!$D:$D,"="&amp;$AE$4,DIESEL!$F:$F,D9),"")</f>
        <v>9917</v>
      </c>
      <c r="R9" s="173">
        <f>IF(D9&lt;&gt;"",SUMIFS(DIESEL!$M:$M,DIESEL!$D:$D,"="&amp;$AE$4,DIESEL!$F:$F,D9),"")</f>
        <v>5926</v>
      </c>
      <c r="S9" s="173">
        <f>IF(D9&lt;&gt;"",SUMIFS(DIESEL!$N:$N,DIESEL!$D:$D,"="&amp;$AE$4,DIESEL!$F:$F,D9),"")</f>
        <v>3991</v>
      </c>
      <c r="T9" s="22">
        <f>IF(D9&lt;&gt;"",COUNTIFS(DIESEL!$F:$F,D9,DIESEL!$D:$D,"="&amp;$AE$4),"")</f>
        <v>14</v>
      </c>
      <c r="U9" s="22">
        <f>IF(D9&lt;&gt;"",IF(SUMIFS(DIESEL!$AK:$AK,DIESEL!$D:$D,"="&amp;$AE$4,DIESEL!$F:$F,D9)=0,0,SUMIFS(DIESEL!$AK:$AK,DIESEL!$D:$D,"="&amp;$AE$4,DIESEL!$F:$F,D9)),"")</f>
        <v>260</v>
      </c>
      <c r="V9" s="174">
        <f t="shared" si="1"/>
        <v>1.519654959485309</v>
      </c>
      <c r="W9" s="170">
        <f t="shared" si="2"/>
        <v>0</v>
      </c>
      <c r="X9" s="170">
        <f t="shared" si="3"/>
        <v>0</v>
      </c>
      <c r="Y9" s="164" t="str">
        <f t="shared" si="4"/>
        <v>FZA3E94</v>
      </c>
      <c r="Z9" s="163">
        <f>IF(D9&lt;&gt;"",IFERROR(SUMIFS(DIESEL!$J:$J,DIESEL!$D:$D,"="&amp;$AE$4,DIESEL!$F:$F,$D9,DIESEL!$L:$L,"I")/SUMIFS(DIESEL!$J:$J,DIESEL!$D:$D,"="&amp;$AE$4,DIESEL!$F:$F,$D9),0),"")</f>
        <v>0.12006121061408528</v>
      </c>
      <c r="AA9" s="163">
        <f t="shared" si="5"/>
        <v>0.87993878938591474</v>
      </c>
      <c r="AB9" s="52"/>
      <c r="AC9" s="208" t="str">
        <f>IF(MONTH(_xlfn.MAXIFS(DIESEL!E:E,DIESEL!D:D,MENSAL!$AE$4,DIESEL!F:F,MENSAL!D9))=2,"","FALTA ABASTECER")</f>
        <v/>
      </c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</row>
    <row r="10" spans="1:42" x14ac:dyDescent="0.2">
      <c r="A10" s="3">
        <v>4</v>
      </c>
      <c r="B10" s="3">
        <f>SUMIFS(MSOLICITADA!A:A,MSOLICITADA!A:A,MENSAL!A10,MSOLICITADA!C:C,$AE$3,MSOLICITADA!D:D,$AF$3)</f>
        <v>4</v>
      </c>
      <c r="C10" s="3">
        <v>4</v>
      </c>
      <c r="D10" s="164" t="str">
        <f>IFERROR(VLOOKUP(C10,MSOLICITADA!$A:$H,6,FALSE),"")</f>
        <v>GFB0I37</v>
      </c>
      <c r="E10" s="165" t="str">
        <f>IFERROR(VLOOKUP(SUMIFS(MSOLICITADA!$I:$I,MSOLICITADA!$B:$B,$AE$2,MSOLICITADA!$F:$F,MENSAL!D10),CODIGOSPLACAS!$A$64:$B$89,2,FALSE),"")</f>
        <v>RONILSON</v>
      </c>
      <c r="F10" s="166" t="str">
        <f>IF(D10="","",VLOOKUP(D10,DATAS!$A$220:$C$260,3,FALSE))</f>
        <v>DAF XF FTT 530</v>
      </c>
      <c r="G10" s="167" t="str">
        <f>IFERROR(VLOOKUP(SUMIFS(MSOLICITADA!$G:$G,MSOLICITADA!$F:$F,D10,MSOLICITADA!$C:$C,MONTH($AE$2),MSOLICITADA!$D:$D,YEAR($AE$2)),DATAS!$A$270:$B$274,2,FALSE),"")</f>
        <v>9 EIXOS</v>
      </c>
      <c r="H10" s="168">
        <f>IF(D10&lt;&gt;"",SUMIFS(MSOLICITADA!$H:$H,MSOLICITADA!$F:$F,D10,MSOLICITADA!$C:$C,MONTH($AE$2),MSOLICITADA!$D:$D,YEAR($AE$2)),"")</f>
        <v>1.6</v>
      </c>
      <c r="I10" s="169">
        <f t="shared" si="6"/>
        <v>1.6205104706314435</v>
      </c>
      <c r="J10" s="178">
        <f t="shared" si="7"/>
        <v>1.2819044144652125E-2</v>
      </c>
      <c r="K10" s="37">
        <f t="shared" si="8"/>
        <v>0.52477750809061485</v>
      </c>
      <c r="L10" s="167" t="str">
        <f>IF(D10&lt;&gt;"",IF(I10=0,"",IF(I10&lt;=SUMIFS(MSOLICITADA!$H:$H,MSOLICITADA!$F:$F,D10,MSOLICITADA!$C:$C,MONTH($AE$2),MSOLICITADA!$D:$D,YEAR($AE$2)),"Abaixo","OK")),"")</f>
        <v>OK</v>
      </c>
      <c r="M10" s="170">
        <f t="shared" si="9"/>
        <v>481.23512137849616</v>
      </c>
      <c r="N10" s="170">
        <f t="shared" si="0"/>
        <v>240.61756068924808</v>
      </c>
      <c r="O10" s="171">
        <f>IF(D10&lt;&gt;"",SUMIFS(DIESEL!$K:$K,DIESEL!$D:$D,"="&amp;$AE$4,DIESEL!$F:$F,D10),"")</f>
        <v>37540.639999999999</v>
      </c>
      <c r="P10" s="172">
        <f>IF(D10&lt;&gt;"",SUMIFS(DIESEL!$J:$J,DIESEL!$D:$D,"="&amp;$AE$4,DIESEL!$F:$F,$D10),"")</f>
        <v>6101.7809999999999</v>
      </c>
      <c r="Q10" s="173">
        <f>IF(D10&lt;&gt;"",SUMIFS(DIESEL!$M:$M,DIESEL!$D:$D,"="&amp;$AE$4,DIESEL!$F:$F,D10)+SUMIFS(DIESEL!$N:$N,DIESEL!$D:$D,"="&amp;$AE$4,DIESEL!$F:$F,D10),"")</f>
        <v>9888</v>
      </c>
      <c r="R10" s="173">
        <f>IF(D10&lt;&gt;"",SUMIFS(DIESEL!$M:$M,DIESEL!$D:$D,"="&amp;$AE$4,DIESEL!$F:$F,D10),"")</f>
        <v>5189</v>
      </c>
      <c r="S10" s="173">
        <f>IF(D10&lt;&gt;"",SUMIFS(DIESEL!$N:$N,DIESEL!$D:$D,"="&amp;$AE$4,DIESEL!$F:$F,D10),"")</f>
        <v>4699</v>
      </c>
      <c r="T10" s="22">
        <f>IF(D10&lt;&gt;"",COUNTIFS(DIESEL!$F:$F,D10,DIESEL!$D:$D,"="&amp;$AE$4),"")</f>
        <v>14</v>
      </c>
      <c r="U10" s="22">
        <f>IF(D10&lt;&gt;"",IF(SUMIFS(DIESEL!$AK:$AK,DIESEL!$D:$D,"="&amp;$AE$4,DIESEL!$F:$F,D10)=0,0,SUMIFS(DIESEL!$AK:$AK,DIESEL!$D:$D,"="&amp;$AE$4,DIESEL!$F:$F,D10)),"")</f>
        <v>0</v>
      </c>
      <c r="V10" s="174">
        <f t="shared" si="1"/>
        <v>0</v>
      </c>
      <c r="W10" s="170">
        <f t="shared" si="2"/>
        <v>0</v>
      </c>
      <c r="X10" s="170">
        <f t="shared" si="3"/>
        <v>0</v>
      </c>
      <c r="Y10" s="164" t="str">
        <f t="shared" si="4"/>
        <v>GFB0I37</v>
      </c>
      <c r="Z10" s="163">
        <f>IF(D10&lt;&gt;"",IFERROR(SUMIFS(DIESEL!$J:$J,DIESEL!$D:$D,"="&amp;$AE$4,DIESEL!$F:$F,$D10,DIESEL!$L:$L,"I")/SUMIFS(DIESEL!$J:$J,DIESEL!$D:$D,"="&amp;$AE$4,DIESEL!$F:$F,$D10),0),"")</f>
        <v>4.1627190487498647E-2</v>
      </c>
      <c r="AA10" s="163">
        <f t="shared" si="5"/>
        <v>0.95837280951250137</v>
      </c>
      <c r="AB10" s="52"/>
      <c r="AC10" s="208" t="str">
        <f>IF(MONTH(_xlfn.MAXIFS(DIESEL!E:E,DIESEL!D:D,MENSAL!$AE$4,DIESEL!F:F,MENSAL!D10))=2,"","FALTA ABASTECER")</f>
        <v/>
      </c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</row>
    <row r="11" spans="1:42" x14ac:dyDescent="0.2">
      <c r="A11" s="3">
        <v>5</v>
      </c>
      <c r="B11" s="3">
        <f>SUMIFS(MSOLICITADA!A:A,MSOLICITADA!A:A,MENSAL!A11,MSOLICITADA!C:C,$AE$3,MSOLICITADA!D:D,$AF$3)</f>
        <v>5</v>
      </c>
      <c r="C11" s="3">
        <v>5</v>
      </c>
      <c r="D11" s="164" t="str">
        <f>IFERROR(VLOOKUP(C11,MSOLICITADA!$A:$H,6,FALSE),"")</f>
        <v>GGF7G26</v>
      </c>
      <c r="E11" s="165" t="str">
        <f>IFERROR(VLOOKUP(SUMIFS(MSOLICITADA!$I:$I,MSOLICITADA!$B:$B,$AE$2,MSOLICITADA!$F:$F,MENSAL!D11),CODIGOSPLACAS!$A$64:$B$89,2,FALSE),"")</f>
        <v>JULIO</v>
      </c>
      <c r="F11" s="166" t="str">
        <f>IF(D11="","",VLOOKUP(D11,DATAS!$A$220:$C$260,3,FALSE))</f>
        <v>MB-2651</v>
      </c>
      <c r="G11" s="167" t="str">
        <f>IFERROR(VLOOKUP(SUMIFS(MSOLICITADA!$G:$G,MSOLICITADA!$F:$F,D11,MSOLICITADA!$C:$C,MONTH($AE$2),MSOLICITADA!$D:$D,YEAR($AE$2)),DATAS!$A$270:$B$274,2,FALSE),"")</f>
        <v>9 EIXOS</v>
      </c>
      <c r="H11" s="168">
        <f>IF(D11&lt;&gt;"",SUMIFS(MSOLICITADA!$H:$H,MSOLICITADA!$F:$F,D11,MSOLICITADA!$C:$C,MONTH($AE$2),MSOLICITADA!$D:$D,YEAR($AE$2)),"")</f>
        <v>1.6</v>
      </c>
      <c r="I11" s="169">
        <f t="shared" si="6"/>
        <v>1.7400327790407339</v>
      </c>
      <c r="J11" s="178">
        <f t="shared" si="7"/>
        <v>8.7520486900458661E-2</v>
      </c>
      <c r="K11" s="37">
        <f t="shared" si="8"/>
        <v>0.52239233080555159</v>
      </c>
      <c r="L11" s="167" t="str">
        <f>IF(D11&lt;&gt;"",IF(I11=0,"",IF(I11&lt;=SUMIFS(MSOLICITADA!$H:$H,MSOLICITADA!$F:$F,D11,MSOLICITADA!$C:$C,MONTH($AE$2),MSOLICITADA!$D:$D,YEAR($AE$2)),"Abaixo","OK")),"")</f>
        <v>OK</v>
      </c>
      <c r="M11" s="170">
        <f t="shared" si="9"/>
        <v>2143.4515542085346</v>
      </c>
      <c r="N11" s="170">
        <f t="shared" si="0"/>
        <v>1071.7257771042673</v>
      </c>
      <c r="O11" s="171">
        <f>IF(D11&lt;&gt;"",SUMIFS(DIESEL!$K:$K,DIESEL!$D:$D,"="&amp;$AE$4,DIESEL!$F:$F,D11),"")</f>
        <v>24490.854999999996</v>
      </c>
      <c r="P11" s="172">
        <f>IF(D11&lt;&gt;"",SUMIFS(DIESEL!$J:$J,DIESEL!$D:$D,"="&amp;$AE$4,DIESEL!$F:$F,$D11),"")</f>
        <v>4016.5909999999999</v>
      </c>
      <c r="Q11" s="173">
        <f>IF(D11&lt;&gt;"",SUMIFS(DIESEL!$M:$M,DIESEL!$D:$D,"="&amp;$AE$4,DIESEL!$F:$F,D11)+SUMIFS(DIESEL!$N:$N,DIESEL!$D:$D,"="&amp;$AE$4,DIESEL!$F:$F,D11),"")</f>
        <v>6989</v>
      </c>
      <c r="R11" s="173">
        <f>IF(D11&lt;&gt;"",SUMIFS(DIESEL!$M:$M,DIESEL!$D:$D,"="&amp;$AE$4,DIESEL!$F:$F,D11),"")</f>
        <v>3651</v>
      </c>
      <c r="S11" s="173">
        <f>IF(D11&lt;&gt;"",SUMIFS(DIESEL!$N:$N,DIESEL!$D:$D,"="&amp;$AE$4,DIESEL!$F:$F,D11),"")</f>
        <v>3338</v>
      </c>
      <c r="T11" s="22">
        <f>IF(D11&lt;&gt;"",COUNTIFS(DIESEL!$F:$F,D11,DIESEL!$D:$D,"="&amp;$AE$4),"")</f>
        <v>9</v>
      </c>
      <c r="U11" s="22">
        <f>IF(D11&lt;&gt;"",IF(SUMIFS(DIESEL!$AK:$AK,DIESEL!$D:$D,"="&amp;$AE$4,DIESEL!$F:$F,D11)=0,0,SUMIFS(DIESEL!$AK:$AK,DIESEL!$D:$D,"="&amp;$AE$4,DIESEL!$F:$F,D11)),"")</f>
        <v>0</v>
      </c>
      <c r="V11" s="174">
        <f t="shared" si="1"/>
        <v>0</v>
      </c>
      <c r="W11" s="170">
        <f t="shared" si="2"/>
        <v>0</v>
      </c>
      <c r="X11" s="170">
        <f t="shared" si="3"/>
        <v>0</v>
      </c>
      <c r="Y11" s="164" t="str">
        <f t="shared" si="4"/>
        <v>GGF7G26</v>
      </c>
      <c r="Z11" s="163">
        <f>IF(D11&lt;&gt;"",IFERROR(SUMIFS(DIESEL!$J:$J,DIESEL!$D:$D,"="&amp;$AE$4,DIESEL!$F:$F,$D11,DIESEL!$L:$L,"I")/SUMIFS(DIESEL!$J:$J,DIESEL!$D:$D,"="&amp;$AE$4,DIESEL!$F:$F,$D11),0),"")</f>
        <v>6.3760537231697237E-2</v>
      </c>
      <c r="AA11" s="163">
        <f t="shared" si="5"/>
        <v>0.93623946276830272</v>
      </c>
      <c r="AB11" s="52"/>
      <c r="AC11" s="208" t="str">
        <f>IF(MONTH(_xlfn.MAXIFS(DIESEL!E:E,DIESEL!D:D,MENSAL!$AE$4,DIESEL!F:F,MENSAL!D11))=2,"","FALTA ABASTECER")</f>
        <v/>
      </c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</row>
    <row r="12" spans="1:42" x14ac:dyDescent="0.2">
      <c r="A12" s="3">
        <v>6</v>
      </c>
      <c r="B12" s="3">
        <f>SUMIFS(MSOLICITADA!A:A,MSOLICITADA!A:A,MENSAL!A12,MSOLICITADA!C:C,$AE$3,MSOLICITADA!D:D,$AF$3)</f>
        <v>0</v>
      </c>
      <c r="C12" s="3">
        <v>7</v>
      </c>
      <c r="D12" s="164" t="str">
        <f>IFERROR(VLOOKUP(C12,MSOLICITADA!$A:$H,6,FALSE),"")</f>
        <v>GHH9B64</v>
      </c>
      <c r="E12" s="165" t="str">
        <f>IFERROR(VLOOKUP(SUMIFS(MSOLICITADA!$I:$I,MSOLICITADA!$B:$B,$AE$2,MSOLICITADA!$F:$F,MENSAL!D12),CODIGOSPLACAS!$A$64:$B$89,2,FALSE),"")</f>
        <v>ISRAEL</v>
      </c>
      <c r="F12" s="166" t="str">
        <f>IF(D12="","",VLOOKUP(D12,DATAS!$A$220:$C$260,3,FALSE))</f>
        <v>DAF XF FTT 530</v>
      </c>
      <c r="G12" s="167" t="str">
        <f>IFERROR(VLOOKUP(SUMIFS(MSOLICITADA!$G:$G,MSOLICITADA!$F:$F,D12,MSOLICITADA!$C:$C,MONTH($AE$2),MSOLICITADA!$D:$D,YEAR($AE$2)),DATAS!$A$270:$B$274,2,FALSE),"")</f>
        <v>9 EIXOS</v>
      </c>
      <c r="H12" s="168">
        <f>IF(D12&lt;&gt;"",SUMIFS(MSOLICITADA!$H:$H,MSOLICITADA!$F:$F,D12,MSOLICITADA!$C:$C,MONTH($AE$2),MSOLICITADA!$D:$D,YEAR($AE$2)),"")</f>
        <v>1.6</v>
      </c>
      <c r="I12" s="169">
        <f t="shared" si="6"/>
        <v>1.6528367477149088</v>
      </c>
      <c r="J12" s="178">
        <f t="shared" si="7"/>
        <v>3.3022967321817975E-2</v>
      </c>
      <c r="K12" s="37">
        <f t="shared" si="8"/>
        <v>0.55890083632019116</v>
      </c>
      <c r="L12" s="167" t="str">
        <f>IF(D12&lt;&gt;"",IF(I12=0,"",IF(I12&lt;=SUMIFS(MSOLICITADA!$H:$H,MSOLICITADA!$F:$F,D12,MSOLICITADA!$C:$C,MONTH($AE$2),MSOLICITADA!$D:$D,YEAR($AE$2)),"Abaixo","OK")),"")</f>
        <v>OK</v>
      </c>
      <c r="M12" s="170">
        <f t="shared" si="9"/>
        <v>1034.1076170892673</v>
      </c>
      <c r="N12" s="170">
        <f t="shared" si="0"/>
        <v>517.05380854463363</v>
      </c>
      <c r="O12" s="171">
        <f>IF(D12&lt;&gt;"",SUMIFS(DIESEL!$K:$K,DIESEL!$D:$D,"="&amp;$AE$4,DIESEL!$F:$F,D12),"")</f>
        <v>31314.799999999999</v>
      </c>
      <c r="P12" s="172">
        <f>IF(D12&lt;&gt;"",SUMIFS(DIESEL!$J:$J,DIESEL!$D:$D,"="&amp;$AE$4,DIESEL!$F:$F,$D12),"")</f>
        <v>5064.0209999999997</v>
      </c>
      <c r="Q12" s="173">
        <f>IF(D12&lt;&gt;"",SUMIFS(DIESEL!$M:$M,DIESEL!$D:$D,"="&amp;$AE$4,DIESEL!$F:$F,D12)+SUMIFS(DIESEL!$N:$N,DIESEL!$D:$D,"="&amp;$AE$4,DIESEL!$F:$F,D12),"")</f>
        <v>8370</v>
      </c>
      <c r="R12" s="173">
        <f>IF(D12&lt;&gt;"",SUMIFS(DIESEL!$M:$M,DIESEL!$D:$D,"="&amp;$AE$4,DIESEL!$F:$F,D12),"")</f>
        <v>4678</v>
      </c>
      <c r="S12" s="173">
        <f>IF(D12&lt;&gt;"",SUMIFS(DIESEL!$N:$N,DIESEL!$D:$D,"="&amp;$AE$4,DIESEL!$F:$F,D12),"")</f>
        <v>3692</v>
      </c>
      <c r="T12" s="22">
        <f>IF(D12&lt;&gt;"",COUNTIFS(DIESEL!$F:$F,D12,DIESEL!$D:$D,"="&amp;$AE$4),"")</f>
        <v>12</v>
      </c>
      <c r="U12" s="22">
        <f>IF(D12&lt;&gt;"",IF(SUMIFS(DIESEL!$AK:$AK,DIESEL!$D:$D,"="&amp;$AE$4,DIESEL!$F:$F,D12)=0,0,SUMIFS(DIESEL!$AK:$AK,DIESEL!$D:$D,"="&amp;$AE$4,DIESEL!$F:$F,D12)),"")</f>
        <v>0</v>
      </c>
      <c r="V12" s="174">
        <f t="shared" si="1"/>
        <v>0</v>
      </c>
      <c r="W12" s="170">
        <f t="shared" si="2"/>
        <v>0</v>
      </c>
      <c r="X12" s="170">
        <f t="shared" si="3"/>
        <v>0</v>
      </c>
      <c r="Y12" s="164" t="str">
        <f t="shared" si="4"/>
        <v>GHH9B64</v>
      </c>
      <c r="Z12" s="163">
        <f>IF(D12&lt;&gt;"",IFERROR(SUMIFS(DIESEL!$J:$J,DIESEL!$D:$D,"="&amp;$AE$4,DIESEL!$F:$F,$D12,DIESEL!$L:$L,"I")/SUMIFS(DIESEL!$J:$J,DIESEL!$D:$D,"="&amp;$AE$4,DIESEL!$F:$F,$D12),0),"")</f>
        <v>0</v>
      </c>
      <c r="AA12" s="163">
        <f t="shared" si="5"/>
        <v>1</v>
      </c>
      <c r="AB12" s="52"/>
      <c r="AC12" s="208" t="str">
        <f>IF(MONTH(_xlfn.MAXIFS(DIESEL!E:E,DIESEL!D:D,MENSAL!$AE$4,DIESEL!F:F,MENSAL!D12))=2,"","FALTA ABASTECER")</f>
        <v/>
      </c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</row>
    <row r="13" spans="1:42" x14ac:dyDescent="0.2">
      <c r="A13" s="3">
        <v>7</v>
      </c>
      <c r="B13" s="3">
        <f>SUMIFS(MSOLICITADA!A:A,MSOLICITADA!A:A,MENSAL!A13,MSOLICITADA!C:C,$AE$3,MSOLICITADA!D:D,$AF$3)</f>
        <v>7</v>
      </c>
      <c r="C13" s="3">
        <v>8</v>
      </c>
      <c r="D13" s="164" t="str">
        <f>IFERROR(VLOOKUP(C13,MSOLICITADA!$A:$H,6,FALSE),"")</f>
        <v>GHS4J57</v>
      </c>
      <c r="E13" s="165" t="str">
        <f>IFERROR(VLOOKUP(SUMIFS(MSOLICITADA!$I:$I,MSOLICITADA!$B:$B,$AE$2,MSOLICITADA!$F:$F,MENSAL!D13),CODIGOSPLACAS!$A$64:$B$89,2,FALSE),"")</f>
        <v>ANTONIO</v>
      </c>
      <c r="F13" s="166" t="str">
        <f>IF(D13="","",VLOOKUP(D13,DATAS!$A$220:$C$260,3,FALSE))</f>
        <v>MB-2651</v>
      </c>
      <c r="G13" s="167" t="str">
        <f>IFERROR(VLOOKUP(SUMIFS(MSOLICITADA!$G:$G,MSOLICITADA!$F:$F,D13,MSOLICITADA!$C:$C,MONTH($AE$2),MSOLICITADA!$D:$D,YEAR($AE$2)),DATAS!$A$270:$B$274,2,FALSE),"")</f>
        <v>9 EIXOS</v>
      </c>
      <c r="H13" s="168">
        <f>IF(D13&lt;&gt;"",SUMIFS(MSOLICITADA!$H:$H,MSOLICITADA!$F:$F,D13,MSOLICITADA!$C:$C,MONTH($AE$2),MSOLICITADA!$D:$D,YEAR($AE$2)),"")</f>
        <v>1.6</v>
      </c>
      <c r="I13" s="169">
        <f t="shared" si="6"/>
        <v>1.4666276036610979</v>
      </c>
      <c r="J13" s="178">
        <f t="shared" si="7"/>
        <v>-8.3357747711813868E-2</v>
      </c>
      <c r="K13" s="37">
        <f t="shared" si="8"/>
        <v>0.56242684354272332</v>
      </c>
      <c r="L13" s="167" t="str">
        <f>IF(D13&lt;&gt;"",IF(I13=0,"",IF(I13&lt;=SUMIFS(MSOLICITADA!$H:$H,MSOLICITADA!$F:$F,D13,MSOLICITADA!$C:$C,MONTH($AE$2),MSOLICITADA!$D:$D,YEAR($AE$2)),"Abaixo","OK")),"")</f>
        <v>Abaixo</v>
      </c>
      <c r="M13" s="170">
        <f t="shared" si="9"/>
        <v>-3582.5435375212223</v>
      </c>
      <c r="N13" s="170">
        <f t="shared" si="0"/>
        <v>0</v>
      </c>
      <c r="O13" s="171">
        <f>IF(D13&lt;&gt;"",SUMIFS(DIESEL!$K:$K,DIESEL!$D:$D,"="&amp;$AE$4,DIESEL!$F:$F,D13),"")</f>
        <v>42148.434999999998</v>
      </c>
      <c r="P13" s="172">
        <f>IF(D13&lt;&gt;"",SUMIFS(DIESEL!$J:$J,DIESEL!$D:$D,"="&amp;$AE$4,DIESEL!$F:$F,$D13),"")</f>
        <v>6855.2719999999999</v>
      </c>
      <c r="Q13" s="173">
        <f>IF(D13&lt;&gt;"",SUMIFS(DIESEL!$M:$M,DIESEL!$D:$D,"="&amp;$AE$4,DIESEL!$F:$F,D13)+SUMIFS(DIESEL!$N:$N,DIESEL!$D:$D,"="&amp;$AE$4,DIESEL!$F:$F,D13),"")</f>
        <v>10252</v>
      </c>
      <c r="R13" s="173">
        <f>IF(D13&lt;&gt;"",SUMIFS(DIESEL!$M:$M,DIESEL!$D:$D,"="&amp;$AE$4,DIESEL!$F:$F,D13),"")</f>
        <v>5766</v>
      </c>
      <c r="S13" s="173">
        <f>IF(D13&lt;&gt;"",SUMIFS(DIESEL!$N:$N,DIESEL!$D:$D,"="&amp;$AE$4,DIESEL!$F:$F,D13),"")</f>
        <v>4486</v>
      </c>
      <c r="T13" s="22">
        <f>IF(D13&lt;&gt;"",COUNTIFS(DIESEL!$F:$F,D13,DIESEL!$D:$D,"="&amp;$AE$4),"")</f>
        <v>15</v>
      </c>
      <c r="U13" s="22">
        <f>IF(D13&lt;&gt;"",IF(SUMIFS(DIESEL!$AK:$AK,DIESEL!$D:$D,"="&amp;$AE$4,DIESEL!$F:$F,D13)=0,0,SUMIFS(DIESEL!$AK:$AK,DIESEL!$D:$D,"="&amp;$AE$4,DIESEL!$F:$F,D13)),"")</f>
        <v>280</v>
      </c>
      <c r="V13" s="174">
        <f t="shared" si="1"/>
        <v>1.4666276036610979</v>
      </c>
      <c r="W13" s="170">
        <f t="shared" si="2"/>
        <v>0</v>
      </c>
      <c r="X13" s="170">
        <f t="shared" si="3"/>
        <v>0</v>
      </c>
      <c r="Y13" s="164" t="str">
        <f t="shared" si="4"/>
        <v>GHS4J57</v>
      </c>
      <c r="Z13" s="163">
        <f>IF(D13&lt;&gt;"",IFERROR(SUMIFS(DIESEL!$J:$J,DIESEL!$D:$D,"="&amp;$AE$4,DIESEL!$F:$F,$D13,DIESEL!$L:$L,"I")/SUMIFS(DIESEL!$J:$J,DIESEL!$D:$D,"="&amp;$AE$4,DIESEL!$F:$F,$D13),0),"")</f>
        <v>3.7970776360150262E-2</v>
      </c>
      <c r="AA13" s="163">
        <f t="shared" si="5"/>
        <v>0.96202922363984977</v>
      </c>
      <c r="AB13" s="52"/>
      <c r="AC13" s="208" t="str">
        <f>IF(MONTH(_xlfn.MAXIFS(DIESEL!E:E,DIESEL!D:D,MENSAL!$AE$4,DIESEL!F:F,MENSAL!D13))=2,"","FALTA ABASTECER")</f>
        <v/>
      </c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</row>
    <row r="14" spans="1:42" x14ac:dyDescent="0.2">
      <c r="A14" s="3">
        <v>8</v>
      </c>
      <c r="B14" s="3">
        <f>SUMIFS(MSOLICITADA!A:A,MSOLICITADA!A:A,MENSAL!A14,MSOLICITADA!C:C,$AE$3,MSOLICITADA!D:D,$AF$3)</f>
        <v>8</v>
      </c>
      <c r="C14" s="3">
        <v>9</v>
      </c>
      <c r="D14" s="164" t="str">
        <f>IFERROR(VLOOKUP(C14,MSOLICITADA!$A:$H,6,FALSE),"")</f>
        <v>GHX4D71</v>
      </c>
      <c r="E14" s="165" t="str">
        <f>IFERROR(VLOOKUP(SUMIFS(MSOLICITADA!$I:$I,MSOLICITADA!$B:$B,$AE$2,MSOLICITADA!$F:$F,MENSAL!D14),CODIGOSPLACAS!$A$64:$B$89,2,FALSE),"")</f>
        <v>IZAIAS</v>
      </c>
      <c r="F14" s="166" t="str">
        <f>IF(D14="","",VLOOKUP(D14,DATAS!$A$220:$C$260,3,FALSE))</f>
        <v>MB-2651</v>
      </c>
      <c r="G14" s="167" t="str">
        <f>IFERROR(VLOOKUP(SUMIFS(MSOLICITADA!$G:$G,MSOLICITADA!$F:$F,D14,MSOLICITADA!$C:$C,MONTH($AE$2),MSOLICITADA!$D:$D,YEAR($AE$2)),DATAS!$A$270:$B$274,2,FALSE),"")</f>
        <v>9 EIXOS</v>
      </c>
      <c r="H14" s="168">
        <f>IF(D14&lt;&gt;"",SUMIFS(MSOLICITADA!$H:$H,MSOLICITADA!$F:$F,D14,MSOLICITADA!$C:$C,MONTH($AE$2),MSOLICITADA!$D:$D,YEAR($AE$2)),"")</f>
        <v>1.6</v>
      </c>
      <c r="I14" s="169">
        <f t="shared" si="6"/>
        <v>1.5602257971131808</v>
      </c>
      <c r="J14" s="178">
        <f t="shared" si="7"/>
        <v>-2.4858876804262076E-2</v>
      </c>
      <c r="K14" s="37">
        <f t="shared" si="8"/>
        <v>0.56811881188118807</v>
      </c>
      <c r="L14" s="167" t="str">
        <f>IF(D14&lt;&gt;"",IF(I14=0,"",IF(I14&lt;=SUMIFS(MSOLICITADA!$H:$H,MSOLICITADA!$F:$F,D14,MSOLICITADA!$C:$C,MONTH($AE$2),MSOLICITADA!$D:$D,YEAR($AE$2)),"Abaixo","OK")),"")</f>
        <v>Abaixo</v>
      </c>
      <c r="M14" s="170">
        <f t="shared" si="9"/>
        <v>-995.65111457154853</v>
      </c>
      <c r="N14" s="170">
        <f t="shared" si="0"/>
        <v>0</v>
      </c>
      <c r="O14" s="171">
        <f>IF(D14&lt;&gt;"",SUMIFS(DIESEL!$K:$K,DIESEL!$D:$D,"="&amp;$AE$4,DIESEL!$F:$F,D14),"")</f>
        <v>40052.135999999999</v>
      </c>
      <c r="P14" s="172">
        <f>IF(D14&lt;&gt;"",SUMIFS(DIESEL!$J:$J,DIESEL!$D:$D,"="&amp;$AE$4,DIESEL!$F:$F,$D14),"")</f>
        <v>6473.4219999999996</v>
      </c>
      <c r="Q14" s="173">
        <f>IF(D14&lt;&gt;"",SUMIFS(DIESEL!$M:$M,DIESEL!$D:$D,"="&amp;$AE$4,DIESEL!$F:$F,D14)+SUMIFS(DIESEL!$N:$N,DIESEL!$D:$D,"="&amp;$AE$4,DIESEL!$F:$F,D14),"")</f>
        <v>10100</v>
      </c>
      <c r="R14" s="173">
        <f>IF(D14&lt;&gt;"",SUMIFS(DIESEL!$M:$M,DIESEL!$D:$D,"="&amp;$AE$4,DIESEL!$F:$F,D14),"")</f>
        <v>5738</v>
      </c>
      <c r="S14" s="173">
        <f>IF(D14&lt;&gt;"",SUMIFS(DIESEL!$N:$N,DIESEL!$D:$D,"="&amp;$AE$4,DIESEL!$F:$F,D14),"")</f>
        <v>4362</v>
      </c>
      <c r="T14" s="22">
        <f>IF(D14&lt;&gt;"",COUNTIFS(DIESEL!$F:$F,D14,DIESEL!$D:$D,"="&amp;$AE$4),"")</f>
        <v>13</v>
      </c>
      <c r="U14" s="22">
        <f>IF(D14&lt;&gt;"",IF(SUMIFS(DIESEL!$AK:$AK,DIESEL!$D:$D,"="&amp;$AE$4,DIESEL!$F:$F,D14)=0,0,SUMIFS(DIESEL!$AK:$AK,DIESEL!$D:$D,"="&amp;$AE$4,DIESEL!$F:$F,D14)),"")</f>
        <v>0</v>
      </c>
      <c r="V14" s="174">
        <f t="shared" si="1"/>
        <v>0</v>
      </c>
      <c r="W14" s="170">
        <f t="shared" si="2"/>
        <v>0</v>
      </c>
      <c r="X14" s="170">
        <f t="shared" si="3"/>
        <v>0</v>
      </c>
      <c r="Y14" s="164" t="str">
        <f t="shared" si="4"/>
        <v>GHX4D71</v>
      </c>
      <c r="Z14" s="163">
        <f>IF(D14&lt;&gt;"",IFERROR(SUMIFS(DIESEL!$J:$J,DIESEL!$D:$D,"="&amp;$AE$4,DIESEL!$F:$F,$D14,DIESEL!$L:$L,"I")/SUMIFS(DIESEL!$J:$J,DIESEL!$D:$D,"="&amp;$AE$4,DIESEL!$F:$F,$D14),0),"")</f>
        <v>0.11720230814552181</v>
      </c>
      <c r="AA14" s="163">
        <f t="shared" si="5"/>
        <v>0.88279769185447821</v>
      </c>
      <c r="AB14" s="52"/>
      <c r="AC14" s="208" t="str">
        <f>IF(MONTH(_xlfn.MAXIFS(DIESEL!E:E,DIESEL!D:D,MENSAL!$AE$4,DIESEL!F:F,MENSAL!D14))=2,"","FALTA ABASTECER")</f>
        <v/>
      </c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</row>
    <row r="15" spans="1:42" x14ac:dyDescent="0.2">
      <c r="A15" s="3">
        <v>9</v>
      </c>
      <c r="B15" s="3">
        <f>SUMIFS(MSOLICITADA!A:A,MSOLICITADA!A:A,MENSAL!A15,MSOLICITADA!C:C,$AE$3,MSOLICITADA!D:D,$AF$3)</f>
        <v>9</v>
      </c>
      <c r="C15" s="3">
        <v>10</v>
      </c>
      <c r="D15" s="164" t="str">
        <f>IFERROR(VLOOKUP(C15,MSOLICITADA!$A:$H,6,FALSE),"")</f>
        <v>GJU9A22</v>
      </c>
      <c r="E15" s="165" t="str">
        <f>IFERROR(VLOOKUP(SUMIFS(MSOLICITADA!$I:$I,MSOLICITADA!$B:$B,$AE$2,MSOLICITADA!$F:$F,MENSAL!D15),CODIGOSPLACAS!$A$64:$B$89,2,FALSE),"")</f>
        <v>ADILSON</v>
      </c>
      <c r="F15" s="166" t="str">
        <f>IF(D15="","",VLOOKUP(D15,DATAS!$A$220:$C$260,3,FALSE))</f>
        <v>DAF XF FTT 530</v>
      </c>
      <c r="G15" s="167" t="str">
        <f>IFERROR(VLOOKUP(SUMIFS(MSOLICITADA!$G:$G,MSOLICITADA!$F:$F,D15,MSOLICITADA!$C:$C,MONTH($AE$2),MSOLICITADA!$D:$D,YEAR($AE$2)),DATAS!$A$270:$B$274,2,FALSE),"")</f>
        <v>9 EIXOS</v>
      </c>
      <c r="H15" s="168">
        <f>IF(D15&lt;&gt;"",SUMIFS(MSOLICITADA!$H:$H,MSOLICITADA!$F:$F,D15,MSOLICITADA!$C:$C,MONTH($AE$2),MSOLICITADA!$D:$D,YEAR($AE$2)),"")</f>
        <v>1.6</v>
      </c>
      <c r="I15" s="169">
        <f t="shared" si="6"/>
        <v>1.6695575721559062</v>
      </c>
      <c r="J15" s="178">
        <f t="shared" si="7"/>
        <v>4.3473482597441299E-2</v>
      </c>
      <c r="K15" s="37">
        <f t="shared" si="8"/>
        <v>0.58280542986425343</v>
      </c>
      <c r="L15" s="167" t="str">
        <f>IF(D15&lt;&gt;"",IF(I15=0,"",IF(I15&lt;=SUMIFS(MSOLICITADA!$H:$H,MSOLICITADA!$F:$F,D15,MSOLICITADA!$C:$C,MONTH($AE$2),MSOLICITADA!$D:$D,YEAR($AE$2)),"Abaixo","OK")),"")</f>
        <v>OK</v>
      </c>
      <c r="M15" s="170">
        <f t="shared" si="9"/>
        <v>1937.8712519697301</v>
      </c>
      <c r="N15" s="170">
        <f t="shared" si="0"/>
        <v>968.93562598486506</v>
      </c>
      <c r="O15" s="171">
        <f>IF(D15&lt;&gt;"",SUMIFS(DIESEL!$K:$K,DIESEL!$D:$D,"="&amp;$AE$4,DIESEL!$F:$F,D15),"")</f>
        <v>43940.824999999997</v>
      </c>
      <c r="P15" s="172">
        <f>IF(D15&lt;&gt;"",SUMIFS(DIESEL!$J:$J,DIESEL!$D:$D,"="&amp;$AE$4,DIESEL!$F:$F,$D15),"")</f>
        <v>7176.6419999999998</v>
      </c>
      <c r="Q15" s="173">
        <f>IF(D15&lt;&gt;"",SUMIFS(DIESEL!$M:$M,DIESEL!$D:$D,"="&amp;$AE$4,DIESEL!$F:$F,D15)+SUMIFS(DIESEL!$N:$N,DIESEL!$D:$D,"="&amp;$AE$4,DIESEL!$F:$F,D15),"")</f>
        <v>12155</v>
      </c>
      <c r="R15" s="173">
        <f>IF(D15&lt;&gt;"",SUMIFS(DIESEL!$M:$M,DIESEL!$D:$D,"="&amp;$AE$4,DIESEL!$F:$F,D15),"")</f>
        <v>7084</v>
      </c>
      <c r="S15" s="173">
        <f>IF(D15&lt;&gt;"",SUMIFS(DIESEL!$N:$N,DIESEL!$D:$D,"="&amp;$AE$4,DIESEL!$F:$F,D15),"")</f>
        <v>5071</v>
      </c>
      <c r="T15" s="22">
        <f>IF(D15&lt;&gt;"",COUNTIFS(DIESEL!$F:$F,D15,DIESEL!$D:$D,"="&amp;$AE$4),"")</f>
        <v>18</v>
      </c>
      <c r="U15" s="22">
        <f>IF(D15&lt;&gt;"",IF(SUMIFS(DIESEL!$AK:$AK,DIESEL!$D:$D,"="&amp;$AE$4,DIESEL!$F:$F,D15)=0,0,SUMIFS(DIESEL!$AK:$AK,DIESEL!$D:$D,"="&amp;$AE$4,DIESEL!$F:$F,D15)),"")</f>
        <v>260</v>
      </c>
      <c r="V15" s="174">
        <f t="shared" si="1"/>
        <v>1.6695575721559062</v>
      </c>
      <c r="W15" s="170">
        <f t="shared" si="2"/>
        <v>1937.8712519697301</v>
      </c>
      <c r="X15" s="170">
        <f t="shared" si="3"/>
        <v>968.93562598486506</v>
      </c>
      <c r="Y15" s="164" t="str">
        <f t="shared" si="4"/>
        <v>GJU9A22</v>
      </c>
      <c r="Z15" s="163">
        <f>IF(D15&lt;&gt;"",IFERROR(SUMIFS(DIESEL!$J:$J,DIESEL!$D:$D,"="&amp;$AE$4,DIESEL!$F:$F,$D15,DIESEL!$L:$L,"I")/SUMIFS(DIESEL!$J:$J,DIESEL!$D:$D,"="&amp;$AE$4,DIESEL!$F:$F,$D15),0),"")</f>
        <v>0.15744132144253539</v>
      </c>
      <c r="AA15" s="163">
        <f t="shared" si="5"/>
        <v>0.84255867855746458</v>
      </c>
      <c r="AB15" s="52"/>
      <c r="AC15" s="208" t="str">
        <f>IF(MONTH(_xlfn.MAXIFS(DIESEL!E:E,DIESEL!D:D,MENSAL!$AE$4,DIESEL!F:F,MENSAL!D15))=2,"","FALTA ABASTECER")</f>
        <v/>
      </c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</row>
    <row r="16" spans="1:42" x14ac:dyDescent="0.2">
      <c r="A16" s="3">
        <v>10</v>
      </c>
      <c r="B16" s="3">
        <f>SUMIFS(MSOLICITADA!A:A,MSOLICITADA!A:A,MENSAL!A16,MSOLICITADA!C:C,$AE$3,MSOLICITADA!D:D,$AF$3)</f>
        <v>10</v>
      </c>
      <c r="C16" s="3">
        <v>11</v>
      </c>
      <c r="D16" s="164" t="str">
        <f>IFERROR(VLOOKUP(C16,MSOLICITADA!$A:$H,6,FALSE),"")</f>
        <v>GKA2J56</v>
      </c>
      <c r="E16" s="165" t="str">
        <f>IFERROR(VLOOKUP(SUMIFS(MSOLICITADA!$I:$I,MSOLICITADA!$B:$B,$AE$2,MSOLICITADA!$F:$F,MENSAL!D16),CODIGOSPLACAS!$A$64:$B$89,2,FALSE),"")</f>
        <v>EDNILSON</v>
      </c>
      <c r="F16" s="166" t="str">
        <f>IF(D16="","",VLOOKUP(D16,DATAS!$A$220:$C$260,3,FALSE))</f>
        <v>DAF XF FTT 530</v>
      </c>
      <c r="G16" s="167" t="str">
        <f>IFERROR(VLOOKUP(SUMIFS(MSOLICITADA!$G:$G,MSOLICITADA!$F:$F,D16,MSOLICITADA!$C:$C,MONTH($AE$2),MSOLICITADA!$D:$D,YEAR($AE$2)),DATAS!$A$270:$B$274,2,FALSE),"")</f>
        <v>9 EIXOS</v>
      </c>
      <c r="H16" s="168">
        <f>IF(D16&lt;&gt;"",SUMIFS(MSOLICITADA!$H:$H,MSOLICITADA!$F:$F,D16,MSOLICITADA!$C:$C,MONTH($AE$2),MSOLICITADA!$D:$D,YEAR($AE$2)),"")</f>
        <v>1.6</v>
      </c>
      <c r="I16" s="169">
        <f t="shared" si="6"/>
        <v>1.5966128652005338</v>
      </c>
      <c r="J16" s="178">
        <f t="shared" si="7"/>
        <v>-2.116959249666428E-3</v>
      </c>
      <c r="K16" s="37">
        <f t="shared" si="8"/>
        <v>0.54805094558085676</v>
      </c>
      <c r="L16" s="167" t="str">
        <f>IF(D16&lt;&gt;"",IF(I16=0,"",IF(I16&lt;=SUMIFS(MSOLICITADA!$H:$H,MSOLICITADA!$F:$F,D16,MSOLICITADA!$C:$C,MONTH($AE$2),MSOLICITADA!$D:$D,YEAR($AE$2)),"Abaixo","OK")),"")</f>
        <v>Abaixo</v>
      </c>
      <c r="M16" s="170">
        <f t="shared" si="9"/>
        <v>-84.166092313236291</v>
      </c>
      <c r="N16" s="170">
        <f t="shared" si="0"/>
        <v>0</v>
      </c>
      <c r="O16" s="171">
        <f>IF(D16&lt;&gt;"",SUMIFS(DIESEL!$K:$K,DIESEL!$D:$D,"="&amp;$AE$4,DIESEL!$F:$F,D16),"")</f>
        <v>38478.529000000002</v>
      </c>
      <c r="P16" s="172">
        <f>IF(D16&lt;&gt;"",SUMIFS(DIESEL!$J:$J,DIESEL!$D:$D,"="&amp;$AE$4,DIESEL!$F:$F,$D16),"")</f>
        <v>6282.3420000000006</v>
      </c>
      <c r="Q16" s="173">
        <f>IF(D16&lt;&gt;"",SUMIFS(DIESEL!$M:$M,DIESEL!$D:$D,"="&amp;$AE$4,DIESEL!$F:$F,D16)+SUMIFS(DIESEL!$N:$N,DIESEL!$D:$D,"="&amp;$AE$4,DIESEL!$F:$F,D16),"")</f>
        <v>10364</v>
      </c>
      <c r="R16" s="173">
        <f>IF(D16&lt;&gt;"",SUMIFS(DIESEL!$M:$M,DIESEL!$D:$D,"="&amp;$AE$4,DIESEL!$F:$F,D16),"")</f>
        <v>5680</v>
      </c>
      <c r="S16" s="173">
        <f>IF(D16&lt;&gt;"",SUMIFS(DIESEL!$N:$N,DIESEL!$D:$D,"="&amp;$AE$4,DIESEL!$F:$F,D16),"")</f>
        <v>4684</v>
      </c>
      <c r="T16" s="22">
        <f>IF(D16&lt;&gt;"",COUNTIFS(DIESEL!$F:$F,D16,DIESEL!$D:$D,"="&amp;$AE$4),"")</f>
        <v>14</v>
      </c>
      <c r="U16" s="22">
        <f>IF(D16&lt;&gt;"",IF(SUMIFS(DIESEL!$AK:$AK,DIESEL!$D:$D,"="&amp;$AE$4,DIESEL!$F:$F,D16)=0,0,SUMIFS(DIESEL!$AK:$AK,DIESEL!$D:$D,"="&amp;$AE$4,DIESEL!$F:$F,D16)),"")</f>
        <v>490</v>
      </c>
      <c r="V16" s="174">
        <f t="shared" si="1"/>
        <v>1.5966128652005338</v>
      </c>
      <c r="W16" s="170">
        <f t="shared" si="2"/>
        <v>0</v>
      </c>
      <c r="X16" s="170">
        <f t="shared" si="3"/>
        <v>0</v>
      </c>
      <c r="Y16" s="164" t="str">
        <f t="shared" si="4"/>
        <v>GKA2J56</v>
      </c>
      <c r="Z16" s="163">
        <f>IF(D16&lt;&gt;"",IFERROR(SUMIFS(DIESEL!$J:$J,DIESEL!$D:$D,"="&amp;$AE$4,DIESEL!$F:$F,$D16,DIESEL!$L:$L,"I")/SUMIFS(DIESEL!$J:$J,DIESEL!$D:$D,"="&amp;$AE$4,DIESEL!$F:$F,$D16),0),"")</f>
        <v>0.13698712995885926</v>
      </c>
      <c r="AA16" s="163">
        <f t="shared" si="5"/>
        <v>0.8630128700411408</v>
      </c>
      <c r="AB16" s="52"/>
      <c r="AC16" s="208" t="str">
        <f>IF(MONTH(_xlfn.MAXIFS(DIESEL!E:E,DIESEL!D:D,MENSAL!$AE$4,DIESEL!F:F,MENSAL!D16))=2,"","FALTA ABASTECER")</f>
        <v/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</row>
    <row r="17" spans="1:42" x14ac:dyDescent="0.2">
      <c r="A17" s="3">
        <v>11</v>
      </c>
      <c r="B17" s="3">
        <f>SUMIFS(MSOLICITADA!A:A,MSOLICITADA!A:A,MENSAL!A17,MSOLICITADA!C:C,$AE$3,MSOLICITADA!D:D,$AF$3)</f>
        <v>11</v>
      </c>
      <c r="C17" s="3">
        <v>23</v>
      </c>
      <c r="D17" s="164" t="str">
        <f>IFERROR(VLOOKUP(C17,MSOLICITADA!$A:$H,6,FALSE),"")</f>
        <v>HNC7I76</v>
      </c>
      <c r="E17" s="165" t="str">
        <f>IFERROR(VLOOKUP(SUMIFS(MSOLICITADA!$I:$I,MSOLICITADA!$B:$B,$AE$2,MSOLICITADA!$F:$F,MENSAL!D17),CODIGOSPLACAS!$A$64:$B$89,2,FALSE),"")</f>
        <v>ISAC</v>
      </c>
      <c r="F17" s="166" t="str">
        <f>IF(D17="","",VLOOKUP(D17,DATAS!$A$220:$C$260,3,FALSE))</f>
        <v>VOLVO FH 520</v>
      </c>
      <c r="G17" s="167" t="str">
        <f>IFERROR(VLOOKUP(SUMIFS(MSOLICITADA!$G:$G,MSOLICITADA!$F:$F,D17,MSOLICITADA!$C:$C,MONTH($AE$2),MSOLICITADA!$D:$D,YEAR($AE$2)),DATAS!$A$270:$B$274,2,FALSE),"")</f>
        <v>9 EIXOS</v>
      </c>
      <c r="H17" s="168">
        <f>IF(D17&lt;&gt;"",SUMIFS(MSOLICITADA!$H:$H,MSOLICITADA!$F:$F,D17,MSOLICITADA!$C:$C,MONTH($AE$2),MSOLICITADA!$D:$D,YEAR($AE$2)),"")</f>
        <v>1.6</v>
      </c>
      <c r="I17" s="169">
        <f t="shared" si="6"/>
        <v>1.4592701282718794</v>
      </c>
      <c r="J17" s="178">
        <f t="shared" si="7"/>
        <v>-8.7956169830075426E-2</v>
      </c>
      <c r="K17" s="37">
        <f t="shared" si="8"/>
        <v>0.66050383825278414</v>
      </c>
      <c r="L17" s="167" t="str">
        <f>IF(D17&lt;&gt;"",IF(I17=0,"",IF(I17&lt;=SUMIFS(MSOLICITADA!$H:$H,MSOLICITADA!$F:$F,D17,MSOLICITADA!$C:$C,MONTH($AE$2),MSOLICITADA!$D:$D,YEAR($AE$2)),"Abaixo","OK")),"")</f>
        <v>Abaixo</v>
      </c>
      <c r="M17" s="170">
        <f t="shared" si="9"/>
        <v>-3422.6509263738358</v>
      </c>
      <c r="N17" s="170">
        <f t="shared" si="0"/>
        <v>0</v>
      </c>
      <c r="O17" s="171">
        <f>IF(D17&lt;&gt;"",SUMIFS(DIESEL!$K:$K,DIESEL!$D:$D,"="&amp;$AE$4,DIESEL!$F:$F,D17),"")</f>
        <v>38913.141999999993</v>
      </c>
      <c r="P17" s="172">
        <f>IF(D17&lt;&gt;"",SUMIFS(DIESEL!$J:$J,DIESEL!$D:$D,"="&amp;$AE$4,DIESEL!$F:$F,$D17),"")</f>
        <v>6338.1</v>
      </c>
      <c r="Q17" s="173">
        <f>IF(D17&lt;&gt;"",SUMIFS(DIESEL!$M:$M,DIESEL!$D:$D,"="&amp;$AE$4,DIESEL!$F:$F,D17)+SUMIFS(DIESEL!$N:$N,DIESEL!$D:$D,"="&amp;$AE$4,DIESEL!$F:$F,D17),"")</f>
        <v>9249</v>
      </c>
      <c r="R17" s="173">
        <f>IF(D17&lt;&gt;"",SUMIFS(DIESEL!$M:$M,DIESEL!$D:$D,"="&amp;$AE$4,DIESEL!$F:$F,D17),"")</f>
        <v>6109</v>
      </c>
      <c r="S17" s="173">
        <f>IF(D17&lt;&gt;"",SUMIFS(DIESEL!$N:$N,DIESEL!$D:$D,"="&amp;$AE$4,DIESEL!$F:$F,D17),"")</f>
        <v>3140</v>
      </c>
      <c r="T17" s="22">
        <f>IF(D17&lt;&gt;"",COUNTIFS(DIESEL!$F:$F,D17,DIESEL!$D:$D,"="&amp;$AE$4),"")</f>
        <v>17</v>
      </c>
      <c r="U17" s="22">
        <f>IF(D17&lt;&gt;"",IF(SUMIFS(DIESEL!$AK:$AK,DIESEL!$D:$D,"="&amp;$AE$4,DIESEL!$F:$F,D17)=0,0,SUMIFS(DIESEL!$AK:$AK,DIESEL!$D:$D,"="&amp;$AE$4,DIESEL!$F:$F,D17)),"")</f>
        <v>0</v>
      </c>
      <c r="V17" s="174">
        <f t="shared" si="1"/>
        <v>0</v>
      </c>
      <c r="W17" s="170">
        <f t="shared" si="2"/>
        <v>0</v>
      </c>
      <c r="X17" s="170">
        <f t="shared" si="3"/>
        <v>0</v>
      </c>
      <c r="Y17" s="164" t="str">
        <f t="shared" si="4"/>
        <v>HNC7I76</v>
      </c>
      <c r="Z17" s="163">
        <f>IF(D17&lt;&gt;"",IFERROR(SUMIFS(DIESEL!$J:$J,DIESEL!$D:$D,"="&amp;$AE$4,DIESEL!$F:$F,$D17,DIESEL!$L:$L,"I")/SUMIFS(DIESEL!$J:$J,DIESEL!$D:$D,"="&amp;$AE$4,DIESEL!$F:$F,$D17),0),"")</f>
        <v>0.15514113062274182</v>
      </c>
      <c r="AA17" s="163">
        <f t="shared" si="5"/>
        <v>0.84485886937725818</v>
      </c>
      <c r="AB17" s="52"/>
      <c r="AC17" s="208" t="str">
        <f>IF(MONTH(_xlfn.MAXIFS(DIESEL!E:E,DIESEL!D:D,MENSAL!$AE$4,DIESEL!F:F,MENSAL!D17))=2,"","FALTA ABASTECER")</f>
        <v/>
      </c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spans="1:42" x14ac:dyDescent="0.2">
      <c r="A18" s="3">
        <v>12</v>
      </c>
      <c r="B18" s="3">
        <f>SUMIFS(MSOLICITADA!A:A,MSOLICITADA!A:A,MENSAL!A18,MSOLICITADA!C:C,$AE$3,MSOLICITADA!D:D,$AF$3)</f>
        <v>0</v>
      </c>
      <c r="C18" s="3">
        <v>30</v>
      </c>
      <c r="D18" s="164" t="str">
        <f>IFERROR(VLOOKUP(C18,MSOLICITADA!$A:$H,6,FALSE),"")</f>
        <v>QHE9735</v>
      </c>
      <c r="E18" s="165" t="str">
        <f>IFERROR(VLOOKUP(SUMIFS(MSOLICITADA!$I:$I,MSOLICITADA!$B:$B,$AE$2,MSOLICITADA!$F:$F,MENSAL!D18),CODIGOSPLACAS!$A$64:$B$89,2,FALSE),"")</f>
        <v>EDUALDO</v>
      </c>
      <c r="F18" s="166" t="str">
        <f>IF(D18="","",VLOOKUP(D18,DATAS!$A$220:$C$260,3,FALSE))</f>
        <v>VOLVO FH 540</v>
      </c>
      <c r="G18" s="167" t="str">
        <f>IFERROR(VLOOKUP(SUMIFS(MSOLICITADA!$G:$G,MSOLICITADA!$F:$F,D18,MSOLICITADA!$C:$C,MONTH($AE$2),MSOLICITADA!$D:$D,YEAR($AE$2)),DATAS!$A$270:$B$274,2,FALSE),"")</f>
        <v>9 EIXOS</v>
      </c>
      <c r="H18" s="168">
        <f>IF(D18&lt;&gt;"",SUMIFS(MSOLICITADA!$H:$H,MSOLICITADA!$F:$F,D18,MSOLICITADA!$C:$C,MONTH($AE$2),MSOLICITADA!$D:$D,YEAR($AE$2)),"")</f>
        <v>1.6</v>
      </c>
      <c r="I18" s="169">
        <f t="shared" si="6"/>
        <v>1.4288896110685252</v>
      </c>
      <c r="J18" s="178">
        <f t="shared" si="7"/>
        <v>-0.10694399308217181</v>
      </c>
      <c r="K18" s="37">
        <f t="shared" si="8"/>
        <v>0.63464075806645082</v>
      </c>
      <c r="L18" s="167" t="str">
        <f>IF(D18&lt;&gt;"",IF(I18=0,"",IF(I18&lt;=SUMIFS(MSOLICITADA!$H:$H,MSOLICITADA!$F:$F,D18,MSOLICITADA!$C:$C,MONTH($AE$2),MSOLICITADA!$D:$D,YEAR($AE$2)),"Abaixo","OK")),"")</f>
        <v>Abaixo</v>
      </c>
      <c r="M18" s="170">
        <f t="shared" si="9"/>
        <v>-3796.7719105479728</v>
      </c>
      <c r="N18" s="170">
        <f t="shared" si="0"/>
        <v>0</v>
      </c>
      <c r="O18" s="171">
        <f>IF(D18&lt;&gt;"",SUMIFS(DIESEL!$K:$K,DIESEL!$D:$D,"="&amp;$AE$4,DIESEL!$F:$F,D18),"")</f>
        <v>34711.653999999995</v>
      </c>
      <c r="P18" s="172">
        <f>IF(D18&lt;&gt;"",SUMIFS(DIESEL!$J:$J,DIESEL!$D:$D,"="&amp;$AE$4,DIESEL!$F:$F,$D18),"")</f>
        <v>5704.6410000000005</v>
      </c>
      <c r="Q18" s="173">
        <f>IF(D18&lt;&gt;"",SUMIFS(DIESEL!$M:$M,DIESEL!$D:$D,"="&amp;$AE$4,DIESEL!$F:$F,D18)+SUMIFS(DIESEL!$N:$N,DIESEL!$D:$D,"="&amp;$AE$4,DIESEL!$F:$F,D18),"")</f>
        <v>8337</v>
      </c>
      <c r="R18" s="173">
        <f>IF(D18&lt;&gt;"",SUMIFS(DIESEL!$M:$M,DIESEL!$D:$D,"="&amp;$AE$4,DIESEL!$F:$F,D18),"")</f>
        <v>5291</v>
      </c>
      <c r="S18" s="173">
        <f>IF(D18&lt;&gt;"",SUMIFS(DIESEL!$N:$N,DIESEL!$D:$D,"="&amp;$AE$4,DIESEL!$F:$F,D18),"")</f>
        <v>3046</v>
      </c>
      <c r="T18" s="22">
        <f>IF(D18&lt;&gt;"",COUNTIFS(DIESEL!$F:$F,D18,DIESEL!$D:$D,"="&amp;$AE$4),"")</f>
        <v>15</v>
      </c>
      <c r="U18" s="22">
        <f>IF(D18&lt;&gt;"",IF(SUMIFS(DIESEL!$AK:$AK,DIESEL!$D:$D,"="&amp;$AE$4,DIESEL!$F:$F,D18)=0,0,SUMIFS(DIESEL!$AK:$AK,DIESEL!$D:$D,"="&amp;$AE$4,DIESEL!$F:$F,D18)),"")</f>
        <v>260</v>
      </c>
      <c r="V18" s="174">
        <f t="shared" si="1"/>
        <v>1.4288896110685252</v>
      </c>
      <c r="W18" s="170">
        <f t="shared" si="2"/>
        <v>0</v>
      </c>
      <c r="X18" s="170">
        <f t="shared" si="3"/>
        <v>0</v>
      </c>
      <c r="Y18" s="164" t="str">
        <f t="shared" si="4"/>
        <v>QHE9735</v>
      </c>
      <c r="Z18" s="163">
        <f>IF(D18&lt;&gt;"",IFERROR(SUMIFS(DIESEL!$J:$J,DIESEL!$D:$D,"="&amp;$AE$4,DIESEL!$F:$F,$D18,DIESEL!$L:$L,"I")/SUMIFS(DIESEL!$J:$J,DIESEL!$D:$D,"="&amp;$AE$4,DIESEL!$F:$F,$D18),0),"")</f>
        <v>0.29155208890445516</v>
      </c>
      <c r="AA18" s="163">
        <f t="shared" si="5"/>
        <v>0.70844791109554484</v>
      </c>
      <c r="AB18" s="52"/>
      <c r="AC18" s="208" t="str">
        <f>IF(MONTH(_xlfn.MAXIFS(DIESEL!E:E,DIESEL!D:D,MENSAL!$AE$4,DIESEL!F:F,MENSAL!D18))=2,"","FALTA ABASTECER")</f>
        <v>FALTA ABASTECER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</row>
    <row r="19" spans="1:42" x14ac:dyDescent="0.2">
      <c r="A19" s="3">
        <v>13</v>
      </c>
      <c r="B19" s="3">
        <f>SUMIFS(MSOLICITADA!A:A,MSOLICITADA!A:A,MENSAL!A19,MSOLICITADA!C:C,$AE$3,MSOLICITADA!D:D,$AF$3)</f>
        <v>0</v>
      </c>
      <c r="C19" s="3">
        <v>31</v>
      </c>
      <c r="D19" s="164" t="str">
        <f>IFERROR(VLOOKUP(C19,MSOLICITADA!$A:$H,6,FALSE),"")</f>
        <v>GFR0D47</v>
      </c>
      <c r="E19" s="165" t="str">
        <f>IFERROR(VLOOKUP(SUMIFS(MSOLICITADA!$I:$I,MSOLICITADA!$B:$B,$AE$2,MSOLICITADA!$F:$F,MENSAL!D19),CODIGOSPLACAS!$A$64:$B$89,2,FALSE),"")</f>
        <v>ELI RICARDO</v>
      </c>
      <c r="F19" s="166" t="str">
        <f>IF(D19="","",VLOOKUP(D19,DATAS!$A$220:$C$260,3,FALSE))</f>
        <v>DAF XF FTT 530</v>
      </c>
      <c r="G19" s="167" t="str">
        <f>IFERROR(VLOOKUP(SUMIFS(MSOLICITADA!$G:$G,MSOLICITADA!$F:$F,D19,MSOLICITADA!$C:$C,MONTH($AE$2),MSOLICITADA!$D:$D,YEAR($AE$2)),DATAS!$A$270:$B$274,2,FALSE),"")</f>
        <v>9 EIXOS</v>
      </c>
      <c r="H19" s="168">
        <f>IF(D19&lt;&gt;"",SUMIFS(MSOLICITADA!$H:$H,MSOLICITADA!$F:$F,D19,MSOLICITADA!$C:$C,MONTH($AE$2),MSOLICITADA!$D:$D,YEAR($AE$2)),"")</f>
        <v>1.6</v>
      </c>
      <c r="I19" s="169">
        <f t="shared" si="6"/>
        <v>1.7619806950171255</v>
      </c>
      <c r="J19" s="178">
        <f t="shared" si="7"/>
        <v>0.10123793438570339</v>
      </c>
      <c r="K19" s="37">
        <f t="shared" si="8"/>
        <v>0.50119208043951491</v>
      </c>
      <c r="L19" s="167" t="str">
        <f>IF(D19&lt;&gt;"",IF(I19=0,"",IF(I19&lt;=SUMIFS(MSOLICITADA!$H:$H,MSOLICITADA!$F:$F,D19,MSOLICITADA!$C:$C,MONTH($AE$2),MSOLICITADA!$D:$D,YEAR($AE$2)),"Abaixo","OK")),"")</f>
        <v>OK</v>
      </c>
      <c r="M19" s="170">
        <f t="shared" si="9"/>
        <v>3386.6670007866119</v>
      </c>
      <c r="N19" s="170">
        <f t="shared" si="0"/>
        <v>1693.3335003933059</v>
      </c>
      <c r="O19" s="171">
        <f>IF(D19&lt;&gt;"",SUMIFS(DIESEL!$K:$K,DIESEL!$D:$D,"="&amp;$AE$4,DIESEL!$F:$F,D19),"")</f>
        <v>32756.391</v>
      </c>
      <c r="P19" s="172">
        <f>IF(D19&lt;&gt;"",SUMIFS(DIESEL!$J:$J,DIESEL!$D:$D,"="&amp;$AE$4,DIESEL!$F:$F,$D19),"")</f>
        <v>5361.15</v>
      </c>
      <c r="Q19" s="173">
        <f>IF(D19&lt;&gt;"",SUMIFS(DIESEL!$M:$M,DIESEL!$D:$D,"="&amp;$AE$4,DIESEL!$F:$F,D19)+SUMIFS(DIESEL!$N:$N,DIESEL!$D:$D,"="&amp;$AE$4,DIESEL!$F:$F,D19),"")</f>
        <v>9647</v>
      </c>
      <c r="R19" s="173">
        <f>IF(D19&lt;&gt;"",SUMIFS(DIESEL!$M:$M,DIESEL!$D:$D,"="&amp;$AE$4,DIESEL!$F:$F,D19),"")</f>
        <v>4835</v>
      </c>
      <c r="S19" s="173">
        <f>IF(D19&lt;&gt;"",SUMIFS(DIESEL!$N:$N,DIESEL!$D:$D,"="&amp;$AE$4,DIESEL!$F:$F,D19),"")</f>
        <v>4812</v>
      </c>
      <c r="T19" s="22">
        <f>IF(D19&lt;&gt;"",COUNTIFS(DIESEL!$F:$F,D19,DIESEL!$D:$D,"="&amp;$AE$4),"")</f>
        <v>14</v>
      </c>
      <c r="U19" s="22">
        <f>IF(D19&lt;&gt;"",IF(SUMIFS(DIESEL!$AK:$AK,DIESEL!$D:$D,"="&amp;$AE$4,DIESEL!$F:$F,D19)=0,0,SUMIFS(DIESEL!$AK:$AK,DIESEL!$D:$D,"="&amp;$AE$4,DIESEL!$F:$F,D19)),"")</f>
        <v>310</v>
      </c>
      <c r="V19" s="174">
        <f t="shared" si="1"/>
        <v>1.7619806950171255</v>
      </c>
      <c r="W19" s="170">
        <f t="shared" si="2"/>
        <v>3386.6670007866119</v>
      </c>
      <c r="X19" s="170">
        <f t="shared" si="3"/>
        <v>1693.3335003933059</v>
      </c>
      <c r="Y19" s="164" t="str">
        <f t="shared" si="4"/>
        <v>GFR0D47</v>
      </c>
      <c r="Z19" s="163">
        <f>IF(D19&lt;&gt;"",IFERROR(SUMIFS(DIESEL!$J:$J,DIESEL!$D:$D,"="&amp;$AE$4,DIESEL!$F:$F,$D19,DIESEL!$L:$L,"I")/SUMIFS(DIESEL!$J:$J,DIESEL!$D:$D,"="&amp;$AE$4,DIESEL!$F:$F,$D19),0),"")</f>
        <v>8.0617031793551758E-2</v>
      </c>
      <c r="AA19" s="163">
        <f t="shared" si="5"/>
        <v>0.91938296820644827</v>
      </c>
      <c r="AB19" s="52"/>
      <c r="AC19" s="208" t="str">
        <f>IF(MONTH(_xlfn.MAXIFS(DIESEL!E:E,DIESEL!D:D,MENSAL!$AE$4,DIESEL!F:F,MENSAL!D19))=2,"","FALTA ABASTECER")</f>
        <v/>
      </c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</row>
    <row r="20" spans="1:42" x14ac:dyDescent="0.2">
      <c r="A20" s="3">
        <v>14</v>
      </c>
      <c r="B20" s="3">
        <f>SUMIFS(MSOLICITADA!A:A,MSOLICITADA!A:A,MENSAL!A20,MSOLICITADA!C:C,$AE$3,MSOLICITADA!D:D,$AF$3)</f>
        <v>0</v>
      </c>
      <c r="C20" s="3">
        <v>32</v>
      </c>
      <c r="D20" s="164" t="str">
        <f>IFERROR(VLOOKUP(C20,MSOLICITADA!$A:$H,6,FALSE),"")</f>
        <v>GGN4J86</v>
      </c>
      <c r="E20" s="165" t="str">
        <f>IFERROR(VLOOKUP(SUMIFS(MSOLICITADA!$I:$I,MSOLICITADA!$B:$B,$AE$2,MSOLICITADA!$F:$F,MENSAL!D20),CODIGOSPLACAS!$A$64:$B$89,2,FALSE),"")</f>
        <v>ALTIELIS</v>
      </c>
      <c r="F20" s="166" t="str">
        <f>IF(D20="","",VLOOKUP(D20,DATAS!$A$220:$C$260,3,FALSE))</f>
        <v>MB-2651</v>
      </c>
      <c r="G20" s="167" t="str">
        <f>IFERROR(VLOOKUP(SUMIFS(MSOLICITADA!$G:$G,MSOLICITADA!$F:$F,D20,MSOLICITADA!$C:$C,MONTH($AE$2),MSOLICITADA!$D:$D,YEAR($AE$2)),DATAS!$A$270:$B$274,2,FALSE),"")</f>
        <v>9 EIXOS</v>
      </c>
      <c r="H20" s="168">
        <f>IF(D20&lt;&gt;"",SUMIFS(MSOLICITADA!$H:$H,MSOLICITADA!$F:$F,D20,MSOLICITADA!$C:$C,MONTH($AE$2),MSOLICITADA!$D:$D,YEAR($AE$2)),"")</f>
        <v>1.6</v>
      </c>
      <c r="I20" s="169">
        <f t="shared" si="6"/>
        <v>1.6793774979959049</v>
      </c>
      <c r="J20" s="178">
        <f t="shared" si="7"/>
        <v>4.9610936247440479E-2</v>
      </c>
      <c r="K20" s="37">
        <f t="shared" si="8"/>
        <v>0.53480735551663749</v>
      </c>
      <c r="L20" s="167" t="str">
        <f>IF(D20&lt;&gt;"",IF(I20=0,"",IF(I20&lt;=SUMIFS(MSOLICITADA!$H:$H,MSOLICITADA!$F:$F,D20,MSOLICITADA!$C:$C,MONTH($AE$2),MSOLICITADA!$D:$D,YEAR($AE$2)),"Abaixo","OK")),"")</f>
        <v>OK</v>
      </c>
      <c r="M20" s="170">
        <f t="shared" si="9"/>
        <v>1668.5353483577821</v>
      </c>
      <c r="N20" s="170">
        <f t="shared" si="0"/>
        <v>834.26767417889107</v>
      </c>
      <c r="O20" s="171">
        <f>IF(D20&lt;&gt;"",SUMIFS(DIESEL!$K:$K,DIESEL!$D:$D,"="&amp;$AE$4,DIESEL!$F:$F,D20),"")</f>
        <v>33632.409999999996</v>
      </c>
      <c r="P20" s="172">
        <f>IF(D20&lt;&gt;"",SUMIFS(DIESEL!$J:$J,DIESEL!$D:$D,"="&amp;$AE$4,DIESEL!$F:$F,$D20),"")</f>
        <v>5440.1109999999999</v>
      </c>
      <c r="Q20" s="173">
        <f>IF(D20&lt;&gt;"",SUMIFS(DIESEL!$M:$M,DIESEL!$D:$D,"="&amp;$AE$4,DIESEL!$F:$F,D20)+SUMIFS(DIESEL!$N:$N,DIESEL!$D:$D,"="&amp;$AE$4,DIESEL!$F:$F,D20),"")</f>
        <v>9136</v>
      </c>
      <c r="R20" s="173">
        <f>IF(D20&lt;&gt;"",SUMIFS(DIESEL!$M:$M,DIESEL!$D:$D,"="&amp;$AE$4,DIESEL!$F:$F,D20),"")</f>
        <v>4886</v>
      </c>
      <c r="S20" s="173">
        <f>IF(D20&lt;&gt;"",SUMIFS(DIESEL!$N:$N,DIESEL!$D:$D,"="&amp;$AE$4,DIESEL!$F:$F,D20),"")</f>
        <v>4250</v>
      </c>
      <c r="T20" s="22">
        <f>IF(D20&lt;&gt;"",COUNTIFS(DIESEL!$F:$F,D20,DIESEL!$D:$D,"="&amp;$AE$4),"")</f>
        <v>13</v>
      </c>
      <c r="U20" s="22">
        <f>IF(D20&lt;&gt;"",IF(SUMIFS(DIESEL!$AK:$AK,DIESEL!$D:$D,"="&amp;$AE$4,DIESEL!$F:$F,D20)=0,0,SUMIFS(DIESEL!$AK:$AK,DIESEL!$D:$D,"="&amp;$AE$4,DIESEL!$F:$F,D20)),"")</f>
        <v>0</v>
      </c>
      <c r="V20" s="174">
        <f t="shared" si="1"/>
        <v>0</v>
      </c>
      <c r="W20" s="170">
        <f t="shared" si="2"/>
        <v>0</v>
      </c>
      <c r="X20" s="170">
        <f t="shared" si="3"/>
        <v>0</v>
      </c>
      <c r="Y20" s="164" t="str">
        <f t="shared" si="4"/>
        <v>GGN4J86</v>
      </c>
      <c r="Z20" s="163">
        <f>IF(D20&lt;&gt;"",IFERROR(SUMIFS(DIESEL!$J:$J,DIESEL!$D:$D,"="&amp;$AE$4,DIESEL!$F:$F,$D20,DIESEL!$L:$L,"I")/SUMIFS(DIESEL!$J:$J,DIESEL!$D:$D,"="&amp;$AE$4,DIESEL!$F:$F,$D20),0),"")</f>
        <v>0</v>
      </c>
      <c r="AA20" s="163">
        <f t="shared" si="5"/>
        <v>1</v>
      </c>
      <c r="AB20" s="52"/>
      <c r="AC20" s="208" t="str">
        <f>IF(MONTH(_xlfn.MAXIFS(DIESEL!E:E,DIESEL!D:D,MENSAL!$AE$4,DIESEL!F:F,MENSAL!D20))=2,"","FALTA ABASTECER")</f>
        <v/>
      </c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</row>
    <row r="21" spans="1:42" x14ac:dyDescent="0.2">
      <c r="A21" s="3">
        <v>15</v>
      </c>
      <c r="B21" s="3">
        <f>SUMIFS(MSOLICITADA!A:A,MSOLICITADA!A:A,MENSAL!A21,MSOLICITADA!C:C,$AE$3,MSOLICITADA!D:D,$AF$3)</f>
        <v>0</v>
      </c>
      <c r="C21" s="3">
        <v>33</v>
      </c>
      <c r="D21" s="164" t="str">
        <f>IFERROR(VLOOKUP(C21,MSOLICITADA!$A:$H,6,FALSE),"")</f>
        <v>OPM8J51</v>
      </c>
      <c r="E21" s="165" t="str">
        <f>IFERROR(VLOOKUP(SUMIFS(MSOLICITADA!$I:$I,MSOLICITADA!$B:$B,$AE$2,MSOLICITADA!$F:$F,MENSAL!D21),CODIGOSPLACAS!$A$64:$B$89,2,FALSE),"")</f>
        <v>EVERTON</v>
      </c>
      <c r="F21" s="166" t="str">
        <f>IF(D21="","",VLOOKUP(D21,DATAS!$A$220:$C$260,3,FALSE))</f>
        <v>VOLVO FH 460</v>
      </c>
      <c r="G21" s="167" t="str">
        <f>IFERROR(VLOOKUP(SUMIFS(MSOLICITADA!$G:$G,MSOLICITADA!$F:$F,D21,MSOLICITADA!$C:$C,MONTH($AE$2),MSOLICITADA!$D:$D,YEAR($AE$2)),DATAS!$A$270:$B$274,2,FALSE),"")</f>
        <v>BI-CAÇAMBA</v>
      </c>
      <c r="H21" s="168">
        <f>IF(D21&lt;&gt;"",SUMIFS(MSOLICITADA!$H:$H,MSOLICITADA!$F:$F,D21,MSOLICITADA!$C:$C,MONTH($AE$2),MSOLICITADA!$D:$D,YEAR($AE$2)),"")</f>
        <v>1.9</v>
      </c>
      <c r="I21" s="169">
        <f t="shared" si="6"/>
        <v>1.9701972800245917</v>
      </c>
      <c r="J21" s="178">
        <f t="shared" si="7"/>
        <v>3.6945936855048316E-2</v>
      </c>
      <c r="K21" s="37">
        <f t="shared" si="8"/>
        <v>0.53276711754220407</v>
      </c>
      <c r="L21" s="167" t="str">
        <f>IF(D21&lt;&gt;"",IF(I21=0,"",IF(I21&lt;=SUMIFS(MSOLICITADA!$H:$H,MSOLICITADA!$F:$F,D21,MSOLICITADA!$C:$C,MONTH($AE$2),MSOLICITADA!$D:$D,YEAR($AE$2)),"Abaixo","OK")),"")</f>
        <v>OK</v>
      </c>
      <c r="M21" s="170">
        <f t="shared" si="9"/>
        <v>1102.2169273296272</v>
      </c>
      <c r="N21" s="170">
        <f t="shared" si="0"/>
        <v>551.1084636648136</v>
      </c>
      <c r="O21" s="171">
        <f>IF(D21&lt;&gt;"",SUMIFS(DIESEL!$K:$K,DIESEL!$D:$D,"="&amp;$AE$4,DIESEL!$F:$F,D21),"")</f>
        <v>29833.237999999994</v>
      </c>
      <c r="P21" s="172">
        <f>IF(D21&lt;&gt;"",SUMIFS(DIESEL!$J:$J,DIESEL!$D:$D,"="&amp;$AE$4,DIESEL!$F:$F,$D21),"")</f>
        <v>4840.6320000000005</v>
      </c>
      <c r="Q21" s="173">
        <f>IF(D21&lt;&gt;"",SUMIFS(DIESEL!$M:$M,DIESEL!$D:$D,"="&amp;$AE$4,DIESEL!$F:$F,D21)+SUMIFS(DIESEL!$N:$N,DIESEL!$D:$D,"="&amp;$AE$4,DIESEL!$F:$F,D21),"")</f>
        <v>9537</v>
      </c>
      <c r="R21" s="173">
        <f>IF(D21&lt;&gt;"",SUMIFS(DIESEL!$M:$M,DIESEL!$D:$D,"="&amp;$AE$4,DIESEL!$F:$F,D21),"")</f>
        <v>5081</v>
      </c>
      <c r="S21" s="173">
        <f>IF(D21&lt;&gt;"",SUMIFS(DIESEL!$N:$N,DIESEL!$D:$D,"="&amp;$AE$4,DIESEL!$F:$F,D21),"")</f>
        <v>4456</v>
      </c>
      <c r="T21" s="22">
        <f>IF(D21&lt;&gt;"",COUNTIFS(DIESEL!$F:$F,D21,DIESEL!$D:$D,"="&amp;$AE$4),"")</f>
        <v>14</v>
      </c>
      <c r="U21" s="22">
        <f>IF(D21&lt;&gt;"",IF(SUMIFS(DIESEL!$AK:$AK,DIESEL!$D:$D,"="&amp;$AE$4,DIESEL!$F:$F,D21)=0,0,SUMIFS(DIESEL!$AK:$AK,DIESEL!$D:$D,"="&amp;$AE$4,DIESEL!$F:$F,D21)),"")</f>
        <v>0</v>
      </c>
      <c r="V21" s="174">
        <f t="shared" si="1"/>
        <v>0</v>
      </c>
      <c r="W21" s="170">
        <f t="shared" si="2"/>
        <v>0</v>
      </c>
      <c r="X21" s="170">
        <f t="shared" si="3"/>
        <v>0</v>
      </c>
      <c r="Y21" s="164" t="str">
        <f t="shared" si="4"/>
        <v>OPM8J51</v>
      </c>
      <c r="Z21" s="163">
        <f>IF(D21&lt;&gt;"",IFERROR(SUMIFS(DIESEL!$J:$J,DIESEL!$D:$D,"="&amp;$AE$4,DIESEL!$F:$F,$D21,DIESEL!$L:$L,"I")/SUMIFS(DIESEL!$J:$J,DIESEL!$D:$D,"="&amp;$AE$4,DIESEL!$F:$F,$D21),0),"")</f>
        <v>4.1544162001986511E-2</v>
      </c>
      <c r="AA21" s="163">
        <f t="shared" si="5"/>
        <v>0.95845583799801348</v>
      </c>
      <c r="AB21" s="52"/>
      <c r="AC21" s="208" t="str">
        <f>IF(MONTH(_xlfn.MAXIFS(DIESEL!E:E,DIESEL!D:D,MENSAL!$AE$4,DIESEL!F:F,MENSAL!D21))=2,"","FALTA ABASTECER")</f>
        <v/>
      </c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</row>
    <row r="22" spans="1:42" x14ac:dyDescent="0.2">
      <c r="A22" s="3">
        <v>16</v>
      </c>
      <c r="B22" s="3">
        <f>SUMIFS(MSOLICITADA!A:A,MSOLICITADA!A:A,MENSAL!A22,MSOLICITADA!C:C,$AE$3,MSOLICITADA!D:D,$AF$3)</f>
        <v>0</v>
      </c>
      <c r="C22" s="3">
        <v>34</v>
      </c>
      <c r="D22" s="164" t="str">
        <f>IFERROR(VLOOKUP(C22,MSOLICITADA!$A:$H,6,FALSE),"")</f>
        <v>OQC0C33</v>
      </c>
      <c r="E22" s="165" t="str">
        <f>IFERROR(VLOOKUP(SUMIFS(MSOLICITADA!$I:$I,MSOLICITADA!$B:$B,$AE$2,MSOLICITADA!$F:$F,MENSAL!D22),CODIGOSPLACAS!$A$64:$B$89,2,FALSE),"")</f>
        <v>GUILHERME</v>
      </c>
      <c r="F22" s="166" t="str">
        <f>IF(D22="","",VLOOKUP(D22,DATAS!$A$220:$C$260,3,FALSE))</f>
        <v>VOLVO FH 460</v>
      </c>
      <c r="G22" s="167" t="str">
        <f>IFERROR(VLOOKUP(SUMIFS(MSOLICITADA!$G:$G,MSOLICITADA!$F:$F,D22,MSOLICITADA!$C:$C,MONTH($AE$2),MSOLICITADA!$D:$D,YEAR($AE$2)),DATAS!$A$270:$B$274,2,FALSE),"")</f>
        <v>BI-CAÇAMBA</v>
      </c>
      <c r="H22" s="168">
        <f>IF(D22&lt;&gt;"",SUMIFS(MSOLICITADA!$H:$H,MSOLICITADA!$F:$F,D22,MSOLICITADA!$C:$C,MONTH($AE$2),MSOLICITADA!$D:$D,YEAR($AE$2)),"")</f>
        <v>1.9</v>
      </c>
      <c r="I22" s="169">
        <f t="shared" si="6"/>
        <v>1.8671963699182104</v>
      </c>
      <c r="J22" s="178">
        <f t="shared" si="7"/>
        <v>-1.7265068464099764E-2</v>
      </c>
      <c r="K22" s="37">
        <f t="shared" si="8"/>
        <v>0.55316121162837972</v>
      </c>
      <c r="L22" s="167" t="str">
        <f>IF(D22&lt;&gt;"",IF(I22=0,"",IF(I22&lt;=SUMIFS(MSOLICITADA!$H:$H,MSOLICITADA!$F:$F,D22,MSOLICITADA!$C:$C,MONTH($AE$2),MSOLICITADA!$D:$D,YEAR($AE$2)),"Abaixo","OK")),"")</f>
        <v>Abaixo</v>
      </c>
      <c r="M22" s="170">
        <f t="shared" si="9"/>
        <v>-276.78964118083667</v>
      </c>
      <c r="N22" s="170">
        <f t="shared" si="0"/>
        <v>0</v>
      </c>
      <c r="O22" s="171">
        <f>IF(D22&lt;&gt;"",SUMIFS(DIESEL!$K:$K,DIESEL!$D:$D,"="&amp;$AE$4,DIESEL!$F:$F,D22),"")</f>
        <v>16031.772000000001</v>
      </c>
      <c r="P22" s="172">
        <f>IF(D22&lt;&gt;"",SUMIFS(DIESEL!$J:$J,DIESEL!$D:$D,"="&amp;$AE$4,DIESEL!$F:$F,$D22),"")</f>
        <v>2634.4309999999996</v>
      </c>
      <c r="Q22" s="173">
        <f>IF(D22&lt;&gt;"",SUMIFS(DIESEL!$M:$M,DIESEL!$D:$D,"="&amp;$AE$4,DIESEL!$F:$F,D22)+SUMIFS(DIESEL!$N:$N,DIESEL!$D:$D,"="&amp;$AE$4,DIESEL!$F:$F,D22),"")</f>
        <v>4919</v>
      </c>
      <c r="R22" s="173">
        <f>IF(D22&lt;&gt;"",SUMIFS(DIESEL!$M:$M,DIESEL!$D:$D,"="&amp;$AE$4,DIESEL!$F:$F,D22),"")</f>
        <v>2721</v>
      </c>
      <c r="S22" s="173">
        <f>IF(D22&lt;&gt;"",SUMIFS(DIESEL!$N:$N,DIESEL!$D:$D,"="&amp;$AE$4,DIESEL!$F:$F,D22),"")</f>
        <v>2198</v>
      </c>
      <c r="T22" s="22">
        <f>IF(D22&lt;&gt;"",COUNTIFS(DIESEL!$F:$F,D22,DIESEL!$D:$D,"="&amp;$AE$4),"")</f>
        <v>7</v>
      </c>
      <c r="U22" s="22">
        <f>IF(D22&lt;&gt;"",IF(SUMIFS(DIESEL!$AK:$AK,DIESEL!$D:$D,"="&amp;$AE$4,DIESEL!$F:$F,D22)=0,0,SUMIFS(DIESEL!$AK:$AK,DIESEL!$D:$D,"="&amp;$AE$4,DIESEL!$F:$F,D22)),"")</f>
        <v>0</v>
      </c>
      <c r="V22" s="174">
        <f t="shared" si="1"/>
        <v>0</v>
      </c>
      <c r="W22" s="170">
        <f t="shared" si="2"/>
        <v>0</v>
      </c>
      <c r="X22" s="170">
        <f t="shared" si="3"/>
        <v>0</v>
      </c>
      <c r="Y22" s="164" t="str">
        <f t="shared" si="4"/>
        <v>OQC0C33</v>
      </c>
      <c r="Z22" s="163">
        <f>IF(D22&lt;&gt;"",IFERROR(SUMIFS(DIESEL!$J:$J,DIESEL!$D:$D,"="&amp;$AE$4,DIESEL!$F:$F,$D22,DIESEL!$L:$L,"I")/SUMIFS(DIESEL!$J:$J,DIESEL!$D:$D,"="&amp;$AE$4,DIESEL!$F:$F,$D22),0),"")</f>
        <v>0.10567746887278506</v>
      </c>
      <c r="AA22" s="163">
        <f t="shared" si="5"/>
        <v>0.89432253112721494</v>
      </c>
      <c r="AB22" s="52"/>
      <c r="AC22" s="208" t="str">
        <f>IF(MONTH(_xlfn.MAXIFS(DIESEL!E:E,DIESEL!D:D,MENSAL!$AE$4,DIESEL!F:F,MENSAL!D22))=2,"","FALTA ABASTECER")</f>
        <v/>
      </c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</row>
    <row r="23" spans="1:42" x14ac:dyDescent="0.2">
      <c r="A23" s="3">
        <v>17</v>
      </c>
      <c r="B23" s="3">
        <f>SUMIFS(MSOLICITADA!A:A,MSOLICITADA!A:A,MENSAL!A23,MSOLICITADA!C:C,$AE$3,MSOLICITADA!D:D,$AF$3)</f>
        <v>0</v>
      </c>
      <c r="C23" s="3">
        <v>35</v>
      </c>
      <c r="D23" s="164" t="str">
        <f>IFERROR(VLOOKUP(C23,MSOLICITADA!$A:$H,6,FALSE),"")</f>
        <v>QXI8065</v>
      </c>
      <c r="E23" s="165" t="str">
        <f>IFERROR(VLOOKUP(SUMIFS(MSOLICITADA!$I:$I,MSOLICITADA!$B:$B,$AE$2,MSOLICITADA!$F:$F,MENSAL!D23),CODIGOSPLACAS!$A$64:$B$89,2,FALSE),"")</f>
        <v>TOINZINHO</v>
      </c>
      <c r="F23" s="166" t="str">
        <f>IF(D23="","",VLOOKUP(D23,DATAS!$A$220:$C$260,3,FALSE))</f>
        <v>ATEGO 3030</v>
      </c>
      <c r="G23" s="167" t="str">
        <f>IFERROR(VLOOKUP(SUMIFS(MSOLICITADA!$G:$G,MSOLICITADA!$F:$F,D23,MSOLICITADA!$C:$C,MONTH($AE$2),MSOLICITADA!$D:$D,YEAR($AE$2)),DATAS!$A$270:$B$274,2,FALSE),"")</f>
        <v>TRUCK 8X2</v>
      </c>
      <c r="H23" s="168">
        <f>IF(D23&lt;&gt;"",SUMIFS(MSOLICITADA!$H:$H,MSOLICITADA!$F:$F,D23,MSOLICITADA!$C:$C,MONTH($AE$2),MSOLICITADA!$D:$D,YEAR($AE$2)),"")</f>
        <v>2.5</v>
      </c>
      <c r="I23" s="169">
        <f t="shared" si="6"/>
        <v>2.1798103468971313</v>
      </c>
      <c r="J23" s="178">
        <f t="shared" si="7"/>
        <v>-0.1280758612411475</v>
      </c>
      <c r="K23" s="37">
        <f t="shared" si="8"/>
        <v>0.33535242290748901</v>
      </c>
      <c r="L23" s="167" t="str">
        <f>IF(D23&lt;&gt;"",IF(I23=0,"",IF(I23&lt;=SUMIFS(MSOLICITADA!$H:$H,MSOLICITADA!$F:$F,D23,MSOLICITADA!$C:$C,MONTH($AE$2),MSOLICITADA!$D:$D,YEAR($AE$2)),"Abaixo","OK")),"")</f>
        <v>Abaixo</v>
      </c>
      <c r="M23" s="170">
        <f t="shared" si="9"/>
        <v>-628.77896314968223</v>
      </c>
      <c r="N23" s="170">
        <f t="shared" si="0"/>
        <v>0</v>
      </c>
      <c r="O23" s="171">
        <f>IF(D23&lt;&gt;"",SUMIFS(DIESEL!$K:$K,DIESEL!$D:$D,"="&amp;$AE$4,DIESEL!$F:$F,D23),"")</f>
        <v>4909.4260000000004</v>
      </c>
      <c r="P23" s="172">
        <f>IF(D23&lt;&gt;"",SUMIFS(DIESEL!$J:$J,DIESEL!$D:$D,"="&amp;$AE$4,DIESEL!$F:$F,$D23),"")</f>
        <v>833.1</v>
      </c>
      <c r="Q23" s="173">
        <f>IF(D23&lt;&gt;"",SUMIFS(DIESEL!$M:$M,DIESEL!$D:$D,"="&amp;$AE$4,DIESEL!$F:$F,D23)+SUMIFS(DIESEL!$N:$N,DIESEL!$D:$D,"="&amp;$AE$4,DIESEL!$F:$F,D23),"")</f>
        <v>1816</v>
      </c>
      <c r="R23" s="173">
        <f>IF(D23&lt;&gt;"",SUMIFS(DIESEL!$M:$M,DIESEL!$D:$D,"="&amp;$AE$4,DIESEL!$F:$F,D23),"")</f>
        <v>609</v>
      </c>
      <c r="S23" s="173">
        <f>IF(D23&lt;&gt;"",SUMIFS(DIESEL!$N:$N,DIESEL!$D:$D,"="&amp;$AE$4,DIESEL!$F:$F,D23),"")</f>
        <v>1207</v>
      </c>
      <c r="T23" s="22">
        <f>IF(D23&lt;&gt;"",COUNTIFS(DIESEL!$F:$F,D23,DIESEL!$D:$D,"="&amp;$AE$4),"")</f>
        <v>5</v>
      </c>
      <c r="U23" s="22">
        <f>IF(D23&lt;&gt;"",IF(SUMIFS(DIESEL!$AK:$AK,DIESEL!$D:$D,"="&amp;$AE$4,DIESEL!$F:$F,D23)=0,0,SUMIFS(DIESEL!$AK:$AK,DIESEL!$D:$D,"="&amp;$AE$4,DIESEL!$F:$F,D23)),"")</f>
        <v>0</v>
      </c>
      <c r="V23" s="174">
        <f t="shared" si="1"/>
        <v>0</v>
      </c>
      <c r="W23" s="170">
        <f t="shared" si="2"/>
        <v>0</v>
      </c>
      <c r="X23" s="170">
        <f t="shared" si="3"/>
        <v>0</v>
      </c>
      <c r="Y23" s="164" t="str">
        <f t="shared" si="4"/>
        <v>QXI8065</v>
      </c>
      <c r="Z23" s="163">
        <f>IF(D23&lt;&gt;"",IFERROR(SUMIFS(DIESEL!$J:$J,DIESEL!$D:$D,"="&amp;$AE$4,DIESEL!$F:$F,$D23,DIESEL!$L:$L,"I")/SUMIFS(DIESEL!$J:$J,DIESEL!$D:$D,"="&amp;$AE$4,DIESEL!$F:$F,$D23),0),"")</f>
        <v>1</v>
      </c>
      <c r="AA23" s="163">
        <f t="shared" si="5"/>
        <v>0</v>
      </c>
      <c r="AB23" s="52"/>
      <c r="AC23" s="208" t="str">
        <f>IF(MONTH(_xlfn.MAXIFS(DIESEL!E:E,DIESEL!D:D,MENSAL!$AE$4,DIESEL!F:F,MENSAL!D23))=2,"","FALTA ABASTECER")</f>
        <v>FALTA ABASTECER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</row>
    <row r="24" spans="1:42" x14ac:dyDescent="0.2">
      <c r="A24" s="3">
        <v>18</v>
      </c>
      <c r="B24" s="3">
        <f>SUMIFS(MSOLICITADA!A:A,MSOLICITADA!A:A,MENSAL!A24,MSOLICITADA!C:C,$AE$3,MSOLICITADA!D:D,$AF$3)</f>
        <v>0</v>
      </c>
      <c r="C24" s="3">
        <v>36</v>
      </c>
      <c r="D24" s="164" t="str">
        <f>IFERROR(VLOOKUP(C24,MSOLICITADA!$A:$H,6,FALSE),"")</f>
        <v>QNP3A97</v>
      </c>
      <c r="E24" s="165" t="str">
        <f>IFERROR(VLOOKUP(SUMIFS(MSOLICITADA!$I:$I,MSOLICITADA!$B:$B,$AE$2,MSOLICITADA!$F:$F,MENSAL!D24),CODIGOSPLACAS!$A$64:$B$89,2,FALSE),"")</f>
        <v>JOEL</v>
      </c>
      <c r="F24" s="166" t="str">
        <f>IF(D24="","",VLOOKUP(D24,DATAS!$A$220:$C$260,3,FALSE))</f>
        <v>VOLVO VM 330</v>
      </c>
      <c r="G24" s="167" t="str">
        <f>IFERROR(VLOOKUP(SUMIFS(MSOLICITADA!$G:$G,MSOLICITADA!$F:$F,D24,MSOLICITADA!$C:$C,MONTH($AE$2),MSOLICITADA!$D:$D,YEAR($AE$2)),DATAS!$A$270:$B$274,2,FALSE),"")</f>
        <v>TRUCK 8X2</v>
      </c>
      <c r="H24" s="168">
        <f>IF(D24&lt;&gt;"",SUMIFS(MSOLICITADA!$H:$H,MSOLICITADA!$F:$F,D24,MSOLICITADA!$C:$C,MONTH($AE$2),MSOLICITADA!$D:$D,YEAR($AE$2)),"")</f>
        <v>2.5</v>
      </c>
      <c r="I24" s="169">
        <f t="shared" si="6"/>
        <v>1.5445311844203811</v>
      </c>
      <c r="J24" s="178">
        <f t="shared" si="7"/>
        <v>-0.3821875262318476</v>
      </c>
      <c r="K24" s="37">
        <f t="shared" si="8"/>
        <v>0.49891304347826088</v>
      </c>
      <c r="L24" s="167" t="str">
        <f>IF(D24&lt;&gt;"",IF(I24=0,"",IF(I24&lt;=SUMIFS(MSOLICITADA!$H:$H,MSOLICITADA!$F:$F,D24,MSOLICITADA!$C:$C,MONTH($AE$2),MSOLICITADA!$D:$D,YEAR($AE$2)),"Abaixo","OK")),"")</f>
        <v>Abaixo</v>
      </c>
      <c r="M24" s="170">
        <f>IF(D24&lt;&gt;"",IFERROR((((Q24-U24)/H24)-P24)*(O24/P24),0),"")</f>
        <v>-2655.0552159825397</v>
      </c>
      <c r="N24" s="170">
        <f t="shared" si="0"/>
        <v>0</v>
      </c>
      <c r="O24" s="171">
        <f>IF(D24&lt;&gt;"",SUMIFS(DIESEL!$K:$K,DIESEL!$D:$D,"="&amp;$AE$4,DIESEL!$F:$F,D24),"")</f>
        <v>6946.9959999999992</v>
      </c>
      <c r="P24" s="172">
        <f>IF(D24&lt;&gt;"",SUMIFS(DIESEL!$J:$J,DIESEL!$D:$D,"="&amp;$AE$4,DIESEL!$F:$F,$D24),"")</f>
        <v>1191.3</v>
      </c>
      <c r="Q24" s="173">
        <f>IF(D24&lt;&gt;"",SUMIFS(DIESEL!$M:$M,DIESEL!$D:$D,"="&amp;$AE$4,DIESEL!$F:$F,D24)+SUMIFS(DIESEL!$N:$N,DIESEL!$D:$D,"="&amp;$AE$4,DIESEL!$F:$F,D24),"")</f>
        <v>1840</v>
      </c>
      <c r="R24" s="173">
        <f>IF(D24&lt;&gt;"",SUMIFS(DIESEL!$M:$M,DIESEL!$D:$D,"="&amp;$AE$4,DIESEL!$F:$F,D24),"")</f>
        <v>918</v>
      </c>
      <c r="S24" s="173">
        <f>IF(D24&lt;&gt;"",SUMIFS(DIESEL!$N:$N,DIESEL!$D:$D,"="&amp;$AE$4,DIESEL!$F:$F,D24),"")</f>
        <v>922</v>
      </c>
      <c r="T24" s="22">
        <f>IF(D24&lt;&gt;"",COUNTIFS(DIESEL!$F:$F,D24,DIESEL!$D:$D,"="&amp;$AE$4),"")</f>
        <v>7</v>
      </c>
      <c r="U24" s="22">
        <f>IF(D24&lt;&gt;"",IF(SUMIFS(DIESEL!$AK:$AK,DIESEL!$D:$D,"="&amp;$AE$4,DIESEL!$F:$F,D24)=0,0,SUMIFS(DIESEL!$AK:$AK,DIESEL!$D:$D,"="&amp;$AE$4,DIESEL!$F:$F,D24)),"")</f>
        <v>0</v>
      </c>
      <c r="V24" s="174">
        <f t="shared" si="1"/>
        <v>0</v>
      </c>
      <c r="W24" s="170">
        <f t="shared" si="2"/>
        <v>0</v>
      </c>
      <c r="X24" s="170">
        <f t="shared" si="3"/>
        <v>0</v>
      </c>
      <c r="Y24" s="164" t="str">
        <f t="shared" si="4"/>
        <v>QNP3A97</v>
      </c>
      <c r="Z24" s="163">
        <f>IF(D24&lt;&gt;"",IFERROR(SUMIFS(DIESEL!$J:$J,DIESEL!$D:$D,"="&amp;$AE$4,DIESEL!$F:$F,$D24,DIESEL!$L:$L,"I")/SUMIFS(DIESEL!$J:$J,DIESEL!$D:$D,"="&amp;$AE$4,DIESEL!$F:$F,$D24),0),"")</f>
        <v>0.80659783429866538</v>
      </c>
      <c r="AA24" s="163">
        <f t="shared" si="5"/>
        <v>0.19340216570133462</v>
      </c>
      <c r="AB24" s="52"/>
      <c r="AC24" s="208" t="str">
        <f>IF(MONTH(_xlfn.MAXIFS(DIESEL!E:E,DIESEL!D:D,MENSAL!$AE$4,DIESEL!F:F,MENSAL!D24))=2,"","FALTA ABASTECER")</f>
        <v>FALTA ABASTECER</v>
      </c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</row>
    <row r="25" spans="1:42" x14ac:dyDescent="0.2">
      <c r="A25" s="3">
        <v>19</v>
      </c>
      <c r="B25" s="3">
        <f>SUMIFS(MSOLICITADA!A:A,MSOLICITADA!A:A,MENSAL!A25,MSOLICITADA!C:C,$AE$3,MSOLICITADA!D:D,$AF$3)</f>
        <v>0</v>
      </c>
      <c r="D25" s="164" t="str">
        <f>IFERROR(VLOOKUP(C25,MSOLICITADA!$A:$H,6,FALSE),"")</f>
        <v/>
      </c>
      <c r="E25" s="165" t="str">
        <f>IFERROR(VLOOKUP(SUMIFS(MSOLICITADA!$I:$I,MSOLICITADA!$B:$B,$AE$2,MSOLICITADA!$F:$F,MENSAL!D25),CODIGOSPLACAS!$A$64:$B$89,2,FALSE),"")</f>
        <v/>
      </c>
      <c r="F25" s="166" t="str">
        <f>IF(D25="","",VLOOKUP(D25,DATAS!$A$220:$C$260,3,FALSE))</f>
        <v/>
      </c>
      <c r="G25" s="167" t="str">
        <f>IFERROR(VLOOKUP(SUMIFS(MSOLICITADA!$G:$G,MSOLICITADA!$F:$F,D25,MSOLICITADA!$C:$C,MONTH($AE$2),MSOLICITADA!$D:$D,YEAR($AE$2)),DATAS!$A$270:$B$274,2,FALSE),"")</f>
        <v/>
      </c>
      <c r="H25" s="168" t="str">
        <f>IF(D25&lt;&gt;"",SUMIFS(MSOLICITADA!$H:$H,MSOLICITADA!$F:$F,D25,MSOLICITADA!$C:$C,MONTH($AE$2),MSOLICITADA!$D:$D,YEAR($AE$2)),"")</f>
        <v/>
      </c>
      <c r="I25" s="169" t="str">
        <f>IF(D25&lt;&gt;"",IFERROR(IF(U25&gt;0,U25,P25/O25),0),"")</f>
        <v/>
      </c>
      <c r="J25" s="178" t="str">
        <f t="shared" si="7"/>
        <v/>
      </c>
      <c r="K25" s="167" t="str">
        <f>IF(D25&lt;&gt;"",IF(I25=0,"",IF(I25&lt;=SUMIFS(MSOLICITADA!$H:$H,MSOLICITADA!$F:$F,D25,MSOLICITADA!$C:$C,MONTH($AE$2),MSOLICITADA!$D:$D,YEAR($AE$2)),"Abaixo","OK")),"")</f>
        <v/>
      </c>
      <c r="L25" s="170" t="str">
        <f>IF(D25&lt;&gt;"",IFERROR((((P25-#REF!)/H25)-O25)*(N25/O25),0),"")</f>
        <v/>
      </c>
      <c r="M25" s="170" t="str">
        <f t="shared" ref="M25:M27" si="10">IF(D25&lt;&gt;"",IF(L25&gt;0,L25*0.5,0),"")</f>
        <v/>
      </c>
      <c r="N25" s="171" t="str">
        <f>IF(D25&lt;&gt;"",SUMIFS(DIESEL!$K:$K,DIESEL!$D:$D,"="&amp;$AE$4,DIESEL!$F:$F,D25),"")</f>
        <v/>
      </c>
      <c r="O25" s="172" t="str">
        <f>IF(D25&lt;&gt;"",SUMIFS(DIESEL!$J:$J,DIESEL!$D:$D,"="&amp;$AE$4,DIESEL!$F:$F,$D25),"")</f>
        <v/>
      </c>
      <c r="P25" s="173" t="str">
        <f>IF(D25&lt;&gt;"",SUMIFS(DIESEL!$M:$M,DIESEL!$D:$D,"="&amp;$AE$4,DIESEL!$F:$F,D25)+SUMIFS(DIESEL!$N:$N,DIESEL!$D:$D,"="&amp;$AE$4,DIESEL!$F:$F,D25),"")</f>
        <v/>
      </c>
      <c r="Q25" s="173" t="str">
        <f>IF(D25&lt;&gt;"",SUMIFS(DIESEL!$M:$M,DIESEL!$D:$D,"="&amp;$AE$4,DIESEL!$F:$F,D25),"")</f>
        <v/>
      </c>
      <c r="R25" s="173" t="str">
        <f>IF(D25&lt;&gt;"",SUMIFS(DIESEL!$N:$N,DIESEL!$D:$D,"="&amp;$AE$4,DIESEL!$F:$F,D25),"")</f>
        <v/>
      </c>
      <c r="S25" s="22" t="str">
        <f>IF(D25&lt;&gt;"",COUNTIFS(DIESEL!$F:$F,D25,DIESEL!$D:$D,"="&amp;$AE$4),"")</f>
        <v/>
      </c>
      <c r="T25" s="37" t="str">
        <f t="shared" ref="T25:T27" si="11">IF(D25&lt;&gt;"",IFERROR(Q25/P25,0),"")</f>
        <v/>
      </c>
      <c r="U25" s="174" t="str">
        <f>IF(D25&lt;&gt;"",IF(#REF!&lt;&gt;0,(P25-#REF!)/(O25-(#REF!/5)),0),"")</f>
        <v/>
      </c>
      <c r="V25" s="170" t="str">
        <f>IF(D25&lt;&gt;"",IF(IF(#REF!&gt;0,L25,0)&lt;0,0,IF(#REF!&gt;0,L25,0)),"")</f>
        <v/>
      </c>
      <c r="W25" s="170" t="str">
        <f>IF(D25&lt;&gt;"",IFERROR(V25*0.5,0),"")</f>
        <v/>
      </c>
      <c r="X25" s="164" t="str">
        <f>D25</f>
        <v/>
      </c>
      <c r="Y25" s="163" t="str">
        <f>IF(D25&lt;&gt;"",IFERROR(SUMIFS(DIESEL!$J:$J,DIESEL!$D:$D,"="&amp;$AE$4,DIESEL!$F:$F,$D25,DIESEL!$L:$L,"I")/SUMIFS(DIESEL!$J:$J,DIESEL!$D:$D,"="&amp;$AE$4,DIESEL!$F:$F,$D25),0),"")</f>
        <v/>
      </c>
      <c r="Z25" s="163" t="str">
        <f>IF(D25&lt;&gt;"",1-Y25,"")</f>
        <v/>
      </c>
      <c r="AA25" s="52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</row>
    <row r="26" spans="1:42" x14ac:dyDescent="0.2">
      <c r="A26" s="3">
        <v>20</v>
      </c>
      <c r="B26" s="3">
        <f>SUMIFS(MSOLICITADA!A:A,MSOLICITADA!A:A,MENSAL!A26,MSOLICITADA!C:C,$AE$3,MSOLICITADA!D:D,$AF$3)</f>
        <v>0</v>
      </c>
      <c r="D26" s="164" t="str">
        <f>IFERROR(VLOOKUP(C26,MSOLICITADA!$A:$H,6,FALSE),"")</f>
        <v/>
      </c>
      <c r="E26" s="165" t="str">
        <f>IFERROR(VLOOKUP(SUMIFS(MSOLICITADA!$I:$I,MSOLICITADA!$B:$B,$AE$2,MSOLICITADA!$F:$F,MENSAL!D26),CODIGOSPLACAS!$A$64:$B$89,2,FALSE),"")</f>
        <v/>
      </c>
      <c r="F26" s="166" t="str">
        <f>IF(D26="","",VLOOKUP(D26,DATAS!$A$220:$C$260,3,FALSE))</f>
        <v/>
      </c>
      <c r="G26" s="167" t="str">
        <f>IFERROR(VLOOKUP(SUMIFS(MSOLICITADA!$G:$G,MSOLICITADA!$F:$F,D26,MSOLICITADA!$B:$B,"&gt;="&amp;$AE$2,MSOLICITADA!$B:$B,"&lt;="&amp;$AF$2),DATAS!$A$270:$B$274,2,FALSE),"")</f>
        <v/>
      </c>
      <c r="H26" s="168" t="str">
        <f>IF(D26&lt;&gt;"",SUMIFS(MSOLICITADA!$H:$H,MSOLICITADA!$F:$F,D26,MSOLICITADA!$C:$C,MONTH($AE$2),MSOLICITADA!$D:$D,YEAR($AE$2)),"")</f>
        <v/>
      </c>
      <c r="I26" s="169" t="str">
        <f>IF(D26&lt;&gt;"",IFERROR(IF(U26&gt;0,U26,P26/O26),0),"")</f>
        <v/>
      </c>
      <c r="J26" s="178" t="str">
        <f t="shared" si="7"/>
        <v/>
      </c>
      <c r="K26" s="167" t="str">
        <f>IF(D26&lt;&gt;"",IF(I26=0,"",IF(I26&lt;=SUMIFS(MSOLICITADA!$H:$H,MSOLICITADA!$F:$F,D26,MSOLICITADA!$C:$C,MONTH($AE$2),MSOLICITADA!$D:$D,YEAR($AE$2)),"Abaixo","OK")),"")</f>
        <v/>
      </c>
      <c r="L26" s="170" t="str">
        <f>IF(D26&lt;&gt;"",IFERROR((((P26-#REF!)/H26)-O26)*(N26/O26),0),"")</f>
        <v/>
      </c>
      <c r="M26" s="170" t="str">
        <f t="shared" si="10"/>
        <v/>
      </c>
      <c r="N26" s="171" t="str">
        <f>IF(D26&lt;&gt;"",SUMIFS(DIESEL!$K:$K,DIESEL!$D:$D,"="&amp;$AE$4,DIESEL!$F:$F,D26),"")</f>
        <v/>
      </c>
      <c r="O26" s="172" t="str">
        <f>IF(D26&lt;&gt;"",SUMIFS(DIESEL!$J:$J,DIESEL!$D:$D,"="&amp;$AE$4,DIESEL!$F:$F,$D26),"")</f>
        <v/>
      </c>
      <c r="P26" s="173" t="str">
        <f>IF(D26&lt;&gt;"",SUMIFS(DIESEL!$M:$M,DIESEL!$D:$D,"="&amp;$AE$4,DIESEL!$F:$F,D26)+SUMIFS(DIESEL!$N:$N,DIESEL!$D:$D,"="&amp;$AE$4,DIESEL!$F:$F,D26),"")</f>
        <v/>
      </c>
      <c r="Q26" s="173" t="str">
        <f>IF(D26&lt;&gt;"",SUMIFS(DIESEL!$M:$M,DIESEL!$D:$D,"="&amp;$AE$4,DIESEL!$F:$F,D26),"")</f>
        <v/>
      </c>
      <c r="R26" s="173" t="str">
        <f>IF(D26&lt;&gt;"",SUMIFS(DIESEL!$N:$N,DIESEL!$D:$D,"="&amp;$AE$4,DIESEL!$F:$F,D26),"")</f>
        <v/>
      </c>
      <c r="S26" s="22" t="str">
        <f>IF(D26&lt;&gt;"",COUNTIFS(DIESEL!$F:$F,D26,DIESEL!$D:$D,"="&amp;$AE$4),"")</f>
        <v/>
      </c>
      <c r="T26" s="37" t="str">
        <f t="shared" si="11"/>
        <v/>
      </c>
      <c r="U26" s="174" t="str">
        <f>IF(D26&lt;&gt;"",IF(#REF!&lt;&gt;0,(P26-#REF!)/(O26-(#REF!/5)),0),"")</f>
        <v/>
      </c>
      <c r="V26" s="170" t="str">
        <f>IF(D26&lt;&gt;"",IF(IF(#REF!&gt;0,L26,0)&lt;0,0,IF(#REF!&gt;0,L26,0)),"")</f>
        <v/>
      </c>
      <c r="W26" s="170" t="str">
        <f>IF(D26&lt;&gt;"",IFERROR(V26*0.5,0),"")</f>
        <v/>
      </c>
      <c r="X26" s="164" t="str">
        <f>D26</f>
        <v/>
      </c>
      <c r="Y26" s="163" t="str">
        <f>IF(D26&lt;&gt;"",IFERROR(SUMIFS(DIESEL!$J:$J,DIESEL!$D:$D,"="&amp;$AE$4,DIESEL!$F:$F,$D26,DIESEL!$L:$L,"I")/SUMIFS(DIESEL!$J:$J,DIESEL!$D:$D,"="&amp;$AE$4,DIESEL!$F:$F,$D26),0),"")</f>
        <v/>
      </c>
      <c r="Z26" s="163" t="str">
        <f>IF(D26&lt;&gt;"",1-Y26,"")</f>
        <v/>
      </c>
      <c r="AA26" s="52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</row>
    <row r="27" spans="1:42" x14ac:dyDescent="0.2">
      <c r="A27" s="3">
        <v>21</v>
      </c>
      <c r="B27" s="3">
        <f>SUMIFS(MSOLICITADA!A:A,MSOLICITADA!A:A,MENSAL!A27,MSOLICITADA!C:C,$AE$3,MSOLICITADA!D:D,$AF$3)</f>
        <v>0</v>
      </c>
      <c r="D27" s="164" t="str">
        <f>IFERROR(VLOOKUP(C27,MSOLICITADA!$A:$H,6,FALSE),"")</f>
        <v/>
      </c>
      <c r="E27" s="165" t="str">
        <f>IFERROR(VLOOKUP(SUMIFS(MSOLICITADA!$I:$I,MSOLICITADA!$B:$B,$AE$2,MSOLICITADA!$F:$F,MENSAL!D27),CODIGOSPLACAS!$A$64:$B$89,2,FALSE),"")</f>
        <v/>
      </c>
      <c r="F27" s="166" t="str">
        <f>IF(D27="","",VLOOKUP(D27,DATAS!$A$220:$C$260,3,FALSE))</f>
        <v/>
      </c>
      <c r="G27" s="167" t="str">
        <f>IFERROR(VLOOKUP(SUMIFS(MSOLICITADA!$G:$G,MSOLICITADA!$F:$F,D27,MSOLICITADA!$B:$B,"&gt;="&amp;$AE$2,MSOLICITADA!$B:$B,"&lt;="&amp;$AF$2),DATAS!$A$270:$B$274,2,FALSE),"")</f>
        <v/>
      </c>
      <c r="H27" s="168" t="str">
        <f>IF(D27&lt;&gt;"",SUMIFS(MSOLICITADA!$H:$H,MSOLICITADA!$F:$F,D27,MSOLICITADA!$C:$C,MONTH($AE$2),MSOLICITADA!$D:$D,YEAR($AE$2)),"")</f>
        <v/>
      </c>
      <c r="I27" s="169" t="str">
        <f>IF(D27&lt;&gt;"",IFERROR(IF(U27&gt;0,U27,P27/O27),0),"")</f>
        <v/>
      </c>
      <c r="J27" s="178" t="str">
        <f t="shared" si="7"/>
        <v/>
      </c>
      <c r="K27" s="167" t="str">
        <f>IF(D27&lt;&gt;"",IF(I27=0,"",IF(I27&lt;=SUMIFS(MSOLICITADA!$H:$H,MSOLICITADA!$F:$F,D27,MSOLICITADA!$C:$C,MONTH($AE$2),MSOLICITADA!$D:$D,YEAR($AE$2)),"Abaixo","OK")),"")</f>
        <v/>
      </c>
      <c r="L27" s="170" t="str">
        <f>IF(D27&lt;&gt;"",IFERROR((((P27-#REF!)/H27)-O27)*(N27/O27),0),"")</f>
        <v/>
      </c>
      <c r="M27" s="170" t="str">
        <f t="shared" si="10"/>
        <v/>
      </c>
      <c r="N27" s="171" t="str">
        <f>IF(D27&lt;&gt;"",SUMIFS(DIESEL!$K:$K,DIESEL!$D:$D,"="&amp;$AE$4,DIESEL!$F:$F,D27),"")</f>
        <v/>
      </c>
      <c r="O27" s="172" t="str">
        <f>IF(D27&lt;&gt;"",SUMIFS(DIESEL!$J:$J,DIESEL!$D:$D,"="&amp;$AE$4,DIESEL!$F:$F,$D27),"")</f>
        <v/>
      </c>
      <c r="P27" s="173" t="str">
        <f>IF(D27&lt;&gt;"",SUMIFS(DIESEL!$M:$M,DIESEL!$D:$D,"="&amp;$AE$4,DIESEL!$F:$F,D27)+SUMIFS(DIESEL!$N:$N,DIESEL!$D:$D,"="&amp;$AE$4,DIESEL!$F:$F,D27),"")</f>
        <v/>
      </c>
      <c r="Q27" s="173" t="str">
        <f>IF(D27&lt;&gt;"",SUMIFS(DIESEL!$M:$M,DIESEL!$D:$D,"="&amp;$AE$4,DIESEL!$F:$F,D27),"")</f>
        <v/>
      </c>
      <c r="R27" s="173" t="str">
        <f>IF(D27&lt;&gt;"",SUMIFS(DIESEL!$N:$N,DIESEL!$D:$D,"="&amp;$AE$4,DIESEL!$F:$F,D27),"")</f>
        <v/>
      </c>
      <c r="S27" s="22" t="str">
        <f>IF(D27&lt;&gt;"",COUNTIFS(DIESEL!$F:$F,D27,DIESEL!$D:$D,"="&amp;$AE$4),"")</f>
        <v/>
      </c>
      <c r="T27" s="37" t="str">
        <f t="shared" si="11"/>
        <v/>
      </c>
      <c r="U27" s="174" t="str">
        <f>IF(D27&lt;&gt;"",IF(#REF!&lt;&gt;0,(P27-#REF!)/(O27-(#REF!/5)),0),"")</f>
        <v/>
      </c>
      <c r="V27" s="170" t="str">
        <f>IF(D27&lt;&gt;"",IF(IF(#REF!&gt;0,L27,0)&lt;0,0,IF(#REF!&gt;0,L27,0)),"")</f>
        <v/>
      </c>
      <c r="W27" s="170" t="str">
        <f>IF(D27&lt;&gt;"",IFERROR(V27*0.5,0),"")</f>
        <v/>
      </c>
      <c r="X27" s="164" t="str">
        <f>D27</f>
        <v/>
      </c>
      <c r="Y27" s="163" t="str">
        <f>IF(D27&lt;&gt;"",IFERROR(SUMIFS(DIESEL!$J:$J,DIESEL!$D:$D,"="&amp;$AE$4,DIESEL!$F:$F,$D27,DIESEL!$L:$L,"I")/SUMIFS(DIESEL!$J:$J,DIESEL!$D:$D,"="&amp;$AE$4,DIESEL!$F:$F,$D27),0),"")</f>
        <v/>
      </c>
      <c r="Z27" s="163" t="str">
        <f>IF(D27&lt;&gt;"",1-Y27,"")</f>
        <v/>
      </c>
      <c r="AA27" s="52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</row>
    <row r="28" spans="1:42" hidden="1" x14ac:dyDescent="0.2">
      <c r="A28" s="3">
        <v>22</v>
      </c>
      <c r="B28" s="3">
        <f>SUMIFS(MSOLICITADA!A:A,MSOLICITADA!A:A,MENSAL!A28,MSOLICITADA!C:C,$AE$3,MSOLICITADA!D:D,$AF$3)</f>
        <v>0</v>
      </c>
      <c r="D28" s="151"/>
      <c r="E28" s="152" t="str">
        <f>IFERROR(VLOOKUP(SUMIFS(MSOLICITADA!$I:$I,MSOLICITADA!$B:$B,$AE$2,MSOLICITADA!$F:$F,MENSAL!D28),CODIGOSPLACAS!$A$64:$B$89,2,FALSE),"")</f>
        <v/>
      </c>
      <c r="F28" s="153" t="str">
        <f>IF(D28="","",VLOOKUP(D28,DATAS!$A$220:$C$260,3,FALSE))</f>
        <v/>
      </c>
      <c r="G28" s="154" t="str">
        <f>IFERROR(VLOOKUP(SUMIFS(MSOLICITADA!$G:$G,MSOLICITADA!$F:$F,D28,MSOLICITADA!$B:$B,"&gt;="&amp;$AE$2,MSOLICITADA!$B:$B,"&lt;="&amp;$AF$2),DATAS!$A$270:$B$274,2,FALSE),"")</f>
        <v/>
      </c>
      <c r="H28" s="155">
        <f>SUMIFS(MSOLICITADA!$H:$H,MSOLICITADA!$F:$F,D28,MSOLICITADA!$B:$B,"&gt;="&amp;$AE$2,MSOLICITADA!$B:$B,"&lt;="&amp;$AF$2)</f>
        <v>0</v>
      </c>
      <c r="I28" s="156">
        <f>IFERROR(IF(U28&gt;0,U28,P28/O28),0)</f>
        <v>0</v>
      </c>
      <c r="J28" s="178" t="str">
        <f t="shared" si="7"/>
        <v/>
      </c>
      <c r="K28" s="154" t="str">
        <f>IF(I28&lt;=SUMIFS(MSOLICITADA!$H:$H,MSOLICITADA!$F:$F,D28,MSOLICITADA!$B:$B,"&gt;="&amp;$AE$2,MSOLICITADA!$B:$B,"&lt;="&amp;$AF$2),"Abaixo","OK")</f>
        <v>Abaixo</v>
      </c>
      <c r="L28" s="157">
        <f>IFERROR((((S28-W28)/H28)-R28)*(P28/R28),0)</f>
        <v>0</v>
      </c>
      <c r="M28" s="157"/>
      <c r="N28" s="157">
        <f>IF(L28&gt;0,L28*0.5,0)</f>
        <v>0</v>
      </c>
      <c r="O28" s="158" t="e">
        <f>SUMIFS(#REF!,#REF!,"&gt;="&amp;$AE$2,#REF!,"&lt;="&amp;$AF$2,#REF!,D28)</f>
        <v>#REF!</v>
      </c>
      <c r="P28" s="173" t="str">
        <f>IF(D28&lt;&gt;"",SUMIFS(DIESEL!$M:$M,DIESEL!$D:$D,"="&amp;$AE$4,DIESEL!$F:$F,D28)+SUMIFS(DIESEL!$N:$N,DIESEL!$D:$D,"="&amp;$AE$4,DIESEL!$F:$F,D28),"")</f>
        <v/>
      </c>
      <c r="Q28" s="52" t="e">
        <f>IF(#REF!&gt;0,$O$7/#REF!,"")</f>
        <v>#REF!</v>
      </c>
      <c r="R28" s="159">
        <f>SUMIFS(DIESEL!$J:$J,DIESEL!$D:$D,"="&amp;$AE$4,DIESEL!$F:$F,$D28)</f>
        <v>0</v>
      </c>
      <c r="S28" s="160">
        <f>SUMIFS(DIESEL!$M:$M,DIESEL!$D:$D,"="&amp;$AE$4,DIESEL!$F:$F,D28)+SUMIFS(DIESEL!$N:$N,DIESEL!$D:$D,"="&amp;$AE$4,DIESEL!$F:$F,D28)</f>
        <v>0</v>
      </c>
      <c r="T28" s="160">
        <f>SUMIFS(DIESEL!$M:$M,DIESEL!$D:$D,"="&amp;$AE$4,DIESEL!$F:$F,D28)</f>
        <v>0</v>
      </c>
      <c r="U28" s="161" t="e">
        <f>IF(#REF!&lt;&gt;0,(P28-#REF!)/O28,0)</f>
        <v>#REF!</v>
      </c>
      <c r="V28" s="170" t="str">
        <f>IF(D28&lt;&gt;"",IF(IF(#REF!&gt;0,L28,0)&lt;0,0,IF(#REF!&gt;0,L28,0)),"")</f>
        <v/>
      </c>
      <c r="W28" s="162">
        <f>IF(SUMIFS(DIESEL!$AK:$AK,DIESEL!$D:$D,"="&amp;$AE$4,DIESEL!$F:$F,D28)=0,0,SUMIFS(DIESEL!$AK:$AK,DIESEL!$D:$D,"="&amp;$AE$4,DIESEL!$F:$F,D28))</f>
        <v>0</v>
      </c>
      <c r="X28" s="161">
        <f>IF(W28&gt;0,(S28-W28)/R28,0)</f>
        <v>0</v>
      </c>
      <c r="Y28" s="157">
        <f>IF(IF(W28&gt;0,L28,0)&lt;0,0,IF(W28&gt;0,L28,0))</f>
        <v>0</v>
      </c>
      <c r="Z28" s="163" t="str">
        <f>IF(D28&lt;&gt;"",1-Y28,"")</f>
        <v/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</row>
    <row r="29" spans="1:42" s="23" customFormat="1" x14ac:dyDescent="0.2">
      <c r="A29" s="3">
        <v>23</v>
      </c>
      <c r="B29" s="3">
        <f>SUMIFS(MSOLICITADA!A:A,MSOLICITADA!A:A,MENSAL!A29,MSOLICITADA!C:C,$AE$3,MSOLICITADA!D:D,$AF$3)</f>
        <v>23</v>
      </c>
      <c r="C29" s="3"/>
      <c r="D29" s="22"/>
      <c r="E29" s="22"/>
      <c r="F29" s="22"/>
      <c r="G29" s="22"/>
      <c r="H29" s="22"/>
      <c r="I29" s="34"/>
      <c r="J29" s="178" t="str">
        <f t="shared" si="7"/>
        <v/>
      </c>
      <c r="K29" s="34"/>
      <c r="L29" s="3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42" x14ac:dyDescent="0.2">
      <c r="A30" s="3">
        <v>24</v>
      </c>
      <c r="B30" s="3">
        <f>SUMIFS(MSOLICITADA!A:A,MSOLICITADA!A:A,MENSAL!A30,MSOLICITADA!C:C,$AE$3,MSOLICITADA!D:D,$AF$3)</f>
        <v>0</v>
      </c>
      <c r="D30" s="34"/>
      <c r="E30" s="34"/>
      <c r="F30" s="34"/>
      <c r="G30" s="34"/>
      <c r="H30" s="216" t="s">
        <v>36</v>
      </c>
      <c r="I30" s="217"/>
      <c r="J30" s="218"/>
      <c r="K30" s="222">
        <f>SUMIFS(M7:M28,M7:M28,"&lt;"&amp;0)</f>
        <v>-21276.680556335992</v>
      </c>
      <c r="L30" s="222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 spans="1:42" x14ac:dyDescent="0.2">
      <c r="A31" s="3">
        <v>25</v>
      </c>
      <c r="B31" s="3">
        <f>SUMIFS(MSOLICITADA!A:A,MSOLICITADA!A:A,MENSAL!A31,MSOLICITADA!C:C,$AE$3,MSOLICITADA!D:D,$AF$3)</f>
        <v>0</v>
      </c>
      <c r="D31" s="34"/>
      <c r="E31" s="34"/>
      <c r="F31" s="34"/>
      <c r="G31" s="34"/>
      <c r="H31" s="216" t="s">
        <v>37</v>
      </c>
      <c r="I31" s="217"/>
      <c r="J31" s="218"/>
      <c r="K31" s="222">
        <f>SUMIFS(M7:M28,M7:M28,"&gt;"&amp;0)</f>
        <v>11754.08482112005</v>
      </c>
      <c r="L31" s="222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</row>
    <row r="32" spans="1:42" x14ac:dyDescent="0.2">
      <c r="A32" s="3">
        <v>26</v>
      </c>
      <c r="B32" s="3">
        <f>SUMIFS(MSOLICITADA!A:A,MSOLICITADA!A:A,MENSAL!A32,MSOLICITADA!C:C,$AE$3,MSOLICITADA!D:D,$AF$3)</f>
        <v>0</v>
      </c>
      <c r="D32" s="34"/>
      <c r="E32" s="34"/>
      <c r="F32" s="34"/>
      <c r="G32" s="34"/>
      <c r="H32" s="216" t="s">
        <v>253</v>
      </c>
      <c r="I32" s="217"/>
      <c r="J32" s="218"/>
      <c r="K32" s="222">
        <f>K30+K31</f>
        <v>-9522.5957352159421</v>
      </c>
      <c r="L32" s="222"/>
      <c r="M32" s="34"/>
      <c r="N32" s="34"/>
      <c r="O32" s="34"/>
      <c r="P32" s="34"/>
      <c r="Q32" s="34"/>
      <c r="R32" s="34"/>
      <c r="S32" s="34"/>
      <c r="T32" s="34"/>
      <c r="U32" s="38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</row>
    <row r="33" spans="1:41" x14ac:dyDescent="0.2">
      <c r="A33" s="3">
        <v>27</v>
      </c>
      <c r="B33" s="3">
        <f>SUMIFS(MSOLICITADA!A:A,MSOLICITADA!A:A,MENSAL!A33,MSOLICITADA!C:C,$AE$3,MSOLICITADA!D:D,$AF$3)</f>
        <v>0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8"/>
      <c r="X33" s="38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</row>
    <row r="34" spans="1:41" x14ac:dyDescent="0.2">
      <c r="A34" s="3">
        <v>28</v>
      </c>
      <c r="B34" s="3">
        <f>SUMIFS(MSOLICITADA!A:A,MSOLICITADA!A:A,MENSAL!A34,MSOLICITADA!C:C,$AE$3,MSOLICITADA!D:D,$AF$3)</f>
        <v>0</v>
      </c>
      <c r="D34" s="34"/>
      <c r="E34" s="34"/>
      <c r="F34" s="34"/>
      <c r="G34" s="34"/>
      <c r="H34" s="34"/>
      <c r="I34" s="34"/>
      <c r="J34" s="34"/>
      <c r="K34" s="34"/>
      <c r="L34" s="49"/>
      <c r="M34" s="49"/>
      <c r="N34" s="34"/>
      <c r="O34" s="34"/>
      <c r="P34" s="34"/>
      <c r="Q34" s="34"/>
      <c r="R34" s="34"/>
      <c r="S34" s="34"/>
      <c r="T34" s="34"/>
      <c r="U34" s="34"/>
      <c r="V34" s="34"/>
      <c r="W34" s="38"/>
      <c r="X34" s="38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</row>
    <row r="35" spans="1:41" x14ac:dyDescent="0.2">
      <c r="A35" s="3">
        <v>29</v>
      </c>
      <c r="B35" s="3">
        <f>SUMIFS(MSOLICITADA!A:A,MSOLICITADA!A:A,MENSAL!A35,MSOLICITADA!C:C,$AE$3,MSOLICITADA!D:D,$AF$3)</f>
        <v>0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8"/>
      <c r="X35" s="38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</row>
    <row r="36" spans="1:41" x14ac:dyDescent="0.2">
      <c r="A36" s="3">
        <v>30</v>
      </c>
      <c r="B36" s="3">
        <f>SUMIFS(MSOLICITADA!A:A,MSOLICITADA!A:A,MENSAL!A36,MSOLICITADA!C:C,$AE$3,MSOLICITADA!D:D,$AF$3)</f>
        <v>30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8"/>
      <c r="X36" s="38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</row>
    <row r="37" spans="1:41" x14ac:dyDescent="0.2">
      <c r="A37" s="3">
        <v>31</v>
      </c>
      <c r="B37" s="3">
        <f>SUMIFS(MSOLICITADA!A:A,MSOLICITADA!A:A,MENSAL!A37,MSOLICITADA!C:C,$AE$3,MSOLICITADA!D:D,$AF$3)</f>
        <v>31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8"/>
      <c r="X37" s="38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</row>
    <row r="38" spans="1:41" x14ac:dyDescent="0.2">
      <c r="A38" s="3">
        <v>32</v>
      </c>
      <c r="B38" s="3">
        <f>SUMIFS(MSOLICITADA!A:A,MSOLICITADA!A:A,MENSAL!A38,MSOLICITADA!C:C,$AE$3,MSOLICITADA!D:D,$AF$3)</f>
        <v>32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8"/>
      <c r="X38" s="38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</row>
    <row r="39" spans="1:41" ht="12" customHeight="1" x14ac:dyDescent="0.2">
      <c r="A39" s="3">
        <v>33</v>
      </c>
      <c r="B39" s="3">
        <f>SUMIFS(MSOLICITADA!A:A,MSOLICITADA!A:A,MENSAL!A39,MSOLICITADA!C:C,$AE$3,MSOLICITADA!D:D,$AF$3)</f>
        <v>33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8"/>
      <c r="X39" s="38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</row>
    <row r="40" spans="1:41" ht="12" customHeight="1" x14ac:dyDescent="0.2">
      <c r="A40" s="3">
        <v>34</v>
      </c>
      <c r="B40" s="3">
        <f>SUMIFS(MSOLICITADA!A:A,MSOLICITADA!A:A,MENSAL!A40,MSOLICITADA!C:C,$AE$3,MSOLICITADA!D:D,$AF$3)</f>
        <v>34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8"/>
      <c r="X40" s="38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</row>
    <row r="41" spans="1:41" ht="12" customHeight="1" x14ac:dyDescent="0.2">
      <c r="A41" s="3">
        <v>35</v>
      </c>
      <c r="B41" s="3">
        <f>SUMIFS(MSOLICITADA!A:A,MSOLICITADA!A:A,MENSAL!A41,MSOLICITADA!C:C,$AE$3,MSOLICITADA!D:D,$AF$3)</f>
        <v>35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8"/>
      <c r="X41" s="38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</row>
    <row r="42" spans="1:41" x14ac:dyDescent="0.2">
      <c r="A42" s="3">
        <v>36</v>
      </c>
      <c r="B42" s="3">
        <f>SUMIFS(MSOLICITADA!A:A,MSOLICITADA!A:A,MENSAL!A42,MSOLICITADA!C:C,$AE$3,MSOLICITADA!D:D,$AF$3)</f>
        <v>36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8"/>
      <c r="X42" s="38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</row>
    <row r="43" spans="1:41" x14ac:dyDescent="0.2">
      <c r="A43" s="3">
        <v>37</v>
      </c>
      <c r="B43" s="3">
        <f>SUMIFS(MSOLICITADA!A:A,MSOLICITADA!A:A,MENSAL!A43,MSOLICITADA!C:C,$AE$3,MSOLICITADA!D:D,$AF$3)</f>
        <v>0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8"/>
      <c r="X43" s="38"/>
      <c r="Y43" s="34"/>
      <c r="Z43" s="34"/>
      <c r="AA43" s="34"/>
      <c r="AB43" s="34"/>
      <c r="AC43" s="34"/>
      <c r="AD43" s="34"/>
      <c r="AE43" s="34"/>
      <c r="AF43" s="34"/>
      <c r="AG43" s="34"/>
    </row>
    <row r="44" spans="1:41" x14ac:dyDescent="0.2">
      <c r="A44" s="3">
        <v>38</v>
      </c>
      <c r="B44" s="3">
        <f>SUMIFS(MSOLICITADA!A:A,MSOLICITADA!A:A,MENSAL!A44,MSOLICITADA!C:C,$AE$3,MSOLICITADA!D:D,$AF$3)</f>
        <v>0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8"/>
      <c r="X44" s="38"/>
      <c r="Y44" s="34"/>
      <c r="Z44" s="34"/>
      <c r="AA44" s="34"/>
      <c r="AB44" s="34"/>
      <c r="AC44" s="34"/>
      <c r="AD44" s="34"/>
      <c r="AE44" s="34"/>
      <c r="AF44" s="34"/>
      <c r="AG44" s="34"/>
    </row>
    <row r="45" spans="1:41" x14ac:dyDescent="0.2">
      <c r="A45" s="3">
        <v>39</v>
      </c>
      <c r="B45" s="3">
        <f>SUMIFS(MSOLICITADA!A:A,MSOLICITADA!A:A,MENSAL!A45,MSOLICITADA!C:C,$AE$3,MSOLICITADA!D:D,$AF$3)</f>
        <v>0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8"/>
      <c r="X45" s="38"/>
      <c r="Y45" s="34"/>
      <c r="Z45" s="34"/>
      <c r="AA45" s="34"/>
      <c r="AB45" s="34"/>
      <c r="AC45" s="34"/>
      <c r="AD45" s="34"/>
      <c r="AE45" s="34"/>
      <c r="AF45" s="34"/>
      <c r="AG45" s="34"/>
    </row>
    <row r="46" spans="1:41" x14ac:dyDescent="0.2">
      <c r="A46" s="3">
        <v>40</v>
      </c>
      <c r="B46" s="3">
        <f>SUMIFS(MSOLICITADA!A:A,MSOLICITADA!A:A,MENSAL!A46,MSOLICITADA!C:C,$AE$3,MSOLICITADA!D:D,$AF$3)</f>
        <v>0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8"/>
      <c r="X46" s="38"/>
      <c r="Y46" s="34"/>
      <c r="Z46" s="34"/>
      <c r="AA46" s="34"/>
      <c r="AB46" s="34"/>
      <c r="AC46" s="34"/>
      <c r="AD46" s="34"/>
    </row>
    <row r="47" spans="1:41" x14ac:dyDescent="0.2">
      <c r="A47" s="3">
        <v>41</v>
      </c>
      <c r="B47" s="3">
        <f>SUMIFS(MSOLICITADA!A:A,MSOLICITADA!A:A,MENSAL!A47,MSOLICITADA!C:C,$AE$3,MSOLICITADA!D:D,$AF$3)</f>
        <v>0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8"/>
      <c r="X47" s="38"/>
      <c r="Y47" s="34"/>
      <c r="Z47" s="34"/>
      <c r="AA47" s="34"/>
      <c r="AB47" s="34"/>
      <c r="AC47" s="34"/>
      <c r="AD47" s="34"/>
    </row>
    <row r="48" spans="1:41" x14ac:dyDescent="0.2">
      <c r="A48" s="3">
        <v>42</v>
      </c>
      <c r="B48" s="3">
        <f>SUMIFS(MSOLICITADA!A:A,MSOLICITADA!A:A,MENSAL!A48,MSOLICITADA!C:C,$AE$3,MSOLICITADA!D:D,$AF$3)</f>
        <v>0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8"/>
      <c r="X48" s="38"/>
      <c r="Y48" s="34"/>
      <c r="Z48" s="34"/>
      <c r="AA48" s="34"/>
      <c r="AB48" s="34"/>
      <c r="AC48" s="34"/>
      <c r="AD48" s="34"/>
    </row>
    <row r="49" spans="4:30" x14ac:dyDescent="0.2"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8"/>
      <c r="X49" s="38"/>
      <c r="Y49" s="34"/>
      <c r="Z49" s="34"/>
      <c r="AA49" s="34"/>
      <c r="AB49" s="34"/>
      <c r="AC49" s="34"/>
      <c r="AD49" s="34"/>
    </row>
    <row r="50" spans="4:30" x14ac:dyDescent="0.2"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8"/>
      <c r="X50" s="38"/>
      <c r="Y50" s="34"/>
      <c r="Z50" s="34"/>
      <c r="AA50" s="34"/>
      <c r="AB50" s="34"/>
      <c r="AC50" s="34"/>
      <c r="AD50" s="34"/>
    </row>
    <row r="51" spans="4:30" x14ac:dyDescent="0.2"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8"/>
      <c r="X51" s="38"/>
      <c r="Y51" s="34"/>
      <c r="Z51" s="34"/>
      <c r="AA51" s="34"/>
      <c r="AB51" s="34"/>
      <c r="AC51" s="34"/>
      <c r="AD51" s="34"/>
    </row>
    <row r="52" spans="4:30" x14ac:dyDescent="0.2"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8"/>
      <c r="X52" s="38"/>
      <c r="Y52" s="34"/>
      <c r="Z52" s="34"/>
      <c r="AA52" s="34"/>
      <c r="AB52" s="34"/>
      <c r="AC52" s="34"/>
      <c r="AD52" s="34"/>
    </row>
    <row r="53" spans="4:30" x14ac:dyDescent="0.2"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8"/>
      <c r="X53" s="38"/>
      <c r="Y53" s="34"/>
      <c r="Z53" s="34"/>
      <c r="AA53" s="34"/>
      <c r="AB53" s="34"/>
      <c r="AC53" s="34"/>
      <c r="AD53" s="34"/>
    </row>
    <row r="54" spans="4:30" x14ac:dyDescent="0.2"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8"/>
      <c r="X54" s="38"/>
      <c r="Y54" s="34"/>
      <c r="Z54" s="34"/>
      <c r="AA54" s="34"/>
      <c r="AB54" s="34"/>
      <c r="AC54" s="34"/>
      <c r="AD54" s="34"/>
    </row>
    <row r="55" spans="4:30" x14ac:dyDescent="0.2"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8"/>
      <c r="X55" s="38"/>
      <c r="Y55" s="34"/>
      <c r="Z55" s="34"/>
      <c r="AA55" s="34"/>
      <c r="AB55" s="34"/>
      <c r="AC55" s="34"/>
      <c r="AD55" s="34"/>
    </row>
  </sheetData>
  <sheetProtection selectLockedCells="1"/>
  <mergeCells count="9">
    <mergeCell ref="H31:J31"/>
    <mergeCell ref="H32:J32"/>
    <mergeCell ref="O3:R3"/>
    <mergeCell ref="I1:L1"/>
    <mergeCell ref="I2:L2"/>
    <mergeCell ref="H30:J30"/>
    <mergeCell ref="K30:L30"/>
    <mergeCell ref="K31:L31"/>
    <mergeCell ref="K32:L32"/>
  </mergeCells>
  <phoneticPr fontId="4" type="noConversion"/>
  <conditionalFormatting sqref="K25:K28 L7:L24">
    <cfRule type="cellIs" dxfId="51" priority="90" operator="equal">
      <formula>"OK"</formula>
    </cfRule>
    <cfRule type="cellIs" dxfId="50" priority="91" operator="equal">
      <formula>"Abaixo"</formula>
    </cfRule>
  </conditionalFormatting>
  <conditionalFormatting sqref="K32">
    <cfRule type="cellIs" dxfId="49" priority="62" operator="lessThan">
      <formula>0</formula>
    </cfRule>
    <cfRule type="cellIs" dxfId="48" priority="63" operator="greaterThan">
      <formula>0</formula>
    </cfRule>
  </conditionalFormatting>
  <conditionalFormatting sqref="L25:L27 M7:M24">
    <cfRule type="cellIs" dxfId="47" priority="20" operator="greaterThan">
      <formula>0</formula>
    </cfRule>
    <cfRule type="cellIs" dxfId="46" priority="21" operator="lessThan">
      <formula>0</formula>
    </cfRule>
  </conditionalFormatting>
  <conditionalFormatting sqref="O28">
    <cfRule type="top10" dxfId="45" priority="137" rank="4"/>
  </conditionalFormatting>
  <conditionalFormatting sqref="O3:R3">
    <cfRule type="containsText" dxfId="44" priority="36" operator="containsText" text="VALORES">
      <formula>NOT(ISERROR(SEARCH("VALORES",O3)))</formula>
    </cfRule>
  </conditionalFormatting>
  <conditionalFormatting sqref="I7:I28">
    <cfRule type="cellIs" dxfId="43" priority="16" operator="greaterThan">
      <formula>$H7</formula>
    </cfRule>
    <cfRule type="cellIs" dxfId="42" priority="17" operator="lessThan">
      <formula>$H7</formula>
    </cfRule>
  </conditionalFormatting>
  <conditionalFormatting sqref="J8:J29 P25:P28 V25:V28 W25:Y27 Z25:Z28 D25:O27 Q25:U27 D7:AA24">
    <cfRule type="cellIs" dxfId="41" priority="3" operator="notEqual">
      <formula>""</formula>
    </cfRule>
    <cfRule type="cellIs" dxfId="40" priority="8" operator="equal">
      <formula>""</formula>
    </cfRule>
  </conditionalFormatting>
  <conditionalFormatting sqref="K30">
    <cfRule type="cellIs" dxfId="39" priority="14" operator="lessThan">
      <formula>0</formula>
    </cfRule>
  </conditionalFormatting>
  <conditionalFormatting sqref="K31">
    <cfRule type="cellIs" dxfId="38" priority="13" operator="greaterThan">
      <formula>0</formula>
    </cfRule>
  </conditionalFormatting>
  <conditionalFormatting sqref="AE4">
    <cfRule type="cellIs" dxfId="37" priority="12" operator="equal">
      <formula>0</formula>
    </cfRule>
  </conditionalFormatting>
  <conditionalFormatting sqref="J7:J29 K7:K24">
    <cfRule type="top10" dxfId="36" priority="4" bottom="1" rank="6"/>
  </conditionalFormatting>
  <conditionalFormatting sqref="U7:X23">
    <cfRule type="cellIs" dxfId="35" priority="2" operator="greaterThan">
      <formula>0</formula>
    </cfRule>
  </conditionalFormatting>
  <conditionalFormatting sqref="J7:J24">
    <cfRule type="top10" dxfId="34" priority="1" rank="2"/>
  </conditionalFormatting>
  <pageMargins left="0.25" right="0.25" top="0.75" bottom="0.75" header="0.3" footer="0.3"/>
  <pageSetup paperSize="9" scale="2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20811D-C0F1-496D-AA2C-7AA381BEE959}">
          <x14:formula1>
            <xm:f>DATAS!$A$1:$A$132</xm:f>
          </x14:formula1>
          <xm:sqref>I2:J2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9760-8B88-4CA2-B285-2132E576500F}">
  <sheetPr codeName="Planilha6"/>
  <dimension ref="A1:L354"/>
  <sheetViews>
    <sheetView topLeftCell="A221" workbookViewId="0">
      <selection activeCell="F247" sqref="F247"/>
    </sheetView>
  </sheetViews>
  <sheetFormatPr defaultRowHeight="15" x14ac:dyDescent="0.25"/>
  <cols>
    <col min="1" max="1" width="17.42578125" customWidth="1"/>
    <col min="2" max="2" width="39.140625" style="13" bestFit="1" customWidth="1"/>
    <col min="3" max="3" width="15.85546875" style="13" bestFit="1" customWidth="1"/>
    <col min="4" max="4" width="11.7109375" bestFit="1" customWidth="1"/>
    <col min="6" max="6" width="3.5703125" customWidth="1"/>
    <col min="11" max="11" width="5" bestFit="1" customWidth="1"/>
    <col min="12" max="12" width="10.7109375" style="2" bestFit="1" customWidth="1"/>
  </cols>
  <sheetData>
    <row r="1" spans="1:11" x14ac:dyDescent="0.25">
      <c r="A1" s="1" t="str">
        <f t="shared" ref="A1:A35" si="0">CONCATENATE(TEXT(B1,"MMMM")," de ",TEXT(B1,"AAAA"))</f>
        <v>janeiro de 2015</v>
      </c>
      <c r="B1" s="13">
        <v>42005</v>
      </c>
      <c r="C1" s="13">
        <v>42035.999305555553</v>
      </c>
      <c r="K1">
        <v>2015</v>
      </c>
    </row>
    <row r="2" spans="1:11" x14ac:dyDescent="0.25">
      <c r="A2" s="1" t="str">
        <f t="shared" si="0"/>
        <v>fevereiro de 2015</v>
      </c>
      <c r="B2" s="13">
        <v>42036</v>
      </c>
      <c r="C2" s="13">
        <v>42063.999305555553</v>
      </c>
      <c r="K2">
        <v>2016</v>
      </c>
    </row>
    <row r="3" spans="1:11" x14ac:dyDescent="0.25">
      <c r="A3" s="1" t="str">
        <f t="shared" si="0"/>
        <v>março de 2015</v>
      </c>
      <c r="B3" s="13">
        <v>42064</v>
      </c>
      <c r="C3" s="13">
        <v>42094.999305555553</v>
      </c>
      <c r="K3">
        <v>2017</v>
      </c>
    </row>
    <row r="4" spans="1:11" x14ac:dyDescent="0.25">
      <c r="A4" s="1" t="str">
        <f t="shared" si="0"/>
        <v>abril de 2015</v>
      </c>
      <c r="B4" s="13">
        <v>42095</v>
      </c>
      <c r="C4" s="13">
        <v>42124.999305555553</v>
      </c>
      <c r="K4">
        <v>2018</v>
      </c>
    </row>
    <row r="5" spans="1:11" x14ac:dyDescent="0.25">
      <c r="A5" s="1" t="str">
        <f t="shared" si="0"/>
        <v>maio de 2015</v>
      </c>
      <c r="B5" s="13">
        <v>42125</v>
      </c>
      <c r="C5" s="13">
        <v>42155.999305555553</v>
      </c>
      <c r="K5">
        <v>2019</v>
      </c>
    </row>
    <row r="6" spans="1:11" x14ac:dyDescent="0.25">
      <c r="A6" s="1" t="str">
        <f t="shared" si="0"/>
        <v>junho de 2015</v>
      </c>
      <c r="B6" s="13">
        <v>42156</v>
      </c>
      <c r="C6" s="13">
        <v>42185.999305555553</v>
      </c>
      <c r="K6">
        <v>2020</v>
      </c>
    </row>
    <row r="7" spans="1:11" x14ac:dyDescent="0.25">
      <c r="A7" s="1" t="str">
        <f t="shared" si="0"/>
        <v>julho de 2015</v>
      </c>
      <c r="B7" s="13">
        <v>42186</v>
      </c>
      <c r="C7" s="13">
        <v>42216.999305555553</v>
      </c>
      <c r="K7">
        <v>2021</v>
      </c>
    </row>
    <row r="8" spans="1:11" x14ac:dyDescent="0.25">
      <c r="A8" s="1" t="str">
        <f t="shared" si="0"/>
        <v>agosto de 2015</v>
      </c>
      <c r="B8" s="13">
        <v>42217</v>
      </c>
      <c r="C8" s="13">
        <v>42247.999305555553</v>
      </c>
      <c r="K8">
        <v>2022</v>
      </c>
    </row>
    <row r="9" spans="1:11" x14ac:dyDescent="0.25">
      <c r="A9" s="1" t="str">
        <f t="shared" si="0"/>
        <v>setembro de 2015</v>
      </c>
      <c r="B9" s="13">
        <v>42248</v>
      </c>
      <c r="C9" s="13">
        <v>42277.999305555553</v>
      </c>
      <c r="K9">
        <v>2023</v>
      </c>
    </row>
    <row r="10" spans="1:11" x14ac:dyDescent="0.25">
      <c r="A10" s="1" t="str">
        <f t="shared" si="0"/>
        <v>outubro de 2015</v>
      </c>
      <c r="B10" s="13">
        <v>42278</v>
      </c>
      <c r="C10" s="13">
        <v>42308.999305555553</v>
      </c>
      <c r="K10">
        <v>2024</v>
      </c>
    </row>
    <row r="11" spans="1:11" x14ac:dyDescent="0.25">
      <c r="A11" s="1" t="str">
        <f t="shared" si="0"/>
        <v>novembro de 2015</v>
      </c>
      <c r="B11" s="13">
        <v>42309</v>
      </c>
      <c r="C11" s="13">
        <v>42338.999305555553</v>
      </c>
      <c r="K11">
        <v>2025</v>
      </c>
    </row>
    <row r="12" spans="1:11" x14ac:dyDescent="0.25">
      <c r="A12" s="1" t="str">
        <f t="shared" si="0"/>
        <v>dezembro de 2015</v>
      </c>
      <c r="B12" s="13">
        <v>42339</v>
      </c>
      <c r="C12" s="13">
        <v>42369.999305555553</v>
      </c>
      <c r="K12">
        <v>2026</v>
      </c>
    </row>
    <row r="13" spans="1:11" x14ac:dyDescent="0.25">
      <c r="A13" s="1" t="str">
        <f t="shared" si="0"/>
        <v>janeiro de 2016</v>
      </c>
      <c r="B13" s="13">
        <v>42370</v>
      </c>
      <c r="C13" s="13">
        <v>42400.999305555553</v>
      </c>
      <c r="K13">
        <v>2027</v>
      </c>
    </row>
    <row r="14" spans="1:11" x14ac:dyDescent="0.25">
      <c r="A14" s="1" t="str">
        <f t="shared" si="0"/>
        <v>fevereiro de 2016</v>
      </c>
      <c r="B14" s="13">
        <v>42401</v>
      </c>
      <c r="C14" s="13">
        <v>42429.999305555553</v>
      </c>
      <c r="K14">
        <v>2028</v>
      </c>
    </row>
    <row r="15" spans="1:11" x14ac:dyDescent="0.25">
      <c r="A15" s="1" t="str">
        <f t="shared" si="0"/>
        <v>março de 2016</v>
      </c>
      <c r="B15" s="13">
        <v>42430</v>
      </c>
      <c r="C15" s="13">
        <v>42460.999305555553</v>
      </c>
      <c r="K15">
        <v>2029</v>
      </c>
    </row>
    <row r="16" spans="1:11" x14ac:dyDescent="0.25">
      <c r="A16" s="1" t="str">
        <f t="shared" si="0"/>
        <v>abril de 2016</v>
      </c>
      <c r="B16" s="13">
        <v>42461</v>
      </c>
      <c r="C16" s="13">
        <v>42490.999305555553</v>
      </c>
      <c r="K16">
        <v>2030</v>
      </c>
    </row>
    <row r="17" spans="1:11" x14ac:dyDescent="0.25">
      <c r="A17" s="1" t="str">
        <f t="shared" si="0"/>
        <v>maio de 2016</v>
      </c>
      <c r="B17" s="13">
        <v>42491</v>
      </c>
      <c r="C17" s="13">
        <v>42521.999305555553</v>
      </c>
      <c r="K17">
        <v>2031</v>
      </c>
    </row>
    <row r="18" spans="1:11" x14ac:dyDescent="0.25">
      <c r="A18" s="1" t="str">
        <f t="shared" si="0"/>
        <v>junho de 2016</v>
      </c>
      <c r="B18" s="13">
        <v>42522</v>
      </c>
      <c r="C18" s="13">
        <v>42551.999305555553</v>
      </c>
    </row>
    <row r="19" spans="1:11" x14ac:dyDescent="0.25">
      <c r="A19" s="1" t="str">
        <f t="shared" si="0"/>
        <v>julho de 2016</v>
      </c>
      <c r="B19" s="13">
        <v>42552</v>
      </c>
      <c r="C19" s="13">
        <v>42582.999305555553</v>
      </c>
    </row>
    <row r="20" spans="1:11" x14ac:dyDescent="0.25">
      <c r="A20" s="1" t="str">
        <f t="shared" si="0"/>
        <v>agosto de 2016</v>
      </c>
      <c r="B20" s="13">
        <v>42583</v>
      </c>
      <c r="C20" s="13">
        <v>42613.999305555553</v>
      </c>
    </row>
    <row r="21" spans="1:11" x14ac:dyDescent="0.25">
      <c r="A21" s="1" t="str">
        <f t="shared" si="0"/>
        <v>setembro de 2016</v>
      </c>
      <c r="B21" s="13">
        <v>42614</v>
      </c>
      <c r="C21" s="13">
        <v>42643.999305555553</v>
      </c>
    </row>
    <row r="22" spans="1:11" x14ac:dyDescent="0.25">
      <c r="A22" s="1" t="str">
        <f t="shared" si="0"/>
        <v>outubro de 2016</v>
      </c>
      <c r="B22" s="13">
        <v>42644</v>
      </c>
      <c r="C22" s="13">
        <v>42674.999305555553</v>
      </c>
    </row>
    <row r="23" spans="1:11" x14ac:dyDescent="0.25">
      <c r="A23" s="1" t="str">
        <f t="shared" si="0"/>
        <v>novembro de 2016</v>
      </c>
      <c r="B23" s="13">
        <v>42675</v>
      </c>
      <c r="C23" s="13">
        <v>42704.999305555553</v>
      </c>
    </row>
    <row r="24" spans="1:11" x14ac:dyDescent="0.25">
      <c r="A24" s="1" t="str">
        <f t="shared" si="0"/>
        <v>dezembro de 2016</v>
      </c>
      <c r="B24" s="13">
        <v>42705</v>
      </c>
      <c r="C24" s="13">
        <v>42735.999305555553</v>
      </c>
    </row>
    <row r="25" spans="1:11" x14ac:dyDescent="0.25">
      <c r="A25" s="1" t="str">
        <f t="shared" si="0"/>
        <v>janeiro de 2017</v>
      </c>
      <c r="B25" s="13">
        <v>42736</v>
      </c>
      <c r="C25" s="13">
        <v>42766.999305555553</v>
      </c>
    </row>
    <row r="26" spans="1:11" x14ac:dyDescent="0.25">
      <c r="A26" s="1" t="str">
        <f t="shared" si="0"/>
        <v>fevereiro de 2017</v>
      </c>
      <c r="B26" s="13">
        <v>42767</v>
      </c>
      <c r="C26" s="13">
        <v>42794.999305555553</v>
      </c>
    </row>
    <row r="27" spans="1:11" x14ac:dyDescent="0.25">
      <c r="A27" s="1" t="str">
        <f t="shared" si="0"/>
        <v>março de 2017</v>
      </c>
      <c r="B27" s="13">
        <v>42795</v>
      </c>
      <c r="C27" s="13">
        <v>42825.999305555553</v>
      </c>
    </row>
    <row r="28" spans="1:11" x14ac:dyDescent="0.25">
      <c r="A28" s="1" t="str">
        <f t="shared" si="0"/>
        <v>abril de 2017</v>
      </c>
      <c r="B28" s="13">
        <v>42826</v>
      </c>
      <c r="C28" s="13">
        <v>42855.999305555553</v>
      </c>
    </row>
    <row r="29" spans="1:11" x14ac:dyDescent="0.25">
      <c r="A29" s="1" t="str">
        <f t="shared" si="0"/>
        <v>maio de 2017</v>
      </c>
      <c r="B29" s="13">
        <v>42856</v>
      </c>
      <c r="C29" s="13">
        <v>42886.999305555553</v>
      </c>
    </row>
    <row r="30" spans="1:11" x14ac:dyDescent="0.25">
      <c r="A30" s="1" t="str">
        <f t="shared" si="0"/>
        <v>junho de 2017</v>
      </c>
      <c r="B30" s="13">
        <v>42887</v>
      </c>
      <c r="C30" s="13">
        <v>42916.999305555553</v>
      </c>
    </row>
    <row r="31" spans="1:11" x14ac:dyDescent="0.25">
      <c r="A31" s="1" t="str">
        <f t="shared" si="0"/>
        <v>julho de 2017</v>
      </c>
      <c r="B31" s="13">
        <v>42917</v>
      </c>
      <c r="C31" s="13">
        <v>42947.999305555553</v>
      </c>
    </row>
    <row r="32" spans="1:11" x14ac:dyDescent="0.25">
      <c r="A32" s="1" t="str">
        <f t="shared" si="0"/>
        <v>agosto de 2017</v>
      </c>
      <c r="B32" s="13">
        <v>42948</v>
      </c>
      <c r="C32" s="13">
        <v>42978.999305555553</v>
      </c>
    </row>
    <row r="33" spans="1:3" x14ac:dyDescent="0.25">
      <c r="A33" s="1" t="str">
        <f t="shared" si="0"/>
        <v>setembro de 2017</v>
      </c>
      <c r="B33" s="13">
        <v>42979</v>
      </c>
      <c r="C33" s="13">
        <v>43008.999305555553</v>
      </c>
    </row>
    <row r="34" spans="1:3" x14ac:dyDescent="0.25">
      <c r="A34" s="1" t="str">
        <f t="shared" si="0"/>
        <v>outubro de 2017</v>
      </c>
      <c r="B34" s="13">
        <v>43009</v>
      </c>
      <c r="C34" s="13">
        <v>43039.999305555553</v>
      </c>
    </row>
    <row r="35" spans="1:3" x14ac:dyDescent="0.25">
      <c r="A35" s="1" t="str">
        <f t="shared" si="0"/>
        <v>novembro de 2017</v>
      </c>
      <c r="B35" s="13">
        <v>43040</v>
      </c>
      <c r="C35" s="13">
        <v>43069.999305555553</v>
      </c>
    </row>
    <row r="36" spans="1:3" x14ac:dyDescent="0.25">
      <c r="A36" s="1" t="str">
        <f>CONCATENATE(TEXT(B36,"MMMM")," de ",TEXT(B36,"AAAA"))</f>
        <v>dezembro de 2017</v>
      </c>
      <c r="B36" s="13">
        <v>43070</v>
      </c>
      <c r="C36" s="13">
        <v>43100.999305555553</v>
      </c>
    </row>
    <row r="37" spans="1:3" x14ac:dyDescent="0.25">
      <c r="A37" s="1" t="str">
        <f>CONCATENATE(TEXT(B37,"MMMM")," de ",TEXT(B37,"AAAA"))</f>
        <v>janeiro de 2018</v>
      </c>
      <c r="B37" s="13">
        <v>43101</v>
      </c>
      <c r="C37" s="13">
        <v>43131.999305555553</v>
      </c>
    </row>
    <row r="38" spans="1:3" x14ac:dyDescent="0.25">
      <c r="A38" s="1" t="str">
        <f t="shared" ref="A38:A47" si="1">CONCATENATE(TEXT(B38,"MMMM")," de ",TEXT(B38,"AAAA"))</f>
        <v>fevereiro de 2018</v>
      </c>
      <c r="B38" s="13">
        <v>43132</v>
      </c>
      <c r="C38" s="13">
        <v>43159.999305555553</v>
      </c>
    </row>
    <row r="39" spans="1:3" x14ac:dyDescent="0.25">
      <c r="A39" s="1" t="str">
        <f t="shared" si="1"/>
        <v>março de 2018</v>
      </c>
      <c r="B39" s="13">
        <v>43160</v>
      </c>
      <c r="C39" s="13">
        <v>43190.999305555553</v>
      </c>
    </row>
    <row r="40" spans="1:3" x14ac:dyDescent="0.25">
      <c r="A40" s="1" t="str">
        <f t="shared" si="1"/>
        <v>abril de 2018</v>
      </c>
      <c r="B40" s="13">
        <v>43191</v>
      </c>
      <c r="C40" s="13">
        <v>43220.999305555553</v>
      </c>
    </row>
    <row r="41" spans="1:3" x14ac:dyDescent="0.25">
      <c r="A41" s="1" t="str">
        <f t="shared" si="1"/>
        <v>maio de 2018</v>
      </c>
      <c r="B41" s="13">
        <v>43221</v>
      </c>
      <c r="C41" s="13">
        <v>43251.999305555553</v>
      </c>
    </row>
    <row r="42" spans="1:3" x14ac:dyDescent="0.25">
      <c r="A42" s="1" t="str">
        <f t="shared" si="1"/>
        <v>junho de 2018</v>
      </c>
      <c r="B42" s="13">
        <v>43252</v>
      </c>
      <c r="C42" s="13">
        <v>43281.999305555553</v>
      </c>
    </row>
    <row r="43" spans="1:3" x14ac:dyDescent="0.25">
      <c r="A43" s="1" t="str">
        <f t="shared" si="1"/>
        <v>julho de 2018</v>
      </c>
      <c r="B43" s="13">
        <v>43282</v>
      </c>
      <c r="C43" s="13">
        <v>43312.999305555553</v>
      </c>
    </row>
    <row r="44" spans="1:3" x14ac:dyDescent="0.25">
      <c r="A44" s="1" t="str">
        <f t="shared" si="1"/>
        <v>agosto de 2018</v>
      </c>
      <c r="B44" s="13">
        <v>43313</v>
      </c>
      <c r="C44" s="13">
        <v>43343.999305555553</v>
      </c>
    </row>
    <row r="45" spans="1:3" x14ac:dyDescent="0.25">
      <c r="A45" s="1" t="str">
        <f t="shared" si="1"/>
        <v>setembro de 2018</v>
      </c>
      <c r="B45" s="13">
        <v>43344</v>
      </c>
      <c r="C45" s="13">
        <v>43373.999305555553</v>
      </c>
    </row>
    <row r="46" spans="1:3" x14ac:dyDescent="0.25">
      <c r="A46" s="1" t="str">
        <f t="shared" si="1"/>
        <v>outubro de 2018</v>
      </c>
      <c r="B46" s="13">
        <v>43374</v>
      </c>
      <c r="C46" s="13">
        <v>43404.999305555553</v>
      </c>
    </row>
    <row r="47" spans="1:3" x14ac:dyDescent="0.25">
      <c r="A47" s="1" t="str">
        <f t="shared" si="1"/>
        <v>novembro de 2018</v>
      </c>
      <c r="B47" s="13">
        <v>43405</v>
      </c>
      <c r="C47" s="13">
        <v>43434.999305555553</v>
      </c>
    </row>
    <row r="48" spans="1:3" x14ac:dyDescent="0.25">
      <c r="A48" s="1" t="str">
        <f>CONCATENATE(TEXT(B48,"MMMM")," de ",TEXT(B48,"AAAA"))</f>
        <v>dezembro de 2018</v>
      </c>
      <c r="B48" s="13">
        <v>43435</v>
      </c>
      <c r="C48" s="13">
        <v>43465.999305555553</v>
      </c>
    </row>
    <row r="49" spans="1:3" x14ac:dyDescent="0.25">
      <c r="A49" s="1" t="str">
        <f>CONCATENATE(TEXT(B49,"MMMM")," de ",TEXT(B49,"AAAA"))</f>
        <v>janeiro de 2019</v>
      </c>
      <c r="B49" s="13">
        <v>43466</v>
      </c>
      <c r="C49" s="13">
        <v>43496.999305555553</v>
      </c>
    </row>
    <row r="50" spans="1:3" x14ac:dyDescent="0.25">
      <c r="A50" s="1" t="str">
        <f t="shared" ref="A50:A113" si="2">CONCATENATE(TEXT(B50,"MMMM")," de ",TEXT(B50,"AAAA"))</f>
        <v>fevereiro de 2019</v>
      </c>
      <c r="B50" s="13">
        <v>43497</v>
      </c>
      <c r="C50" s="13">
        <v>43524.999305555553</v>
      </c>
    </row>
    <row r="51" spans="1:3" x14ac:dyDescent="0.25">
      <c r="A51" s="1" t="str">
        <f t="shared" si="2"/>
        <v>março de 2019</v>
      </c>
      <c r="B51" s="13">
        <v>43525</v>
      </c>
      <c r="C51" s="13">
        <v>43555.999305555553</v>
      </c>
    </row>
    <row r="52" spans="1:3" x14ac:dyDescent="0.25">
      <c r="A52" s="1" t="str">
        <f t="shared" si="2"/>
        <v>abril de 2019</v>
      </c>
      <c r="B52" s="13">
        <v>43556</v>
      </c>
      <c r="C52" s="13">
        <v>43585.999305555553</v>
      </c>
    </row>
    <row r="53" spans="1:3" x14ac:dyDescent="0.25">
      <c r="A53" s="1" t="str">
        <f t="shared" si="2"/>
        <v>maio de 2019</v>
      </c>
      <c r="B53" s="13">
        <v>43586</v>
      </c>
      <c r="C53" s="13">
        <v>43616.999305555553</v>
      </c>
    </row>
    <row r="54" spans="1:3" x14ac:dyDescent="0.25">
      <c r="A54" s="1" t="str">
        <f t="shared" si="2"/>
        <v>junho de 2019</v>
      </c>
      <c r="B54" s="13">
        <v>43617</v>
      </c>
      <c r="C54" s="13">
        <v>43646.999305555553</v>
      </c>
    </row>
    <row r="55" spans="1:3" x14ac:dyDescent="0.25">
      <c r="A55" s="1" t="str">
        <f t="shared" si="2"/>
        <v>julho de 2019</v>
      </c>
      <c r="B55" s="13">
        <v>43647</v>
      </c>
      <c r="C55" s="13">
        <v>43677.999305555553</v>
      </c>
    </row>
    <row r="56" spans="1:3" x14ac:dyDescent="0.25">
      <c r="A56" s="1" t="str">
        <f t="shared" si="2"/>
        <v>agosto de 2019</v>
      </c>
      <c r="B56" s="13">
        <v>43678</v>
      </c>
      <c r="C56" s="13">
        <v>43708.999305555553</v>
      </c>
    </row>
    <row r="57" spans="1:3" x14ac:dyDescent="0.25">
      <c r="A57" s="1" t="str">
        <f t="shared" si="2"/>
        <v>setembro de 2019</v>
      </c>
      <c r="B57" s="13">
        <v>43709</v>
      </c>
      <c r="C57" s="13">
        <v>43738.999305555553</v>
      </c>
    </row>
    <row r="58" spans="1:3" x14ac:dyDescent="0.25">
      <c r="A58" s="1" t="str">
        <f t="shared" si="2"/>
        <v>outubro de 2019</v>
      </c>
      <c r="B58" s="13">
        <v>43739</v>
      </c>
      <c r="C58" s="13">
        <v>43769.999305555553</v>
      </c>
    </row>
    <row r="59" spans="1:3" x14ac:dyDescent="0.25">
      <c r="A59" s="1" t="str">
        <f t="shared" si="2"/>
        <v>novembro de 2019</v>
      </c>
      <c r="B59" s="13">
        <v>43770</v>
      </c>
      <c r="C59" s="13">
        <v>43799.999305555553</v>
      </c>
    </row>
    <row r="60" spans="1:3" x14ac:dyDescent="0.25">
      <c r="A60" s="1" t="str">
        <f t="shared" si="2"/>
        <v>dezembro de 2019</v>
      </c>
      <c r="B60" s="13">
        <v>43800</v>
      </c>
      <c r="C60" s="13">
        <v>43830.999305555553</v>
      </c>
    </row>
    <row r="61" spans="1:3" x14ac:dyDescent="0.25">
      <c r="A61" s="1" t="str">
        <f t="shared" si="2"/>
        <v>janeiro de 2020</v>
      </c>
      <c r="B61" s="13">
        <v>43831</v>
      </c>
      <c r="C61" s="13">
        <v>43861.999305555553</v>
      </c>
    </row>
    <row r="62" spans="1:3" x14ac:dyDescent="0.25">
      <c r="A62" s="1" t="str">
        <f t="shared" si="2"/>
        <v>fevereiro de 2020</v>
      </c>
      <c r="B62" s="13">
        <v>43862</v>
      </c>
      <c r="C62" s="13">
        <v>43890.999305555553</v>
      </c>
    </row>
    <row r="63" spans="1:3" x14ac:dyDescent="0.25">
      <c r="A63" s="1" t="str">
        <f t="shared" si="2"/>
        <v>março de 2020</v>
      </c>
      <c r="B63" s="13">
        <v>43891</v>
      </c>
      <c r="C63" s="13">
        <v>43921.999305555553</v>
      </c>
    </row>
    <row r="64" spans="1:3" x14ac:dyDescent="0.25">
      <c r="A64" s="1" t="str">
        <f t="shared" si="2"/>
        <v>abril de 2020</v>
      </c>
      <c r="B64" s="13">
        <v>43922</v>
      </c>
      <c r="C64" s="13">
        <v>43951.999305555553</v>
      </c>
    </row>
    <row r="65" spans="1:3" x14ac:dyDescent="0.25">
      <c r="A65" s="1" t="str">
        <f t="shared" si="2"/>
        <v>maio de 2020</v>
      </c>
      <c r="B65" s="13">
        <v>43952</v>
      </c>
      <c r="C65" s="13">
        <v>43982.999305555553</v>
      </c>
    </row>
    <row r="66" spans="1:3" x14ac:dyDescent="0.25">
      <c r="A66" s="1" t="str">
        <f t="shared" si="2"/>
        <v>junho de 2020</v>
      </c>
      <c r="B66" s="13">
        <v>43983</v>
      </c>
      <c r="C66" s="13">
        <v>44012.999305555553</v>
      </c>
    </row>
    <row r="67" spans="1:3" x14ac:dyDescent="0.25">
      <c r="A67" s="1" t="str">
        <f t="shared" si="2"/>
        <v>julho de 2020</v>
      </c>
      <c r="B67" s="13">
        <v>44013</v>
      </c>
      <c r="C67" s="13">
        <v>44043.999305555553</v>
      </c>
    </row>
    <row r="68" spans="1:3" x14ac:dyDescent="0.25">
      <c r="A68" s="1" t="str">
        <f t="shared" si="2"/>
        <v>agosto de 2020</v>
      </c>
      <c r="B68" s="13">
        <v>44044</v>
      </c>
      <c r="C68" s="13">
        <v>44074.999305555553</v>
      </c>
    </row>
    <row r="69" spans="1:3" x14ac:dyDescent="0.25">
      <c r="A69" s="1" t="str">
        <f t="shared" si="2"/>
        <v>setembro de 2020</v>
      </c>
      <c r="B69" s="13">
        <v>44075</v>
      </c>
      <c r="C69" s="13">
        <v>44104.999305555553</v>
      </c>
    </row>
    <row r="70" spans="1:3" x14ac:dyDescent="0.25">
      <c r="A70" s="1" t="str">
        <f t="shared" si="2"/>
        <v>outubro de 2020</v>
      </c>
      <c r="B70" s="13">
        <v>44105</v>
      </c>
      <c r="C70" s="13">
        <v>44135.999305555553</v>
      </c>
    </row>
    <row r="71" spans="1:3" x14ac:dyDescent="0.25">
      <c r="A71" s="1" t="str">
        <f t="shared" si="2"/>
        <v>novembro de 2020</v>
      </c>
      <c r="B71" s="13">
        <v>44136</v>
      </c>
      <c r="C71" s="13">
        <v>44165.999305555553</v>
      </c>
    </row>
    <row r="72" spans="1:3" x14ac:dyDescent="0.25">
      <c r="A72" s="1" t="str">
        <f t="shared" si="2"/>
        <v>dezembro de 2020</v>
      </c>
      <c r="B72" s="13">
        <v>44166</v>
      </c>
      <c r="C72" s="13">
        <v>44196.999305555553</v>
      </c>
    </row>
    <row r="73" spans="1:3" x14ac:dyDescent="0.25">
      <c r="A73" s="1" t="str">
        <f t="shared" si="2"/>
        <v>janeiro de 2021</v>
      </c>
      <c r="B73" s="13">
        <v>44197</v>
      </c>
      <c r="C73" s="13">
        <v>44227.999305555553</v>
      </c>
    </row>
    <row r="74" spans="1:3" x14ac:dyDescent="0.25">
      <c r="A74" s="1" t="str">
        <f t="shared" si="2"/>
        <v>fevereiro de 2021</v>
      </c>
      <c r="B74" s="13">
        <v>44228</v>
      </c>
      <c r="C74" s="13">
        <v>44255.999305555553</v>
      </c>
    </row>
    <row r="75" spans="1:3" x14ac:dyDescent="0.25">
      <c r="A75" s="1" t="str">
        <f t="shared" si="2"/>
        <v>março de 2021</v>
      </c>
      <c r="B75" s="13">
        <v>44256</v>
      </c>
      <c r="C75" s="13">
        <v>44286.999305555553</v>
      </c>
    </row>
    <row r="76" spans="1:3" x14ac:dyDescent="0.25">
      <c r="A76" s="1" t="str">
        <f t="shared" si="2"/>
        <v>abril de 2021</v>
      </c>
      <c r="B76" s="13">
        <v>44287</v>
      </c>
      <c r="C76" s="13">
        <v>44316.999305555553</v>
      </c>
    </row>
    <row r="77" spans="1:3" x14ac:dyDescent="0.25">
      <c r="A77" s="1" t="str">
        <f t="shared" si="2"/>
        <v>maio de 2021</v>
      </c>
      <c r="B77" s="13">
        <v>44317</v>
      </c>
      <c r="C77" s="13">
        <v>44347.999305555553</v>
      </c>
    </row>
    <row r="78" spans="1:3" x14ac:dyDescent="0.25">
      <c r="A78" s="1" t="str">
        <f t="shared" si="2"/>
        <v>junho de 2021</v>
      </c>
      <c r="B78" s="13">
        <v>44348</v>
      </c>
      <c r="C78" s="13">
        <v>44377.999305555553</v>
      </c>
    </row>
    <row r="79" spans="1:3" x14ac:dyDescent="0.25">
      <c r="A79" s="1" t="str">
        <f t="shared" si="2"/>
        <v>julho de 2021</v>
      </c>
      <c r="B79" s="13">
        <v>44378</v>
      </c>
      <c r="C79" s="13">
        <v>44408.999305555553</v>
      </c>
    </row>
    <row r="80" spans="1:3" x14ac:dyDescent="0.25">
      <c r="A80" s="1" t="str">
        <f t="shared" si="2"/>
        <v>agosto de 2021</v>
      </c>
      <c r="B80" s="13">
        <v>44409</v>
      </c>
      <c r="C80" s="13">
        <v>44439.999305555553</v>
      </c>
    </row>
    <row r="81" spans="1:3" x14ac:dyDescent="0.25">
      <c r="A81" s="1" t="str">
        <f t="shared" si="2"/>
        <v>setembro de 2021</v>
      </c>
      <c r="B81" s="13">
        <v>44440</v>
      </c>
      <c r="C81" s="13">
        <v>44469.999305555553</v>
      </c>
    </row>
    <row r="82" spans="1:3" x14ac:dyDescent="0.25">
      <c r="A82" s="1" t="str">
        <f t="shared" si="2"/>
        <v>outubro de 2021</v>
      </c>
      <c r="B82" s="13">
        <v>44470</v>
      </c>
      <c r="C82" s="13">
        <v>44500.999305555553</v>
      </c>
    </row>
    <row r="83" spans="1:3" x14ac:dyDescent="0.25">
      <c r="A83" s="1" t="str">
        <f t="shared" si="2"/>
        <v>novembro de 2021</v>
      </c>
      <c r="B83" s="13">
        <v>44501</v>
      </c>
      <c r="C83" s="13">
        <v>44530.999305555553</v>
      </c>
    </row>
    <row r="84" spans="1:3" x14ac:dyDescent="0.25">
      <c r="A84" s="1" t="str">
        <f t="shared" si="2"/>
        <v>dezembro de 2021</v>
      </c>
      <c r="B84" s="13">
        <v>44531</v>
      </c>
      <c r="C84" s="13">
        <v>44561.999305555553</v>
      </c>
    </row>
    <row r="85" spans="1:3" x14ac:dyDescent="0.25">
      <c r="A85" s="1" t="str">
        <f t="shared" si="2"/>
        <v>janeiro de 2022</v>
      </c>
      <c r="B85" s="13">
        <v>44562</v>
      </c>
      <c r="C85" s="13">
        <v>44592.999305555553</v>
      </c>
    </row>
    <row r="86" spans="1:3" x14ac:dyDescent="0.25">
      <c r="A86" s="1" t="str">
        <f t="shared" si="2"/>
        <v>fevereiro de 2022</v>
      </c>
      <c r="B86" s="13">
        <v>44593</v>
      </c>
      <c r="C86" s="13">
        <v>44620.999305555553</v>
      </c>
    </row>
    <row r="87" spans="1:3" x14ac:dyDescent="0.25">
      <c r="A87" s="1" t="str">
        <f t="shared" si="2"/>
        <v>março de 2022</v>
      </c>
      <c r="B87" s="13">
        <v>44621</v>
      </c>
      <c r="C87" s="13">
        <v>44651.999305555553</v>
      </c>
    </row>
    <row r="88" spans="1:3" x14ac:dyDescent="0.25">
      <c r="A88" s="1" t="str">
        <f t="shared" si="2"/>
        <v>abril de 2022</v>
      </c>
      <c r="B88" s="13">
        <v>44652</v>
      </c>
      <c r="C88" s="13">
        <v>44681.999305555553</v>
      </c>
    </row>
    <row r="89" spans="1:3" x14ac:dyDescent="0.25">
      <c r="A89" s="1" t="str">
        <f t="shared" si="2"/>
        <v>maio de 2022</v>
      </c>
      <c r="B89" s="13">
        <v>44682</v>
      </c>
      <c r="C89" s="13">
        <v>44712.999305555553</v>
      </c>
    </row>
    <row r="90" spans="1:3" x14ac:dyDescent="0.25">
      <c r="A90" s="1" t="str">
        <f t="shared" si="2"/>
        <v>junho de 2022</v>
      </c>
      <c r="B90" s="13">
        <v>44713</v>
      </c>
      <c r="C90" s="13">
        <v>44742.999305555553</v>
      </c>
    </row>
    <row r="91" spans="1:3" x14ac:dyDescent="0.25">
      <c r="A91" s="1" t="str">
        <f t="shared" si="2"/>
        <v>julho de 2022</v>
      </c>
      <c r="B91" s="13">
        <v>44743</v>
      </c>
      <c r="C91" s="13">
        <v>44773.999305555553</v>
      </c>
    </row>
    <row r="92" spans="1:3" x14ac:dyDescent="0.25">
      <c r="A92" s="1" t="str">
        <f t="shared" si="2"/>
        <v>agosto de 2022</v>
      </c>
      <c r="B92" s="13">
        <v>44774</v>
      </c>
      <c r="C92" s="13">
        <v>44804.999305555553</v>
      </c>
    </row>
    <row r="93" spans="1:3" x14ac:dyDescent="0.25">
      <c r="A93" s="1" t="str">
        <f t="shared" si="2"/>
        <v>setembro de 2022</v>
      </c>
      <c r="B93" s="13">
        <v>44805</v>
      </c>
      <c r="C93" s="13">
        <v>44834.999305555553</v>
      </c>
    </row>
    <row r="94" spans="1:3" x14ac:dyDescent="0.25">
      <c r="A94" s="1" t="str">
        <f t="shared" si="2"/>
        <v>outubro de 2022</v>
      </c>
      <c r="B94" s="13">
        <v>44835</v>
      </c>
      <c r="C94" s="13">
        <v>44865.999305555553</v>
      </c>
    </row>
    <row r="95" spans="1:3" x14ac:dyDescent="0.25">
      <c r="A95" s="1" t="str">
        <f t="shared" si="2"/>
        <v>novembro de 2022</v>
      </c>
      <c r="B95" s="13">
        <v>44866</v>
      </c>
      <c r="C95" s="13">
        <v>44895.999305555553</v>
      </c>
    </row>
    <row r="96" spans="1:3" x14ac:dyDescent="0.25">
      <c r="A96" s="1" t="str">
        <f t="shared" si="2"/>
        <v>dezembro de 2022</v>
      </c>
      <c r="B96" s="13">
        <v>44896</v>
      </c>
      <c r="C96" s="13">
        <v>44926.999305555553</v>
      </c>
    </row>
    <row r="97" spans="1:3" x14ac:dyDescent="0.25">
      <c r="A97" s="1" t="str">
        <f t="shared" si="2"/>
        <v>janeiro de 2023</v>
      </c>
      <c r="B97" s="13">
        <v>44927</v>
      </c>
      <c r="C97" s="13">
        <v>44957.999305555553</v>
      </c>
    </row>
    <row r="98" spans="1:3" x14ac:dyDescent="0.25">
      <c r="A98" s="1" t="str">
        <f t="shared" si="2"/>
        <v>fevereiro de 2023</v>
      </c>
      <c r="B98" s="13">
        <v>44958</v>
      </c>
      <c r="C98" s="13">
        <v>44985.999305555553</v>
      </c>
    </row>
    <row r="99" spans="1:3" x14ac:dyDescent="0.25">
      <c r="A99" s="1" t="str">
        <f t="shared" si="2"/>
        <v>março de 2023</v>
      </c>
      <c r="B99" s="13">
        <v>44986</v>
      </c>
      <c r="C99" s="13">
        <v>45016.999305555553</v>
      </c>
    </row>
    <row r="100" spans="1:3" x14ac:dyDescent="0.25">
      <c r="A100" s="1" t="str">
        <f t="shared" si="2"/>
        <v>abril de 2023</v>
      </c>
      <c r="B100" s="13">
        <v>45017</v>
      </c>
      <c r="C100" s="13">
        <v>45046.999305555553</v>
      </c>
    </row>
    <row r="101" spans="1:3" x14ac:dyDescent="0.25">
      <c r="A101" s="1" t="str">
        <f t="shared" si="2"/>
        <v>maio de 2023</v>
      </c>
      <c r="B101" s="13">
        <v>45047</v>
      </c>
      <c r="C101" s="13">
        <v>45077.999305555553</v>
      </c>
    </row>
    <row r="102" spans="1:3" x14ac:dyDescent="0.25">
      <c r="A102" s="1" t="str">
        <f t="shared" si="2"/>
        <v>junho de 2023</v>
      </c>
      <c r="B102" s="13">
        <v>45078</v>
      </c>
      <c r="C102" s="13">
        <v>45107.999305555553</v>
      </c>
    </row>
    <row r="103" spans="1:3" x14ac:dyDescent="0.25">
      <c r="A103" s="1" t="str">
        <f t="shared" si="2"/>
        <v>julho de 2023</v>
      </c>
      <c r="B103" s="13">
        <v>45108</v>
      </c>
      <c r="C103" s="13">
        <v>45138.999305555553</v>
      </c>
    </row>
    <row r="104" spans="1:3" x14ac:dyDescent="0.25">
      <c r="A104" s="1" t="str">
        <f t="shared" si="2"/>
        <v>agosto de 2023</v>
      </c>
      <c r="B104" s="13">
        <v>45139</v>
      </c>
      <c r="C104" s="13">
        <v>45169.999305555553</v>
      </c>
    </row>
    <row r="105" spans="1:3" x14ac:dyDescent="0.25">
      <c r="A105" s="1" t="str">
        <f t="shared" si="2"/>
        <v>setembro de 2023</v>
      </c>
      <c r="B105" s="13">
        <v>45170</v>
      </c>
      <c r="C105" s="13">
        <v>45199.999305555553</v>
      </c>
    </row>
    <row r="106" spans="1:3" x14ac:dyDescent="0.25">
      <c r="A106" s="1" t="str">
        <f t="shared" si="2"/>
        <v>outubro de 2023</v>
      </c>
      <c r="B106" s="13">
        <v>45200</v>
      </c>
      <c r="C106" s="13">
        <v>45230.999305555553</v>
      </c>
    </row>
    <row r="107" spans="1:3" x14ac:dyDescent="0.25">
      <c r="A107" s="1" t="str">
        <f t="shared" si="2"/>
        <v>novembro de 2023</v>
      </c>
      <c r="B107" s="13">
        <v>45231</v>
      </c>
      <c r="C107" s="13">
        <v>45260.999305555553</v>
      </c>
    </row>
    <row r="108" spans="1:3" x14ac:dyDescent="0.25">
      <c r="A108" s="1" t="str">
        <f t="shared" si="2"/>
        <v>dezembro de 2023</v>
      </c>
      <c r="B108" s="13">
        <v>45261</v>
      </c>
      <c r="C108" s="13">
        <v>45291.999305555553</v>
      </c>
    </row>
    <row r="109" spans="1:3" x14ac:dyDescent="0.25">
      <c r="A109" s="1" t="str">
        <f t="shared" si="2"/>
        <v>janeiro de 2024</v>
      </c>
      <c r="B109" s="13">
        <v>45292</v>
      </c>
      <c r="C109" s="13">
        <v>45322.999305555553</v>
      </c>
    </row>
    <row r="110" spans="1:3" x14ac:dyDescent="0.25">
      <c r="A110" s="1" t="str">
        <f t="shared" si="2"/>
        <v>fevereiro de 2024</v>
      </c>
      <c r="B110" s="13">
        <v>45323</v>
      </c>
      <c r="C110" s="13">
        <v>45351.999305555553</v>
      </c>
    </row>
    <row r="111" spans="1:3" x14ac:dyDescent="0.25">
      <c r="A111" s="1" t="str">
        <f t="shared" si="2"/>
        <v>março de 2024</v>
      </c>
      <c r="B111" s="13">
        <v>45352</v>
      </c>
      <c r="C111" s="13">
        <v>45382.999305555553</v>
      </c>
    </row>
    <row r="112" spans="1:3" x14ac:dyDescent="0.25">
      <c r="A112" s="1" t="str">
        <f t="shared" si="2"/>
        <v>abril de 2024</v>
      </c>
      <c r="B112" s="13">
        <v>45383</v>
      </c>
      <c r="C112" s="13">
        <v>45412.999305555553</v>
      </c>
    </row>
    <row r="113" spans="1:3" x14ac:dyDescent="0.25">
      <c r="A113" s="1" t="str">
        <f t="shared" si="2"/>
        <v>maio de 2024</v>
      </c>
      <c r="B113" s="13">
        <v>45413</v>
      </c>
      <c r="C113" s="13">
        <v>45443.999305555553</v>
      </c>
    </row>
    <row r="114" spans="1:3" x14ac:dyDescent="0.25">
      <c r="A114" s="1" t="str">
        <f t="shared" ref="A114:A177" si="3">CONCATENATE(TEXT(B114,"MMMM")," de ",TEXT(B114,"AAAA"))</f>
        <v>junho de 2024</v>
      </c>
      <c r="B114" s="13">
        <v>45444</v>
      </c>
      <c r="C114" s="13">
        <v>45473.999305555553</v>
      </c>
    </row>
    <row r="115" spans="1:3" x14ac:dyDescent="0.25">
      <c r="A115" s="1" t="str">
        <f t="shared" si="3"/>
        <v>julho de 2024</v>
      </c>
      <c r="B115" s="13">
        <v>45474</v>
      </c>
      <c r="C115" s="13">
        <v>45504.999305555553</v>
      </c>
    </row>
    <row r="116" spans="1:3" x14ac:dyDescent="0.25">
      <c r="A116" s="1" t="str">
        <f t="shared" si="3"/>
        <v>agosto de 2024</v>
      </c>
      <c r="B116" s="13">
        <v>45505</v>
      </c>
      <c r="C116" s="13">
        <v>45535.999305555553</v>
      </c>
    </row>
    <row r="117" spans="1:3" x14ac:dyDescent="0.25">
      <c r="A117" s="1" t="str">
        <f t="shared" si="3"/>
        <v>setembro de 2024</v>
      </c>
      <c r="B117" s="13">
        <v>45536</v>
      </c>
      <c r="C117" s="13">
        <v>45565.999305555553</v>
      </c>
    </row>
    <row r="118" spans="1:3" x14ac:dyDescent="0.25">
      <c r="A118" s="1" t="str">
        <f t="shared" si="3"/>
        <v>outubro de 2024</v>
      </c>
      <c r="B118" s="13">
        <v>45566</v>
      </c>
      <c r="C118" s="13">
        <v>45596.999305555553</v>
      </c>
    </row>
    <row r="119" spans="1:3" x14ac:dyDescent="0.25">
      <c r="A119" s="1" t="str">
        <f t="shared" si="3"/>
        <v>novembro de 2024</v>
      </c>
      <c r="B119" s="13">
        <v>45597</v>
      </c>
      <c r="C119" s="13">
        <v>45626.999305555553</v>
      </c>
    </row>
    <row r="120" spans="1:3" x14ac:dyDescent="0.25">
      <c r="A120" s="1" t="str">
        <f t="shared" si="3"/>
        <v>dezembro de 2024</v>
      </c>
      <c r="B120" s="13">
        <v>45627</v>
      </c>
      <c r="C120" s="13">
        <v>45657.999305555553</v>
      </c>
    </row>
    <row r="121" spans="1:3" x14ac:dyDescent="0.25">
      <c r="A121" s="1" t="str">
        <f t="shared" si="3"/>
        <v>janeiro de 2025</v>
      </c>
      <c r="B121" s="13">
        <v>45658</v>
      </c>
      <c r="C121" s="13">
        <v>45688.999305555553</v>
      </c>
    </row>
    <row r="122" spans="1:3" x14ac:dyDescent="0.25">
      <c r="A122" s="1" t="str">
        <f t="shared" si="3"/>
        <v>fevereiro de 2025</v>
      </c>
      <c r="B122" s="13">
        <v>45689</v>
      </c>
      <c r="C122" s="13">
        <v>45716.999305555553</v>
      </c>
    </row>
    <row r="123" spans="1:3" x14ac:dyDescent="0.25">
      <c r="A123" s="1" t="str">
        <f t="shared" si="3"/>
        <v>março de 2025</v>
      </c>
      <c r="B123" s="13">
        <v>45717</v>
      </c>
      <c r="C123" s="13">
        <v>45747.999305555553</v>
      </c>
    </row>
    <row r="124" spans="1:3" x14ac:dyDescent="0.25">
      <c r="A124" s="1" t="str">
        <f t="shared" si="3"/>
        <v>abril de 2025</v>
      </c>
      <c r="B124" s="13">
        <v>45748</v>
      </c>
      <c r="C124" s="13">
        <v>45777.999305555553</v>
      </c>
    </row>
    <row r="125" spans="1:3" x14ac:dyDescent="0.25">
      <c r="A125" s="1" t="str">
        <f t="shared" si="3"/>
        <v>maio de 2025</v>
      </c>
      <c r="B125" s="13">
        <v>45778</v>
      </c>
      <c r="C125" s="13">
        <v>45808.999305555553</v>
      </c>
    </row>
    <row r="126" spans="1:3" x14ac:dyDescent="0.25">
      <c r="A126" s="1" t="str">
        <f t="shared" si="3"/>
        <v>junho de 2025</v>
      </c>
      <c r="B126" s="13">
        <v>45809</v>
      </c>
      <c r="C126" s="13">
        <v>45838.999305555553</v>
      </c>
    </row>
    <row r="127" spans="1:3" x14ac:dyDescent="0.25">
      <c r="A127" s="1" t="str">
        <f t="shared" si="3"/>
        <v>julho de 2025</v>
      </c>
      <c r="B127" s="13">
        <v>45839</v>
      </c>
      <c r="C127" s="13">
        <v>45869.999305555553</v>
      </c>
    </row>
    <row r="128" spans="1:3" x14ac:dyDescent="0.25">
      <c r="A128" s="1" t="str">
        <f t="shared" si="3"/>
        <v>agosto de 2025</v>
      </c>
      <c r="B128" s="13">
        <v>45870</v>
      </c>
      <c r="C128" s="13">
        <v>45900.999305555553</v>
      </c>
    </row>
    <row r="129" spans="1:3" x14ac:dyDescent="0.25">
      <c r="A129" s="1" t="str">
        <f t="shared" si="3"/>
        <v>setembro de 2025</v>
      </c>
      <c r="B129" s="13">
        <v>45901</v>
      </c>
      <c r="C129" s="13">
        <v>45930.999305555553</v>
      </c>
    </row>
    <row r="130" spans="1:3" x14ac:dyDescent="0.25">
      <c r="A130" s="1" t="str">
        <f t="shared" si="3"/>
        <v>outubro de 2025</v>
      </c>
      <c r="B130" s="13">
        <v>45931</v>
      </c>
      <c r="C130" s="13">
        <v>45961.999305555553</v>
      </c>
    </row>
    <row r="131" spans="1:3" x14ac:dyDescent="0.25">
      <c r="A131" s="1" t="str">
        <f t="shared" si="3"/>
        <v>novembro de 2025</v>
      </c>
      <c r="B131" s="13">
        <v>45962</v>
      </c>
      <c r="C131" s="13">
        <v>45991.999305555553</v>
      </c>
    </row>
    <row r="132" spans="1:3" x14ac:dyDescent="0.25">
      <c r="A132" s="1" t="str">
        <f t="shared" si="3"/>
        <v>dezembro de 2025</v>
      </c>
      <c r="B132" s="13">
        <v>45992</v>
      </c>
      <c r="C132" s="13">
        <v>46022.999305555553</v>
      </c>
    </row>
    <row r="133" spans="1:3" x14ac:dyDescent="0.25">
      <c r="A133" s="1" t="str">
        <f t="shared" si="3"/>
        <v>janeiro de 2026</v>
      </c>
      <c r="B133" s="13">
        <v>46023</v>
      </c>
      <c r="C133" s="13">
        <v>46053.999305555553</v>
      </c>
    </row>
    <row r="134" spans="1:3" x14ac:dyDescent="0.25">
      <c r="A134" s="1" t="str">
        <f t="shared" si="3"/>
        <v>fevereiro de 2026</v>
      </c>
      <c r="B134" s="13">
        <v>46054</v>
      </c>
      <c r="C134" s="13">
        <v>46081.999305555553</v>
      </c>
    </row>
    <row r="135" spans="1:3" x14ac:dyDescent="0.25">
      <c r="A135" s="1" t="str">
        <f t="shared" si="3"/>
        <v>março de 2026</v>
      </c>
      <c r="B135" s="13">
        <v>46082</v>
      </c>
      <c r="C135" s="13">
        <v>46112.999305555553</v>
      </c>
    </row>
    <row r="136" spans="1:3" x14ac:dyDescent="0.25">
      <c r="A136" s="1" t="str">
        <f t="shared" si="3"/>
        <v>abril de 2026</v>
      </c>
      <c r="B136" s="13">
        <v>46113</v>
      </c>
      <c r="C136" s="13">
        <v>46142.999305555553</v>
      </c>
    </row>
    <row r="137" spans="1:3" x14ac:dyDescent="0.25">
      <c r="A137" s="1" t="str">
        <f t="shared" si="3"/>
        <v>maio de 2026</v>
      </c>
      <c r="B137" s="13">
        <v>46143</v>
      </c>
      <c r="C137" s="13">
        <v>46173.999305555553</v>
      </c>
    </row>
    <row r="138" spans="1:3" x14ac:dyDescent="0.25">
      <c r="A138" s="1" t="str">
        <f t="shared" si="3"/>
        <v>junho de 2026</v>
      </c>
      <c r="B138" s="13">
        <v>46174</v>
      </c>
      <c r="C138" s="13">
        <v>46203.999305555553</v>
      </c>
    </row>
    <row r="139" spans="1:3" x14ac:dyDescent="0.25">
      <c r="A139" s="1" t="str">
        <f t="shared" si="3"/>
        <v>julho de 2026</v>
      </c>
      <c r="B139" s="13">
        <v>46204</v>
      </c>
      <c r="C139" s="13">
        <v>46234.999305555553</v>
      </c>
    </row>
    <row r="140" spans="1:3" x14ac:dyDescent="0.25">
      <c r="A140" s="1" t="str">
        <f t="shared" si="3"/>
        <v>agosto de 2026</v>
      </c>
      <c r="B140" s="13">
        <v>46235</v>
      </c>
      <c r="C140" s="13">
        <v>46265.999305555553</v>
      </c>
    </row>
    <row r="141" spans="1:3" x14ac:dyDescent="0.25">
      <c r="A141" s="1" t="str">
        <f t="shared" si="3"/>
        <v>setembro de 2026</v>
      </c>
      <c r="B141" s="13">
        <v>46266</v>
      </c>
      <c r="C141" s="13">
        <v>46295.999305555553</v>
      </c>
    </row>
    <row r="142" spans="1:3" x14ac:dyDescent="0.25">
      <c r="A142" s="1" t="str">
        <f t="shared" si="3"/>
        <v>outubro de 2026</v>
      </c>
      <c r="B142" s="13">
        <v>46296</v>
      </c>
      <c r="C142" s="13">
        <v>46326.999305555553</v>
      </c>
    </row>
    <row r="143" spans="1:3" x14ac:dyDescent="0.25">
      <c r="A143" s="1" t="str">
        <f t="shared" si="3"/>
        <v>novembro de 2026</v>
      </c>
      <c r="B143" s="13">
        <v>46327</v>
      </c>
      <c r="C143" s="13">
        <v>46356.999305555553</v>
      </c>
    </row>
    <row r="144" spans="1:3" x14ac:dyDescent="0.25">
      <c r="A144" s="1" t="str">
        <f t="shared" si="3"/>
        <v>dezembro de 2026</v>
      </c>
      <c r="B144" s="13">
        <v>46357</v>
      </c>
      <c r="C144" s="13">
        <v>46387.999305555553</v>
      </c>
    </row>
    <row r="145" spans="1:3" x14ac:dyDescent="0.25">
      <c r="A145" s="1" t="str">
        <f t="shared" si="3"/>
        <v>janeiro de 2027</v>
      </c>
      <c r="B145" s="13">
        <v>46388</v>
      </c>
      <c r="C145" s="13">
        <v>46418.999305555553</v>
      </c>
    </row>
    <row r="146" spans="1:3" x14ac:dyDescent="0.25">
      <c r="A146" s="1" t="str">
        <f t="shared" si="3"/>
        <v>fevereiro de 2027</v>
      </c>
      <c r="B146" s="13">
        <v>46419</v>
      </c>
      <c r="C146" s="13">
        <v>46446.999305555553</v>
      </c>
    </row>
    <row r="147" spans="1:3" x14ac:dyDescent="0.25">
      <c r="A147" s="1" t="str">
        <f t="shared" si="3"/>
        <v>março de 2027</v>
      </c>
      <c r="B147" s="13">
        <v>46447</v>
      </c>
      <c r="C147" s="13">
        <v>46477.999305555553</v>
      </c>
    </row>
    <row r="148" spans="1:3" x14ac:dyDescent="0.25">
      <c r="A148" s="1" t="str">
        <f t="shared" si="3"/>
        <v>abril de 2027</v>
      </c>
      <c r="B148" s="13">
        <v>46478</v>
      </c>
      <c r="C148" s="13">
        <v>46507.999305555553</v>
      </c>
    </row>
    <row r="149" spans="1:3" x14ac:dyDescent="0.25">
      <c r="A149" s="1" t="str">
        <f t="shared" si="3"/>
        <v>maio de 2027</v>
      </c>
      <c r="B149" s="13">
        <v>46508</v>
      </c>
      <c r="C149" s="13">
        <v>46538.999305555553</v>
      </c>
    </row>
    <row r="150" spans="1:3" x14ac:dyDescent="0.25">
      <c r="A150" s="1" t="str">
        <f t="shared" si="3"/>
        <v>junho de 2027</v>
      </c>
      <c r="B150" s="13">
        <v>46539</v>
      </c>
      <c r="C150" s="13">
        <v>46568.999305555553</v>
      </c>
    </row>
    <row r="151" spans="1:3" x14ac:dyDescent="0.25">
      <c r="A151" s="1" t="str">
        <f t="shared" si="3"/>
        <v>julho de 2027</v>
      </c>
      <c r="B151" s="13">
        <v>46569</v>
      </c>
      <c r="C151" s="13">
        <v>46599.999305555553</v>
      </c>
    </row>
    <row r="152" spans="1:3" x14ac:dyDescent="0.25">
      <c r="A152" s="1" t="str">
        <f t="shared" si="3"/>
        <v>agosto de 2027</v>
      </c>
      <c r="B152" s="13">
        <v>46600</v>
      </c>
      <c r="C152" s="13">
        <v>46630.999305555553</v>
      </c>
    </row>
    <row r="153" spans="1:3" x14ac:dyDescent="0.25">
      <c r="A153" s="1" t="str">
        <f t="shared" si="3"/>
        <v>setembro de 2027</v>
      </c>
      <c r="B153" s="13">
        <v>46631</v>
      </c>
      <c r="C153" s="13">
        <v>46660.999305555553</v>
      </c>
    </row>
    <row r="154" spans="1:3" x14ac:dyDescent="0.25">
      <c r="A154" s="1" t="str">
        <f t="shared" si="3"/>
        <v>outubro de 2027</v>
      </c>
      <c r="B154" s="13">
        <v>46661</v>
      </c>
      <c r="C154" s="13">
        <v>46691.999305555553</v>
      </c>
    </row>
    <row r="155" spans="1:3" x14ac:dyDescent="0.25">
      <c r="A155" s="1" t="str">
        <f t="shared" si="3"/>
        <v>novembro de 2027</v>
      </c>
      <c r="B155" s="13">
        <v>46692</v>
      </c>
      <c r="C155" s="13">
        <v>46721.999305555553</v>
      </c>
    </row>
    <row r="156" spans="1:3" x14ac:dyDescent="0.25">
      <c r="A156" s="1" t="str">
        <f t="shared" si="3"/>
        <v>dezembro de 2027</v>
      </c>
      <c r="B156" s="13">
        <v>46722</v>
      </c>
      <c r="C156" s="13">
        <v>46752.999305555553</v>
      </c>
    </row>
    <row r="157" spans="1:3" x14ac:dyDescent="0.25">
      <c r="A157" s="1" t="str">
        <f t="shared" si="3"/>
        <v>janeiro de 2028</v>
      </c>
      <c r="B157" s="13">
        <v>46753</v>
      </c>
      <c r="C157" s="13">
        <v>46783.999305555553</v>
      </c>
    </row>
    <row r="158" spans="1:3" x14ac:dyDescent="0.25">
      <c r="A158" s="1" t="str">
        <f t="shared" si="3"/>
        <v>fevereiro de 2028</v>
      </c>
      <c r="B158" s="13">
        <v>46784</v>
      </c>
      <c r="C158" s="13">
        <v>46812.999305555553</v>
      </c>
    </row>
    <row r="159" spans="1:3" x14ac:dyDescent="0.25">
      <c r="A159" s="1" t="str">
        <f t="shared" si="3"/>
        <v>março de 2028</v>
      </c>
      <c r="B159" s="13">
        <v>46813</v>
      </c>
      <c r="C159" s="13">
        <v>46843.999305555553</v>
      </c>
    </row>
    <row r="160" spans="1:3" x14ac:dyDescent="0.25">
      <c r="A160" s="1" t="str">
        <f t="shared" si="3"/>
        <v>abril de 2028</v>
      </c>
      <c r="B160" s="13">
        <v>46844</v>
      </c>
      <c r="C160" s="13">
        <v>46873.999305555553</v>
      </c>
    </row>
    <row r="161" spans="1:3" x14ac:dyDescent="0.25">
      <c r="A161" s="1" t="str">
        <f t="shared" si="3"/>
        <v>maio de 2028</v>
      </c>
      <c r="B161" s="13">
        <v>46874</v>
      </c>
      <c r="C161" s="13">
        <v>46904.999305555553</v>
      </c>
    </row>
    <row r="162" spans="1:3" x14ac:dyDescent="0.25">
      <c r="A162" s="1" t="str">
        <f t="shared" si="3"/>
        <v>junho de 2028</v>
      </c>
      <c r="B162" s="13">
        <v>46905</v>
      </c>
      <c r="C162" s="13">
        <v>46934.999305555553</v>
      </c>
    </row>
    <row r="163" spans="1:3" x14ac:dyDescent="0.25">
      <c r="A163" s="1" t="str">
        <f t="shared" si="3"/>
        <v>julho de 2028</v>
      </c>
      <c r="B163" s="13">
        <v>46935</v>
      </c>
      <c r="C163" s="13">
        <v>46965.999305555553</v>
      </c>
    </row>
    <row r="164" spans="1:3" x14ac:dyDescent="0.25">
      <c r="A164" s="1" t="str">
        <f t="shared" si="3"/>
        <v>agosto de 2028</v>
      </c>
      <c r="B164" s="13">
        <v>46966</v>
      </c>
      <c r="C164" s="13">
        <v>46996.999305555553</v>
      </c>
    </row>
    <row r="165" spans="1:3" x14ac:dyDescent="0.25">
      <c r="A165" s="1" t="str">
        <f t="shared" si="3"/>
        <v>setembro de 2028</v>
      </c>
      <c r="B165" s="13">
        <v>46997</v>
      </c>
      <c r="C165" s="13">
        <v>47026.999305555553</v>
      </c>
    </row>
    <row r="166" spans="1:3" x14ac:dyDescent="0.25">
      <c r="A166" s="1" t="str">
        <f t="shared" si="3"/>
        <v>outubro de 2028</v>
      </c>
      <c r="B166" s="13">
        <v>47027</v>
      </c>
      <c r="C166" s="13">
        <v>47057.999305555553</v>
      </c>
    </row>
    <row r="167" spans="1:3" x14ac:dyDescent="0.25">
      <c r="A167" s="1" t="str">
        <f t="shared" si="3"/>
        <v>novembro de 2028</v>
      </c>
      <c r="B167" s="13">
        <v>47058</v>
      </c>
      <c r="C167" s="13">
        <v>47087.999305555553</v>
      </c>
    </row>
    <row r="168" spans="1:3" x14ac:dyDescent="0.25">
      <c r="A168" s="1" t="str">
        <f t="shared" si="3"/>
        <v>dezembro de 2028</v>
      </c>
      <c r="B168" s="13">
        <v>47088</v>
      </c>
      <c r="C168" s="13">
        <v>47118.999305555553</v>
      </c>
    </row>
    <row r="169" spans="1:3" x14ac:dyDescent="0.25">
      <c r="A169" s="1" t="str">
        <f t="shared" si="3"/>
        <v>janeiro de 2029</v>
      </c>
      <c r="B169" s="13">
        <v>47119</v>
      </c>
      <c r="C169" s="13">
        <v>47149.999305555553</v>
      </c>
    </row>
    <row r="170" spans="1:3" x14ac:dyDescent="0.25">
      <c r="A170" s="1" t="str">
        <f t="shared" si="3"/>
        <v>fevereiro de 2029</v>
      </c>
      <c r="B170" s="13">
        <v>47150</v>
      </c>
      <c r="C170" s="13">
        <v>47177.999305555553</v>
      </c>
    </row>
    <row r="171" spans="1:3" x14ac:dyDescent="0.25">
      <c r="A171" s="1" t="str">
        <f t="shared" si="3"/>
        <v>março de 2029</v>
      </c>
      <c r="B171" s="13">
        <v>47178</v>
      </c>
      <c r="C171" s="13">
        <v>47208.999305555553</v>
      </c>
    </row>
    <row r="172" spans="1:3" x14ac:dyDescent="0.25">
      <c r="A172" s="1" t="str">
        <f t="shared" si="3"/>
        <v>abril de 2029</v>
      </c>
      <c r="B172" s="13">
        <v>47209</v>
      </c>
      <c r="C172" s="13">
        <v>47238.999305555553</v>
      </c>
    </row>
    <row r="173" spans="1:3" x14ac:dyDescent="0.25">
      <c r="A173" s="1" t="str">
        <f t="shared" si="3"/>
        <v>maio de 2029</v>
      </c>
      <c r="B173" s="13">
        <v>47239</v>
      </c>
      <c r="C173" s="13">
        <v>47269.999305555553</v>
      </c>
    </row>
    <row r="174" spans="1:3" x14ac:dyDescent="0.25">
      <c r="A174" s="1" t="str">
        <f t="shared" si="3"/>
        <v>junho de 2029</v>
      </c>
      <c r="B174" s="13">
        <v>47270</v>
      </c>
      <c r="C174" s="13">
        <v>47299.999305555553</v>
      </c>
    </row>
    <row r="175" spans="1:3" x14ac:dyDescent="0.25">
      <c r="A175" s="1" t="str">
        <f t="shared" si="3"/>
        <v>julho de 2029</v>
      </c>
      <c r="B175" s="13">
        <v>47300</v>
      </c>
      <c r="C175" s="13">
        <v>47330.999305555553</v>
      </c>
    </row>
    <row r="176" spans="1:3" x14ac:dyDescent="0.25">
      <c r="A176" s="1" t="str">
        <f t="shared" si="3"/>
        <v>agosto de 2029</v>
      </c>
      <c r="B176" s="13">
        <v>47331</v>
      </c>
      <c r="C176" s="13">
        <v>47361.999305555553</v>
      </c>
    </row>
    <row r="177" spans="1:3" x14ac:dyDescent="0.25">
      <c r="A177" s="1" t="str">
        <f t="shared" si="3"/>
        <v>setembro de 2029</v>
      </c>
      <c r="B177" s="13">
        <v>47362</v>
      </c>
      <c r="C177" s="13">
        <v>47391.999305555553</v>
      </c>
    </row>
    <row r="178" spans="1:3" x14ac:dyDescent="0.25">
      <c r="A178" s="1" t="str">
        <f t="shared" ref="A178:A212" si="4">CONCATENATE(TEXT(B178,"MMMM")," de ",TEXT(B178,"AAAA"))</f>
        <v>outubro de 2029</v>
      </c>
      <c r="B178" s="13">
        <v>47392</v>
      </c>
      <c r="C178" s="13">
        <v>47422.999305555553</v>
      </c>
    </row>
    <row r="179" spans="1:3" x14ac:dyDescent="0.25">
      <c r="A179" s="1" t="str">
        <f t="shared" si="4"/>
        <v>novembro de 2029</v>
      </c>
      <c r="B179" s="13">
        <v>47423</v>
      </c>
      <c r="C179" s="13">
        <v>47452.999305555553</v>
      </c>
    </row>
    <row r="180" spans="1:3" x14ac:dyDescent="0.25">
      <c r="A180" s="1" t="str">
        <f t="shared" si="4"/>
        <v>dezembro de 2029</v>
      </c>
      <c r="B180" s="13">
        <v>47453</v>
      </c>
      <c r="C180" s="13">
        <v>47483.999305555553</v>
      </c>
    </row>
    <row r="181" spans="1:3" x14ac:dyDescent="0.25">
      <c r="A181" s="1" t="str">
        <f t="shared" si="4"/>
        <v>janeiro de 2030</v>
      </c>
      <c r="B181" s="13">
        <v>47484</v>
      </c>
      <c r="C181" s="13">
        <v>47514.999305555553</v>
      </c>
    </row>
    <row r="182" spans="1:3" x14ac:dyDescent="0.25">
      <c r="A182" s="1" t="str">
        <f t="shared" si="4"/>
        <v>fevereiro de 2030</v>
      </c>
      <c r="B182" s="13">
        <v>47515</v>
      </c>
      <c r="C182" s="13">
        <v>47542.999305555553</v>
      </c>
    </row>
    <row r="183" spans="1:3" x14ac:dyDescent="0.25">
      <c r="A183" s="1" t="str">
        <f t="shared" si="4"/>
        <v>março de 2030</v>
      </c>
      <c r="B183" s="13">
        <v>47543</v>
      </c>
      <c r="C183" s="13">
        <v>47573.999305555553</v>
      </c>
    </row>
    <row r="184" spans="1:3" x14ac:dyDescent="0.25">
      <c r="A184" s="1" t="str">
        <f t="shared" si="4"/>
        <v>abril de 2030</v>
      </c>
      <c r="B184" s="13">
        <v>47574</v>
      </c>
      <c r="C184" s="13">
        <v>47603.999305555553</v>
      </c>
    </row>
    <row r="185" spans="1:3" x14ac:dyDescent="0.25">
      <c r="A185" s="1" t="str">
        <f t="shared" si="4"/>
        <v>maio de 2030</v>
      </c>
      <c r="B185" s="13">
        <v>47604</v>
      </c>
      <c r="C185" s="13">
        <v>47634.999305555553</v>
      </c>
    </row>
    <row r="186" spans="1:3" x14ac:dyDescent="0.25">
      <c r="A186" s="1" t="str">
        <f t="shared" si="4"/>
        <v>junho de 2030</v>
      </c>
      <c r="B186" s="13">
        <v>47635</v>
      </c>
      <c r="C186" s="13">
        <v>47664.999305555553</v>
      </c>
    </row>
    <row r="187" spans="1:3" x14ac:dyDescent="0.25">
      <c r="A187" s="1" t="str">
        <f t="shared" si="4"/>
        <v>julho de 2030</v>
      </c>
      <c r="B187" s="13">
        <v>47665</v>
      </c>
      <c r="C187" s="13">
        <v>47695.999305555553</v>
      </c>
    </row>
    <row r="188" spans="1:3" x14ac:dyDescent="0.25">
      <c r="A188" s="1" t="str">
        <f t="shared" si="4"/>
        <v>agosto de 2030</v>
      </c>
      <c r="B188" s="13">
        <v>47696</v>
      </c>
      <c r="C188" s="13">
        <v>47726.999305555553</v>
      </c>
    </row>
    <row r="189" spans="1:3" x14ac:dyDescent="0.25">
      <c r="A189" s="1" t="str">
        <f t="shared" si="4"/>
        <v>setembro de 2030</v>
      </c>
      <c r="B189" s="13">
        <v>47727</v>
      </c>
      <c r="C189" s="13">
        <v>47756.999305555553</v>
      </c>
    </row>
    <row r="190" spans="1:3" x14ac:dyDescent="0.25">
      <c r="A190" s="1" t="str">
        <f t="shared" si="4"/>
        <v>outubro de 2030</v>
      </c>
      <c r="B190" s="13">
        <v>47757</v>
      </c>
      <c r="C190" s="13">
        <v>47787.999305555553</v>
      </c>
    </row>
    <row r="191" spans="1:3" x14ac:dyDescent="0.25">
      <c r="A191" s="1" t="str">
        <f t="shared" si="4"/>
        <v>novembro de 2030</v>
      </c>
      <c r="B191" s="13">
        <v>47788</v>
      </c>
      <c r="C191" s="13">
        <v>47817.999305555553</v>
      </c>
    </row>
    <row r="192" spans="1:3" x14ac:dyDescent="0.25">
      <c r="A192" s="1" t="str">
        <f t="shared" si="4"/>
        <v>dezembro de 2030</v>
      </c>
      <c r="B192" s="13">
        <v>47818</v>
      </c>
      <c r="C192" s="13">
        <v>47848.999305555553</v>
      </c>
    </row>
    <row r="193" spans="1:3" x14ac:dyDescent="0.25">
      <c r="A193" s="1" t="str">
        <f t="shared" si="4"/>
        <v>janeiro de 2031</v>
      </c>
      <c r="B193" s="13">
        <v>47849</v>
      </c>
      <c r="C193" s="13">
        <v>47879.999305555553</v>
      </c>
    </row>
    <row r="194" spans="1:3" x14ac:dyDescent="0.25">
      <c r="A194" s="1" t="str">
        <f t="shared" si="4"/>
        <v>fevereiro de 2031</v>
      </c>
      <c r="B194" s="13">
        <v>47880</v>
      </c>
      <c r="C194" s="13">
        <v>47907.999305555553</v>
      </c>
    </row>
    <row r="195" spans="1:3" x14ac:dyDescent="0.25">
      <c r="A195" s="1" t="str">
        <f t="shared" si="4"/>
        <v>março de 2031</v>
      </c>
      <c r="B195" s="13">
        <v>47908</v>
      </c>
      <c r="C195" s="13">
        <v>47938.999305555553</v>
      </c>
    </row>
    <row r="196" spans="1:3" x14ac:dyDescent="0.25">
      <c r="A196" s="1" t="str">
        <f t="shared" si="4"/>
        <v>abril de 2031</v>
      </c>
      <c r="B196" s="13">
        <v>47939</v>
      </c>
      <c r="C196" s="13">
        <v>47968.999305555553</v>
      </c>
    </row>
    <row r="197" spans="1:3" x14ac:dyDescent="0.25">
      <c r="A197" s="1" t="str">
        <f t="shared" si="4"/>
        <v>maio de 2031</v>
      </c>
      <c r="B197" s="13">
        <v>47969</v>
      </c>
      <c r="C197" s="13">
        <v>47999.999305555553</v>
      </c>
    </row>
    <row r="198" spans="1:3" x14ac:dyDescent="0.25">
      <c r="A198" s="1" t="str">
        <f t="shared" si="4"/>
        <v>junho de 2031</v>
      </c>
      <c r="B198" s="13">
        <v>48000</v>
      </c>
      <c r="C198" s="13">
        <v>48029.999305555553</v>
      </c>
    </row>
    <row r="199" spans="1:3" x14ac:dyDescent="0.25">
      <c r="A199" s="1" t="str">
        <f t="shared" si="4"/>
        <v>julho de 2031</v>
      </c>
      <c r="B199" s="13">
        <v>48030</v>
      </c>
      <c r="C199" s="13">
        <v>48060.999305555553</v>
      </c>
    </row>
    <row r="200" spans="1:3" x14ac:dyDescent="0.25">
      <c r="A200" s="1" t="str">
        <f t="shared" si="4"/>
        <v>agosto de 2031</v>
      </c>
      <c r="B200" s="13">
        <v>48061</v>
      </c>
      <c r="C200" s="13">
        <v>48091.999305555553</v>
      </c>
    </row>
    <row r="201" spans="1:3" x14ac:dyDescent="0.25">
      <c r="A201" s="1" t="str">
        <f t="shared" si="4"/>
        <v>setembro de 2031</v>
      </c>
      <c r="B201" s="13">
        <v>48092</v>
      </c>
      <c r="C201" s="13">
        <v>48121.999305555553</v>
      </c>
    </row>
    <row r="202" spans="1:3" x14ac:dyDescent="0.25">
      <c r="A202" s="1" t="str">
        <f t="shared" si="4"/>
        <v>outubro de 2031</v>
      </c>
      <c r="B202" s="13">
        <v>48122</v>
      </c>
      <c r="C202" s="13">
        <v>48152.999305555553</v>
      </c>
    </row>
    <row r="203" spans="1:3" x14ac:dyDescent="0.25">
      <c r="A203" s="1" t="str">
        <f t="shared" si="4"/>
        <v>novembro de 2031</v>
      </c>
      <c r="B203" s="13">
        <v>48153</v>
      </c>
      <c r="C203" s="13">
        <v>48182.999305555553</v>
      </c>
    </row>
    <row r="204" spans="1:3" x14ac:dyDescent="0.25">
      <c r="A204" s="1" t="str">
        <f t="shared" si="4"/>
        <v>dezembro de 2031</v>
      </c>
      <c r="B204" s="13">
        <v>48183</v>
      </c>
      <c r="C204" s="13">
        <v>48213.999305555553</v>
      </c>
    </row>
    <row r="205" spans="1:3" x14ac:dyDescent="0.25">
      <c r="A205" s="1" t="str">
        <f t="shared" si="4"/>
        <v>janeiro de 2032</v>
      </c>
      <c r="B205" s="13">
        <v>48214</v>
      </c>
      <c r="C205" s="13">
        <v>48244.999305555553</v>
      </c>
    </row>
    <row r="206" spans="1:3" x14ac:dyDescent="0.25">
      <c r="A206" s="1" t="str">
        <f t="shared" si="4"/>
        <v>fevereiro de 2032</v>
      </c>
      <c r="B206" s="13">
        <v>48245</v>
      </c>
      <c r="C206" s="13">
        <v>48273.999305555553</v>
      </c>
    </row>
    <row r="207" spans="1:3" x14ac:dyDescent="0.25">
      <c r="A207" s="1" t="str">
        <f t="shared" si="4"/>
        <v>março de 2032</v>
      </c>
      <c r="B207" s="13">
        <v>48274</v>
      </c>
      <c r="C207" s="13">
        <v>48304.999305555553</v>
      </c>
    </row>
    <row r="208" spans="1:3" x14ac:dyDescent="0.25">
      <c r="A208" s="1" t="str">
        <f t="shared" si="4"/>
        <v>abril de 2032</v>
      </c>
      <c r="B208" s="13">
        <v>48305</v>
      </c>
      <c r="C208" s="13">
        <v>48334.999305555553</v>
      </c>
    </row>
    <row r="209" spans="1:6" x14ac:dyDescent="0.25">
      <c r="A209" s="1" t="str">
        <f t="shared" si="4"/>
        <v>maio de 2032</v>
      </c>
      <c r="B209" s="13">
        <v>48335</v>
      </c>
      <c r="C209" s="13">
        <v>48365.999305555553</v>
      </c>
    </row>
    <row r="210" spans="1:6" x14ac:dyDescent="0.25">
      <c r="A210" s="1" t="str">
        <f t="shared" si="4"/>
        <v>junho de 2032</v>
      </c>
      <c r="B210" s="13">
        <v>48366</v>
      </c>
      <c r="C210" s="13">
        <v>48395.999305555553</v>
      </c>
    </row>
    <row r="211" spans="1:6" x14ac:dyDescent="0.25">
      <c r="A211" s="1" t="str">
        <f t="shared" si="4"/>
        <v>julho de 2032</v>
      </c>
      <c r="B211" s="13">
        <v>48396</v>
      </c>
      <c r="C211" s="13">
        <v>48426.999305555553</v>
      </c>
    </row>
    <row r="212" spans="1:6" x14ac:dyDescent="0.25">
      <c r="A212" s="1" t="str">
        <f t="shared" si="4"/>
        <v>agosto de 2032</v>
      </c>
      <c r="B212" s="13">
        <v>48427</v>
      </c>
      <c r="C212" s="13">
        <v>48457.999305555553</v>
      </c>
    </row>
    <row r="213" spans="1:6" x14ac:dyDescent="0.25">
      <c r="A213" s="1" t="str">
        <f>CONCATENATE(TEXT(B213,"MMMM")," de ",TEXT(B213,"AAAA"))</f>
        <v>setembro de 2032</v>
      </c>
      <c r="B213" s="13">
        <v>48458</v>
      </c>
      <c r="C213" s="13">
        <v>48487.999305555553</v>
      </c>
    </row>
    <row r="220" spans="1:6" x14ac:dyDescent="0.25">
      <c r="A220" s="12" t="s">
        <v>3</v>
      </c>
      <c r="B220" s="14" t="s">
        <v>46</v>
      </c>
    </row>
    <row r="221" spans="1:6" x14ac:dyDescent="0.25">
      <c r="A221" s="12" t="s">
        <v>26</v>
      </c>
      <c r="B221" s="14" t="s">
        <v>47</v>
      </c>
      <c r="C221" s="14" t="s">
        <v>48</v>
      </c>
      <c r="D221" s="54">
        <v>1760</v>
      </c>
      <c r="E221" s="12">
        <v>1</v>
      </c>
      <c r="F221" s="42"/>
    </row>
    <row r="222" spans="1:6" x14ac:dyDescent="0.25">
      <c r="A222" s="12" t="s">
        <v>24</v>
      </c>
      <c r="B222" s="14" t="s">
        <v>49</v>
      </c>
      <c r="C222" s="14" t="s">
        <v>50</v>
      </c>
      <c r="D222" s="54">
        <v>1043</v>
      </c>
      <c r="E222" s="12">
        <v>1</v>
      </c>
      <c r="F222" s="42"/>
    </row>
    <row r="223" spans="1:6" x14ac:dyDescent="0.25">
      <c r="A223" s="12" t="s">
        <v>42</v>
      </c>
      <c r="B223" s="14" t="s">
        <v>51</v>
      </c>
      <c r="C223" s="14" t="s">
        <v>52</v>
      </c>
      <c r="D223" s="54">
        <v>780</v>
      </c>
      <c r="E223" s="12">
        <v>2</v>
      </c>
      <c r="F223" s="43"/>
    </row>
    <row r="224" spans="1:6" x14ac:dyDescent="0.25">
      <c r="A224" s="12" t="s">
        <v>41</v>
      </c>
      <c r="B224" s="14" t="s">
        <v>53</v>
      </c>
      <c r="C224" s="14" t="s">
        <v>54</v>
      </c>
      <c r="D224" s="54">
        <v>1043</v>
      </c>
      <c r="E224" s="12">
        <v>3</v>
      </c>
      <c r="F224" s="44"/>
    </row>
    <row r="225" spans="1:6" x14ac:dyDescent="0.25">
      <c r="A225" s="12" t="s">
        <v>43</v>
      </c>
      <c r="B225" s="14" t="s">
        <v>55</v>
      </c>
      <c r="C225" s="14" t="s">
        <v>56</v>
      </c>
      <c r="D225" s="54">
        <v>787</v>
      </c>
      <c r="E225" s="12">
        <v>3</v>
      </c>
      <c r="F225" s="44"/>
    </row>
    <row r="226" spans="1:6" x14ac:dyDescent="0.25">
      <c r="A226" s="12" t="s">
        <v>40</v>
      </c>
      <c r="B226" s="14" t="s">
        <v>57</v>
      </c>
      <c r="C226" s="14" t="s">
        <v>56</v>
      </c>
      <c r="D226" s="54">
        <v>787</v>
      </c>
      <c r="E226" s="12">
        <v>2</v>
      </c>
      <c r="F226" s="43"/>
    </row>
    <row r="227" spans="1:6" x14ac:dyDescent="0.25">
      <c r="A227" s="12" t="s">
        <v>45</v>
      </c>
      <c r="B227" s="14" t="s">
        <v>58</v>
      </c>
      <c r="C227" s="14" t="s">
        <v>56</v>
      </c>
      <c r="D227" s="54">
        <v>787</v>
      </c>
      <c r="E227" s="12">
        <v>3</v>
      </c>
      <c r="F227" s="44"/>
    </row>
    <row r="228" spans="1:6" x14ac:dyDescent="0.25">
      <c r="A228" s="12" t="s">
        <v>44</v>
      </c>
      <c r="B228" s="14" t="s">
        <v>59</v>
      </c>
      <c r="C228" s="14" t="s">
        <v>56</v>
      </c>
      <c r="D228" s="54">
        <v>787</v>
      </c>
      <c r="E228" s="12">
        <v>3</v>
      </c>
      <c r="F228" s="44"/>
    </row>
    <row r="229" spans="1:6" x14ac:dyDescent="0.25">
      <c r="A229" s="12" t="s">
        <v>127</v>
      </c>
      <c r="B229" s="14" t="s">
        <v>60</v>
      </c>
      <c r="C229" s="14" t="s">
        <v>61</v>
      </c>
      <c r="D229" s="54">
        <v>1043</v>
      </c>
      <c r="E229" s="12">
        <v>3</v>
      </c>
      <c r="F229" s="44"/>
    </row>
    <row r="230" spans="1:6" x14ac:dyDescent="0.25">
      <c r="A230" s="12" t="s">
        <v>22</v>
      </c>
      <c r="B230" s="14" t="s">
        <v>62</v>
      </c>
      <c r="C230" s="14" t="s">
        <v>61</v>
      </c>
      <c r="D230" s="54">
        <v>1043</v>
      </c>
      <c r="E230" s="12">
        <v>1</v>
      </c>
      <c r="F230" s="42"/>
    </row>
    <row r="231" spans="1:6" x14ac:dyDescent="0.25">
      <c r="A231" s="12" t="s">
        <v>130</v>
      </c>
      <c r="B231" s="14" t="s">
        <v>63</v>
      </c>
      <c r="C231" s="14" t="s">
        <v>64</v>
      </c>
      <c r="D231" s="54">
        <v>1043</v>
      </c>
      <c r="E231" s="12">
        <v>1</v>
      </c>
      <c r="F231" s="42"/>
    </row>
    <row r="232" spans="1:6" x14ac:dyDescent="0.25">
      <c r="A232" s="12" t="s">
        <v>23</v>
      </c>
      <c r="B232" s="14" t="s">
        <v>65</v>
      </c>
      <c r="C232" s="14" t="s">
        <v>64</v>
      </c>
      <c r="D232" s="54">
        <v>1043</v>
      </c>
      <c r="E232" s="12">
        <v>1</v>
      </c>
      <c r="F232" s="42"/>
    </row>
    <row r="233" spans="1:6" x14ac:dyDescent="0.25">
      <c r="A233" s="12" t="s">
        <v>25</v>
      </c>
      <c r="B233" s="14" t="s">
        <v>66</v>
      </c>
      <c r="C233" s="14" t="s">
        <v>50</v>
      </c>
      <c r="D233" s="54">
        <v>1024</v>
      </c>
      <c r="E233" s="12">
        <v>4</v>
      </c>
      <c r="F233" s="45"/>
    </row>
    <row r="234" spans="1:6" x14ac:dyDescent="0.25">
      <c r="A234" s="12" t="s">
        <v>126</v>
      </c>
      <c r="B234" s="14" t="s">
        <v>67</v>
      </c>
      <c r="C234" s="14" t="s">
        <v>68</v>
      </c>
      <c r="D234" s="54">
        <v>1300</v>
      </c>
      <c r="E234" s="12">
        <v>1</v>
      </c>
      <c r="F234" s="42"/>
    </row>
    <row r="235" spans="1:6" x14ac:dyDescent="0.25">
      <c r="A235" s="12" t="s">
        <v>34</v>
      </c>
      <c r="B235" s="14" t="s">
        <v>69</v>
      </c>
      <c r="C235" s="14" t="s">
        <v>70</v>
      </c>
      <c r="D235" s="54">
        <v>787</v>
      </c>
      <c r="E235" s="12">
        <v>3</v>
      </c>
      <c r="F235" s="44"/>
    </row>
    <row r="236" spans="1:6" x14ac:dyDescent="0.25">
      <c r="A236" s="12" t="s">
        <v>35</v>
      </c>
      <c r="B236" s="14" t="s">
        <v>71</v>
      </c>
      <c r="C236" s="14" t="s">
        <v>72</v>
      </c>
      <c r="D236" s="54">
        <v>787</v>
      </c>
      <c r="E236" s="12">
        <v>3</v>
      </c>
      <c r="F236" s="44"/>
    </row>
    <row r="237" spans="1:6" x14ac:dyDescent="0.25">
      <c r="A237" s="12" t="s">
        <v>27</v>
      </c>
      <c r="B237" s="14" t="s">
        <v>73</v>
      </c>
      <c r="C237" s="14" t="s">
        <v>68</v>
      </c>
      <c r="D237" s="54">
        <v>1300</v>
      </c>
      <c r="E237" s="12">
        <v>1</v>
      </c>
      <c r="F237" s="42"/>
    </row>
    <row r="238" spans="1:6" x14ac:dyDescent="0.25">
      <c r="A238" s="12" t="s">
        <v>74</v>
      </c>
      <c r="B238" s="14" t="s">
        <v>75</v>
      </c>
      <c r="C238" s="14" t="s">
        <v>76</v>
      </c>
      <c r="D238" s="54">
        <v>0</v>
      </c>
      <c r="E238" s="12">
        <v>3</v>
      </c>
      <c r="F238" s="44"/>
    </row>
    <row r="239" spans="1:6" x14ac:dyDescent="0.25">
      <c r="A239" s="12" t="s">
        <v>28</v>
      </c>
      <c r="B239" s="14" t="s">
        <v>77</v>
      </c>
      <c r="C239" s="14" t="s">
        <v>78</v>
      </c>
      <c r="D239" s="54">
        <v>2704</v>
      </c>
      <c r="E239" s="12">
        <v>5</v>
      </c>
      <c r="F239" s="46"/>
    </row>
    <row r="240" spans="1:6" x14ac:dyDescent="0.25">
      <c r="A240" s="12" t="s">
        <v>29</v>
      </c>
      <c r="B240" s="14" t="s">
        <v>79</v>
      </c>
      <c r="C240" s="14" t="s">
        <v>78</v>
      </c>
      <c r="D240" s="54">
        <v>2704</v>
      </c>
      <c r="E240" s="12">
        <v>5</v>
      </c>
      <c r="F240" s="46"/>
    </row>
    <row r="241" spans="1:6" x14ac:dyDescent="0.25">
      <c r="A241" s="12" t="s">
        <v>30</v>
      </c>
      <c r="B241" s="14" t="s">
        <v>80</v>
      </c>
      <c r="C241" s="14" t="s">
        <v>78</v>
      </c>
      <c r="D241" s="54">
        <v>2704</v>
      </c>
      <c r="E241" s="12">
        <v>6</v>
      </c>
      <c r="F241" s="47"/>
    </row>
    <row r="242" spans="1:6" x14ac:dyDescent="0.25">
      <c r="A242" s="50" t="s">
        <v>31</v>
      </c>
      <c r="B242" s="51" t="s">
        <v>81</v>
      </c>
      <c r="C242" s="14" t="s">
        <v>78</v>
      </c>
      <c r="D242" s="54">
        <v>2704</v>
      </c>
      <c r="E242" s="12">
        <v>7</v>
      </c>
      <c r="F242" s="48"/>
    </row>
    <row r="243" spans="1:6" x14ac:dyDescent="0.25">
      <c r="A243" s="50" t="s">
        <v>32</v>
      </c>
      <c r="B243" s="51" t="s">
        <v>82</v>
      </c>
      <c r="C243" s="14" t="s">
        <v>78</v>
      </c>
      <c r="D243" s="54">
        <v>2704</v>
      </c>
      <c r="E243" s="12">
        <v>1</v>
      </c>
      <c r="F243" s="53"/>
    </row>
    <row r="244" spans="1:6" x14ac:dyDescent="0.25">
      <c r="A244" s="50" t="s">
        <v>124</v>
      </c>
      <c r="B244" s="51" t="s">
        <v>123</v>
      </c>
      <c r="C244" s="14" t="s">
        <v>78</v>
      </c>
      <c r="D244" s="54">
        <v>2704</v>
      </c>
      <c r="E244" s="12">
        <v>1</v>
      </c>
      <c r="F244" s="53"/>
    </row>
    <row r="245" spans="1:6" x14ac:dyDescent="0.25">
      <c r="A245" s="12" t="s">
        <v>33</v>
      </c>
      <c r="B245" s="14" t="s">
        <v>83</v>
      </c>
      <c r="C245" s="14" t="s">
        <v>68</v>
      </c>
      <c r="D245" s="54">
        <v>1300</v>
      </c>
      <c r="E245" s="12">
        <v>3</v>
      </c>
      <c r="F245" s="44"/>
    </row>
    <row r="246" spans="1:6" x14ac:dyDescent="0.25">
      <c r="A246" s="12" t="s">
        <v>128</v>
      </c>
      <c r="B246" s="14" t="s">
        <v>129</v>
      </c>
      <c r="C246" s="14" t="s">
        <v>78</v>
      </c>
      <c r="D246" s="54">
        <v>2704</v>
      </c>
      <c r="E246" s="12">
        <v>1</v>
      </c>
      <c r="F246" s="42"/>
    </row>
    <row r="247" spans="1:6" x14ac:dyDescent="0.25">
      <c r="A247" s="12" t="s">
        <v>131</v>
      </c>
      <c r="B247" s="14" t="s">
        <v>132</v>
      </c>
      <c r="C247" s="14" t="s">
        <v>68</v>
      </c>
      <c r="D247" s="58">
        <v>1300</v>
      </c>
      <c r="E247" s="12">
        <v>3</v>
      </c>
      <c r="F247" s="44"/>
    </row>
    <row r="270" spans="1:2" x14ac:dyDescent="0.25">
      <c r="A270">
        <v>5</v>
      </c>
      <c r="B270" s="13" t="s">
        <v>84</v>
      </c>
    </row>
    <row r="271" spans="1:2" x14ac:dyDescent="0.25">
      <c r="A271" s="15">
        <v>4</v>
      </c>
      <c r="B271" t="s">
        <v>85</v>
      </c>
    </row>
    <row r="272" spans="1:2" x14ac:dyDescent="0.25">
      <c r="A272" s="15">
        <v>3</v>
      </c>
      <c r="B272" t="s">
        <v>86</v>
      </c>
    </row>
    <row r="273" spans="1:2" x14ac:dyDescent="0.25">
      <c r="A273" s="15">
        <v>2</v>
      </c>
      <c r="B273" t="s">
        <v>87</v>
      </c>
    </row>
    <row r="274" spans="1:2" x14ac:dyDescent="0.25">
      <c r="A274" s="15">
        <v>1</v>
      </c>
      <c r="B274" t="s">
        <v>88</v>
      </c>
    </row>
    <row r="337" spans="1:3" x14ac:dyDescent="0.25">
      <c r="A337" t="s">
        <v>26</v>
      </c>
      <c r="B337" s="13" t="s">
        <v>48</v>
      </c>
      <c r="C337" s="16">
        <v>1760</v>
      </c>
    </row>
    <row r="338" spans="1:3" x14ac:dyDescent="0.25">
      <c r="A338" t="s">
        <v>28</v>
      </c>
      <c r="B338" s="13" t="s">
        <v>89</v>
      </c>
      <c r="C338" s="16">
        <v>1760</v>
      </c>
    </row>
    <row r="339" spans="1:3" x14ac:dyDescent="0.25">
      <c r="A339" t="s">
        <v>27</v>
      </c>
      <c r="B339" s="13" t="s">
        <v>90</v>
      </c>
      <c r="C339" s="16">
        <v>1300</v>
      </c>
    </row>
    <row r="340" spans="1:3" x14ac:dyDescent="0.25">
      <c r="A340" t="s">
        <v>24</v>
      </c>
      <c r="B340" s="13" t="s">
        <v>91</v>
      </c>
      <c r="C340" s="16">
        <v>1043</v>
      </c>
    </row>
    <row r="341" spans="1:3" x14ac:dyDescent="0.25">
      <c r="A341" t="s">
        <v>126</v>
      </c>
      <c r="B341" s="13" t="s">
        <v>90</v>
      </c>
      <c r="C341" s="16">
        <v>1300</v>
      </c>
    </row>
    <row r="342" spans="1:3" x14ac:dyDescent="0.25">
      <c r="A342" t="s">
        <v>40</v>
      </c>
      <c r="B342" s="13" t="s">
        <v>92</v>
      </c>
      <c r="C342" s="16">
        <v>787</v>
      </c>
    </row>
    <row r="343" spans="1:3" x14ac:dyDescent="0.25">
      <c r="A343" t="s">
        <v>41</v>
      </c>
      <c r="B343" s="13" t="s">
        <v>93</v>
      </c>
      <c r="C343" s="16">
        <v>1043</v>
      </c>
    </row>
    <row r="344" spans="1:3" x14ac:dyDescent="0.25">
      <c r="A344" t="s">
        <v>130</v>
      </c>
      <c r="B344" s="13" t="s">
        <v>94</v>
      </c>
      <c r="C344" s="16">
        <v>1043</v>
      </c>
    </row>
    <row r="345" spans="1:3" x14ac:dyDescent="0.25">
      <c r="A345" t="s">
        <v>42</v>
      </c>
      <c r="B345" s="13" t="s">
        <v>95</v>
      </c>
      <c r="C345" s="16">
        <v>780</v>
      </c>
    </row>
    <row r="346" spans="1:3" x14ac:dyDescent="0.25">
      <c r="A346" t="s">
        <v>23</v>
      </c>
      <c r="B346" s="13" t="s">
        <v>94</v>
      </c>
      <c r="C346" s="16">
        <v>1043</v>
      </c>
    </row>
    <row r="347" spans="1:3" x14ac:dyDescent="0.25">
      <c r="A347" t="s">
        <v>127</v>
      </c>
      <c r="B347" s="13" t="s">
        <v>96</v>
      </c>
      <c r="C347" s="16">
        <v>1043</v>
      </c>
    </row>
    <row r="348" spans="1:3" x14ac:dyDescent="0.25">
      <c r="A348" t="s">
        <v>22</v>
      </c>
      <c r="B348" s="13" t="s">
        <v>96</v>
      </c>
      <c r="C348" s="16">
        <v>1043</v>
      </c>
    </row>
    <row r="349" spans="1:3" x14ac:dyDescent="0.25">
      <c r="A349" t="s">
        <v>43</v>
      </c>
      <c r="B349" s="13" t="s">
        <v>97</v>
      </c>
      <c r="C349" s="16">
        <v>787</v>
      </c>
    </row>
    <row r="350" spans="1:3" x14ac:dyDescent="0.25">
      <c r="A350" t="s">
        <v>44</v>
      </c>
      <c r="B350" s="13" t="s">
        <v>92</v>
      </c>
      <c r="C350" s="16">
        <v>787</v>
      </c>
    </row>
    <row r="351" spans="1:3" x14ac:dyDescent="0.25">
      <c r="A351" t="s">
        <v>45</v>
      </c>
      <c r="B351" s="13" t="s">
        <v>92</v>
      </c>
      <c r="C351" s="16">
        <v>787</v>
      </c>
    </row>
    <row r="352" spans="1:3" x14ac:dyDescent="0.25">
      <c r="A352" t="s">
        <v>25</v>
      </c>
      <c r="B352" s="13" t="s">
        <v>91</v>
      </c>
      <c r="C352" s="16">
        <v>1024</v>
      </c>
    </row>
    <row r="353" spans="1:3" x14ac:dyDescent="0.25">
      <c r="A353" t="s">
        <v>35</v>
      </c>
      <c r="B353" s="13" t="s">
        <v>98</v>
      </c>
      <c r="C353" s="16">
        <v>787</v>
      </c>
    </row>
    <row r="354" spans="1:3" x14ac:dyDescent="0.25">
      <c r="A354" t="s">
        <v>34</v>
      </c>
      <c r="B354" s="13" t="s">
        <v>99</v>
      </c>
      <c r="C354" s="16">
        <v>787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BD8D-97AA-48F4-BAE3-BF7AED4D987E}">
  <sheetPr codeName="Planilha15"/>
  <dimension ref="A1:B83"/>
  <sheetViews>
    <sheetView topLeftCell="A55" workbookViewId="0">
      <selection activeCell="C82" sqref="C82"/>
    </sheetView>
  </sheetViews>
  <sheetFormatPr defaultRowHeight="11.25" x14ac:dyDescent="0.2"/>
  <cols>
    <col min="1" max="1" width="7.7109375" style="56" bestFit="1" customWidth="1"/>
    <col min="2" max="16384" width="9.140625" style="56"/>
  </cols>
  <sheetData>
    <row r="1" spans="1:2" x14ac:dyDescent="0.2">
      <c r="A1" s="56" t="s">
        <v>26</v>
      </c>
      <c r="B1" s="56">
        <v>1</v>
      </c>
    </row>
    <row r="2" spans="1:2" x14ac:dyDescent="0.2">
      <c r="A2" s="56" t="s">
        <v>24</v>
      </c>
      <c r="B2" s="56">
        <v>2</v>
      </c>
    </row>
    <row r="3" spans="1:2" x14ac:dyDescent="0.2">
      <c r="A3" s="56" t="s">
        <v>28</v>
      </c>
      <c r="B3" s="56">
        <v>3</v>
      </c>
    </row>
    <row r="4" spans="1:2" x14ac:dyDescent="0.2">
      <c r="A4" s="56" t="s">
        <v>30</v>
      </c>
      <c r="B4" s="56">
        <v>4</v>
      </c>
    </row>
    <row r="5" spans="1:2" x14ac:dyDescent="0.2">
      <c r="A5" s="56" t="s">
        <v>33</v>
      </c>
      <c r="B5" s="56">
        <v>5</v>
      </c>
    </row>
    <row r="6" spans="1:2" x14ac:dyDescent="0.2">
      <c r="A6" s="56" t="s">
        <v>31</v>
      </c>
      <c r="B6" s="56">
        <v>6</v>
      </c>
    </row>
    <row r="7" spans="1:2" x14ac:dyDescent="0.2">
      <c r="A7" s="56" t="s">
        <v>124</v>
      </c>
      <c r="B7" s="56">
        <v>7</v>
      </c>
    </row>
    <row r="8" spans="1:2" x14ac:dyDescent="0.2">
      <c r="A8" s="56" t="s">
        <v>27</v>
      </c>
      <c r="B8" s="56">
        <v>8</v>
      </c>
    </row>
    <row r="9" spans="1:2" x14ac:dyDescent="0.2">
      <c r="A9" s="56" t="s">
        <v>126</v>
      </c>
      <c r="B9" s="56">
        <v>9</v>
      </c>
    </row>
    <row r="10" spans="1:2" x14ac:dyDescent="0.2">
      <c r="A10" s="56" t="s">
        <v>32</v>
      </c>
      <c r="B10" s="56">
        <v>10</v>
      </c>
    </row>
    <row r="11" spans="1:2" x14ac:dyDescent="0.2">
      <c r="A11" s="56" t="s">
        <v>29</v>
      </c>
      <c r="B11" s="56">
        <v>11</v>
      </c>
    </row>
    <row r="12" spans="1:2" x14ac:dyDescent="0.2">
      <c r="A12" s="56" t="s">
        <v>40</v>
      </c>
      <c r="B12" s="56">
        <v>12</v>
      </c>
    </row>
    <row r="13" spans="1:2" x14ac:dyDescent="0.2">
      <c r="A13" s="56" t="s">
        <v>41</v>
      </c>
      <c r="B13" s="56">
        <v>13</v>
      </c>
    </row>
    <row r="14" spans="1:2" x14ac:dyDescent="0.2">
      <c r="A14" s="56" t="s">
        <v>121</v>
      </c>
      <c r="B14" s="56">
        <v>14</v>
      </c>
    </row>
    <row r="15" spans="1:2" x14ac:dyDescent="0.2">
      <c r="A15" s="56" t="s">
        <v>117</v>
      </c>
      <c r="B15" s="56">
        <v>15</v>
      </c>
    </row>
    <row r="16" spans="1:2" x14ac:dyDescent="0.2">
      <c r="A16" s="56" t="s">
        <v>130</v>
      </c>
      <c r="B16" s="56">
        <v>16</v>
      </c>
    </row>
    <row r="17" spans="1:2" x14ac:dyDescent="0.2">
      <c r="A17" s="56" t="s">
        <v>122</v>
      </c>
      <c r="B17" s="56">
        <v>17</v>
      </c>
    </row>
    <row r="18" spans="1:2" x14ac:dyDescent="0.2">
      <c r="A18" s="56" t="s">
        <v>120</v>
      </c>
      <c r="B18" s="56">
        <v>18</v>
      </c>
    </row>
    <row r="19" spans="1:2" x14ac:dyDescent="0.2">
      <c r="A19" s="56" t="s">
        <v>42</v>
      </c>
      <c r="B19" s="56">
        <v>19</v>
      </c>
    </row>
    <row r="20" spans="1:2" x14ac:dyDescent="0.2">
      <c r="A20" s="56" t="s">
        <v>113</v>
      </c>
      <c r="B20" s="56">
        <v>20</v>
      </c>
    </row>
    <row r="21" spans="1:2" x14ac:dyDescent="0.2">
      <c r="A21" s="56" t="s">
        <v>114</v>
      </c>
      <c r="B21" s="56">
        <v>21</v>
      </c>
    </row>
    <row r="22" spans="1:2" x14ac:dyDescent="0.2">
      <c r="A22" s="56" t="s">
        <v>115</v>
      </c>
      <c r="B22" s="56">
        <v>22</v>
      </c>
    </row>
    <row r="23" spans="1:2" x14ac:dyDescent="0.2">
      <c r="A23" s="56" t="s">
        <v>23</v>
      </c>
      <c r="B23" s="56">
        <v>23</v>
      </c>
    </row>
    <row r="24" spans="1:2" x14ac:dyDescent="0.2">
      <c r="A24" s="56" t="s">
        <v>118</v>
      </c>
      <c r="B24" s="56">
        <v>24</v>
      </c>
    </row>
    <row r="25" spans="1:2" x14ac:dyDescent="0.2">
      <c r="A25" s="56" t="s">
        <v>119</v>
      </c>
      <c r="B25" s="56">
        <v>25</v>
      </c>
    </row>
    <row r="26" spans="1:2" x14ac:dyDescent="0.2">
      <c r="A26" s="56" t="s">
        <v>43</v>
      </c>
      <c r="B26" s="56">
        <v>26</v>
      </c>
    </row>
    <row r="27" spans="1:2" x14ac:dyDescent="0.2">
      <c r="A27" s="56" t="s">
        <v>44</v>
      </c>
      <c r="B27" s="56">
        <v>27</v>
      </c>
    </row>
    <row r="28" spans="1:2" x14ac:dyDescent="0.2">
      <c r="A28" s="56" t="s">
        <v>45</v>
      </c>
      <c r="B28" s="56">
        <v>28</v>
      </c>
    </row>
    <row r="29" spans="1:2" x14ac:dyDescent="0.2">
      <c r="A29" s="56" t="s">
        <v>116</v>
      </c>
      <c r="B29" s="56">
        <v>29</v>
      </c>
    </row>
    <row r="30" spans="1:2" x14ac:dyDescent="0.2">
      <c r="A30" s="56" t="s">
        <v>25</v>
      </c>
      <c r="B30" s="56">
        <v>30</v>
      </c>
    </row>
    <row r="31" spans="1:2" x14ac:dyDescent="0.2">
      <c r="A31" s="56" t="s">
        <v>128</v>
      </c>
      <c r="B31" s="56">
        <v>31</v>
      </c>
    </row>
    <row r="32" spans="1:2" x14ac:dyDescent="0.2">
      <c r="A32" s="56" t="s">
        <v>131</v>
      </c>
      <c r="B32" s="56">
        <v>32</v>
      </c>
    </row>
    <row r="33" spans="1:2" x14ac:dyDescent="0.2">
      <c r="A33" s="142" t="s">
        <v>127</v>
      </c>
      <c r="B33" s="142">
        <v>33</v>
      </c>
    </row>
    <row r="34" spans="1:2" x14ac:dyDescent="0.2">
      <c r="A34" s="142" t="s">
        <v>22</v>
      </c>
      <c r="B34" s="142">
        <v>34</v>
      </c>
    </row>
    <row r="35" spans="1:2" x14ac:dyDescent="0.2">
      <c r="A35" s="143" t="s">
        <v>34</v>
      </c>
      <c r="B35" s="143">
        <v>35</v>
      </c>
    </row>
    <row r="36" spans="1:2" x14ac:dyDescent="0.2">
      <c r="A36" s="143" t="s">
        <v>35</v>
      </c>
      <c r="B36" s="143">
        <v>36</v>
      </c>
    </row>
    <row r="64" spans="1:2" x14ac:dyDescent="0.2">
      <c r="A64" s="56">
        <v>1</v>
      </c>
      <c r="B64" s="56" t="s">
        <v>262</v>
      </c>
    </row>
    <row r="65" spans="1:2" x14ac:dyDescent="0.2">
      <c r="A65" s="56">
        <v>2</v>
      </c>
      <c r="B65" s="56" t="s">
        <v>268</v>
      </c>
    </row>
    <row r="66" spans="1:2" x14ac:dyDescent="0.2">
      <c r="A66" s="56">
        <v>3</v>
      </c>
      <c r="B66" s="56" t="s">
        <v>260</v>
      </c>
    </row>
    <row r="67" spans="1:2" x14ac:dyDescent="0.2">
      <c r="A67" s="56">
        <v>4</v>
      </c>
      <c r="B67" s="56" t="s">
        <v>258</v>
      </c>
    </row>
    <row r="68" spans="1:2" x14ac:dyDescent="0.2">
      <c r="A68" s="56">
        <v>5</v>
      </c>
      <c r="B68" s="56" t="s">
        <v>254</v>
      </c>
    </row>
    <row r="69" spans="1:2" x14ac:dyDescent="0.2">
      <c r="A69" s="56">
        <v>6</v>
      </c>
      <c r="B69" s="56" t="s">
        <v>263</v>
      </c>
    </row>
    <row r="70" spans="1:2" x14ac:dyDescent="0.2">
      <c r="A70" s="56">
        <v>7</v>
      </c>
      <c r="B70" s="56" t="s">
        <v>266</v>
      </c>
    </row>
    <row r="71" spans="1:2" x14ac:dyDescent="0.2">
      <c r="A71" s="56">
        <v>8</v>
      </c>
      <c r="B71" s="56" t="s">
        <v>267</v>
      </c>
    </row>
    <row r="72" spans="1:2" x14ac:dyDescent="0.2">
      <c r="A72" s="56">
        <v>9</v>
      </c>
      <c r="B72" s="56" t="s">
        <v>264</v>
      </c>
    </row>
    <row r="73" spans="1:2" x14ac:dyDescent="0.2">
      <c r="A73" s="56">
        <v>10</v>
      </c>
      <c r="B73" s="56" t="s">
        <v>269</v>
      </c>
    </row>
    <row r="74" spans="1:2" x14ac:dyDescent="0.2">
      <c r="A74" s="56">
        <v>11</v>
      </c>
      <c r="B74" s="56" t="s">
        <v>273</v>
      </c>
    </row>
    <row r="75" spans="1:2" x14ac:dyDescent="0.2">
      <c r="A75" s="56">
        <v>12</v>
      </c>
      <c r="B75" s="56" t="s">
        <v>265</v>
      </c>
    </row>
    <row r="76" spans="1:2" x14ac:dyDescent="0.2">
      <c r="A76" s="56">
        <v>13</v>
      </c>
      <c r="B76" s="56" t="s">
        <v>259</v>
      </c>
    </row>
    <row r="77" spans="1:2" x14ac:dyDescent="0.2">
      <c r="A77" s="56">
        <v>14</v>
      </c>
      <c r="B77" s="56" t="s">
        <v>261</v>
      </c>
    </row>
    <row r="78" spans="1:2" x14ac:dyDescent="0.2">
      <c r="A78" s="56">
        <v>15</v>
      </c>
      <c r="B78" s="56" t="s">
        <v>257</v>
      </c>
    </row>
    <row r="79" spans="1:2" x14ac:dyDescent="0.2">
      <c r="A79" s="56">
        <v>16</v>
      </c>
      <c r="B79" s="56" t="s">
        <v>275</v>
      </c>
    </row>
    <row r="80" spans="1:2" x14ac:dyDescent="0.2">
      <c r="A80" s="56">
        <v>17</v>
      </c>
      <c r="B80" s="56" t="s">
        <v>256</v>
      </c>
    </row>
    <row r="81" spans="1:2" x14ac:dyDescent="0.2">
      <c r="A81" s="56">
        <v>18</v>
      </c>
      <c r="B81" s="56" t="s">
        <v>255</v>
      </c>
    </row>
    <row r="82" spans="1:2" x14ac:dyDescent="0.2">
      <c r="A82" s="56">
        <v>19</v>
      </c>
      <c r="B82" s="56" t="s">
        <v>278</v>
      </c>
    </row>
    <row r="83" spans="1:2" x14ac:dyDescent="0.2">
      <c r="A83" s="56">
        <v>20</v>
      </c>
      <c r="B83" s="56" t="s">
        <v>277</v>
      </c>
    </row>
  </sheetData>
  <sortState xmlns:xlrd2="http://schemas.microsoft.com/office/spreadsheetml/2017/richdata2" ref="A1:A35">
    <sortCondition ref="A1:A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38C5-0C08-433E-9A7B-4A4526089492}">
  <sheetPr codeName="Planilha9">
    <pageSetUpPr fitToPage="1"/>
  </sheetPr>
  <dimension ref="A1:AN664"/>
  <sheetViews>
    <sheetView tabSelected="1" zoomScaleNormal="100" workbookViewId="0">
      <pane ySplit="2" topLeftCell="A542" activePane="bottomLeft" state="frozen"/>
      <selection activeCell="D1" sqref="D1"/>
      <selection pane="bottomLeft" activeCell="R687" sqref="R687"/>
    </sheetView>
  </sheetViews>
  <sheetFormatPr defaultColWidth="9.140625" defaultRowHeight="12" x14ac:dyDescent="0.25"/>
  <cols>
    <col min="1" max="3" width="5.140625" style="4" customWidth="1"/>
    <col min="4" max="4" width="9.28515625" style="4" bestFit="1" customWidth="1"/>
    <col min="5" max="5" width="11.85546875" style="86" bestFit="1" customWidth="1"/>
    <col min="6" max="6" width="10" style="87" bestFit="1" customWidth="1"/>
    <col min="7" max="7" width="10.85546875" style="87" bestFit="1" customWidth="1"/>
    <col min="8" max="8" width="12.5703125" style="88" bestFit="1" customWidth="1"/>
    <col min="9" max="9" width="13.140625" style="88" bestFit="1" customWidth="1"/>
    <col min="10" max="10" width="7.140625" style="89" customWidth="1"/>
    <col min="11" max="11" width="11.140625" style="90" customWidth="1"/>
    <col min="12" max="12" width="2.7109375" style="91" customWidth="1"/>
    <col min="13" max="13" width="5.85546875" style="87" customWidth="1"/>
    <col min="14" max="14" width="5.85546875" style="92" customWidth="1"/>
    <col min="15" max="15" width="7.42578125" style="4" customWidth="1"/>
    <col min="16" max="16" width="5.5703125" style="92" customWidth="1"/>
    <col min="17" max="17" width="5.85546875" style="4" customWidth="1"/>
    <col min="18" max="18" width="4.85546875" style="4" customWidth="1"/>
    <col min="19" max="19" width="9.42578125" style="4" customWidth="1"/>
    <col min="20" max="20" width="6.7109375" style="4" customWidth="1"/>
    <col min="21" max="21" width="14.140625" style="93" bestFit="1" customWidth="1"/>
    <col min="22" max="22" width="19.28515625" style="99" bestFit="1" customWidth="1"/>
    <col min="23" max="23" width="15.42578125" style="93" bestFit="1" customWidth="1"/>
    <col min="24" max="24" width="20.28515625" style="99" bestFit="1" customWidth="1"/>
    <col min="25" max="25" width="15.42578125" style="93" bestFit="1" customWidth="1"/>
    <col min="26" max="26" width="19.28515625" style="99" bestFit="1" customWidth="1"/>
    <col min="27" max="27" width="15.42578125" style="93" bestFit="1" customWidth="1"/>
    <col min="28" max="28" width="16" style="99" bestFit="1" customWidth="1"/>
    <col min="29" max="29" width="15.42578125" style="93" bestFit="1" customWidth="1"/>
    <col min="30" max="30" width="14.140625" style="99" bestFit="1" customWidth="1"/>
    <col min="31" max="31" width="15.42578125" style="119" bestFit="1" customWidth="1"/>
    <col min="32" max="32" width="15.140625" style="99" bestFit="1" customWidth="1"/>
    <col min="33" max="36" width="12.42578125" style="99" customWidth="1"/>
    <col min="37" max="37" width="5.85546875" style="94" customWidth="1"/>
    <col min="38" max="38" width="6.85546875" style="4" customWidth="1"/>
    <col min="39" max="39" width="12.7109375" style="4" customWidth="1"/>
    <col min="40" max="40" width="16" style="4" bestFit="1" customWidth="1"/>
    <col min="41" max="16384" width="9.140625" style="4"/>
  </cols>
  <sheetData>
    <row r="1" spans="1:40" ht="33.75" x14ac:dyDescent="0.25">
      <c r="A1" s="63"/>
      <c r="B1" s="63"/>
      <c r="C1" s="63"/>
      <c r="D1" s="63"/>
      <c r="E1" s="63"/>
      <c r="F1" s="177" t="s">
        <v>100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3"/>
      <c r="T1" s="63"/>
      <c r="U1" s="176" t="s">
        <v>238</v>
      </c>
      <c r="V1" s="97"/>
      <c r="W1" s="95"/>
      <c r="X1" s="141"/>
      <c r="Y1" s="95"/>
      <c r="Z1" s="97"/>
      <c r="AA1" s="95"/>
      <c r="AB1" s="97"/>
      <c r="AC1" s="95"/>
      <c r="AD1" s="97"/>
      <c r="AE1" s="95"/>
      <c r="AF1" s="97"/>
      <c r="AG1" s="97"/>
      <c r="AH1" s="97"/>
      <c r="AI1" s="97"/>
      <c r="AJ1" s="97"/>
      <c r="AK1" s="64"/>
      <c r="AL1" s="65"/>
      <c r="AM1" s="66"/>
      <c r="AN1" s="41">
        <f>COUNTIFS(N:N,"&gt;"&amp;0,M:M,"")</f>
        <v>211</v>
      </c>
    </row>
    <row r="2" spans="1:40" s="23" customFormat="1" ht="39" customHeight="1" x14ac:dyDescent="0.25">
      <c r="A2" s="73" t="s">
        <v>235</v>
      </c>
      <c r="B2" s="73" t="s">
        <v>271</v>
      </c>
      <c r="C2" s="73" t="s">
        <v>270</v>
      </c>
      <c r="D2" s="73" t="s">
        <v>274</v>
      </c>
      <c r="E2" s="67" t="s">
        <v>101</v>
      </c>
      <c r="F2" s="68" t="s">
        <v>3</v>
      </c>
      <c r="G2" s="68" t="s">
        <v>276</v>
      </c>
      <c r="H2" s="69" t="s">
        <v>125</v>
      </c>
      <c r="I2" s="69" t="s">
        <v>102</v>
      </c>
      <c r="J2" s="70" t="s">
        <v>103</v>
      </c>
      <c r="K2" s="71" t="s">
        <v>104</v>
      </c>
      <c r="L2" s="72" t="s">
        <v>105</v>
      </c>
      <c r="M2" s="68" t="s">
        <v>292</v>
      </c>
      <c r="N2" s="73" t="s">
        <v>14</v>
      </c>
      <c r="O2" s="74" t="s">
        <v>106</v>
      </c>
      <c r="P2" s="73" t="s">
        <v>107</v>
      </c>
      <c r="Q2" s="73" t="s">
        <v>163</v>
      </c>
      <c r="R2" s="73" t="s">
        <v>16</v>
      </c>
      <c r="S2" s="73" t="s">
        <v>3</v>
      </c>
      <c r="T2" s="73" t="s">
        <v>242</v>
      </c>
      <c r="U2" s="96" t="s">
        <v>223</v>
      </c>
      <c r="V2" s="114" t="s">
        <v>223</v>
      </c>
      <c r="W2" s="96" t="s">
        <v>223</v>
      </c>
      <c r="X2" s="114" t="s">
        <v>223</v>
      </c>
      <c r="Y2" s="96" t="s">
        <v>223</v>
      </c>
      <c r="Z2" s="114" t="s">
        <v>223</v>
      </c>
      <c r="AA2" s="96" t="s">
        <v>223</v>
      </c>
      <c r="AB2" s="114" t="s">
        <v>223</v>
      </c>
      <c r="AC2" s="96" t="s">
        <v>223</v>
      </c>
      <c r="AD2" s="114" t="s">
        <v>223</v>
      </c>
      <c r="AE2" s="96" t="s">
        <v>223</v>
      </c>
      <c r="AF2" s="114" t="s">
        <v>223</v>
      </c>
      <c r="AG2" s="96" t="s">
        <v>223</v>
      </c>
      <c r="AH2" s="114" t="s">
        <v>223</v>
      </c>
      <c r="AI2" s="96" t="s">
        <v>223</v>
      </c>
      <c r="AJ2" s="114" t="s">
        <v>223</v>
      </c>
      <c r="AK2" s="75" t="s">
        <v>108</v>
      </c>
      <c r="AL2" s="74" t="s">
        <v>109</v>
      </c>
      <c r="AM2" s="74" t="s">
        <v>110</v>
      </c>
    </row>
    <row r="3" spans="1:40" x14ac:dyDescent="0.25">
      <c r="A3" s="81"/>
      <c r="B3" s="81"/>
      <c r="C3" s="81"/>
      <c r="D3" s="144">
        <v>44866</v>
      </c>
      <c r="E3" s="76">
        <v>44866.032638888886</v>
      </c>
      <c r="F3" s="6" t="s">
        <v>33</v>
      </c>
      <c r="G3" s="5" t="str">
        <f>IFERROR(VLOOKUP(SUMIFS(MSOLICITADA!$I:$I,MSOLICITADA!$B:$B,D3,MSOLICITADA!$F:$F,F3),CODIGOSPLACAS!$A$64:$B$89,2,FALSE),"")</f>
        <v>JULIO</v>
      </c>
      <c r="H3" s="77">
        <v>151893</v>
      </c>
      <c r="I3" s="77">
        <v>152574</v>
      </c>
      <c r="J3" s="7">
        <v>372.77</v>
      </c>
      <c r="K3" s="78">
        <v>2441.65</v>
      </c>
      <c r="L3" s="79" t="s">
        <v>111</v>
      </c>
      <c r="M3" s="6">
        <v>340</v>
      </c>
      <c r="N3" s="5">
        <f t="shared" ref="N3:N66" si="0">IF(IF((I3-H3-M3)&lt;0,"ERRO",I3-H3-M3)=0,"",IF((I3-H3-M3)&lt;0,"ERRO",I3-H3-M3))</f>
        <v>341</v>
      </c>
      <c r="O3" s="80">
        <f t="shared" ref="O3:O66" si="1">IFERROR(K3/J3,"")</f>
        <v>6.5500174370255122</v>
      </c>
      <c r="P3" s="8">
        <f t="shared" ref="P3:P66" si="2">IF(F3&lt;&gt;"",(SUM(M3:N3)-AK3)/(J3-(AK3/5)),0)</f>
        <v>1.8268637497652709</v>
      </c>
      <c r="Q3" s="8">
        <f t="shared" ref="Q3:Q19" si="3">IFERROR((SUMIFS(M:M,D:D,D3,F:F,F3)+SUMIFS(N:N,D:D,D3,F:F,F3)-SUMIFS(AK:AK,D:D,D3,F:F,F3))/(SUMIFS(J:J,D:D,D3,F:F,F3)-(SUMIFS(AK:AK,D:D,D3,F:F,F3)/5)),"")</f>
        <v>1.7415645068481733</v>
      </c>
      <c r="R3" s="81">
        <f t="shared" ref="R3:R66" si="4">IFERROR(IF(M3/(I3-H3)=0,0,M3/(I3-H3)),0)</f>
        <v>0.49926578560939794</v>
      </c>
      <c r="S3" s="113" t="str">
        <f>IF(F3="","",IF(H3="",TEXT(_xlfn.MAXIFS($I$1:I3,$F$1:F3,F3,$H$1:H3,"&gt;"&amp;0),"000.000"),F3))</f>
        <v>GGF7G26</v>
      </c>
      <c r="T3" s="81"/>
      <c r="U3" s="82"/>
      <c r="V3" s="98"/>
      <c r="W3" s="82"/>
      <c r="X3" s="98"/>
      <c r="Y3" s="82"/>
      <c r="Z3" s="98"/>
      <c r="AA3" s="82"/>
      <c r="AB3" s="98"/>
      <c r="AC3" s="82"/>
      <c r="AD3" s="98"/>
      <c r="AE3" s="117"/>
      <c r="AF3" s="98"/>
      <c r="AG3" s="98"/>
      <c r="AH3" s="98"/>
      <c r="AI3" s="98"/>
      <c r="AJ3" s="98"/>
      <c r="AK3" s="83"/>
      <c r="AL3" s="84" t="str">
        <f>IF(F3&lt;&gt;0,IF(_xlfn.MAXIFS($I$1:I3,$F$1:F3,F3,$H$1:H3,"&gt;"&amp;0)=0,"KM NÃO ENCONTRADO",IF(H3=0,CONCATENATE("SUGESTÃO DE KM PARA PLACA ",F3," *",_xlfn.MAXIFS($I$1:I3,$F$1:F3,F3,$H$1:H3,"&gt;"&amp;0),"*"),"")),"")</f>
        <v/>
      </c>
      <c r="AM3" s="85" t="str" cm="1">
        <f t="array" ref="AM3">IFERROR(IF(M3&lt;&gt;"","",CONCATENATE("https://btx.brasiltrack.com/logistica/trajeto.php?idveiculo=",VLOOKUP(F3,DATAS!$A$221:$B$250,2,FALSE),"&amp;lat=-22.204247","&amp;data_ini=",TEXT(IF(E3&lt;&gt;"",IF(COUNTIF($F$2:$F3,F3)&gt;1,MAX(IF($F$1:$F2=F3,$E$1:$E2)),""),""),"DD/MM/AAAA"),"&amp;data_fim=",TEXT(E3,"DD/MM/AAAA"),"&amp;hora_inicial=",HOUR(IF(E3&lt;&gt;"",IF(COUNTIF($F$2:$F3,F3)&gt;1,MAX(IF($F$1:$F2=F3,$E$1:$E2)),""),"")),"&amp;minuto_inicial=",MINUTE(IF(E3&lt;&gt;"",IF(COUNTIF($F$2:$F3,F3)&gt;1,MAX(IF($F$1:$F2=F3,$E$1:$E2)),""),"")),"&amp;hora_final=",HOUR(E3),"&amp;minuto_final=",MINUTE(E3),"&amp;periodo=6&amp;tipo=por_data&amp;upos=false&amp;outequip=0")),"")</f>
        <v/>
      </c>
      <c r="AN3" s="100" t="str">
        <f t="shared" ref="AN3:AN66" si="5">CONCATENATE(U3," ",V3," ",W3," ",X3," ",Y3," ",Z3," ",AA3," ",AB3," ",AC3," ",AD3," ",AE3," ",AF3," ",AG3," ",AH3," ",AI3," ",AJ3)</f>
        <v xml:space="preserve">               </v>
      </c>
    </row>
    <row r="4" spans="1:40" x14ac:dyDescent="0.25">
      <c r="A4" s="81"/>
      <c r="B4" s="81"/>
      <c r="C4" s="81"/>
      <c r="D4" s="144">
        <v>44866</v>
      </c>
      <c r="E4" s="76">
        <v>44866.033333333333</v>
      </c>
      <c r="F4" s="6" t="s">
        <v>126</v>
      </c>
      <c r="G4" s="5" t="str">
        <f>IFERROR(VLOOKUP(SUMIFS(MSOLICITADA!$I:$I,MSOLICITADA!$B:$B,D4,MSOLICITADA!$F:$F,F4),CODIGOSPLACAS!$A$64:$B$89,2,FALSE),"")</f>
        <v>IZAIAS</v>
      </c>
      <c r="H4" s="77">
        <v>473847</v>
      </c>
      <c r="I4" s="77">
        <v>474998</v>
      </c>
      <c r="J4" s="7">
        <v>650</v>
      </c>
      <c r="K4" s="78">
        <v>4257.5</v>
      </c>
      <c r="L4" s="79" t="s">
        <v>111</v>
      </c>
      <c r="M4" s="6"/>
      <c r="N4" s="5">
        <f t="shared" si="0"/>
        <v>1151</v>
      </c>
      <c r="O4" s="80">
        <f t="shared" si="1"/>
        <v>6.55</v>
      </c>
      <c r="P4" s="8">
        <f t="shared" si="2"/>
        <v>1.7707692307692309</v>
      </c>
      <c r="Q4" s="8">
        <f t="shared" si="3"/>
        <v>1.4310423058843909</v>
      </c>
      <c r="R4" s="81">
        <f t="shared" si="4"/>
        <v>0</v>
      </c>
      <c r="S4" s="113" t="str">
        <f>IF(F4="","",IF(H4="",TEXT(_xlfn.MAXIFS($I$1:I4,$F$1:F4,F4,$H$1:H4,"&gt;"&amp;0),"000.000"),F4))</f>
        <v>GHX4D71</v>
      </c>
      <c r="T4" s="81"/>
      <c r="U4" s="82"/>
      <c r="V4" s="98"/>
      <c r="W4" s="82"/>
      <c r="X4" s="98"/>
      <c r="Y4" s="82"/>
      <c r="Z4" s="98"/>
      <c r="AA4" s="82"/>
      <c r="AB4" s="98"/>
      <c r="AC4" s="82"/>
      <c r="AD4" s="98"/>
      <c r="AE4" s="117"/>
      <c r="AF4" s="98"/>
      <c r="AG4" s="98"/>
      <c r="AH4" s="98"/>
      <c r="AI4" s="98"/>
      <c r="AJ4" s="98"/>
      <c r="AK4" s="83"/>
      <c r="AL4" s="84" t="str">
        <f>IF(F4&lt;&gt;0,IF(_xlfn.MAXIFS($I$1:I4,$F$1:F4,F4,$H$1:H4,"&gt;"&amp;0)=0,"KM NÃO ENCONTRADO",IF(H4=0,CONCATENATE("SUGESTÃO DE KM PARA PLACA ",F4," *",_xlfn.MAXIFS($I$1:I4,$F$1:F4,F4,$H$1:H4,"&gt;"&amp;0),"*"),"")),"")</f>
        <v/>
      </c>
      <c r="AM4" s="85" t="str" cm="1">
        <f t="array" ref="AM4">IFERROR(IF(M4&lt;&gt;"","",CONCATENATE("https://btx.brasiltrack.com/logistica/trajeto.php?idveiculo=",VLOOKUP(F4,DATAS!$A$221:$B$250,2,FALSE),"&amp;lat=-22.204247","&amp;data_ini=",TEXT(IF(E4&lt;&gt;"",IF(COUNTIF($F$2:$F4,F4)&gt;1,MAX(IF($F$1:$F3=F4,$E$1:$E3)),""),""),"DD/MM/AAAA"),"&amp;data_fim=",TEXT(E4,"DD/MM/AAAA"),"&amp;hora_inicial=",HOUR(IF(E4&lt;&gt;"",IF(COUNTIF($F$2:$F4,F4)&gt;1,MAX(IF($F$1:$F3=F4,$E$1:$E3)),""),"")),"&amp;minuto_inicial=",MINUTE(IF(E4&lt;&gt;"",IF(COUNTIF($F$2:$F4,F4)&gt;1,MAX(IF($F$1:$F3=F4,$E$1:$E3)),""),"")),"&amp;hora_final=",HOUR(E4),"&amp;minuto_final=",MINUTE(E4),"&amp;periodo=6&amp;tipo=por_data&amp;upos=false&amp;outequip=0")),"")</f>
        <v/>
      </c>
      <c r="AN4" s="100" t="str">
        <f t="shared" si="5"/>
        <v xml:space="preserve">               </v>
      </c>
    </row>
    <row r="5" spans="1:40" x14ac:dyDescent="0.25">
      <c r="A5" s="81"/>
      <c r="B5" s="81"/>
      <c r="C5" s="81"/>
      <c r="D5" s="144">
        <v>44866</v>
      </c>
      <c r="E5" s="76">
        <v>44866.054861111108</v>
      </c>
      <c r="F5" s="6" t="s">
        <v>128</v>
      </c>
      <c r="G5" s="5" t="str">
        <f>IFERROR(VLOOKUP(SUMIFS(MSOLICITADA!$I:$I,MSOLICITADA!$B:$B,D5,MSOLICITADA!$F:$F,F5),CODIGOSPLACAS!$A$64:$B$89,2,FALSE),"")</f>
        <v>ELI RICARDO</v>
      </c>
      <c r="H5" s="77">
        <v>76873</v>
      </c>
      <c r="I5" s="77">
        <v>77652</v>
      </c>
      <c r="J5" s="7">
        <v>455</v>
      </c>
      <c r="K5" s="78">
        <v>2907.45</v>
      </c>
      <c r="L5" s="79" t="s">
        <v>111</v>
      </c>
      <c r="M5" s="6"/>
      <c r="N5" s="5">
        <f t="shared" si="0"/>
        <v>779</v>
      </c>
      <c r="O5" s="80">
        <f t="shared" si="1"/>
        <v>6.39</v>
      </c>
      <c r="P5" s="8">
        <f t="shared" si="2"/>
        <v>1.712087912087912</v>
      </c>
      <c r="Q5" s="8">
        <f t="shared" si="3"/>
        <v>1.6394783012697074</v>
      </c>
      <c r="R5" s="81">
        <f t="shared" si="4"/>
        <v>0</v>
      </c>
      <c r="S5" s="113" t="str">
        <f>IF(F5="","",IF(H5="",TEXT(_xlfn.MAXIFS($I$1:I5,$F$1:F5,F5,$H$1:H5,"&gt;"&amp;0),"000.000"),F5))</f>
        <v>GFR0D47</v>
      </c>
      <c r="T5" s="81"/>
      <c r="U5" s="82"/>
      <c r="V5" s="98"/>
      <c r="W5" s="82"/>
      <c r="X5" s="98"/>
      <c r="Y5" s="82"/>
      <c r="Z5" s="98"/>
      <c r="AA5" s="82"/>
      <c r="AB5" s="98"/>
      <c r="AC5" s="82"/>
      <c r="AD5" s="98"/>
      <c r="AE5" s="117"/>
      <c r="AF5" s="98"/>
      <c r="AG5" s="98"/>
      <c r="AH5" s="98"/>
      <c r="AI5" s="98"/>
      <c r="AJ5" s="98"/>
      <c r="AK5" s="83"/>
      <c r="AL5" s="84" t="str">
        <f>IF(F5&lt;&gt;0,IF(_xlfn.MAXIFS($I$1:I5,$F$1:F5,F5,$H$1:H5,"&gt;"&amp;0)=0,"KM NÃO ENCONTRADO",IF(H5=0,CONCATENATE("SUGESTÃO DE KM PARA PLACA ",F5," *",_xlfn.MAXIFS($I$1:I5,$F$1:F5,F5,$H$1:H5,"&gt;"&amp;0),"*"),"")),"")</f>
        <v/>
      </c>
      <c r="AM5" s="85" t="str" cm="1">
        <f t="array" ref="AM5">IFERROR(IF(M5&lt;&gt;"","",CONCATENATE("https://btx.brasiltrack.com/logistica/trajeto.php?idveiculo=",VLOOKUP(F5,DATAS!$A$221:$B$250,2,FALSE),"&amp;lat=-22.204247","&amp;data_ini=",TEXT(IF(E5&lt;&gt;"",IF(COUNTIF($F$2:$F5,F5)&gt;1,MAX(IF($F$1:$F4=F5,$E$1:$E4)),""),""),"DD/MM/AAAA"),"&amp;data_fim=",TEXT(E5,"DD/MM/AAAA"),"&amp;hora_inicial=",HOUR(IF(E5&lt;&gt;"",IF(COUNTIF($F$2:$F5,F5)&gt;1,MAX(IF($F$1:$F4=F5,$E$1:$E4)),""),"")),"&amp;minuto_inicial=",MINUTE(IF(E5&lt;&gt;"",IF(COUNTIF($F$2:$F5,F5)&gt;1,MAX(IF($F$1:$F4=F5,$E$1:$E4)),""),"")),"&amp;hora_final=",HOUR(E5),"&amp;minuto_final=",MINUTE(E5),"&amp;periodo=6&amp;tipo=por_data&amp;upos=false&amp;outequip=0")),"")</f>
        <v/>
      </c>
      <c r="AN5" s="100" t="str">
        <f t="shared" si="5"/>
        <v xml:space="preserve">               </v>
      </c>
    </row>
    <row r="6" spans="1:40" x14ac:dyDescent="0.25">
      <c r="A6" s="81"/>
      <c r="B6" s="81"/>
      <c r="C6" s="81"/>
      <c r="D6" s="144">
        <v>44866</v>
      </c>
      <c r="E6" s="76">
        <v>44866.059027777781</v>
      </c>
      <c r="F6" s="6" t="s">
        <v>27</v>
      </c>
      <c r="G6" s="5" t="str">
        <f>IFERROR(VLOOKUP(SUMIFS(MSOLICITADA!$I:$I,MSOLICITADA!$B:$B,D6,MSOLICITADA!$F:$F,F6),CODIGOSPLACAS!$A$64:$B$89,2,FALSE),"")</f>
        <v>ANTONIO</v>
      </c>
      <c r="H6" s="77">
        <v>232198</v>
      </c>
      <c r="I6" s="77">
        <v>233025</v>
      </c>
      <c r="J6" s="7">
        <v>544</v>
      </c>
      <c r="K6" s="78">
        <v>3476.16</v>
      </c>
      <c r="L6" s="79" t="s">
        <v>111</v>
      </c>
      <c r="M6" s="6"/>
      <c r="N6" s="5">
        <f t="shared" si="0"/>
        <v>827</v>
      </c>
      <c r="O6" s="80">
        <f t="shared" si="1"/>
        <v>6.39</v>
      </c>
      <c r="P6" s="8">
        <f t="shared" si="2"/>
        <v>1.5202205882352942</v>
      </c>
      <c r="Q6" s="8">
        <f t="shared" si="3"/>
        <v>1.4461676128873802</v>
      </c>
      <c r="R6" s="81">
        <f t="shared" si="4"/>
        <v>0</v>
      </c>
      <c r="S6" s="113" t="str">
        <f>IF(F6="","",IF(H6="",TEXT(_xlfn.MAXIFS($I$1:I6,$F$1:F6,F6,$H$1:H6,"&gt;"&amp;0),"000.000"),F6))</f>
        <v>GHS4J57</v>
      </c>
      <c r="T6" s="81"/>
      <c r="U6" s="82"/>
      <c r="V6" s="98"/>
      <c r="W6" s="82"/>
      <c r="X6" s="98"/>
      <c r="Y6" s="82"/>
      <c r="Z6" s="98"/>
      <c r="AA6" s="82"/>
      <c r="AB6" s="98"/>
      <c r="AC6" s="82"/>
      <c r="AD6" s="98"/>
      <c r="AE6" s="117"/>
      <c r="AF6" s="98"/>
      <c r="AG6" s="98"/>
      <c r="AH6" s="98"/>
      <c r="AI6" s="98"/>
      <c r="AJ6" s="98"/>
      <c r="AK6" s="83"/>
      <c r="AL6" s="84" t="str">
        <f>IF(F6&lt;&gt;0,IF(_xlfn.MAXIFS($I$1:I6,$F$1:F6,F6,$H$1:H6,"&gt;"&amp;0)=0,"KM NÃO ENCONTRADO",IF(H6=0,CONCATENATE("SUGESTÃO DE KM PARA PLACA ",F6," *",_xlfn.MAXIFS($I$1:I6,$F$1:F6,F6,$H$1:H6,"&gt;"&amp;0),"*"),"")),"")</f>
        <v/>
      </c>
      <c r="AM6" s="85" t="str" cm="1">
        <f t="array" ref="AM6">IFERROR(IF(M6&lt;&gt;"","",CONCATENATE("https://btx.brasiltrack.com/logistica/trajeto.php?idveiculo=",VLOOKUP(F6,DATAS!$A$221:$B$250,2,FALSE),"&amp;lat=-22.204247","&amp;data_ini=",TEXT(IF(E6&lt;&gt;"",IF(COUNTIF($F$2:$F6,F6)&gt;1,MAX(IF($F$1:$F5=F6,$E$1:$E5)),""),""),"DD/MM/AAAA"),"&amp;data_fim=",TEXT(E6,"DD/MM/AAAA"),"&amp;hora_inicial=",HOUR(IF(E6&lt;&gt;"",IF(COUNTIF($F$2:$F6,F6)&gt;1,MAX(IF($F$1:$F5=F6,$E$1:$E5)),""),"")),"&amp;minuto_inicial=",MINUTE(IF(E6&lt;&gt;"",IF(COUNTIF($F$2:$F6,F6)&gt;1,MAX(IF($F$1:$F5=F6,$E$1:$E5)),""),"")),"&amp;hora_final=",HOUR(E6),"&amp;minuto_final=",MINUTE(E6),"&amp;periodo=6&amp;tipo=por_data&amp;upos=false&amp;outequip=0")),"")</f>
        <v/>
      </c>
      <c r="AN6" s="100" t="str">
        <f t="shared" si="5"/>
        <v xml:space="preserve">               </v>
      </c>
    </row>
    <row r="7" spans="1:40" x14ac:dyDescent="0.25">
      <c r="A7" s="81"/>
      <c r="B7" s="81"/>
      <c r="C7" s="81"/>
      <c r="D7" s="144">
        <v>44866</v>
      </c>
      <c r="E7" s="76">
        <v>44866.157638888886</v>
      </c>
      <c r="F7" s="6" t="s">
        <v>124</v>
      </c>
      <c r="G7" s="5" t="str">
        <f>IFERROR(VLOOKUP(SUMIFS(MSOLICITADA!$I:$I,MSOLICITADA!$B:$B,D7,MSOLICITADA!$F:$F,F7),CODIGOSPLACAS!$A$64:$B$89,2,FALSE),"")</f>
        <v>ISRAEL</v>
      </c>
      <c r="H7" s="77">
        <v>123647</v>
      </c>
      <c r="I7" s="77">
        <v>124652</v>
      </c>
      <c r="J7" s="7">
        <v>480.00099999999998</v>
      </c>
      <c r="K7" s="78">
        <v>3144</v>
      </c>
      <c r="L7" s="79" t="s">
        <v>111</v>
      </c>
      <c r="M7" s="6"/>
      <c r="N7" s="5">
        <f t="shared" si="0"/>
        <v>1005</v>
      </c>
      <c r="O7" s="80">
        <f t="shared" si="1"/>
        <v>6.549986354195096</v>
      </c>
      <c r="P7" s="8">
        <f t="shared" si="2"/>
        <v>1.678567431982305</v>
      </c>
      <c r="Q7" s="8">
        <f t="shared" si="3"/>
        <v>1.5512732562038034</v>
      </c>
      <c r="R7" s="81">
        <f t="shared" si="4"/>
        <v>0</v>
      </c>
      <c r="S7" s="113" t="str">
        <f>IF(F7="","",IF(H7="",TEXT(_xlfn.MAXIFS($I$1:I7,$F$1:F7,F7,$H$1:H7,"&gt;"&amp;0),"000.000"),F7))</f>
        <v>GHH9B64</v>
      </c>
      <c r="T7" s="81"/>
      <c r="U7" s="82"/>
      <c r="V7" s="98"/>
      <c r="W7" s="82"/>
      <c r="X7" s="98"/>
      <c r="Y7" s="82"/>
      <c r="Z7" s="98"/>
      <c r="AA7" s="82"/>
      <c r="AB7" s="98"/>
      <c r="AC7" s="82"/>
      <c r="AD7" s="98"/>
      <c r="AE7" s="117"/>
      <c r="AF7" s="98"/>
      <c r="AG7" s="98"/>
      <c r="AH7" s="98"/>
      <c r="AI7" s="98"/>
      <c r="AJ7" s="98"/>
      <c r="AK7" s="83">
        <v>300</v>
      </c>
      <c r="AL7" s="84" t="str">
        <f>IF(F7&lt;&gt;0,IF(_xlfn.MAXIFS($I$1:I7,$F$1:F7,F7,$H$1:H7,"&gt;"&amp;0)=0,"KM NÃO ENCONTRADO",IF(H7=0,CONCATENATE("SUGESTÃO DE KM PARA PLACA ",F7," *",_xlfn.MAXIFS($I$1:I7,$F$1:F7,F7,$H$1:H7,"&gt;"&amp;0),"*"),"")),"")</f>
        <v/>
      </c>
      <c r="AM7" s="85" t="str" cm="1">
        <f t="array" ref="AM7">IFERROR(IF(M7&lt;&gt;"","",CONCATENATE("https://btx.brasiltrack.com/logistica/trajeto.php?idveiculo=",VLOOKUP(F7,DATAS!$A$221:$B$250,2,FALSE),"&amp;lat=-22.204247","&amp;data_ini=",TEXT(IF(E7&lt;&gt;"",IF(COUNTIF($F$2:$F7,F7)&gt;1,MAX(IF($F$1:$F6=F7,$E$1:$E6)),""),""),"DD/MM/AAAA"),"&amp;data_fim=",TEXT(E7,"DD/MM/AAAA"),"&amp;hora_inicial=",HOUR(IF(E7&lt;&gt;"",IF(COUNTIF($F$2:$F7,F7)&gt;1,MAX(IF($F$1:$F6=F7,$E$1:$E6)),""),"")),"&amp;minuto_inicial=",MINUTE(IF(E7&lt;&gt;"",IF(COUNTIF($F$2:$F7,F7)&gt;1,MAX(IF($F$1:$F6=F7,$E$1:$E6)),""),"")),"&amp;hora_final=",HOUR(E7),"&amp;minuto_final=",MINUTE(E7),"&amp;periodo=6&amp;tipo=por_data&amp;upos=false&amp;outequip=0")),"")</f>
        <v/>
      </c>
      <c r="AN7" s="100" t="str">
        <f t="shared" si="5"/>
        <v xml:space="preserve">               </v>
      </c>
    </row>
    <row r="8" spans="1:40" x14ac:dyDescent="0.25">
      <c r="A8" s="81"/>
      <c r="B8" s="81"/>
      <c r="C8" s="81"/>
      <c r="D8" s="144">
        <v>44866</v>
      </c>
      <c r="E8" s="76">
        <v>44866.158333333333</v>
      </c>
      <c r="F8" s="6" t="s">
        <v>30</v>
      </c>
      <c r="G8" s="5" t="str">
        <f>IFERROR(VLOOKUP(SUMIFS(MSOLICITADA!$I:$I,MSOLICITADA!$B:$B,D8,MSOLICITADA!$F:$F,F8),CODIGOSPLACAS!$A$64:$B$89,2,FALSE),"")</f>
        <v>RONILSON</v>
      </c>
      <c r="H8" s="77">
        <v>205997</v>
      </c>
      <c r="I8" s="77">
        <v>206718</v>
      </c>
      <c r="J8" s="7">
        <v>474.00099999999998</v>
      </c>
      <c r="K8" s="78">
        <v>3104.7</v>
      </c>
      <c r="L8" s="79" t="s">
        <v>111</v>
      </c>
      <c r="M8" s="6"/>
      <c r="N8" s="5">
        <f t="shared" si="0"/>
        <v>721</v>
      </c>
      <c r="O8" s="80">
        <f t="shared" si="1"/>
        <v>6.5499861814637521</v>
      </c>
      <c r="P8" s="8">
        <f t="shared" si="2"/>
        <v>1.5210938373547735</v>
      </c>
      <c r="Q8" s="8">
        <f t="shared" si="3"/>
        <v>1.5438598974121283</v>
      </c>
      <c r="R8" s="81">
        <f t="shared" si="4"/>
        <v>0</v>
      </c>
      <c r="S8" s="113" t="str">
        <f>IF(F8="","",IF(H8="",TEXT(_xlfn.MAXIFS($I$1:I8,$F$1:F8,F8,$H$1:H8,"&gt;"&amp;0),"000.000"),F8))</f>
        <v>GFB0I37</v>
      </c>
      <c r="T8" s="81"/>
      <c r="U8" s="82"/>
      <c r="V8" s="98"/>
      <c r="W8" s="82"/>
      <c r="X8" s="98"/>
      <c r="Y8" s="82"/>
      <c r="Z8" s="98"/>
      <c r="AA8" s="82"/>
      <c r="AB8" s="98"/>
      <c r="AC8" s="82"/>
      <c r="AD8" s="98"/>
      <c r="AE8" s="117"/>
      <c r="AF8" s="98"/>
      <c r="AG8" s="98"/>
      <c r="AH8" s="98"/>
      <c r="AI8" s="98"/>
      <c r="AJ8" s="98"/>
      <c r="AK8" s="83"/>
      <c r="AL8" s="84" t="str">
        <f>IF(F8&lt;&gt;0,IF(_xlfn.MAXIFS($I$1:I8,$F$1:F8,F8,$H$1:H8,"&gt;"&amp;0)=0,"KM NÃO ENCONTRADO",IF(H8=0,CONCATENATE("SUGESTÃO DE KM PARA PLACA ",F8," *",_xlfn.MAXIFS($I$1:I8,$F$1:F8,F8,$H$1:H8,"&gt;"&amp;0),"*"),"")),"")</f>
        <v/>
      </c>
      <c r="AM8" s="85" t="str" cm="1">
        <f t="array" ref="AM8">IFERROR(IF(M8&lt;&gt;"","",CONCATENATE("https://btx.brasiltrack.com/logistica/trajeto.php?idveiculo=",VLOOKUP(F8,DATAS!$A$221:$B$250,2,FALSE),"&amp;lat=-22.204247","&amp;data_ini=",TEXT(IF(E8&lt;&gt;"",IF(COUNTIF($F$2:$F8,F8)&gt;1,MAX(IF($F$1:$F7=F8,$E$1:$E7)),""),""),"DD/MM/AAAA"),"&amp;data_fim=",TEXT(E8,"DD/MM/AAAA"),"&amp;hora_inicial=",HOUR(IF(E8&lt;&gt;"",IF(COUNTIF($F$2:$F8,F8)&gt;1,MAX(IF($F$1:$F7=F8,$E$1:$E7)),""),"")),"&amp;minuto_inicial=",MINUTE(IF(E8&lt;&gt;"",IF(COUNTIF($F$2:$F8,F8)&gt;1,MAX(IF($F$1:$F7=F8,$E$1:$E7)),""),"")),"&amp;hora_final=",HOUR(E8),"&amp;minuto_final=",MINUTE(E8),"&amp;periodo=6&amp;tipo=por_data&amp;upos=false&amp;outequip=0")),"")</f>
        <v/>
      </c>
      <c r="AN8" s="100" t="str">
        <f t="shared" si="5"/>
        <v xml:space="preserve">               </v>
      </c>
    </row>
    <row r="9" spans="1:40" x14ac:dyDescent="0.25">
      <c r="A9" s="81"/>
      <c r="B9" s="81"/>
      <c r="C9" s="81"/>
      <c r="D9" s="144">
        <v>44866</v>
      </c>
      <c r="E9" s="76">
        <v>44866.161805555559</v>
      </c>
      <c r="F9" s="6" t="s">
        <v>24</v>
      </c>
      <c r="G9" s="5" t="str">
        <f>IFERROR(VLOOKUP(SUMIFS(MSOLICITADA!$I:$I,MSOLICITADA!$B:$B,D9,MSOLICITADA!$F:$F,F9),CODIGOSPLACAS!$A$64:$B$89,2,FALSE),"")</f>
        <v>PAULO HENR.</v>
      </c>
      <c r="H9" s="77">
        <v>934435</v>
      </c>
      <c r="I9" s="77">
        <v>935621</v>
      </c>
      <c r="J9" s="7">
        <v>608.00099999999998</v>
      </c>
      <c r="K9" s="78">
        <v>3982.4</v>
      </c>
      <c r="L9" s="79" t="s">
        <v>111</v>
      </c>
      <c r="M9" s="6"/>
      <c r="N9" s="5">
        <f t="shared" si="0"/>
        <v>1186</v>
      </c>
      <c r="O9" s="80">
        <f t="shared" si="1"/>
        <v>6.5499892269914035</v>
      </c>
      <c r="P9" s="8">
        <f t="shared" si="2"/>
        <v>1.9506546864232133</v>
      </c>
      <c r="Q9" s="8">
        <f t="shared" si="3"/>
        <v>1.4770603223392504</v>
      </c>
      <c r="R9" s="81">
        <f t="shared" si="4"/>
        <v>0</v>
      </c>
      <c r="S9" s="113" t="str">
        <f>IF(F9="","",IF(H9="",TEXT(_xlfn.MAXIFS($I$1:I9,$F$1:F9,F9,$H$1:H9,"&gt;"&amp;0),"000.000"),F9))</f>
        <v>FKS0J24</v>
      </c>
      <c r="T9" s="81"/>
      <c r="U9" s="82"/>
      <c r="V9" s="98"/>
      <c r="W9" s="82"/>
      <c r="X9" s="98"/>
      <c r="Y9" s="82"/>
      <c r="Z9" s="98"/>
      <c r="AA9" s="82"/>
      <c r="AB9" s="98"/>
      <c r="AC9" s="82"/>
      <c r="AD9" s="98"/>
      <c r="AE9" s="117"/>
      <c r="AF9" s="98"/>
      <c r="AG9" s="98"/>
      <c r="AH9" s="98"/>
      <c r="AI9" s="98"/>
      <c r="AJ9" s="98"/>
      <c r="AK9" s="83"/>
      <c r="AL9" s="84" t="str">
        <f>IF(F9&lt;&gt;0,IF(_xlfn.MAXIFS($I$1:I9,$F$1:F9,F9,$H$1:H9,"&gt;"&amp;0)=0,"KM NÃO ENCONTRADO",IF(H9=0,CONCATENATE("SUGESTÃO DE KM PARA PLACA ",F9," *",_xlfn.MAXIFS($I$1:I9,$F$1:F9,F9,$H$1:H9,"&gt;"&amp;0),"*"),"")),"")</f>
        <v/>
      </c>
      <c r="AM9" s="85" t="str" cm="1">
        <f t="array" ref="AM9">IFERROR(IF(M9&lt;&gt;"","",CONCATENATE("https://btx.brasiltrack.com/logistica/trajeto.php?idveiculo=",VLOOKUP(F9,DATAS!$A$221:$B$250,2,FALSE),"&amp;lat=-22.204247","&amp;data_ini=",TEXT(IF(E9&lt;&gt;"",IF(COUNTIF($F$2:$F9,F9)&gt;1,MAX(IF($F$1:$F8=F9,$E$1:$E8)),""),""),"DD/MM/AAAA"),"&amp;data_fim=",TEXT(E9,"DD/MM/AAAA"),"&amp;hora_inicial=",HOUR(IF(E9&lt;&gt;"",IF(COUNTIF($F$2:$F9,F9)&gt;1,MAX(IF($F$1:$F8=F9,$E$1:$E8)),""),"")),"&amp;minuto_inicial=",MINUTE(IF(E9&lt;&gt;"",IF(COUNTIF($F$2:$F9,F9)&gt;1,MAX(IF($F$1:$F8=F9,$E$1:$E8)),""),"")),"&amp;hora_final=",HOUR(E9),"&amp;minuto_final=",MINUTE(E9),"&amp;periodo=6&amp;tipo=por_data&amp;upos=false&amp;outequip=0")),"")</f>
        <v/>
      </c>
      <c r="AN9" s="100" t="str">
        <f t="shared" si="5"/>
        <v xml:space="preserve">               </v>
      </c>
    </row>
    <row r="10" spans="1:40" x14ac:dyDescent="0.25">
      <c r="A10" s="81"/>
      <c r="B10" s="81"/>
      <c r="C10" s="81"/>
      <c r="D10" s="144">
        <v>44866</v>
      </c>
      <c r="E10" s="76">
        <v>44866.217361111114</v>
      </c>
      <c r="F10" s="6" t="s">
        <v>31</v>
      </c>
      <c r="G10" s="5" t="str">
        <f>IFERROR(VLOOKUP(SUMIFS(MSOLICITADA!$I:$I,MSOLICITADA!$B:$B,D10,MSOLICITADA!$F:$F,F10),CODIGOSPLACAS!$A$64:$B$89,2,FALSE),"")</f>
        <v>CELIO</v>
      </c>
      <c r="H10" s="77">
        <v>199751</v>
      </c>
      <c r="I10" s="77">
        <v>200309</v>
      </c>
      <c r="J10" s="7">
        <v>324.34100000000001</v>
      </c>
      <c r="K10" s="78">
        <v>2124.4299999999998</v>
      </c>
      <c r="L10" s="79" t="s">
        <v>111</v>
      </c>
      <c r="M10" s="6"/>
      <c r="N10" s="5">
        <f t="shared" si="0"/>
        <v>558</v>
      </c>
      <c r="O10" s="80">
        <f t="shared" si="1"/>
        <v>6.5499890547294353</v>
      </c>
      <c r="P10" s="8">
        <f t="shared" si="2"/>
        <v>1.7204115421732065</v>
      </c>
      <c r="Q10" s="8">
        <f t="shared" si="3"/>
        <v>1.5697196307565964</v>
      </c>
      <c r="R10" s="81">
        <f t="shared" si="4"/>
        <v>0</v>
      </c>
      <c r="S10" s="113" t="str">
        <f>IF(F10="","",IF(H10="",TEXT(_xlfn.MAXIFS($I$1:I10,$F$1:F10,F10,$H$1:H10,"&gt;"&amp;0),"000.000"),F10))</f>
        <v>GGZ3G38</v>
      </c>
      <c r="T10" s="81"/>
      <c r="U10" s="82"/>
      <c r="V10" s="98"/>
      <c r="W10" s="82"/>
      <c r="X10" s="98"/>
      <c r="Y10" s="82"/>
      <c r="Z10" s="98"/>
      <c r="AA10" s="82"/>
      <c r="AB10" s="98"/>
      <c r="AC10" s="82"/>
      <c r="AD10" s="98"/>
      <c r="AE10" s="117"/>
      <c r="AF10" s="98"/>
      <c r="AG10" s="98"/>
      <c r="AH10" s="98"/>
      <c r="AI10" s="98"/>
      <c r="AJ10" s="98"/>
      <c r="AK10" s="83"/>
      <c r="AL10" s="84" t="str">
        <f>IF(F10&lt;&gt;0,IF(_xlfn.MAXIFS($I$1:I10,$F$1:F10,F10,$H$1:H10,"&gt;"&amp;0)=0,"KM NÃO ENCONTRADO",IF(H10=0,CONCATENATE("SUGESTÃO DE KM PARA PLACA ",F10," *",_xlfn.MAXIFS($I$1:I10,$F$1:F10,F10,$H$1:H10,"&gt;"&amp;0),"*"),"")),"")</f>
        <v/>
      </c>
      <c r="AM10" s="85" t="str" cm="1">
        <f t="array" ref="AM10">IFERROR(IF(M10&lt;&gt;"","",CONCATENATE("https://btx.brasiltrack.com/logistica/trajeto.php?idveiculo=",VLOOKUP(F10,DATAS!$A$221:$B$250,2,FALSE),"&amp;lat=-22.204247","&amp;data_ini=",TEXT(IF(E10&lt;&gt;"",IF(COUNTIF($F$2:$F10,F10)&gt;1,MAX(IF($F$1:$F9=F10,$E$1:$E9)),""),""),"DD/MM/AAAA"),"&amp;data_fim=",TEXT(E10,"DD/MM/AAAA"),"&amp;hora_inicial=",HOUR(IF(E10&lt;&gt;"",IF(COUNTIF($F$2:$F10,F10)&gt;1,MAX(IF($F$1:$F9=F10,$E$1:$E9)),""),"")),"&amp;minuto_inicial=",MINUTE(IF(E10&lt;&gt;"",IF(COUNTIF($F$2:$F10,F10)&gt;1,MAX(IF($F$1:$F9=F10,$E$1:$E9)),""),"")),"&amp;hora_final=",HOUR(E10),"&amp;minuto_final=",MINUTE(E10),"&amp;periodo=6&amp;tipo=por_data&amp;upos=false&amp;outequip=0")),"")</f>
        <v/>
      </c>
      <c r="AN10" s="100" t="str">
        <f t="shared" si="5"/>
        <v xml:space="preserve">               </v>
      </c>
    </row>
    <row r="11" spans="1:40" x14ac:dyDescent="0.25">
      <c r="A11" s="81"/>
      <c r="B11" s="81"/>
      <c r="C11" s="81"/>
      <c r="D11" s="144">
        <v>44866</v>
      </c>
      <c r="E11" s="76">
        <v>44866.339583333334</v>
      </c>
      <c r="F11" s="6" t="s">
        <v>127</v>
      </c>
      <c r="G11" s="5" t="str">
        <f>IFERROR(VLOOKUP(SUMIFS(MSOLICITADA!$I:$I,MSOLICITADA!$B:$B,D11,MSOLICITADA!$F:$F,F11),CODIGOSPLACAS!$A$64:$B$89,2,FALSE),"")</f>
        <v>EVERTON</v>
      </c>
      <c r="H11" s="77">
        <v>1219745</v>
      </c>
      <c r="I11" s="77">
        <v>1220599</v>
      </c>
      <c r="J11" s="7">
        <v>398.02</v>
      </c>
      <c r="K11" s="78">
        <v>2543.35</v>
      </c>
      <c r="L11" s="79" t="s">
        <v>111</v>
      </c>
      <c r="M11" s="6"/>
      <c r="N11" s="5">
        <f t="shared" si="0"/>
        <v>854</v>
      </c>
      <c r="O11" s="80">
        <f t="shared" si="1"/>
        <v>6.3900055273604339</v>
      </c>
      <c r="P11" s="8">
        <f t="shared" si="2"/>
        <v>2.1456208230742173</v>
      </c>
      <c r="Q11" s="8">
        <f t="shared" si="3"/>
        <v>1.8434307437405129</v>
      </c>
      <c r="R11" s="81">
        <f t="shared" si="4"/>
        <v>0</v>
      </c>
      <c r="S11" s="113" t="str">
        <f>IF(F11="","",IF(H11="",TEXT(_xlfn.MAXIFS($I$1:I11,$F$1:F11,F11,$H$1:H11,"&gt;"&amp;0),"000.000"),F11))</f>
        <v>OPM8J51</v>
      </c>
      <c r="T11" s="81"/>
      <c r="U11" s="82"/>
      <c r="V11" s="98"/>
      <c r="W11" s="82"/>
      <c r="X11" s="98"/>
      <c r="Y11" s="82"/>
      <c r="Z11" s="98"/>
      <c r="AA11" s="82"/>
      <c r="AB11" s="98"/>
      <c r="AC11" s="82"/>
      <c r="AD11" s="98"/>
      <c r="AE11" s="117"/>
      <c r="AF11" s="98"/>
      <c r="AG11" s="98"/>
      <c r="AH11" s="98"/>
      <c r="AI11" s="98"/>
      <c r="AJ11" s="98"/>
      <c r="AK11" s="83"/>
      <c r="AL11" s="84" t="str">
        <f>IF(F11&lt;&gt;0,IF(_xlfn.MAXIFS($I$1:I11,$F$1:F11,F11,$H$1:H11,"&gt;"&amp;0)=0,"KM NÃO ENCONTRADO",IF(H11=0,CONCATENATE("SUGESTÃO DE KM PARA PLACA ",F11," *",_xlfn.MAXIFS($I$1:I11,$F$1:F11,F11,$H$1:H11,"&gt;"&amp;0),"*"),"")),"")</f>
        <v/>
      </c>
      <c r="AM11" s="85" t="str" cm="1">
        <f t="array" ref="AM11">IFERROR(IF(M11&lt;&gt;"","",CONCATENATE("https://btx.brasiltrack.com/logistica/trajeto.php?idveiculo=",VLOOKUP(F11,DATAS!$A$221:$B$250,2,FALSE),"&amp;lat=-22.204247","&amp;data_ini=",TEXT(IF(E11&lt;&gt;"",IF(COUNTIF($F$2:$F11,F11)&gt;1,MAX(IF($F$1:$F10=F11,$E$1:$E10)),""),""),"DD/MM/AAAA"),"&amp;data_fim=",TEXT(E11,"DD/MM/AAAA"),"&amp;hora_inicial=",HOUR(IF(E11&lt;&gt;"",IF(COUNTIF($F$2:$F11,F11)&gt;1,MAX(IF($F$1:$F10=F11,$E$1:$E10)),""),"")),"&amp;minuto_inicial=",MINUTE(IF(E11&lt;&gt;"",IF(COUNTIF($F$2:$F11,F11)&gt;1,MAX(IF($F$1:$F10=F11,$E$1:$E10)),""),"")),"&amp;hora_final=",HOUR(E11),"&amp;minuto_final=",MINUTE(E11),"&amp;periodo=6&amp;tipo=por_data&amp;upos=false&amp;outequip=0")),"")</f>
        <v/>
      </c>
      <c r="AN11" s="100" t="str">
        <f t="shared" si="5"/>
        <v xml:space="preserve">               </v>
      </c>
    </row>
    <row r="12" spans="1:40" x14ac:dyDescent="0.25">
      <c r="A12" s="81"/>
      <c r="B12" s="81"/>
      <c r="C12" s="81"/>
      <c r="D12" s="144">
        <v>44866</v>
      </c>
      <c r="E12" s="76">
        <v>44866.372916666667</v>
      </c>
      <c r="F12" s="6" t="s">
        <v>32</v>
      </c>
      <c r="G12" s="5" t="str">
        <f>IFERROR(VLOOKUP(SUMIFS(MSOLICITADA!$I:$I,MSOLICITADA!$B:$B,D12,MSOLICITADA!$F:$F,F12),CODIGOSPLACAS!$A$64:$B$89,2,FALSE),"")</f>
        <v>ADILSON</v>
      </c>
      <c r="H12" s="77">
        <v>187958</v>
      </c>
      <c r="I12" s="77">
        <v>188792</v>
      </c>
      <c r="J12" s="7">
        <v>536.79999999999995</v>
      </c>
      <c r="K12" s="78">
        <v>3430.73</v>
      </c>
      <c r="L12" s="79" t="s">
        <v>111</v>
      </c>
      <c r="M12" s="6"/>
      <c r="N12" s="5">
        <f t="shared" si="0"/>
        <v>834</v>
      </c>
      <c r="O12" s="80">
        <f t="shared" si="1"/>
        <v>6.3910767511177351</v>
      </c>
      <c r="P12" s="8">
        <f t="shared" si="2"/>
        <v>1.5536512667660209</v>
      </c>
      <c r="Q12" s="8">
        <f t="shared" si="3"/>
        <v>1.518200707495146</v>
      </c>
      <c r="R12" s="81">
        <f t="shared" si="4"/>
        <v>0</v>
      </c>
      <c r="S12" s="113" t="str">
        <f>IF(F12="","",IF(H12="",TEXT(_xlfn.MAXIFS($I$1:I12,$F$1:F12,F12,$H$1:H12,"&gt;"&amp;0),"000.000"),F12))</f>
        <v>GJU9A22</v>
      </c>
      <c r="T12" s="81"/>
      <c r="U12" s="82"/>
      <c r="V12" s="98"/>
      <c r="W12" s="82"/>
      <c r="X12" s="98"/>
      <c r="Y12" s="82"/>
      <c r="Z12" s="98"/>
      <c r="AA12" s="82"/>
      <c r="AB12" s="98"/>
      <c r="AC12" s="82"/>
      <c r="AD12" s="98"/>
      <c r="AE12" s="117"/>
      <c r="AF12" s="98"/>
      <c r="AG12" s="98"/>
      <c r="AH12" s="98"/>
      <c r="AI12" s="98"/>
      <c r="AJ12" s="98"/>
      <c r="AK12" s="83"/>
      <c r="AL12" s="84" t="str">
        <f>IF(F12&lt;&gt;0,IF(_xlfn.MAXIFS($I$1:I12,$F$1:F12,F12,$H$1:H12,"&gt;"&amp;0)=0,"KM NÃO ENCONTRADO",IF(H12=0,CONCATENATE("SUGESTÃO DE KM PARA PLACA ",F12," *",_xlfn.MAXIFS($I$1:I12,$F$1:F12,F12,$H$1:H12,"&gt;"&amp;0),"*"),"")),"")</f>
        <v/>
      </c>
      <c r="AM12" s="85" t="str" cm="1">
        <f t="array" ref="AM12">IFERROR(IF(M12&lt;&gt;"","",CONCATENATE("https://btx.brasiltrack.com/logistica/trajeto.php?idveiculo=",VLOOKUP(F12,DATAS!$A$221:$B$250,2,FALSE),"&amp;lat=-22.204247","&amp;data_ini=",TEXT(IF(E12&lt;&gt;"",IF(COUNTIF($F$2:$F12,F12)&gt;1,MAX(IF($F$1:$F11=F12,$E$1:$E11)),""),""),"DD/MM/AAAA"),"&amp;data_fim=",TEXT(E12,"DD/MM/AAAA"),"&amp;hora_inicial=",HOUR(IF(E12&lt;&gt;"",IF(COUNTIF($F$2:$F12,F12)&gt;1,MAX(IF($F$1:$F11=F12,$E$1:$E11)),""),"")),"&amp;minuto_inicial=",MINUTE(IF(E12&lt;&gt;"",IF(COUNTIF($F$2:$F12,F12)&gt;1,MAX(IF($F$1:$F11=F12,$E$1:$E11)),""),"")),"&amp;hora_final=",HOUR(E12),"&amp;minuto_final=",MINUTE(E12),"&amp;periodo=6&amp;tipo=por_data&amp;upos=false&amp;outequip=0")),"")</f>
        <v/>
      </c>
      <c r="AN12" s="100" t="str">
        <f t="shared" si="5"/>
        <v xml:space="preserve">               </v>
      </c>
    </row>
    <row r="13" spans="1:40" x14ac:dyDescent="0.25">
      <c r="A13" s="81"/>
      <c r="B13" s="81"/>
      <c r="C13" s="81"/>
      <c r="D13" s="144">
        <v>44866</v>
      </c>
      <c r="E13" s="76">
        <v>44866.638888888891</v>
      </c>
      <c r="F13" s="6" t="s">
        <v>29</v>
      </c>
      <c r="G13" s="5" t="str">
        <f>IFERROR(VLOOKUP(SUMIFS(MSOLICITADA!$I:$I,MSOLICITADA!$B:$B,D13,MSOLICITADA!$F:$F,F13),CODIGOSPLACAS!$A$64:$B$89,2,FALSE),"")</f>
        <v>EDNILSON</v>
      </c>
      <c r="H13" s="77">
        <v>221258</v>
      </c>
      <c r="I13" s="77">
        <v>222131</v>
      </c>
      <c r="J13" s="7">
        <v>508</v>
      </c>
      <c r="K13" s="78">
        <v>3276.6</v>
      </c>
      <c r="L13" s="79" t="s">
        <v>111</v>
      </c>
      <c r="M13" s="6"/>
      <c r="N13" s="5">
        <f t="shared" si="0"/>
        <v>873</v>
      </c>
      <c r="O13" s="80">
        <f t="shared" si="1"/>
        <v>6.45</v>
      </c>
      <c r="P13" s="8">
        <f t="shared" si="2"/>
        <v>1.7185039370078741</v>
      </c>
      <c r="Q13" s="8">
        <f t="shared" si="3"/>
        <v>1.5506852118293495</v>
      </c>
      <c r="R13" s="81">
        <f t="shared" si="4"/>
        <v>0</v>
      </c>
      <c r="S13" s="113" t="str">
        <f>IF(F13="","",IF(H13="",TEXT(_xlfn.MAXIFS($I$1:I13,$F$1:F13,F13,$H$1:H13,"&gt;"&amp;0),"000.000"),F13))</f>
        <v>GKA2J56</v>
      </c>
      <c r="T13" s="81"/>
      <c r="U13" s="82"/>
      <c r="V13" s="98"/>
      <c r="W13" s="82"/>
      <c r="X13" s="98"/>
      <c r="Y13" s="82"/>
      <c r="Z13" s="98"/>
      <c r="AA13" s="82"/>
      <c r="AB13" s="98"/>
      <c r="AC13" s="82"/>
      <c r="AD13" s="98"/>
      <c r="AE13" s="117"/>
      <c r="AF13" s="98"/>
      <c r="AG13" s="98"/>
      <c r="AH13" s="98"/>
      <c r="AI13" s="98"/>
      <c r="AJ13" s="98"/>
      <c r="AK13" s="83"/>
      <c r="AL13" s="84" t="str">
        <f>IF(F13&lt;&gt;0,IF(_xlfn.MAXIFS($I$1:I13,$F$1:F13,F13,$H$1:H13,"&gt;"&amp;0)=0,"KM NÃO ENCONTRADO",IF(H13=0,CONCATENATE("SUGESTÃO DE KM PARA PLACA ",F13," *",_xlfn.MAXIFS($I$1:I13,$F$1:F13,F13,$H$1:H13,"&gt;"&amp;0),"*"),"")),"")</f>
        <v/>
      </c>
      <c r="AM13" s="85" t="str" cm="1">
        <f t="array" ref="AM13">IFERROR(IF(M13&lt;&gt;"","",CONCATENATE("https://btx.brasiltrack.com/logistica/trajeto.php?idveiculo=",VLOOKUP(F13,DATAS!$A$221:$B$250,2,FALSE),"&amp;lat=-22.204247","&amp;data_ini=",TEXT(IF(E13&lt;&gt;"",IF(COUNTIF($F$2:$F13,F13)&gt;1,MAX(IF($F$1:$F12=F13,$E$1:$E12)),""),""),"DD/MM/AAAA"),"&amp;data_fim=",TEXT(E13,"DD/MM/AAAA"),"&amp;hora_inicial=",HOUR(IF(E13&lt;&gt;"",IF(COUNTIF($F$2:$F13,F13)&gt;1,MAX(IF($F$1:$F12=F13,$E$1:$E12)),""),"")),"&amp;minuto_inicial=",MINUTE(IF(E13&lt;&gt;"",IF(COUNTIF($F$2:$F13,F13)&gt;1,MAX(IF($F$1:$F12=F13,$E$1:$E12)),""),"")),"&amp;hora_final=",HOUR(E13),"&amp;minuto_final=",MINUTE(E13),"&amp;periodo=6&amp;tipo=por_data&amp;upos=false&amp;outequip=0")),"")</f>
        <v/>
      </c>
      <c r="AN13" s="100" t="str">
        <f t="shared" si="5"/>
        <v xml:space="preserve">               </v>
      </c>
    </row>
    <row r="14" spans="1:40" x14ac:dyDescent="0.25">
      <c r="A14" s="81"/>
      <c r="B14" s="81"/>
      <c r="C14" s="81"/>
      <c r="D14" s="144">
        <v>44866</v>
      </c>
      <c r="E14" s="76">
        <v>44866.75</v>
      </c>
      <c r="F14" s="6" t="s">
        <v>34</v>
      </c>
      <c r="G14" s="5" t="str">
        <f>IFERROR(VLOOKUP(SUMIFS(MSOLICITADA!$I:$I,MSOLICITADA!$B:$B,D14,MSOLICITADA!$F:$F,F14),CODIGOSPLACAS!$A$64:$B$89,2,FALSE),"")</f>
        <v>TOINZINHO</v>
      </c>
      <c r="H14" s="77">
        <v>109376</v>
      </c>
      <c r="I14" s="77">
        <v>109783</v>
      </c>
      <c r="J14" s="7">
        <v>203</v>
      </c>
      <c r="K14" s="78">
        <v>1241.3699999999999</v>
      </c>
      <c r="L14" s="79" t="s">
        <v>112</v>
      </c>
      <c r="M14" s="6"/>
      <c r="N14" s="5">
        <f t="shared" si="0"/>
        <v>407</v>
      </c>
      <c r="O14" s="80">
        <f t="shared" si="1"/>
        <v>6.1151231527093595</v>
      </c>
      <c r="P14" s="8">
        <f t="shared" si="2"/>
        <v>2.0049261083743843</v>
      </c>
      <c r="Q14" s="8">
        <f t="shared" si="3"/>
        <v>1.928921568627451</v>
      </c>
      <c r="R14" s="81">
        <f t="shared" si="4"/>
        <v>0</v>
      </c>
      <c r="S14" s="113" t="str">
        <f>IF(F14="","",IF(H14="",TEXT(_xlfn.MAXIFS($I$1:I14,$F$1:F14,F14,$H$1:H14,"&gt;"&amp;0),"000.000"),F14))</f>
        <v>QXI8065</v>
      </c>
      <c r="T14" s="81"/>
      <c r="U14" s="82"/>
      <c r="V14" s="98"/>
      <c r="W14" s="82"/>
      <c r="X14" s="98"/>
      <c r="Y14" s="82"/>
      <c r="Z14" s="98"/>
      <c r="AA14" s="82"/>
      <c r="AB14" s="98"/>
      <c r="AC14" s="82"/>
      <c r="AD14" s="98"/>
      <c r="AE14" s="117"/>
      <c r="AF14" s="98"/>
      <c r="AG14" s="98"/>
      <c r="AH14" s="98"/>
      <c r="AI14" s="98"/>
      <c r="AJ14" s="98"/>
      <c r="AK14" s="83"/>
      <c r="AL14" s="84" t="str">
        <f>IF(F14&lt;&gt;0,IF(_xlfn.MAXIFS($I$1:I14,$F$1:F14,F14,$H$1:H14,"&gt;"&amp;0)=0,"KM NÃO ENCONTRADO",IF(H14=0,CONCATENATE("SUGESTÃO DE KM PARA PLACA ",F14," *",_xlfn.MAXIFS($I$1:I14,$F$1:F14,F14,$H$1:H14,"&gt;"&amp;0),"*"),"")),"")</f>
        <v/>
      </c>
      <c r="AM14" s="85" t="str" cm="1">
        <f t="array" ref="AM14">IFERROR(IF(M14&lt;&gt;"","",CONCATENATE("https://btx.brasiltrack.com/logistica/trajeto.php?idveiculo=",VLOOKUP(F14,DATAS!$A$221:$B$250,2,FALSE),"&amp;lat=-22.204247","&amp;data_ini=",TEXT(IF(E14&lt;&gt;"",IF(COUNTIF($F$2:$F14,F14)&gt;1,MAX(IF($F$1:$F13=F14,$E$1:$E13)),""),""),"DD/MM/AAAA"),"&amp;data_fim=",TEXT(E14,"DD/MM/AAAA"),"&amp;hora_inicial=",HOUR(IF(E14&lt;&gt;"",IF(COUNTIF($F$2:$F14,F14)&gt;1,MAX(IF($F$1:$F13=F14,$E$1:$E13)),""),"")),"&amp;minuto_inicial=",MINUTE(IF(E14&lt;&gt;"",IF(COUNTIF($F$2:$F14,F14)&gt;1,MAX(IF($F$1:$F13=F14,$E$1:$E13)),""),"")),"&amp;hora_final=",HOUR(E14),"&amp;minuto_final=",MINUTE(E14),"&amp;periodo=6&amp;tipo=por_data&amp;upos=false&amp;outequip=0")),"")</f>
        <v/>
      </c>
      <c r="AN14" s="100" t="str">
        <f t="shared" si="5"/>
        <v xml:space="preserve">               </v>
      </c>
    </row>
    <row r="15" spans="1:40" x14ac:dyDescent="0.25">
      <c r="A15" s="81"/>
      <c r="B15" s="81"/>
      <c r="C15" s="81"/>
      <c r="D15" s="144">
        <v>44866</v>
      </c>
      <c r="E15" s="76">
        <v>44866.867361111108</v>
      </c>
      <c r="F15" s="6" t="s">
        <v>26</v>
      </c>
      <c r="G15" s="5" t="str">
        <f>IFERROR(VLOOKUP(SUMIFS(MSOLICITADA!$I:$I,MSOLICITADA!$B:$B,D15,MSOLICITADA!$F:$F,F15),CODIGOSPLACAS!$A$64:$B$89,2,FALSE),"")</f>
        <v>DIEGO</v>
      </c>
      <c r="H15" s="77">
        <v>387608</v>
      </c>
      <c r="I15" s="77">
        <v>388340</v>
      </c>
      <c r="J15" s="7">
        <v>405.02</v>
      </c>
      <c r="K15" s="78">
        <v>2612.38</v>
      </c>
      <c r="L15" s="79" t="s">
        <v>111</v>
      </c>
      <c r="M15" s="6"/>
      <c r="N15" s="5">
        <f t="shared" si="0"/>
        <v>732</v>
      </c>
      <c r="O15" s="80">
        <f t="shared" si="1"/>
        <v>6.4500024690138762</v>
      </c>
      <c r="P15" s="8">
        <f t="shared" si="2"/>
        <v>1.8073181571280432</v>
      </c>
      <c r="Q15" s="8">
        <f t="shared" si="3"/>
        <v>1.4215213058096179</v>
      </c>
      <c r="R15" s="81">
        <f t="shared" si="4"/>
        <v>0</v>
      </c>
      <c r="S15" s="113" t="str">
        <f>IF(F15="","",IF(H15="",TEXT(_xlfn.MAXIFS($I$1:I15,$F$1:F15,F15,$H$1:H15,"&gt;"&amp;0),"000.000"),F15))</f>
        <v>BZA3587</v>
      </c>
      <c r="T15" s="81"/>
      <c r="U15" s="82"/>
      <c r="V15" s="98"/>
      <c r="W15" s="82"/>
      <c r="X15" s="98"/>
      <c r="Y15" s="82"/>
      <c r="Z15" s="98"/>
      <c r="AA15" s="82"/>
      <c r="AB15" s="98"/>
      <c r="AC15" s="82"/>
      <c r="AD15" s="98"/>
      <c r="AE15" s="117"/>
      <c r="AF15" s="98"/>
      <c r="AG15" s="98"/>
      <c r="AH15" s="98"/>
      <c r="AI15" s="82"/>
      <c r="AJ15" s="98"/>
      <c r="AK15" s="83"/>
      <c r="AL15" s="84" t="str">
        <f>IF(F15&lt;&gt;0,IF(_xlfn.MAXIFS($I$1:I15,$F$1:F15,F15,$H$1:H15,"&gt;"&amp;0)=0,"KM NÃO ENCONTRADO",IF(H15=0,CONCATENATE("SUGESTÃO DE KM PARA PLACA ",F15," *",_xlfn.MAXIFS($I$1:I15,$F$1:F15,F15,$H$1:H15,"&gt;"&amp;0),"*"),"")),"")</f>
        <v/>
      </c>
      <c r="AM15" s="85" t="str" cm="1">
        <f t="array" ref="AM15">IFERROR(IF(M15&lt;&gt;"","",CONCATENATE("https://btx.brasiltrack.com/logistica/trajeto.php?idveiculo=",VLOOKUP(F15,DATAS!$A$221:$B$250,2,FALSE),"&amp;lat=-22.204247","&amp;data_ini=",TEXT(IF(E15&lt;&gt;"",IF(COUNTIF($F$2:$F15,F15)&gt;1,MAX(IF($F$1:$F14=F15,$E$1:$E14)),""),""),"DD/MM/AAAA"),"&amp;data_fim=",TEXT(E15,"DD/MM/AAAA"),"&amp;hora_inicial=",HOUR(IF(E15&lt;&gt;"",IF(COUNTIF($F$2:$F15,F15)&gt;1,MAX(IF($F$1:$F14=F15,$E$1:$E14)),""),"")),"&amp;minuto_inicial=",MINUTE(IF(E15&lt;&gt;"",IF(COUNTIF($F$2:$F15,F15)&gt;1,MAX(IF($F$1:$F14=F15,$E$1:$E14)),""),"")),"&amp;hora_final=",HOUR(E15),"&amp;minuto_final=",MINUTE(E15),"&amp;periodo=6&amp;tipo=por_data&amp;upos=false&amp;outequip=0")),"")</f>
        <v/>
      </c>
      <c r="AN15" s="100" t="str">
        <f t="shared" si="5"/>
        <v xml:space="preserve">               </v>
      </c>
    </row>
    <row r="16" spans="1:40" x14ac:dyDescent="0.25">
      <c r="A16" s="81"/>
      <c r="B16" s="81"/>
      <c r="C16" s="81"/>
      <c r="D16" s="144">
        <v>44866</v>
      </c>
      <c r="E16" s="76">
        <v>44866.961805555555</v>
      </c>
      <c r="F16" s="6" t="s">
        <v>27</v>
      </c>
      <c r="G16" s="5" t="str">
        <f>IFERROR(VLOOKUP(SUMIFS(MSOLICITADA!$I:$I,MSOLICITADA!$B:$B,D16,MSOLICITADA!$F:$F,F16),CODIGOSPLACAS!$A$64:$B$89,2,FALSE),"")</f>
        <v>ANTONIO</v>
      </c>
      <c r="H16" s="77">
        <v>233025</v>
      </c>
      <c r="I16" s="77">
        <v>233413</v>
      </c>
      <c r="J16" s="7">
        <v>269.01100000000002</v>
      </c>
      <c r="K16" s="78">
        <v>1762.01</v>
      </c>
      <c r="L16" s="79" t="s">
        <v>111</v>
      </c>
      <c r="M16" s="6"/>
      <c r="N16" s="5">
        <f t="shared" si="0"/>
        <v>388</v>
      </c>
      <c r="O16" s="80">
        <f t="shared" si="1"/>
        <v>6.5499552062926787</v>
      </c>
      <c r="P16" s="8">
        <f t="shared" si="2"/>
        <v>1.4423202025195994</v>
      </c>
      <c r="Q16" s="8">
        <f t="shared" si="3"/>
        <v>1.4461676128873802</v>
      </c>
      <c r="R16" s="81">
        <f t="shared" si="4"/>
        <v>0</v>
      </c>
      <c r="S16" s="113" t="str">
        <f>IF(F16="","",IF(H16="",TEXT(_xlfn.MAXIFS($I$1:I16,$F$1:F16,F16,$H$1:H16,"&gt;"&amp;0),"000.000"),F16))</f>
        <v>GHS4J57</v>
      </c>
      <c r="T16" s="81"/>
      <c r="U16" s="82"/>
      <c r="V16" s="98"/>
      <c r="W16" s="82"/>
      <c r="X16" s="98"/>
      <c r="Y16" s="82"/>
      <c r="Z16" s="98"/>
      <c r="AA16" s="82"/>
      <c r="AB16" s="98"/>
      <c r="AC16" s="82"/>
      <c r="AD16" s="98"/>
      <c r="AE16" s="117"/>
      <c r="AF16" s="98"/>
      <c r="AG16" s="98"/>
      <c r="AH16" s="98"/>
      <c r="AI16" s="82"/>
      <c r="AJ16" s="98"/>
      <c r="AK16" s="83"/>
      <c r="AL16" s="84" t="str">
        <f>IF(F16&lt;&gt;0,IF(_xlfn.MAXIFS($I$1:I16,$F$1:F16,F16,$H$1:H16,"&gt;"&amp;0)=0,"KM NÃO ENCONTRADO",IF(H16=0,CONCATENATE("SUGESTÃO DE KM PARA PLACA ",F16," *",_xlfn.MAXIFS($I$1:I16,$F$1:F16,F16,$H$1:H16,"&gt;"&amp;0),"*"),"")),"")</f>
        <v/>
      </c>
      <c r="AM16" s="85" t="str" cm="1">
        <f t="array" ref="AM16">IFERROR(IF(M16&lt;&gt;"","",CONCATENATE("https://btx.brasiltrack.com/logistica/trajeto.php?idveiculo=",VLOOKUP(F16,DATAS!$A$221:$B$250,2,FALSE),"&amp;lat=-22.204247","&amp;data_ini=",TEXT(IF(E16&lt;&gt;"",IF(COUNTIF($F$2:$F16,F16)&gt;1,MAX(IF($F$1:$F15=F16,$E$1:$E15)),""),""),"DD/MM/AAAA"),"&amp;data_fim=",TEXT(E16,"DD/MM/AAAA"),"&amp;hora_inicial=",HOUR(IF(E16&lt;&gt;"",IF(COUNTIF($F$2:$F16,F16)&gt;1,MAX(IF($F$1:$F15=F16,$E$1:$E15)),""),"")),"&amp;minuto_inicial=",MINUTE(IF(E16&lt;&gt;"",IF(COUNTIF($F$2:$F16,F16)&gt;1,MAX(IF($F$1:$F15=F16,$E$1:$E15)),""),"")),"&amp;hora_final=",HOUR(E16),"&amp;minuto_final=",MINUTE(E16),"&amp;periodo=6&amp;tipo=por_data&amp;upos=false&amp;outequip=0")),"")</f>
        <v>https://btx.brasiltrack.com/logistica/trajeto.php?idveiculo=17ED636C-5A71-44D5-AF3C-192D3DA6CDD1&amp;lat=-22.204247&amp;data_ini=01/11/2022&amp;data_fim=01/11/2022&amp;hora_inicial=1&amp;minuto_inicial=25&amp;hora_final=23&amp;minuto_final=5&amp;periodo=6&amp;tipo=por_data&amp;upos=false&amp;outequip=0</v>
      </c>
      <c r="AN16" s="100" t="str">
        <f t="shared" si="5"/>
        <v xml:space="preserve">               </v>
      </c>
    </row>
    <row r="17" spans="1:40" x14ac:dyDescent="0.25">
      <c r="A17" s="81"/>
      <c r="B17" s="81"/>
      <c r="C17" s="81"/>
      <c r="D17" s="144">
        <v>44866</v>
      </c>
      <c r="E17" s="76">
        <v>44867.097916666666</v>
      </c>
      <c r="F17" s="6" t="s">
        <v>127</v>
      </c>
      <c r="G17" s="5" t="str">
        <f>IFERROR(VLOOKUP(SUMIFS(MSOLICITADA!$I:$I,MSOLICITADA!$B:$B,D17,MSOLICITADA!$F:$F,F17),CODIGOSPLACAS!$A$64:$B$89,2,FALSE),"")</f>
        <v>EVERTON</v>
      </c>
      <c r="H17" s="77">
        <v>1220599</v>
      </c>
      <c r="I17" s="77">
        <v>1221139</v>
      </c>
      <c r="J17" s="7">
        <v>256</v>
      </c>
      <c r="K17" s="78">
        <v>1651.2</v>
      </c>
      <c r="L17" s="79" t="s">
        <v>111</v>
      </c>
      <c r="M17" s="6"/>
      <c r="N17" s="5">
        <f t="shared" si="0"/>
        <v>540</v>
      </c>
      <c r="O17" s="80">
        <f t="shared" si="1"/>
        <v>6.45</v>
      </c>
      <c r="P17" s="8">
        <f t="shared" si="2"/>
        <v>2.109375</v>
      </c>
      <c r="Q17" s="8">
        <f t="shared" si="3"/>
        <v>1.8434307437405129</v>
      </c>
      <c r="R17" s="81">
        <f t="shared" si="4"/>
        <v>0</v>
      </c>
      <c r="S17" s="113" t="str">
        <f>IF(F17="","",IF(H17="",TEXT(_xlfn.MAXIFS($I$1:I17,$F$1:F17,F17,$H$1:H17,"&gt;"&amp;0),"000.000"),F17))</f>
        <v>OPM8J51</v>
      </c>
      <c r="T17" s="81"/>
      <c r="U17" s="82"/>
      <c r="V17" s="98"/>
      <c r="W17" s="82"/>
      <c r="X17" s="98"/>
      <c r="Y17" s="82"/>
      <c r="Z17" s="98"/>
      <c r="AA17" s="82"/>
      <c r="AB17" s="98"/>
      <c r="AC17" s="82"/>
      <c r="AD17" s="98"/>
      <c r="AE17" s="117"/>
      <c r="AF17" s="98"/>
      <c r="AG17" s="98"/>
      <c r="AH17" s="98"/>
      <c r="AI17" s="82"/>
      <c r="AJ17" s="98"/>
      <c r="AK17" s="83"/>
      <c r="AL17" s="84" t="str">
        <f>IF(F17&lt;&gt;0,IF(_xlfn.MAXIFS($I$1:I17,$F$1:F17,F17,$H$1:H17,"&gt;"&amp;0)=0,"KM NÃO ENCONTRADO",IF(H17=0,CONCATENATE("SUGESTÃO DE KM PARA PLACA ",F17," *",_xlfn.MAXIFS($I$1:I17,$F$1:F17,F17,$H$1:H17,"&gt;"&amp;0),"*"),"")),"")</f>
        <v/>
      </c>
      <c r="AM17" s="85" t="str" cm="1">
        <f t="array" ref="AM17">IFERROR(IF(M17&lt;&gt;"","",CONCATENATE("https://btx.brasiltrack.com/logistica/trajeto.php?idveiculo=",VLOOKUP(F17,DATAS!$A$221:$B$250,2,FALSE),"&amp;lat=-22.204247","&amp;data_ini=",TEXT(IF(E17&lt;&gt;"",IF(COUNTIF($F$2:$F17,F17)&gt;1,MAX(IF($F$1:$F16=F17,$E$1:$E16)),""),""),"DD/MM/AAAA"),"&amp;data_fim=",TEXT(E17,"DD/MM/AAAA"),"&amp;hora_inicial=",HOUR(IF(E17&lt;&gt;"",IF(COUNTIF($F$2:$F17,F17)&gt;1,MAX(IF($F$1:$F16=F17,$E$1:$E16)),""),"")),"&amp;minuto_inicial=",MINUTE(IF(E17&lt;&gt;"",IF(COUNTIF($F$2:$F17,F17)&gt;1,MAX(IF($F$1:$F16=F17,$E$1:$E16)),""),"")),"&amp;hora_final=",HOUR(E17),"&amp;minuto_final=",MINUTE(E17),"&amp;periodo=6&amp;tipo=por_data&amp;upos=false&amp;outequip=0")),"")</f>
        <v>https://btx.brasiltrack.com/logistica/trajeto.php?idveiculo=6B275FDC-A2AC-4272-8CE2-C39701ECE18D&amp;lat=-22.204247&amp;data_ini=01/11/2022&amp;data_fim=02/11/2022&amp;hora_inicial=8&amp;minuto_inicial=9&amp;hora_final=2&amp;minuto_final=21&amp;periodo=6&amp;tipo=por_data&amp;upos=false&amp;outequip=0</v>
      </c>
      <c r="AN17" s="100" t="str">
        <f t="shared" si="5"/>
        <v xml:space="preserve">               </v>
      </c>
    </row>
    <row r="18" spans="1:40" x14ac:dyDescent="0.25">
      <c r="A18" s="81"/>
      <c r="B18" s="81"/>
      <c r="C18" s="81"/>
      <c r="D18" s="144">
        <v>44866</v>
      </c>
      <c r="E18" s="76">
        <v>44867.286111111112</v>
      </c>
      <c r="F18" s="6" t="s">
        <v>33</v>
      </c>
      <c r="G18" s="5" t="str">
        <f>IFERROR(VLOOKUP(SUMIFS(MSOLICITADA!$I:$I,MSOLICITADA!$B:$B,D18,MSOLICITADA!$F:$F,F18),CODIGOSPLACAS!$A$64:$B$89,2,FALSE),"")</f>
        <v>JULIO</v>
      </c>
      <c r="H18" s="77">
        <v>152574</v>
      </c>
      <c r="I18" s="77">
        <v>153306</v>
      </c>
      <c r="J18" s="7">
        <v>439.93</v>
      </c>
      <c r="K18" s="78">
        <v>3042.55</v>
      </c>
      <c r="L18" s="79" t="s">
        <v>111</v>
      </c>
      <c r="M18" s="6"/>
      <c r="N18" s="5">
        <f t="shared" si="0"/>
        <v>732</v>
      </c>
      <c r="O18" s="80">
        <f t="shared" si="1"/>
        <v>6.9159866342372656</v>
      </c>
      <c r="P18" s="8">
        <f t="shared" si="2"/>
        <v>1.6639010751710499</v>
      </c>
      <c r="Q18" s="8">
        <f t="shared" si="3"/>
        <v>1.7415645068481733</v>
      </c>
      <c r="R18" s="81">
        <f t="shared" si="4"/>
        <v>0</v>
      </c>
      <c r="S18" s="113" t="str">
        <f>IF(F18="","",IF(H18="",TEXT(_xlfn.MAXIFS($I$1:I18,$F$1:F18,F18,$H$1:H18,"&gt;"&amp;0),"000.000"),F18))</f>
        <v>GGF7G26</v>
      </c>
      <c r="T18" s="81"/>
      <c r="U18" s="82"/>
      <c r="V18" s="98"/>
      <c r="W18" s="82"/>
      <c r="X18" s="98"/>
      <c r="Y18" s="82"/>
      <c r="Z18" s="98"/>
      <c r="AA18" s="82"/>
      <c r="AB18" s="98"/>
      <c r="AC18" s="82"/>
      <c r="AD18" s="98"/>
      <c r="AE18" s="117"/>
      <c r="AF18" s="98"/>
      <c r="AG18" s="98"/>
      <c r="AH18" s="98"/>
      <c r="AI18" s="82"/>
      <c r="AJ18" s="98"/>
      <c r="AK18" s="83"/>
      <c r="AL18" s="84" t="str">
        <f>IF(F18&lt;&gt;0,IF(_xlfn.MAXIFS($I$1:I18,$F$1:F18,F18,$H$1:H18,"&gt;"&amp;0)=0,"KM NÃO ENCONTRADO",IF(H18=0,CONCATENATE("SUGESTÃO DE KM PARA PLACA ",F18," *",_xlfn.MAXIFS($I$1:I18,$F$1:F18,F18,$H$1:H18,"&gt;"&amp;0),"*"),"")),"")</f>
        <v/>
      </c>
      <c r="AM18" s="85" t="str" cm="1">
        <f t="array" ref="AM18">IFERROR(IF(M18&lt;&gt;"","",CONCATENATE("https://btx.brasiltrack.com/logistica/trajeto.php?idveiculo=",VLOOKUP(F18,DATAS!$A$221:$B$250,2,FALSE),"&amp;lat=-22.204247","&amp;data_ini=",TEXT(IF(E18&lt;&gt;"",IF(COUNTIF($F$2:$F18,F18)&gt;1,MAX(IF($F$1:$F17=F18,$E$1:$E17)),""),""),"DD/MM/AAAA"),"&amp;data_fim=",TEXT(E18,"DD/MM/AAAA"),"&amp;hora_inicial=",HOUR(IF(E18&lt;&gt;"",IF(COUNTIF($F$2:$F18,F18)&gt;1,MAX(IF($F$1:$F17=F18,$E$1:$E17)),""),"")),"&amp;minuto_inicial=",MINUTE(IF(E18&lt;&gt;"",IF(COUNTIF($F$2:$F18,F18)&gt;1,MAX(IF($F$1:$F17=F18,$E$1:$E17)),""),"")),"&amp;hora_final=",HOUR(E18),"&amp;minuto_final=",MINUTE(E18),"&amp;periodo=6&amp;tipo=por_data&amp;upos=false&amp;outequip=0")),"")</f>
        <v>https://btx.brasiltrack.com/logistica/trajeto.php?idveiculo=4F0C2317-958D-4267-BAF8-BC4F7B6B12A1&amp;lat=-22.204247&amp;data_ini=01/11/2022&amp;data_fim=02/11/2022&amp;hora_inicial=0&amp;minuto_inicial=47&amp;hora_final=6&amp;minuto_final=52&amp;periodo=6&amp;tipo=por_data&amp;upos=false&amp;outequip=0</v>
      </c>
      <c r="AN18" s="100" t="str">
        <f t="shared" si="5"/>
        <v xml:space="preserve">               </v>
      </c>
    </row>
    <row r="19" spans="1:40" x14ac:dyDescent="0.25">
      <c r="A19" s="81"/>
      <c r="B19" s="81"/>
      <c r="C19" s="81"/>
      <c r="D19" s="144">
        <v>44866</v>
      </c>
      <c r="E19" s="76">
        <v>44867.293055555558</v>
      </c>
      <c r="F19" s="6" t="s">
        <v>29</v>
      </c>
      <c r="G19" s="5" t="str">
        <f>IFERROR(VLOOKUP(SUMIFS(MSOLICITADA!$I:$I,MSOLICITADA!$B:$B,D19,MSOLICITADA!$F:$F,F19),CODIGOSPLACAS!$A$64:$B$89,2,FALSE),"")</f>
        <v>EDNILSON</v>
      </c>
      <c r="H19" s="77">
        <v>222131</v>
      </c>
      <c r="I19" s="77">
        <v>222668</v>
      </c>
      <c r="J19" s="7">
        <v>336</v>
      </c>
      <c r="K19" s="78">
        <v>2167.39</v>
      </c>
      <c r="L19" s="79" t="s">
        <v>111</v>
      </c>
      <c r="M19" s="6"/>
      <c r="N19" s="5">
        <f t="shared" si="0"/>
        <v>537</v>
      </c>
      <c r="O19" s="80">
        <f t="shared" si="1"/>
        <v>6.4505654761904756</v>
      </c>
      <c r="P19" s="8">
        <f t="shared" si="2"/>
        <v>1.5982142857142858</v>
      </c>
      <c r="Q19" s="8">
        <f t="shared" si="3"/>
        <v>1.5506852118293495</v>
      </c>
      <c r="R19" s="81">
        <f t="shared" si="4"/>
        <v>0</v>
      </c>
      <c r="S19" s="113" t="str">
        <f>IF(F19="","",IF(H19="",TEXT(_xlfn.MAXIFS($I$1:I19,$F$1:F19,F19,$H$1:H19,"&gt;"&amp;0),"000.000"),F19))</f>
        <v>GKA2J56</v>
      </c>
      <c r="T19" s="81"/>
      <c r="U19" s="82"/>
      <c r="V19" s="98"/>
      <c r="W19" s="82"/>
      <c r="X19" s="98"/>
      <c r="Y19" s="82"/>
      <c r="Z19" s="98"/>
      <c r="AA19" s="82"/>
      <c r="AB19" s="98"/>
      <c r="AC19" s="82"/>
      <c r="AD19" s="98"/>
      <c r="AE19" s="117"/>
      <c r="AF19" s="98"/>
      <c r="AG19" s="98"/>
      <c r="AH19" s="98"/>
      <c r="AI19" s="82"/>
      <c r="AJ19" s="98"/>
      <c r="AK19" s="83"/>
      <c r="AL19" s="84" t="str">
        <f>IF(F19&lt;&gt;0,IF(_xlfn.MAXIFS($I$1:I19,$F$1:F19,F19,$H$1:H19,"&gt;"&amp;0)=0,"KM NÃO ENCONTRADO",IF(H19=0,CONCATENATE("SUGESTÃO DE KM PARA PLACA ",F19," *",_xlfn.MAXIFS($I$1:I19,$F$1:F19,F19,$H$1:H19,"&gt;"&amp;0),"*"),"")),"")</f>
        <v/>
      </c>
      <c r="AM19" s="85" t="str" cm="1">
        <f t="array" ref="AM19">IFERROR(IF(M19&lt;&gt;"","",CONCATENATE("https://btx.brasiltrack.com/logistica/trajeto.php?idveiculo=",VLOOKUP(F19,DATAS!$A$221:$B$250,2,FALSE),"&amp;lat=-22.204247","&amp;data_ini=",TEXT(IF(E19&lt;&gt;"",IF(COUNTIF($F$2:$F19,F19)&gt;1,MAX(IF($F$1:$F18=F19,$E$1:$E18)),""),""),"DD/MM/AAAA"),"&amp;data_fim=",TEXT(E19,"DD/MM/AAAA"),"&amp;hora_inicial=",HOUR(IF(E19&lt;&gt;"",IF(COUNTIF($F$2:$F19,F19)&gt;1,MAX(IF($F$1:$F18=F19,$E$1:$E18)),""),"")),"&amp;minuto_inicial=",MINUTE(IF(E19&lt;&gt;"",IF(COUNTIF($F$2:$F19,F19)&gt;1,MAX(IF($F$1:$F18=F19,$E$1:$E18)),""),"")),"&amp;hora_final=",HOUR(E19),"&amp;minuto_final=",MINUTE(E19),"&amp;periodo=6&amp;tipo=por_data&amp;upos=false&amp;outequip=0")),"")</f>
        <v>https://btx.brasiltrack.com/logistica/trajeto.php?idveiculo=75A3D88C-4B99-481A-ACC8-34008151E92D&amp;lat=-22.204247&amp;data_ini=01/11/2022&amp;data_fim=02/11/2022&amp;hora_inicial=15&amp;minuto_inicial=20&amp;hora_final=7&amp;minuto_final=2&amp;periodo=6&amp;tipo=por_data&amp;upos=false&amp;outequip=0</v>
      </c>
      <c r="AN19" s="100" t="str">
        <f t="shared" si="5"/>
        <v xml:space="preserve">               </v>
      </c>
    </row>
    <row r="20" spans="1:40" x14ac:dyDescent="0.25">
      <c r="A20" s="81"/>
      <c r="B20" s="81"/>
      <c r="C20" s="81"/>
      <c r="D20" s="144">
        <v>44866</v>
      </c>
      <c r="E20" s="76">
        <v>44867.293749999997</v>
      </c>
      <c r="F20" s="6" t="s">
        <v>128</v>
      </c>
      <c r="G20" s="5" t="str">
        <f>IFERROR(VLOOKUP(SUMIFS(MSOLICITADA!$I:$I,MSOLICITADA!$B:$B,D20,MSOLICITADA!$F:$F,F20),CODIGOSPLACAS!$A$64:$B$89,2,FALSE),"")</f>
        <v>ELI RICARDO</v>
      </c>
      <c r="H20" s="77">
        <v>77652</v>
      </c>
      <c r="I20" s="77">
        <v>78286</v>
      </c>
      <c r="J20" s="7">
        <v>390</v>
      </c>
      <c r="K20" s="78">
        <v>2515.5</v>
      </c>
      <c r="L20" s="79" t="s">
        <v>111</v>
      </c>
      <c r="M20" s="6"/>
      <c r="N20" s="5">
        <f t="shared" si="0"/>
        <v>634</v>
      </c>
      <c r="O20" s="80">
        <f t="shared" si="1"/>
        <v>6.45</v>
      </c>
      <c r="P20" s="8">
        <f t="shared" si="2"/>
        <v>1.6256410256410256</v>
      </c>
      <c r="Q20" s="8">
        <f t="shared" ref="Q20:Q83" si="6">IFERROR((SUMIFS(M:M,D:D,D20,F:F,F20)+SUMIFS(N:N,D:D,D20,F:F,F20)-SUMIFS(AK:AK,D:D,D20,F:F,F20))/(SUMIFS(J:J,D:D,D20,F:F,F20)-(SUMIFS(AK:AK,D:D,D20,F:F,F20)/5)),0)</f>
        <v>1.6394783012697074</v>
      </c>
      <c r="R20" s="81">
        <f t="shared" si="4"/>
        <v>0</v>
      </c>
      <c r="S20" s="113" t="str">
        <f>IF(F20="","",IF(H20="",TEXT(_xlfn.MAXIFS($I$1:I20,$F$1:F20,F20,$H$1:H20,"&gt;"&amp;0),"000.000"),F20))</f>
        <v>GFR0D47</v>
      </c>
      <c r="T20" s="81"/>
      <c r="U20" s="82"/>
      <c r="V20" s="98"/>
      <c r="W20" s="82"/>
      <c r="X20" s="98"/>
      <c r="Y20" s="82"/>
      <c r="Z20" s="98"/>
      <c r="AA20" s="82"/>
      <c r="AB20" s="98"/>
      <c r="AC20" s="82"/>
      <c r="AD20" s="98"/>
      <c r="AE20" s="117"/>
      <c r="AF20" s="98"/>
      <c r="AG20" s="98"/>
      <c r="AH20" s="98"/>
      <c r="AI20" s="82"/>
      <c r="AJ20" s="98"/>
      <c r="AK20" s="83"/>
      <c r="AL20" s="84" t="str">
        <f>IF(F20&lt;&gt;0,IF(_xlfn.MAXIFS($I$1:I20,$F$1:F20,F20,$H$1:H20,"&gt;"&amp;0)=0,"KM NÃO ENCONTRADO",IF(H20=0,CONCATENATE("SUGESTÃO DE KM PARA PLACA ",F20," *",_xlfn.MAXIFS($I$1:I20,$F$1:F20,F20,$H$1:H20,"&gt;"&amp;0),"*"),"")),"")</f>
        <v/>
      </c>
      <c r="AM20" s="85" t="str" cm="1">
        <f t="array" ref="AM20">IFERROR(IF(M20&lt;&gt;"","",CONCATENATE("https://btx.brasiltrack.com/logistica/trajeto.php?idveiculo=",VLOOKUP(F20,DATAS!$A$221:$B$250,2,FALSE),"&amp;lat=-22.204247","&amp;data_ini=",TEXT(IF(E20&lt;&gt;"",IF(COUNTIF($F$2:$F20,F20)&gt;1,MAX(IF($F$1:$F19=F20,$E$1:$E19)),""),""),"DD/MM/AAAA"),"&amp;data_fim=",TEXT(E20,"DD/MM/AAAA"),"&amp;hora_inicial=",HOUR(IF(E20&lt;&gt;"",IF(COUNTIF($F$2:$F20,F20)&gt;1,MAX(IF($F$1:$F19=F20,$E$1:$E19)),""),"")),"&amp;minuto_inicial=",MINUTE(IF(E20&lt;&gt;"",IF(COUNTIF($F$2:$F20,F20)&gt;1,MAX(IF($F$1:$F19=F20,$E$1:$E19)),""),"")),"&amp;hora_final=",HOUR(E20),"&amp;minuto_final=",MINUTE(E20),"&amp;periodo=6&amp;tipo=por_data&amp;upos=false&amp;outequip=0")),"")</f>
        <v>https://btx.brasiltrack.com/logistica/trajeto.php?idveiculo=D171D77B-7EEE-4B8A-AB93-163C02819566&amp;lat=-22.204247&amp;data_ini=01/11/2022&amp;data_fim=02/11/2022&amp;hora_inicial=1&amp;minuto_inicial=19&amp;hora_final=7&amp;minuto_final=3&amp;periodo=6&amp;tipo=por_data&amp;upos=false&amp;outequip=0</v>
      </c>
      <c r="AN20" s="100" t="str">
        <f t="shared" si="5"/>
        <v xml:space="preserve">               </v>
      </c>
    </row>
    <row r="21" spans="1:40" x14ac:dyDescent="0.25">
      <c r="A21" s="81"/>
      <c r="B21" s="81"/>
      <c r="C21" s="81"/>
      <c r="D21" s="144">
        <v>44866</v>
      </c>
      <c r="E21" s="76">
        <v>44867.320138888892</v>
      </c>
      <c r="F21" s="6" t="s">
        <v>32</v>
      </c>
      <c r="G21" s="5" t="str">
        <f>IFERROR(VLOOKUP(SUMIFS(MSOLICITADA!$I:$I,MSOLICITADA!$B:$B,D21,MSOLICITADA!$F:$F,F21),CODIGOSPLACAS!$A$64:$B$89,2,FALSE),"")</f>
        <v>ADILSON</v>
      </c>
      <c r="H21" s="77">
        <v>188792</v>
      </c>
      <c r="I21" s="77">
        <v>189361</v>
      </c>
      <c r="J21" s="7">
        <v>334</v>
      </c>
      <c r="K21" s="78">
        <v>2154.3000000000002</v>
      </c>
      <c r="L21" s="79" t="s">
        <v>111</v>
      </c>
      <c r="M21" s="6"/>
      <c r="N21" s="5">
        <f t="shared" si="0"/>
        <v>569</v>
      </c>
      <c r="O21" s="80">
        <f t="shared" si="1"/>
        <v>6.45</v>
      </c>
      <c r="P21" s="8">
        <f t="shared" si="2"/>
        <v>1.7035928143712575</v>
      </c>
      <c r="Q21" s="8">
        <f t="shared" si="6"/>
        <v>1.518200707495146</v>
      </c>
      <c r="R21" s="81">
        <f t="shared" si="4"/>
        <v>0</v>
      </c>
      <c r="S21" s="113" t="str">
        <f>IF(F21="","",IF(H21="",TEXT(_xlfn.MAXIFS($I$1:I21,$F$1:F21,F21,$H$1:H21,"&gt;"&amp;0),"000.000"),F21))</f>
        <v>GJU9A22</v>
      </c>
      <c r="T21" s="81"/>
      <c r="U21" s="82"/>
      <c r="V21" s="98"/>
      <c r="W21" s="82"/>
      <c r="X21" s="98"/>
      <c r="Y21" s="82"/>
      <c r="Z21" s="98"/>
      <c r="AA21" s="82"/>
      <c r="AB21" s="98"/>
      <c r="AC21" s="82"/>
      <c r="AD21" s="98"/>
      <c r="AE21" s="117"/>
      <c r="AF21" s="98"/>
      <c r="AG21" s="98"/>
      <c r="AH21" s="98"/>
      <c r="AI21" s="82"/>
      <c r="AJ21" s="98"/>
      <c r="AK21" s="83"/>
      <c r="AL21" s="84" t="str">
        <f>IF(F21&lt;&gt;0,IF(_xlfn.MAXIFS($I$1:I21,$F$1:F21,F21,$H$1:H21,"&gt;"&amp;0)=0,"KM NÃO ENCONTRADO",IF(H21=0,CONCATENATE("SUGESTÃO DE KM PARA PLACA ",F21," *",_xlfn.MAXIFS($I$1:I21,$F$1:F21,F21,$H$1:H21,"&gt;"&amp;0),"*"),"")),"")</f>
        <v/>
      </c>
      <c r="AM21" s="85" t="str" cm="1">
        <f t="array" ref="AM21">IFERROR(IF(M21&lt;&gt;"","",CONCATENATE("https://btx.brasiltrack.com/logistica/trajeto.php?idveiculo=",VLOOKUP(F21,DATAS!$A$221:$B$250,2,FALSE),"&amp;lat=-22.204247","&amp;data_ini=",TEXT(IF(E21&lt;&gt;"",IF(COUNTIF($F$2:$F21,F21)&gt;1,MAX(IF($F$1:$F20=F21,$E$1:$E20)),""),""),"DD/MM/AAAA"),"&amp;data_fim=",TEXT(E21,"DD/MM/AAAA"),"&amp;hora_inicial=",HOUR(IF(E21&lt;&gt;"",IF(COUNTIF($F$2:$F21,F21)&gt;1,MAX(IF($F$1:$F20=F21,$E$1:$E20)),""),"")),"&amp;minuto_inicial=",MINUTE(IF(E21&lt;&gt;"",IF(COUNTIF($F$2:$F21,F21)&gt;1,MAX(IF($F$1:$F20=F21,$E$1:$E20)),""),"")),"&amp;hora_final=",HOUR(E21),"&amp;minuto_final=",MINUTE(E21),"&amp;periodo=6&amp;tipo=por_data&amp;upos=false&amp;outequip=0")),"")</f>
        <v>https://btx.brasiltrack.com/logistica/trajeto.php?idveiculo=51FCA948-8BA9-488B-AAF2-8F2F237B75B2&amp;lat=-22.204247&amp;data_ini=01/11/2022&amp;data_fim=02/11/2022&amp;hora_inicial=8&amp;minuto_inicial=57&amp;hora_final=7&amp;minuto_final=41&amp;periodo=6&amp;tipo=por_data&amp;upos=false&amp;outequip=0</v>
      </c>
      <c r="AN21" s="100" t="str">
        <f t="shared" si="5"/>
        <v xml:space="preserve">               </v>
      </c>
    </row>
    <row r="22" spans="1:40" x14ac:dyDescent="0.25">
      <c r="A22" s="81"/>
      <c r="B22" s="81"/>
      <c r="C22" s="81"/>
      <c r="D22" s="144">
        <v>44866</v>
      </c>
      <c r="E22" s="76">
        <v>44867.379861111112</v>
      </c>
      <c r="F22" s="6" t="s">
        <v>126</v>
      </c>
      <c r="G22" s="5" t="str">
        <f>IFERROR(VLOOKUP(SUMIFS(MSOLICITADA!$I:$I,MSOLICITADA!$B:$B,D22,MSOLICITADA!$F:$F,F22),CODIGOSPLACAS!$A$64:$B$89,2,FALSE),"")</f>
        <v>IZAIAS</v>
      </c>
      <c r="H22" s="77">
        <v>474998</v>
      </c>
      <c r="I22" s="77">
        <v>475631</v>
      </c>
      <c r="J22" s="7">
        <v>429.92099999999999</v>
      </c>
      <c r="K22" s="78">
        <v>2815.97</v>
      </c>
      <c r="L22" s="79" t="s">
        <v>111</v>
      </c>
      <c r="M22" s="6"/>
      <c r="N22" s="5">
        <f t="shared" si="0"/>
        <v>633</v>
      </c>
      <c r="O22" s="80">
        <f t="shared" si="1"/>
        <v>6.5499708085904151</v>
      </c>
      <c r="P22" s="8">
        <f t="shared" si="2"/>
        <v>1.4723635272526814</v>
      </c>
      <c r="Q22" s="8">
        <f t="shared" si="6"/>
        <v>1.4310423058843909</v>
      </c>
      <c r="R22" s="81">
        <f t="shared" si="4"/>
        <v>0</v>
      </c>
      <c r="S22" s="113" t="str">
        <f>IF(F22="","",IF(H22="",TEXT(_xlfn.MAXIFS($I$1:I22,$F$1:F22,F22,$H$1:H22,"&gt;"&amp;0),"000.000"),F22))</f>
        <v>GHX4D71</v>
      </c>
      <c r="T22" s="81"/>
      <c r="U22" s="82"/>
      <c r="V22" s="98"/>
      <c r="W22" s="82"/>
      <c r="X22" s="98"/>
      <c r="Y22" s="82"/>
      <c r="Z22" s="98"/>
      <c r="AA22" s="82"/>
      <c r="AB22" s="98"/>
      <c r="AC22" s="82"/>
      <c r="AD22" s="98"/>
      <c r="AE22" s="117"/>
      <c r="AF22" s="98"/>
      <c r="AG22" s="98"/>
      <c r="AH22" s="98"/>
      <c r="AI22" s="82"/>
      <c r="AJ22" s="98"/>
      <c r="AK22" s="83"/>
      <c r="AL22" s="84" t="str">
        <f>IF(F22&lt;&gt;0,IF(_xlfn.MAXIFS($I$1:I22,$F$1:F22,F22,$H$1:H22,"&gt;"&amp;0)=0,"KM NÃO ENCONTRADO",IF(H22=0,CONCATENATE("SUGESTÃO DE KM PARA PLACA ",F22," *",_xlfn.MAXIFS($I$1:I22,$F$1:F22,F22,$H$1:H22,"&gt;"&amp;0),"*"),"")),"")</f>
        <v/>
      </c>
      <c r="AM22" s="85" t="str" cm="1">
        <f t="array" ref="AM22">IFERROR(IF(M22&lt;&gt;"","",CONCATENATE("https://btx.brasiltrack.com/logistica/trajeto.php?idveiculo=",VLOOKUP(F22,DATAS!$A$221:$B$250,2,FALSE),"&amp;lat=-22.204247","&amp;data_ini=",TEXT(IF(E22&lt;&gt;"",IF(COUNTIF($F$2:$F22,F22)&gt;1,MAX(IF($F$1:$F21=F22,$E$1:$E21)),""),""),"DD/MM/AAAA"),"&amp;data_fim=",TEXT(E22,"DD/MM/AAAA"),"&amp;hora_inicial=",HOUR(IF(E22&lt;&gt;"",IF(COUNTIF($F$2:$F22,F22)&gt;1,MAX(IF($F$1:$F21=F22,$E$1:$E21)),""),"")),"&amp;minuto_inicial=",MINUTE(IF(E22&lt;&gt;"",IF(COUNTIF($F$2:$F22,F22)&gt;1,MAX(IF($F$1:$F21=F22,$E$1:$E21)),""),"")),"&amp;hora_final=",HOUR(E22),"&amp;minuto_final=",MINUTE(E22),"&amp;periodo=6&amp;tipo=por_data&amp;upos=false&amp;outequip=0")),"")</f>
        <v>https://btx.brasiltrack.com/logistica/trajeto.php?idveiculo=6B5F18E0-6EAE-404A-AE41-39E549361094&amp;lat=-22.204247&amp;data_ini=01/11/2022&amp;data_fim=02/11/2022&amp;hora_inicial=0&amp;minuto_inicial=48&amp;hora_final=9&amp;minuto_final=7&amp;periodo=6&amp;tipo=por_data&amp;upos=false&amp;outequip=0</v>
      </c>
      <c r="AN22" s="100" t="str">
        <f t="shared" si="5"/>
        <v xml:space="preserve">               </v>
      </c>
    </row>
    <row r="23" spans="1:40" x14ac:dyDescent="0.25">
      <c r="A23" s="81"/>
      <c r="B23" s="81"/>
      <c r="C23" s="81"/>
      <c r="D23" s="144">
        <v>44866</v>
      </c>
      <c r="E23" s="76">
        <v>44867.943749999999</v>
      </c>
      <c r="F23" s="6" t="s">
        <v>26</v>
      </c>
      <c r="G23" s="5" t="str">
        <f>IFERROR(VLOOKUP(SUMIFS(MSOLICITADA!$I:$I,MSOLICITADA!$B:$B,D23,MSOLICITADA!$F:$F,F23),CODIGOSPLACAS!$A$64:$B$89,2,FALSE),"")</f>
        <v>DIEGO</v>
      </c>
      <c r="H23" s="77">
        <v>388340</v>
      </c>
      <c r="I23" s="77">
        <v>389088</v>
      </c>
      <c r="J23" s="7">
        <v>480</v>
      </c>
      <c r="K23" s="78">
        <v>3096</v>
      </c>
      <c r="L23" s="79" t="s">
        <v>111</v>
      </c>
      <c r="M23" s="6"/>
      <c r="N23" s="5">
        <f t="shared" si="0"/>
        <v>748</v>
      </c>
      <c r="O23" s="80">
        <f t="shared" si="1"/>
        <v>6.45</v>
      </c>
      <c r="P23" s="8">
        <f t="shared" si="2"/>
        <v>1.5583333333333333</v>
      </c>
      <c r="Q23" s="8">
        <f t="shared" si="6"/>
        <v>1.4215213058096179</v>
      </c>
      <c r="R23" s="81">
        <f t="shared" si="4"/>
        <v>0</v>
      </c>
      <c r="S23" s="113" t="str">
        <f>IF(F23="","",IF(H23="",TEXT(_xlfn.MAXIFS($I$1:I23,$F$1:F23,F23,$H$1:H23,"&gt;"&amp;0),"000.000"),F23))</f>
        <v>BZA3587</v>
      </c>
      <c r="T23" s="81"/>
      <c r="U23" s="82"/>
      <c r="V23" s="98"/>
      <c r="W23" s="82"/>
      <c r="X23" s="98"/>
      <c r="Y23" s="82"/>
      <c r="Z23" s="98"/>
      <c r="AA23" s="82"/>
      <c r="AB23" s="98"/>
      <c r="AC23" s="82"/>
      <c r="AD23" s="98"/>
      <c r="AE23" s="117"/>
      <c r="AF23" s="98"/>
      <c r="AG23" s="98"/>
      <c r="AH23" s="98"/>
      <c r="AI23" s="82"/>
      <c r="AJ23" s="98"/>
      <c r="AK23" s="83"/>
      <c r="AL23" s="84" t="str">
        <f>IF(F23&lt;&gt;0,IF(_xlfn.MAXIFS($I$1:I23,$F$1:F23,F23,$H$1:H23,"&gt;"&amp;0)=0,"KM NÃO ENCONTRADO",IF(H23=0,CONCATENATE("SUGESTÃO DE KM PARA PLACA ",F23," *",_xlfn.MAXIFS($I$1:I23,$F$1:F23,F23,$H$1:H23,"&gt;"&amp;0),"*"),"")),"")</f>
        <v/>
      </c>
      <c r="AM23" s="85" t="str" cm="1">
        <f t="array" ref="AM23">IFERROR(IF(M23&lt;&gt;"","",CONCATENATE("https://btx.brasiltrack.com/logistica/trajeto.php?idveiculo=",VLOOKUP(F23,DATAS!$A$221:$B$250,2,FALSE),"&amp;lat=-22.204247","&amp;data_ini=",TEXT(IF(E23&lt;&gt;"",IF(COUNTIF($F$2:$F23,F23)&gt;1,MAX(IF($F$1:$F22=F23,$E$1:$E22)),""),""),"DD/MM/AAAA"),"&amp;data_fim=",TEXT(E23,"DD/MM/AAAA"),"&amp;hora_inicial=",HOUR(IF(E23&lt;&gt;"",IF(COUNTIF($F$2:$F23,F23)&gt;1,MAX(IF($F$1:$F22=F23,$E$1:$E22)),""),"")),"&amp;minuto_inicial=",MINUTE(IF(E23&lt;&gt;"",IF(COUNTIF($F$2:$F23,F23)&gt;1,MAX(IF($F$1:$F22=F23,$E$1:$E22)),""),"")),"&amp;hora_final=",HOUR(E23),"&amp;minuto_final=",MINUTE(E23),"&amp;periodo=6&amp;tipo=por_data&amp;upos=false&amp;outequip=0")),"")</f>
        <v>https://btx.brasiltrack.com/logistica/trajeto.php?idveiculo=6CC0A70E-9379-4BF7-9063-21D318A103FE&amp;lat=-22.204247&amp;data_ini=01/11/2022&amp;data_fim=02/11/2022&amp;hora_inicial=20&amp;minuto_inicial=49&amp;hora_final=22&amp;minuto_final=39&amp;periodo=6&amp;tipo=por_data&amp;upos=false&amp;outequip=0</v>
      </c>
      <c r="AN23" s="100" t="str">
        <f t="shared" si="5"/>
        <v xml:space="preserve">               </v>
      </c>
    </row>
    <row r="24" spans="1:40" x14ac:dyDescent="0.25">
      <c r="A24" s="81"/>
      <c r="B24" s="81"/>
      <c r="C24" s="81"/>
      <c r="D24" s="144">
        <v>44866</v>
      </c>
      <c r="E24" s="76">
        <v>44867.972916666666</v>
      </c>
      <c r="F24" s="6" t="s">
        <v>24</v>
      </c>
      <c r="G24" s="5" t="str">
        <f>IFERROR(VLOOKUP(SUMIFS(MSOLICITADA!$I:$I,MSOLICITADA!$B:$B,D24,MSOLICITADA!$F:$F,F24),CODIGOSPLACAS!$A$64:$B$89,2,FALSE),"")</f>
        <v>PAULO HENR.</v>
      </c>
      <c r="H24" s="77">
        <v>935621</v>
      </c>
      <c r="I24" s="77">
        <v>936415</v>
      </c>
      <c r="J24" s="7">
        <v>503.02</v>
      </c>
      <c r="K24" s="78">
        <v>3244.48</v>
      </c>
      <c r="L24" s="79" t="s">
        <v>111</v>
      </c>
      <c r="M24" s="6"/>
      <c r="N24" s="5">
        <f t="shared" si="0"/>
        <v>794</v>
      </c>
      <c r="O24" s="80">
        <f t="shared" si="1"/>
        <v>6.4500019879925254</v>
      </c>
      <c r="P24" s="8">
        <f t="shared" si="2"/>
        <v>1.5784660649675957</v>
      </c>
      <c r="Q24" s="8">
        <f t="shared" si="6"/>
        <v>1.4770603223392504</v>
      </c>
      <c r="R24" s="81">
        <f t="shared" si="4"/>
        <v>0</v>
      </c>
      <c r="S24" s="113" t="str">
        <f>IF(F24="","",IF(H24="",TEXT(_xlfn.MAXIFS($I$1:I24,$F$1:F24,F24,$H$1:H24,"&gt;"&amp;0),"000.000"),F24))</f>
        <v>FKS0J24</v>
      </c>
      <c r="T24" s="81"/>
      <c r="U24" s="82"/>
      <c r="V24" s="98"/>
      <c r="W24" s="82"/>
      <c r="X24" s="98"/>
      <c r="Y24" s="82"/>
      <c r="Z24" s="98"/>
      <c r="AA24" s="82"/>
      <c r="AB24" s="98"/>
      <c r="AC24" s="82"/>
      <c r="AD24" s="98"/>
      <c r="AE24" s="117"/>
      <c r="AF24" s="98"/>
      <c r="AG24" s="98"/>
      <c r="AH24" s="98"/>
      <c r="AI24" s="82"/>
      <c r="AJ24" s="98"/>
      <c r="AK24" s="83"/>
      <c r="AL24" s="84" t="str">
        <f>IF(F24&lt;&gt;0,IF(_xlfn.MAXIFS($I$1:I24,$F$1:F24,F24,$H$1:H24,"&gt;"&amp;0)=0,"KM NÃO ENCONTRADO",IF(H24=0,CONCATENATE("SUGESTÃO DE KM PARA PLACA ",F24," *",_xlfn.MAXIFS($I$1:I24,$F$1:F24,F24,$H$1:H24,"&gt;"&amp;0),"*"),"")),"")</f>
        <v/>
      </c>
      <c r="AM24" s="85" t="str" cm="1">
        <f t="array" ref="AM24">IFERROR(IF(M24&lt;&gt;"","",CONCATENATE("https://btx.brasiltrack.com/logistica/trajeto.php?idveiculo=",VLOOKUP(F24,DATAS!$A$221:$B$250,2,FALSE),"&amp;lat=-22.204247","&amp;data_ini=",TEXT(IF(E24&lt;&gt;"",IF(COUNTIF($F$2:$F24,F24)&gt;1,MAX(IF($F$1:$F23=F24,$E$1:$E23)),""),""),"DD/MM/AAAA"),"&amp;data_fim=",TEXT(E24,"DD/MM/AAAA"),"&amp;hora_inicial=",HOUR(IF(E24&lt;&gt;"",IF(COUNTIF($F$2:$F24,F24)&gt;1,MAX(IF($F$1:$F23=F24,$E$1:$E23)),""),"")),"&amp;minuto_inicial=",MINUTE(IF(E24&lt;&gt;"",IF(COUNTIF($F$2:$F24,F24)&gt;1,MAX(IF($F$1:$F23=F24,$E$1:$E23)),""),"")),"&amp;hora_final=",HOUR(E24),"&amp;minuto_final=",MINUTE(E24),"&amp;periodo=6&amp;tipo=por_data&amp;upos=false&amp;outequip=0")),"")</f>
        <v>https://btx.brasiltrack.com/logistica/trajeto.php?idveiculo=F4FE5996-DC74-4D0B-AEF1-D6ADE020157C&amp;lat=-22.204247&amp;data_ini=01/11/2022&amp;data_fim=02/11/2022&amp;hora_inicial=3&amp;minuto_inicial=53&amp;hora_final=23&amp;minuto_final=21&amp;periodo=6&amp;tipo=por_data&amp;upos=false&amp;outequip=0</v>
      </c>
      <c r="AN24" s="100" t="str">
        <f t="shared" si="5"/>
        <v xml:space="preserve">               </v>
      </c>
    </row>
    <row r="25" spans="1:40" x14ac:dyDescent="0.25">
      <c r="A25" s="81"/>
      <c r="B25" s="81"/>
      <c r="C25" s="81"/>
      <c r="D25" s="144">
        <v>44866</v>
      </c>
      <c r="E25" s="76">
        <v>44867.974999999999</v>
      </c>
      <c r="F25" s="6" t="s">
        <v>124</v>
      </c>
      <c r="G25" s="5" t="str">
        <f>IFERROR(VLOOKUP(SUMIFS(MSOLICITADA!$I:$I,MSOLICITADA!$B:$B,D25,MSOLICITADA!$F:$F,F25),CODIGOSPLACAS!$A$64:$B$89,2,FALSE),"")</f>
        <v>ISRAEL</v>
      </c>
      <c r="H25" s="77">
        <v>124652</v>
      </c>
      <c r="I25" s="77">
        <v>125443</v>
      </c>
      <c r="J25" s="7">
        <v>460.07</v>
      </c>
      <c r="K25" s="78">
        <v>2967.45</v>
      </c>
      <c r="L25" s="79" t="s">
        <v>111</v>
      </c>
      <c r="M25" s="6"/>
      <c r="N25" s="5">
        <f t="shared" si="0"/>
        <v>791</v>
      </c>
      <c r="O25" s="80">
        <f t="shared" si="1"/>
        <v>6.4499967396265783</v>
      </c>
      <c r="P25" s="8">
        <f t="shared" si="2"/>
        <v>1.7193035842371813</v>
      </c>
      <c r="Q25" s="8">
        <f t="shared" si="6"/>
        <v>1.5512732562038034</v>
      </c>
      <c r="R25" s="81">
        <f t="shared" si="4"/>
        <v>0</v>
      </c>
      <c r="S25" s="113" t="str">
        <f>IF(F25="","",IF(H25="",TEXT(_xlfn.MAXIFS($I$1:I25,$F$1:F25,F25,$H$1:H25,"&gt;"&amp;0),"000.000"),F25))</f>
        <v>GHH9B64</v>
      </c>
      <c r="T25" s="81"/>
      <c r="U25" s="82"/>
      <c r="V25" s="98"/>
      <c r="W25" s="82"/>
      <c r="X25" s="98"/>
      <c r="Y25" s="82"/>
      <c r="Z25" s="98"/>
      <c r="AA25" s="82"/>
      <c r="AB25" s="98"/>
      <c r="AC25" s="82"/>
      <c r="AD25" s="98"/>
      <c r="AE25" s="117"/>
      <c r="AF25" s="98"/>
      <c r="AG25" s="98"/>
      <c r="AH25" s="98"/>
      <c r="AI25" s="82"/>
      <c r="AJ25" s="98"/>
      <c r="AK25" s="83"/>
      <c r="AL25" s="84" t="str">
        <f>IF(F25&lt;&gt;0,IF(_xlfn.MAXIFS($I$1:I25,$F$1:F25,F25,$H$1:H25,"&gt;"&amp;0)=0,"KM NÃO ENCONTRADO",IF(H25=0,CONCATENATE("SUGESTÃO DE KM PARA PLACA ",F25," *",_xlfn.MAXIFS($I$1:I25,$F$1:F25,F25,$H$1:H25,"&gt;"&amp;0),"*"),"")),"")</f>
        <v/>
      </c>
      <c r="AM25" s="85" t="str" cm="1">
        <f t="array" ref="AM25">IFERROR(IF(M25&lt;&gt;"","",CONCATENATE("https://btx.brasiltrack.com/logistica/trajeto.php?idveiculo=",VLOOKUP(F25,DATAS!$A$221:$B$250,2,FALSE),"&amp;lat=-22.204247","&amp;data_ini=",TEXT(IF(E25&lt;&gt;"",IF(COUNTIF($F$2:$F25,F25)&gt;1,MAX(IF($F$1:$F24=F25,$E$1:$E24)),""),""),"DD/MM/AAAA"),"&amp;data_fim=",TEXT(E25,"DD/MM/AAAA"),"&amp;hora_inicial=",HOUR(IF(E25&lt;&gt;"",IF(COUNTIF($F$2:$F25,F25)&gt;1,MAX(IF($F$1:$F24=F25,$E$1:$E24)),""),"")),"&amp;minuto_inicial=",MINUTE(IF(E25&lt;&gt;"",IF(COUNTIF($F$2:$F25,F25)&gt;1,MAX(IF($F$1:$F24=F25,$E$1:$E24)),""),"")),"&amp;hora_final=",HOUR(E25),"&amp;minuto_final=",MINUTE(E25),"&amp;periodo=6&amp;tipo=por_data&amp;upos=false&amp;outequip=0")),"")</f>
        <v>https://btx.brasiltrack.com/logistica/trajeto.php?idveiculo=82801E41-A001-436F-A743-F071900B878A&amp;lat=-22.204247&amp;data_ini=01/11/2022&amp;data_fim=02/11/2022&amp;hora_inicial=3&amp;minuto_inicial=47&amp;hora_final=23&amp;minuto_final=24&amp;periodo=6&amp;tipo=por_data&amp;upos=false&amp;outequip=0</v>
      </c>
      <c r="AN25" s="100" t="str">
        <f t="shared" si="5"/>
        <v xml:space="preserve">               </v>
      </c>
    </row>
    <row r="26" spans="1:40" x14ac:dyDescent="0.25">
      <c r="A26" s="81"/>
      <c r="B26" s="81"/>
      <c r="C26" s="81"/>
      <c r="D26" s="144">
        <v>44866</v>
      </c>
      <c r="E26" s="76">
        <v>44868.039583333331</v>
      </c>
      <c r="F26" s="6" t="s">
        <v>30</v>
      </c>
      <c r="G26" s="5" t="str">
        <f>IFERROR(VLOOKUP(SUMIFS(MSOLICITADA!$I:$I,MSOLICITADA!$B:$B,D26,MSOLICITADA!$F:$F,F26),CODIGOSPLACAS!$A$64:$B$89,2,FALSE),"")</f>
        <v>RONILSON</v>
      </c>
      <c r="H26" s="77">
        <v>206718</v>
      </c>
      <c r="I26" s="77">
        <v>207570</v>
      </c>
      <c r="J26" s="7">
        <v>534</v>
      </c>
      <c r="K26" s="78">
        <v>3444.3</v>
      </c>
      <c r="L26" s="79" t="s">
        <v>111</v>
      </c>
      <c r="M26" s="6"/>
      <c r="N26" s="5">
        <f t="shared" si="0"/>
        <v>852</v>
      </c>
      <c r="O26" s="80">
        <f t="shared" si="1"/>
        <v>6.45</v>
      </c>
      <c r="P26" s="8">
        <f t="shared" si="2"/>
        <v>1.595505617977528</v>
      </c>
      <c r="Q26" s="8">
        <f t="shared" si="6"/>
        <v>1.5438598974121283</v>
      </c>
      <c r="R26" s="81">
        <f t="shared" si="4"/>
        <v>0</v>
      </c>
      <c r="S26" s="113" t="str">
        <f>IF(F26="","",IF(H26="",TEXT(_xlfn.MAXIFS($I$1:I26,$F$1:F26,F26,$H$1:H26,"&gt;"&amp;0),"000.000"),F26))</f>
        <v>GFB0I37</v>
      </c>
      <c r="T26" s="81"/>
      <c r="U26" s="82"/>
      <c r="V26" s="98"/>
      <c r="W26" s="82"/>
      <c r="X26" s="98"/>
      <c r="Y26" s="82"/>
      <c r="Z26" s="98"/>
      <c r="AA26" s="82"/>
      <c r="AB26" s="98"/>
      <c r="AC26" s="82"/>
      <c r="AD26" s="98"/>
      <c r="AE26" s="117"/>
      <c r="AF26" s="98"/>
      <c r="AG26" s="98"/>
      <c r="AH26" s="98"/>
      <c r="AI26" s="82"/>
      <c r="AJ26" s="98"/>
      <c r="AK26" s="83"/>
      <c r="AL26" s="84" t="str">
        <f>IF(F26&lt;&gt;0,IF(_xlfn.MAXIFS($I$1:I26,$F$1:F26,F26,$H$1:H26,"&gt;"&amp;0)=0,"KM NÃO ENCONTRADO",IF(H26=0,CONCATENATE("SUGESTÃO DE KM PARA PLACA ",F26," *",_xlfn.MAXIFS($I$1:I26,$F$1:F26,F26,$H$1:H26,"&gt;"&amp;0),"*"),"")),"")</f>
        <v/>
      </c>
      <c r="AM26" s="85" t="str" cm="1">
        <f t="array" ref="AM26">IFERROR(IF(M26&lt;&gt;"","",CONCATENATE("https://btx.brasiltrack.com/logistica/trajeto.php?idveiculo=",VLOOKUP(F26,DATAS!$A$221:$B$250,2,FALSE),"&amp;lat=-22.204247","&amp;data_ini=",TEXT(IF(E26&lt;&gt;"",IF(COUNTIF($F$2:$F26,F26)&gt;1,MAX(IF($F$1:$F25=F26,$E$1:$E25)),""),""),"DD/MM/AAAA"),"&amp;data_fim=",TEXT(E26,"DD/MM/AAAA"),"&amp;hora_inicial=",HOUR(IF(E26&lt;&gt;"",IF(COUNTIF($F$2:$F26,F26)&gt;1,MAX(IF($F$1:$F25=F26,$E$1:$E25)),""),"")),"&amp;minuto_inicial=",MINUTE(IF(E26&lt;&gt;"",IF(COUNTIF($F$2:$F26,F26)&gt;1,MAX(IF($F$1:$F25=F26,$E$1:$E25)),""),"")),"&amp;hora_final=",HOUR(E26),"&amp;minuto_final=",MINUTE(E26),"&amp;periodo=6&amp;tipo=por_data&amp;upos=false&amp;outequip=0")),"")</f>
        <v>https://btx.brasiltrack.com/logistica/trajeto.php?idveiculo=94099C57-E02A-40F7-B573-6368475EB0B3&amp;lat=-22.204247&amp;data_ini=01/11/2022&amp;data_fim=03/11/2022&amp;hora_inicial=3&amp;minuto_inicial=48&amp;hora_final=0&amp;minuto_final=57&amp;periodo=6&amp;tipo=por_data&amp;upos=false&amp;outequip=0</v>
      </c>
      <c r="AN26" s="100" t="str">
        <f t="shared" si="5"/>
        <v xml:space="preserve">               </v>
      </c>
    </row>
    <row r="27" spans="1:40" x14ac:dyDescent="0.25">
      <c r="A27" s="81"/>
      <c r="B27" s="81"/>
      <c r="C27" s="81"/>
      <c r="D27" s="144">
        <v>44866</v>
      </c>
      <c r="E27" s="76">
        <v>44868.183333333334</v>
      </c>
      <c r="F27" s="6" t="s">
        <v>127</v>
      </c>
      <c r="G27" s="5" t="str">
        <f>IFERROR(VLOOKUP(SUMIFS(MSOLICITADA!$I:$I,MSOLICITADA!$B:$B,D27,MSOLICITADA!$F:$F,F27),CODIGOSPLACAS!$A$64:$B$89,2,FALSE),"")</f>
        <v>EVERTON</v>
      </c>
      <c r="H27" s="77">
        <v>1221139</v>
      </c>
      <c r="I27" s="77">
        <v>1221833</v>
      </c>
      <c r="J27" s="7">
        <v>323.86099999999999</v>
      </c>
      <c r="K27" s="78">
        <v>2121.29</v>
      </c>
      <c r="L27" s="79" t="s">
        <v>111</v>
      </c>
      <c r="M27" s="6"/>
      <c r="N27" s="5">
        <f t="shared" si="0"/>
        <v>694</v>
      </c>
      <c r="O27" s="80">
        <f t="shared" si="1"/>
        <v>6.5500013894849953</v>
      </c>
      <c r="P27" s="8">
        <f t="shared" si="2"/>
        <v>2.1428946368966932</v>
      </c>
      <c r="Q27" s="8">
        <f t="shared" si="6"/>
        <v>1.8434307437405129</v>
      </c>
      <c r="R27" s="81">
        <f t="shared" si="4"/>
        <v>0</v>
      </c>
      <c r="S27" s="113" t="str">
        <f>IF(F27="","",IF(H27="",TEXT(_xlfn.MAXIFS($I$1:I27,$F$1:F27,F27,$H$1:H27,"&gt;"&amp;0),"000.000"),F27))</f>
        <v>OPM8J51</v>
      </c>
      <c r="T27" s="81"/>
      <c r="U27" s="82"/>
      <c r="V27" s="98"/>
      <c r="W27" s="82"/>
      <c r="X27" s="98"/>
      <c r="Y27" s="82"/>
      <c r="Z27" s="98"/>
      <c r="AA27" s="82"/>
      <c r="AB27" s="98"/>
      <c r="AC27" s="82"/>
      <c r="AD27" s="98"/>
      <c r="AE27" s="117"/>
      <c r="AF27" s="98"/>
      <c r="AG27" s="98"/>
      <c r="AH27" s="98"/>
      <c r="AI27" s="82"/>
      <c r="AJ27" s="98"/>
      <c r="AK27" s="83"/>
      <c r="AL27" s="84" t="str">
        <f>IF(F27&lt;&gt;0,IF(_xlfn.MAXIFS($I$1:I27,$F$1:F27,F27,$H$1:H27,"&gt;"&amp;0)=0,"KM NÃO ENCONTRADO",IF(H27=0,CONCATENATE("SUGESTÃO DE KM PARA PLACA ",F27," *",_xlfn.MAXIFS($I$1:I27,$F$1:F27,F27,$H$1:H27,"&gt;"&amp;0),"*"),"")),"")</f>
        <v/>
      </c>
      <c r="AM27" s="85" t="str" cm="1">
        <f t="array" ref="AM27">IFERROR(IF(M27&lt;&gt;"","",CONCATENATE("https://btx.brasiltrack.com/logistica/trajeto.php?idveiculo=",VLOOKUP(F27,DATAS!$A$221:$B$250,2,FALSE),"&amp;lat=-22.204247","&amp;data_ini=",TEXT(IF(E27&lt;&gt;"",IF(COUNTIF($F$2:$F27,F27)&gt;1,MAX(IF($F$1:$F26=F27,$E$1:$E26)),""),""),"DD/MM/AAAA"),"&amp;data_fim=",TEXT(E27,"DD/MM/AAAA"),"&amp;hora_inicial=",HOUR(IF(E27&lt;&gt;"",IF(COUNTIF($F$2:$F27,F27)&gt;1,MAX(IF($F$1:$F26=F27,$E$1:$E26)),""),"")),"&amp;minuto_inicial=",MINUTE(IF(E27&lt;&gt;"",IF(COUNTIF($F$2:$F27,F27)&gt;1,MAX(IF($F$1:$F26=F27,$E$1:$E26)),""),"")),"&amp;hora_final=",HOUR(E27),"&amp;minuto_final=",MINUTE(E27),"&amp;periodo=6&amp;tipo=por_data&amp;upos=false&amp;outequip=0")),"")</f>
        <v>https://btx.brasiltrack.com/logistica/trajeto.php?idveiculo=6B275FDC-A2AC-4272-8CE2-C39701ECE18D&amp;lat=-22.204247&amp;data_ini=02/11/2022&amp;data_fim=03/11/2022&amp;hora_inicial=2&amp;minuto_inicial=21&amp;hora_final=4&amp;minuto_final=24&amp;periodo=6&amp;tipo=por_data&amp;upos=false&amp;outequip=0</v>
      </c>
      <c r="AN27" s="100" t="str">
        <f t="shared" si="5"/>
        <v xml:space="preserve">               </v>
      </c>
    </row>
    <row r="28" spans="1:40" x14ac:dyDescent="0.25">
      <c r="A28" s="81"/>
      <c r="B28" s="81"/>
      <c r="C28" s="81"/>
      <c r="D28" s="144">
        <v>44866</v>
      </c>
      <c r="E28" s="76">
        <v>44868.395138888889</v>
      </c>
      <c r="F28" s="6" t="s">
        <v>33</v>
      </c>
      <c r="G28" s="5" t="str">
        <f>IFERROR(VLOOKUP(SUMIFS(MSOLICITADA!$I:$I,MSOLICITADA!$B:$B,D28,MSOLICITADA!$F:$F,F28),CODIGOSPLACAS!$A$64:$B$89,2,FALSE),"")</f>
        <v>JULIO</v>
      </c>
      <c r="H28" s="77">
        <v>153306</v>
      </c>
      <c r="I28" s="77">
        <v>154198</v>
      </c>
      <c r="J28" s="7">
        <v>520</v>
      </c>
      <c r="K28" s="78">
        <v>3354.06</v>
      </c>
      <c r="L28" s="79" t="s">
        <v>111</v>
      </c>
      <c r="M28" s="6"/>
      <c r="N28" s="5">
        <f t="shared" si="0"/>
        <v>892</v>
      </c>
      <c r="O28" s="80">
        <f t="shared" si="1"/>
        <v>6.4501153846153843</v>
      </c>
      <c r="P28" s="8">
        <f t="shared" si="2"/>
        <v>1.7153846153846153</v>
      </c>
      <c r="Q28" s="8">
        <f t="shared" si="6"/>
        <v>1.7415645068481733</v>
      </c>
      <c r="R28" s="81">
        <f t="shared" si="4"/>
        <v>0</v>
      </c>
      <c r="S28" s="113" t="str">
        <f>IF(F28="","",IF(H28="",TEXT(_xlfn.MAXIFS($I$1:I28,$F$1:F28,F28,$H$1:H28,"&gt;"&amp;0),"000.000"),F28))</f>
        <v>GGF7G26</v>
      </c>
      <c r="T28" s="81"/>
      <c r="U28" s="82"/>
      <c r="V28" s="98"/>
      <c r="W28" s="82"/>
      <c r="X28" s="98"/>
      <c r="Y28" s="82"/>
      <c r="Z28" s="98"/>
      <c r="AA28" s="82"/>
      <c r="AB28" s="98"/>
      <c r="AC28" s="82"/>
      <c r="AD28" s="98"/>
      <c r="AE28" s="117"/>
      <c r="AF28" s="98"/>
      <c r="AG28" s="98"/>
      <c r="AH28" s="98"/>
      <c r="AI28" s="82"/>
      <c r="AJ28" s="98"/>
      <c r="AK28" s="83"/>
      <c r="AL28" s="84" t="str">
        <f>IF(F28&lt;&gt;0,IF(_xlfn.MAXIFS($I$1:I28,$F$1:F28,F28,$H$1:H28,"&gt;"&amp;0)=0,"KM NÃO ENCONTRADO",IF(H28=0,CONCATENATE("SUGESTÃO DE KM PARA PLACA ",F28," *",_xlfn.MAXIFS($I$1:I28,$F$1:F28,F28,$H$1:H28,"&gt;"&amp;0),"*"),"")),"")</f>
        <v/>
      </c>
      <c r="AM28" s="85" t="str" cm="1">
        <f t="array" ref="AM28">IFERROR(IF(M28&lt;&gt;"","",CONCATENATE("https://btx.brasiltrack.com/logistica/trajeto.php?idveiculo=",VLOOKUP(F28,DATAS!$A$221:$B$250,2,FALSE),"&amp;lat=-22.204247","&amp;data_ini=",TEXT(IF(E28&lt;&gt;"",IF(COUNTIF($F$2:$F28,F28)&gt;1,MAX(IF($F$1:$F27=F28,$E$1:$E27)),""),""),"DD/MM/AAAA"),"&amp;data_fim=",TEXT(E28,"DD/MM/AAAA"),"&amp;hora_inicial=",HOUR(IF(E28&lt;&gt;"",IF(COUNTIF($F$2:$F28,F28)&gt;1,MAX(IF($F$1:$F27=F28,$E$1:$E27)),""),"")),"&amp;minuto_inicial=",MINUTE(IF(E28&lt;&gt;"",IF(COUNTIF($F$2:$F28,F28)&gt;1,MAX(IF($F$1:$F27=F28,$E$1:$E27)),""),"")),"&amp;hora_final=",HOUR(E28),"&amp;minuto_final=",MINUTE(E28),"&amp;periodo=6&amp;tipo=por_data&amp;upos=false&amp;outequip=0")),"")</f>
        <v>https://btx.brasiltrack.com/logistica/trajeto.php?idveiculo=4F0C2317-958D-4267-BAF8-BC4F7B6B12A1&amp;lat=-22.204247&amp;data_ini=02/11/2022&amp;data_fim=03/11/2022&amp;hora_inicial=6&amp;minuto_inicial=52&amp;hora_final=9&amp;minuto_final=29&amp;periodo=6&amp;tipo=por_data&amp;upos=false&amp;outequip=0</v>
      </c>
      <c r="AN28" s="100" t="str">
        <f t="shared" si="5"/>
        <v xml:space="preserve">               </v>
      </c>
    </row>
    <row r="29" spans="1:40" x14ac:dyDescent="0.25">
      <c r="A29" s="81"/>
      <c r="B29" s="81"/>
      <c r="C29" s="81"/>
      <c r="D29" s="144">
        <v>44866</v>
      </c>
      <c r="E29" s="76">
        <v>44868.438888888886</v>
      </c>
      <c r="F29" s="6" t="s">
        <v>27</v>
      </c>
      <c r="G29" s="5" t="str">
        <f>IFERROR(VLOOKUP(SUMIFS(MSOLICITADA!$I:$I,MSOLICITADA!$B:$B,D29,MSOLICITADA!$F:$F,F29),CODIGOSPLACAS!$A$64:$B$89,2,FALSE),"")</f>
        <v>ANTONIO</v>
      </c>
      <c r="H29" s="77">
        <v>233413</v>
      </c>
      <c r="I29" s="77">
        <v>234351</v>
      </c>
      <c r="J29" s="7">
        <v>624.5</v>
      </c>
      <c r="K29" s="78">
        <v>4028.07</v>
      </c>
      <c r="L29" s="79" t="s">
        <v>111</v>
      </c>
      <c r="M29" s="6"/>
      <c r="N29" s="5">
        <f t="shared" si="0"/>
        <v>938</v>
      </c>
      <c r="O29" s="80">
        <f t="shared" si="1"/>
        <v>6.4500720576461168</v>
      </c>
      <c r="P29" s="8">
        <f t="shared" si="2"/>
        <v>1.5020016012810249</v>
      </c>
      <c r="Q29" s="8">
        <f t="shared" si="6"/>
        <v>1.4461676128873802</v>
      </c>
      <c r="R29" s="81">
        <f t="shared" si="4"/>
        <v>0</v>
      </c>
      <c r="S29" s="113" t="str">
        <f>IF(F29="","",IF(H29="",TEXT(_xlfn.MAXIFS($I$1:I29,$F$1:F29,F29,$H$1:H29,"&gt;"&amp;0),"000.000"),F29))</f>
        <v>GHS4J57</v>
      </c>
      <c r="T29" s="81"/>
      <c r="U29" s="82"/>
      <c r="V29" s="98"/>
      <c r="W29" s="82"/>
      <c r="X29" s="98"/>
      <c r="Y29" s="82"/>
      <c r="Z29" s="98"/>
      <c r="AA29" s="82"/>
      <c r="AB29" s="98"/>
      <c r="AC29" s="82"/>
      <c r="AD29" s="98"/>
      <c r="AE29" s="117"/>
      <c r="AF29" s="98"/>
      <c r="AG29" s="98"/>
      <c r="AH29" s="98"/>
      <c r="AI29" s="82"/>
      <c r="AJ29" s="98"/>
      <c r="AK29" s="83"/>
      <c r="AL29" s="84" t="str">
        <f>IF(F29&lt;&gt;0,IF(_xlfn.MAXIFS($I$1:I29,$F$1:F29,F29,$H$1:H29,"&gt;"&amp;0)=0,"KM NÃO ENCONTRADO",IF(H29=0,CONCATENATE("SUGESTÃO DE KM PARA PLACA ",F29," *",_xlfn.MAXIFS($I$1:I29,$F$1:F29,F29,$H$1:H29,"&gt;"&amp;0),"*"),"")),"")</f>
        <v/>
      </c>
      <c r="AM29" s="85" t="str" cm="1">
        <f t="array" ref="AM29">IFERROR(IF(M29&lt;&gt;"","",CONCATENATE("https://btx.brasiltrack.com/logistica/trajeto.php?idveiculo=",VLOOKUP(F29,DATAS!$A$221:$B$250,2,FALSE),"&amp;lat=-22.204247","&amp;data_ini=",TEXT(IF(E29&lt;&gt;"",IF(COUNTIF($F$2:$F29,F29)&gt;1,MAX(IF($F$1:$F28=F29,$E$1:$E28)),""),""),"DD/MM/AAAA"),"&amp;data_fim=",TEXT(E29,"DD/MM/AAAA"),"&amp;hora_inicial=",HOUR(IF(E29&lt;&gt;"",IF(COUNTIF($F$2:$F29,F29)&gt;1,MAX(IF($F$1:$F28=F29,$E$1:$E28)),""),"")),"&amp;minuto_inicial=",MINUTE(IF(E29&lt;&gt;"",IF(COUNTIF($F$2:$F29,F29)&gt;1,MAX(IF($F$1:$F28=F29,$E$1:$E28)),""),"")),"&amp;hora_final=",HOUR(E29),"&amp;minuto_final=",MINUTE(E29),"&amp;periodo=6&amp;tipo=por_data&amp;upos=false&amp;outequip=0")),"")</f>
        <v>https://btx.brasiltrack.com/logistica/trajeto.php?idveiculo=17ED636C-5A71-44D5-AF3C-192D3DA6CDD1&amp;lat=-22.204247&amp;data_ini=01/11/2022&amp;data_fim=03/11/2022&amp;hora_inicial=23&amp;minuto_inicial=5&amp;hora_final=10&amp;minuto_final=32&amp;periodo=6&amp;tipo=por_data&amp;upos=false&amp;outequip=0</v>
      </c>
      <c r="AN29" s="100" t="str">
        <f t="shared" si="5"/>
        <v xml:space="preserve">               </v>
      </c>
    </row>
    <row r="30" spans="1:40" x14ac:dyDescent="0.25">
      <c r="A30" s="81"/>
      <c r="B30" s="81"/>
      <c r="C30" s="81"/>
      <c r="D30" s="144">
        <v>44866</v>
      </c>
      <c r="E30" s="76">
        <v>44868.477777777778</v>
      </c>
      <c r="F30" s="6" t="s">
        <v>128</v>
      </c>
      <c r="G30" s="5" t="str">
        <f>IFERROR(VLOOKUP(SUMIFS(MSOLICITADA!$I:$I,MSOLICITADA!$B:$B,D30,MSOLICITADA!$F:$F,F30),CODIGOSPLACAS!$A$64:$B$89,2,FALSE),"")</f>
        <v>ELI RICARDO</v>
      </c>
      <c r="H30" s="77">
        <v>78286</v>
      </c>
      <c r="I30" s="77">
        <v>79176</v>
      </c>
      <c r="J30" s="7">
        <v>529</v>
      </c>
      <c r="K30" s="78">
        <v>3628.53</v>
      </c>
      <c r="L30" s="79" t="s">
        <v>111</v>
      </c>
      <c r="M30" s="6"/>
      <c r="N30" s="5">
        <f t="shared" si="0"/>
        <v>890</v>
      </c>
      <c r="O30" s="80">
        <f t="shared" si="1"/>
        <v>6.8592249527410214</v>
      </c>
      <c r="P30" s="8">
        <f t="shared" si="2"/>
        <v>1.6824196597353498</v>
      </c>
      <c r="Q30" s="8">
        <f t="shared" si="6"/>
        <v>1.6394783012697074</v>
      </c>
      <c r="R30" s="81">
        <f t="shared" si="4"/>
        <v>0</v>
      </c>
      <c r="S30" s="113" t="str">
        <f>IF(F30="","",IF(H30="",TEXT(_xlfn.MAXIFS($I$1:I30,$F$1:F30,F30,$H$1:H30,"&gt;"&amp;0),"000.000"),F30))</f>
        <v>GFR0D47</v>
      </c>
      <c r="T30" s="81"/>
      <c r="U30" s="82"/>
      <c r="V30" s="98"/>
      <c r="W30" s="82"/>
      <c r="X30" s="98"/>
      <c r="Y30" s="82"/>
      <c r="Z30" s="98"/>
      <c r="AA30" s="82"/>
      <c r="AB30" s="98"/>
      <c r="AC30" s="82"/>
      <c r="AD30" s="98"/>
      <c r="AE30" s="117"/>
      <c r="AF30" s="98"/>
      <c r="AG30" s="98"/>
      <c r="AH30" s="98"/>
      <c r="AI30" s="82"/>
      <c r="AJ30" s="98"/>
      <c r="AK30" s="83"/>
      <c r="AL30" s="84" t="str">
        <f>IF(F30&lt;&gt;0,IF(_xlfn.MAXIFS($I$1:I30,$F$1:F30,F30,$H$1:H30,"&gt;"&amp;0)=0,"KM NÃO ENCONTRADO",IF(H30=0,CONCATENATE("SUGESTÃO DE KM PARA PLACA ",F30," *",_xlfn.MAXIFS($I$1:I30,$F$1:F30,F30,$H$1:H30,"&gt;"&amp;0),"*"),"")),"")</f>
        <v/>
      </c>
      <c r="AM30" s="85" t="str" cm="1">
        <f t="array" ref="AM30">IFERROR(IF(M30&lt;&gt;"","",CONCATENATE("https://btx.brasiltrack.com/logistica/trajeto.php?idveiculo=",VLOOKUP(F30,DATAS!$A$221:$B$250,2,FALSE),"&amp;lat=-22.204247","&amp;data_ini=",TEXT(IF(E30&lt;&gt;"",IF(COUNTIF($F$2:$F30,F30)&gt;1,MAX(IF($F$1:$F29=F30,$E$1:$E29)),""),""),"DD/MM/AAAA"),"&amp;data_fim=",TEXT(E30,"DD/MM/AAAA"),"&amp;hora_inicial=",HOUR(IF(E30&lt;&gt;"",IF(COUNTIF($F$2:$F30,F30)&gt;1,MAX(IF($F$1:$F29=F30,$E$1:$E29)),""),"")),"&amp;minuto_inicial=",MINUTE(IF(E30&lt;&gt;"",IF(COUNTIF($F$2:$F30,F30)&gt;1,MAX(IF($F$1:$F29=F30,$E$1:$E29)),""),"")),"&amp;hora_final=",HOUR(E30),"&amp;minuto_final=",MINUTE(E30),"&amp;periodo=6&amp;tipo=por_data&amp;upos=false&amp;outequip=0")),"")</f>
        <v>https://btx.brasiltrack.com/logistica/trajeto.php?idveiculo=D171D77B-7EEE-4B8A-AB93-163C02819566&amp;lat=-22.204247&amp;data_ini=02/11/2022&amp;data_fim=03/11/2022&amp;hora_inicial=7&amp;minuto_inicial=3&amp;hora_final=11&amp;minuto_final=28&amp;periodo=6&amp;tipo=por_data&amp;upos=false&amp;outequip=0</v>
      </c>
      <c r="AN30" s="100" t="str">
        <f t="shared" si="5"/>
        <v xml:space="preserve">               </v>
      </c>
    </row>
    <row r="31" spans="1:40" x14ac:dyDescent="0.25">
      <c r="A31" s="81"/>
      <c r="B31" s="81"/>
      <c r="C31" s="81"/>
      <c r="D31" s="144">
        <v>44866</v>
      </c>
      <c r="E31" s="76">
        <v>44868.478472222225</v>
      </c>
      <c r="F31" s="6" t="s">
        <v>29</v>
      </c>
      <c r="G31" s="5" t="str">
        <f>IFERROR(VLOOKUP(SUMIFS(MSOLICITADA!$I:$I,MSOLICITADA!$B:$B,D31,MSOLICITADA!$F:$F,F31),CODIGOSPLACAS!$A$64:$B$89,2,FALSE),"")</f>
        <v>EDNILSON</v>
      </c>
      <c r="H31" s="77">
        <v>222668</v>
      </c>
      <c r="I31" s="77">
        <v>223549</v>
      </c>
      <c r="J31" s="7">
        <v>530</v>
      </c>
      <c r="K31" s="78">
        <v>3418.76</v>
      </c>
      <c r="L31" s="79" t="s">
        <v>111</v>
      </c>
      <c r="M31" s="6"/>
      <c r="N31" s="5">
        <f t="shared" si="0"/>
        <v>881</v>
      </c>
      <c r="O31" s="80">
        <f t="shared" si="1"/>
        <v>6.4504905660377361</v>
      </c>
      <c r="P31" s="8">
        <f t="shared" si="2"/>
        <v>1.6622641509433962</v>
      </c>
      <c r="Q31" s="8">
        <f t="shared" si="6"/>
        <v>1.5506852118293495</v>
      </c>
      <c r="R31" s="81">
        <f t="shared" si="4"/>
        <v>0</v>
      </c>
      <c r="S31" s="113" t="str">
        <f>IF(F31="","",IF(H31="",TEXT(_xlfn.MAXIFS($I$1:I31,$F$1:F31,F31,$H$1:H31,"&gt;"&amp;0),"000.000"),F31))</f>
        <v>GKA2J56</v>
      </c>
      <c r="T31" s="81"/>
      <c r="U31" s="82"/>
      <c r="V31" s="98"/>
      <c r="W31" s="82"/>
      <c r="X31" s="98"/>
      <c r="Y31" s="82"/>
      <c r="Z31" s="98"/>
      <c r="AA31" s="82"/>
      <c r="AB31" s="98"/>
      <c r="AC31" s="82"/>
      <c r="AD31" s="98"/>
      <c r="AE31" s="117"/>
      <c r="AF31" s="98"/>
      <c r="AG31" s="98"/>
      <c r="AH31" s="98"/>
      <c r="AI31" s="82"/>
      <c r="AJ31" s="98"/>
      <c r="AK31" s="83"/>
      <c r="AL31" s="84" t="str">
        <f>IF(F31&lt;&gt;0,IF(_xlfn.MAXIFS($I$1:I31,$F$1:F31,F31,$H$1:H31,"&gt;"&amp;0)=0,"KM NÃO ENCONTRADO",IF(H31=0,CONCATENATE("SUGESTÃO DE KM PARA PLACA ",F31," *",_xlfn.MAXIFS($I$1:I31,$F$1:F31,F31,$H$1:H31,"&gt;"&amp;0),"*"),"")),"")</f>
        <v/>
      </c>
      <c r="AM31" s="85" t="str" cm="1">
        <f t="array" ref="AM31">IFERROR(IF(M31&lt;&gt;"","",CONCATENATE("https://btx.brasiltrack.com/logistica/trajeto.php?idveiculo=",VLOOKUP(F31,DATAS!$A$221:$B$250,2,FALSE),"&amp;lat=-22.204247","&amp;data_ini=",TEXT(IF(E31&lt;&gt;"",IF(COUNTIF($F$2:$F31,F31)&gt;1,MAX(IF($F$1:$F30=F31,$E$1:$E30)),""),""),"DD/MM/AAAA"),"&amp;data_fim=",TEXT(E31,"DD/MM/AAAA"),"&amp;hora_inicial=",HOUR(IF(E31&lt;&gt;"",IF(COUNTIF($F$2:$F31,F31)&gt;1,MAX(IF($F$1:$F30=F31,$E$1:$E30)),""),"")),"&amp;minuto_inicial=",MINUTE(IF(E31&lt;&gt;"",IF(COUNTIF($F$2:$F31,F31)&gt;1,MAX(IF($F$1:$F30=F31,$E$1:$E30)),""),"")),"&amp;hora_final=",HOUR(E31),"&amp;minuto_final=",MINUTE(E31),"&amp;periodo=6&amp;tipo=por_data&amp;upos=false&amp;outequip=0")),"")</f>
        <v>https://btx.brasiltrack.com/logistica/trajeto.php?idveiculo=75A3D88C-4B99-481A-ACC8-34008151E92D&amp;lat=-22.204247&amp;data_ini=02/11/2022&amp;data_fim=03/11/2022&amp;hora_inicial=7&amp;minuto_inicial=2&amp;hora_final=11&amp;minuto_final=29&amp;periodo=6&amp;tipo=por_data&amp;upos=false&amp;outequip=0</v>
      </c>
      <c r="AN31" s="100" t="str">
        <f t="shared" si="5"/>
        <v xml:space="preserve">               </v>
      </c>
    </row>
    <row r="32" spans="1:40" x14ac:dyDescent="0.25">
      <c r="A32" s="81"/>
      <c r="B32" s="81"/>
      <c r="C32" s="81"/>
      <c r="D32" s="144">
        <v>44866</v>
      </c>
      <c r="E32" s="76">
        <v>44868.520833333336</v>
      </c>
      <c r="F32" s="6" t="s">
        <v>31</v>
      </c>
      <c r="G32" s="5" t="str">
        <f>IFERROR(VLOOKUP(SUMIFS(MSOLICITADA!$I:$I,MSOLICITADA!$B:$B,D32,MSOLICITADA!$F:$F,F32),CODIGOSPLACAS!$A$64:$B$89,2,FALSE),"")</f>
        <v>CELIO</v>
      </c>
      <c r="H32" s="77">
        <v>200309</v>
      </c>
      <c r="I32" s="77">
        <v>201115</v>
      </c>
      <c r="J32" s="7">
        <v>497</v>
      </c>
      <c r="K32" s="78">
        <v>3205.65</v>
      </c>
      <c r="L32" s="79" t="s">
        <v>111</v>
      </c>
      <c r="M32" s="6"/>
      <c r="N32" s="5">
        <f t="shared" si="0"/>
        <v>806</v>
      </c>
      <c r="O32" s="80">
        <f t="shared" si="1"/>
        <v>6.45</v>
      </c>
      <c r="P32" s="8">
        <f t="shared" si="2"/>
        <v>1.6217303822937625</v>
      </c>
      <c r="Q32" s="8">
        <f t="shared" si="6"/>
        <v>1.5697196307565964</v>
      </c>
      <c r="R32" s="81">
        <f t="shared" si="4"/>
        <v>0</v>
      </c>
      <c r="S32" s="113" t="str">
        <f>IF(F32="","",IF(H32="",TEXT(_xlfn.MAXIFS($I$1:I32,$F$1:F32,F32,$H$1:H32,"&gt;"&amp;0),"000.000"),F32))</f>
        <v>GGZ3G38</v>
      </c>
      <c r="T32" s="81"/>
      <c r="U32" s="82"/>
      <c r="V32" s="98"/>
      <c r="W32" s="82"/>
      <c r="X32" s="98"/>
      <c r="Y32" s="82"/>
      <c r="Z32" s="98"/>
      <c r="AA32" s="82"/>
      <c r="AB32" s="98"/>
      <c r="AC32" s="82"/>
      <c r="AD32" s="98"/>
      <c r="AE32" s="117"/>
      <c r="AF32" s="98"/>
      <c r="AG32" s="98"/>
      <c r="AH32" s="98"/>
      <c r="AI32" s="82"/>
      <c r="AJ32" s="98"/>
      <c r="AK32" s="83"/>
      <c r="AL32" s="84" t="str">
        <f>IF(F32&lt;&gt;0,IF(_xlfn.MAXIFS($I$1:I32,$F$1:F32,F32,$H$1:H32,"&gt;"&amp;0)=0,"KM NÃO ENCONTRADO",IF(H32=0,CONCATENATE("SUGESTÃO DE KM PARA PLACA ",F32," *",_xlfn.MAXIFS($I$1:I32,$F$1:F32,F32,$H$1:H32,"&gt;"&amp;0),"*"),"")),"")</f>
        <v/>
      </c>
      <c r="AM32" s="85" t="str" cm="1">
        <f t="array" ref="AM32">IFERROR(IF(M32&lt;&gt;"","",CONCATENATE("https://btx.brasiltrack.com/logistica/trajeto.php?idveiculo=",VLOOKUP(F32,DATAS!$A$221:$B$250,2,FALSE),"&amp;lat=-22.204247","&amp;data_ini=",TEXT(IF(E32&lt;&gt;"",IF(COUNTIF($F$2:$F32,F32)&gt;1,MAX(IF($F$1:$F31=F32,$E$1:$E31)),""),""),"DD/MM/AAAA"),"&amp;data_fim=",TEXT(E32,"DD/MM/AAAA"),"&amp;hora_inicial=",HOUR(IF(E32&lt;&gt;"",IF(COUNTIF($F$2:$F32,F32)&gt;1,MAX(IF($F$1:$F31=F32,$E$1:$E31)),""),"")),"&amp;minuto_inicial=",MINUTE(IF(E32&lt;&gt;"",IF(COUNTIF($F$2:$F32,F32)&gt;1,MAX(IF($F$1:$F31=F32,$E$1:$E31)),""),"")),"&amp;hora_final=",HOUR(E32),"&amp;minuto_final=",MINUTE(E32),"&amp;periodo=6&amp;tipo=por_data&amp;upos=false&amp;outequip=0")),"")</f>
        <v>https://btx.brasiltrack.com/logistica/trajeto.php?idveiculo=28D74B0F-5C0F-4A59-86EB-697E3711F324&amp;lat=-22.204247&amp;data_ini=01/11/2022&amp;data_fim=03/11/2022&amp;hora_inicial=5&amp;minuto_inicial=13&amp;hora_final=12&amp;minuto_final=30&amp;periodo=6&amp;tipo=por_data&amp;upos=false&amp;outequip=0</v>
      </c>
      <c r="AN32" s="100" t="str">
        <f t="shared" si="5"/>
        <v xml:space="preserve">               </v>
      </c>
    </row>
    <row r="33" spans="1:40" x14ac:dyDescent="0.25">
      <c r="A33" s="81"/>
      <c r="B33" s="81"/>
      <c r="C33" s="81"/>
      <c r="D33" s="144">
        <v>44866</v>
      </c>
      <c r="E33" s="76">
        <v>44868.722222222219</v>
      </c>
      <c r="F33" s="6" t="s">
        <v>35</v>
      </c>
      <c r="G33" s="5" t="str">
        <f>IFERROR(VLOOKUP(SUMIFS(MSOLICITADA!$I:$I,MSOLICITADA!$B:$B,D33,MSOLICITADA!$F:$F,F33),CODIGOSPLACAS!$A$64:$B$89,2,FALSE),"")</f>
        <v>JOEL</v>
      </c>
      <c r="H33" s="77">
        <v>226021</v>
      </c>
      <c r="I33" s="77">
        <v>226283</v>
      </c>
      <c r="J33" s="7">
        <v>141.9</v>
      </c>
      <c r="K33" s="78">
        <v>867.74</v>
      </c>
      <c r="L33" s="79" t="s">
        <v>112</v>
      </c>
      <c r="M33" s="6"/>
      <c r="N33" s="5">
        <f t="shared" si="0"/>
        <v>262</v>
      </c>
      <c r="O33" s="80">
        <f t="shared" si="1"/>
        <v>6.1151515151515152</v>
      </c>
      <c r="P33" s="8">
        <f t="shared" si="2"/>
        <v>1.8463706835799858</v>
      </c>
      <c r="Q33" s="8">
        <f t="shared" si="6"/>
        <v>2.367571672678944</v>
      </c>
      <c r="R33" s="81">
        <f t="shared" si="4"/>
        <v>0</v>
      </c>
      <c r="S33" s="113" t="str">
        <f>IF(F33="","",IF(H33="",TEXT(_xlfn.MAXIFS($I$1:I33,$F$1:F33,F33,$H$1:H33,"&gt;"&amp;0),"000.000"),F33))</f>
        <v>QNP3A97</v>
      </c>
      <c r="T33" s="81"/>
      <c r="U33" s="82"/>
      <c r="V33" s="98"/>
      <c r="W33" s="82"/>
      <c r="X33" s="98"/>
      <c r="Y33" s="82"/>
      <c r="Z33" s="98"/>
      <c r="AA33" s="82"/>
      <c r="AB33" s="98"/>
      <c r="AC33" s="82"/>
      <c r="AD33" s="98"/>
      <c r="AE33" s="117"/>
      <c r="AF33" s="98"/>
      <c r="AG33" s="98"/>
      <c r="AH33" s="98"/>
      <c r="AI33" s="82"/>
      <c r="AJ33" s="98"/>
      <c r="AK33" s="83"/>
      <c r="AL33" s="84" t="str">
        <f>IF(F33&lt;&gt;0,IF(_xlfn.MAXIFS($I$1:I33,$F$1:F33,F33,$H$1:H33,"&gt;"&amp;0)=0,"KM NÃO ENCONTRADO",IF(H33=0,CONCATENATE("SUGESTÃO DE KM PARA PLACA ",F33," *",_xlfn.MAXIFS($I$1:I33,$F$1:F33,F33,$H$1:H33,"&gt;"&amp;0),"*"),"")),"")</f>
        <v/>
      </c>
      <c r="AM33" s="85" t="str" cm="1">
        <f t="array" ref="AM33">IFERROR(IF(M33&lt;&gt;"","",CONCATENATE("https://btx.brasiltrack.com/logistica/trajeto.php?idveiculo=",VLOOKUP(F33,DATAS!$A$221:$B$250,2,FALSE),"&amp;lat=-22.204247","&amp;data_ini=",TEXT(IF(E33&lt;&gt;"",IF(COUNTIF($F$2:$F33,F33)&gt;1,MAX(IF($F$1:$F32=F33,$E$1:$E32)),""),""),"DD/MM/AAAA"),"&amp;data_fim=",TEXT(E33,"DD/MM/AAAA"),"&amp;hora_inicial=",HOUR(IF(E33&lt;&gt;"",IF(COUNTIF($F$2:$F33,F33)&gt;1,MAX(IF($F$1:$F32=F33,$E$1:$E32)),""),"")),"&amp;minuto_inicial=",MINUTE(IF(E33&lt;&gt;"",IF(COUNTIF($F$2:$F33,F33)&gt;1,MAX(IF($F$1:$F32=F33,$E$1:$E32)),""),"")),"&amp;hora_final=",HOUR(E33),"&amp;minuto_final=",MINUTE(E33),"&amp;periodo=6&amp;tipo=por_data&amp;upos=false&amp;outequip=0")),"")</f>
        <v/>
      </c>
      <c r="AN33" s="100" t="str">
        <f t="shared" si="5"/>
        <v xml:space="preserve">               </v>
      </c>
    </row>
    <row r="34" spans="1:40" x14ac:dyDescent="0.25">
      <c r="A34" s="81"/>
      <c r="B34" s="81"/>
      <c r="C34" s="81"/>
      <c r="D34" s="144">
        <v>44866</v>
      </c>
      <c r="E34" s="76">
        <v>44868.799305555556</v>
      </c>
      <c r="F34" s="6" t="s">
        <v>131</v>
      </c>
      <c r="G34" s="5" t="str">
        <f>IFERROR(VLOOKUP(SUMIFS(MSOLICITADA!$I:$I,MSOLICITADA!$B:$B,D34,MSOLICITADA!$F:$F,F34),CODIGOSPLACAS!$A$64:$B$89,2,FALSE),"")</f>
        <v>ALTIELIS</v>
      </c>
      <c r="H34" s="77">
        <v>33205</v>
      </c>
      <c r="I34" s="77">
        <v>34135</v>
      </c>
      <c r="J34" s="7">
        <v>667</v>
      </c>
      <c r="K34" s="78">
        <v>4442.22</v>
      </c>
      <c r="L34" s="79" t="s">
        <v>111</v>
      </c>
      <c r="M34" s="6"/>
      <c r="N34" s="5">
        <f t="shared" si="0"/>
        <v>930</v>
      </c>
      <c r="O34" s="80">
        <f t="shared" si="1"/>
        <v>6.66</v>
      </c>
      <c r="P34" s="8">
        <f t="shared" si="2"/>
        <v>1.3943028485757121</v>
      </c>
      <c r="Q34" s="8">
        <f t="shared" si="6"/>
        <v>1.4985018243623649</v>
      </c>
      <c r="R34" s="81">
        <f t="shared" si="4"/>
        <v>0</v>
      </c>
      <c r="S34" s="113" t="str">
        <f>IF(F34="","",IF(H34="",TEXT(_xlfn.MAXIFS($I$1:I34,$F$1:F34,F34,$H$1:H34,"&gt;"&amp;0),"000.000"),F34))</f>
        <v>GGN4J86</v>
      </c>
      <c r="T34" s="81"/>
      <c r="U34" s="82"/>
      <c r="V34" s="98"/>
      <c r="W34" s="82"/>
      <c r="X34" s="98"/>
      <c r="Y34" s="82"/>
      <c r="Z34" s="98"/>
      <c r="AA34" s="82"/>
      <c r="AB34" s="98"/>
      <c r="AC34" s="82"/>
      <c r="AD34" s="98"/>
      <c r="AE34" s="117"/>
      <c r="AF34" s="98"/>
      <c r="AG34" s="98"/>
      <c r="AH34" s="98"/>
      <c r="AI34" s="82"/>
      <c r="AJ34" s="98"/>
      <c r="AK34" s="83"/>
      <c r="AL34" s="84" t="str">
        <f>IF(F34&lt;&gt;0,IF(_xlfn.MAXIFS($I$1:I34,$F$1:F34,F34,$H$1:H34,"&gt;"&amp;0)=0,"KM NÃO ENCONTRADO",IF(H34=0,CONCATENATE("SUGESTÃO DE KM PARA PLACA ",F34," *",_xlfn.MAXIFS($I$1:I34,$F$1:F34,F34,$H$1:H34,"&gt;"&amp;0),"*"),"")),"")</f>
        <v/>
      </c>
      <c r="AM34" s="85" t="str" cm="1">
        <f t="array" ref="AM34">IFERROR(IF(M34&lt;&gt;"","",CONCATENATE("https://btx.brasiltrack.com/logistica/trajeto.php?idveiculo=",VLOOKUP(F34,DATAS!$A$221:$B$250,2,FALSE),"&amp;lat=-22.204247","&amp;data_ini=",TEXT(IF(E34&lt;&gt;"",IF(COUNTIF($F$2:$F34,F34)&gt;1,MAX(IF($F$1:$F33=F34,$E$1:$E33)),""),""),"DD/MM/AAAA"),"&amp;data_fim=",TEXT(E34,"DD/MM/AAAA"),"&amp;hora_inicial=",HOUR(IF(E34&lt;&gt;"",IF(COUNTIF($F$2:$F34,F34)&gt;1,MAX(IF($F$1:$F33=F34,$E$1:$E33)),""),"")),"&amp;minuto_inicial=",MINUTE(IF(E34&lt;&gt;"",IF(COUNTIF($F$2:$F34,F34)&gt;1,MAX(IF($F$1:$F33=F34,$E$1:$E33)),""),"")),"&amp;hora_final=",HOUR(E34),"&amp;minuto_final=",MINUTE(E34),"&amp;periodo=6&amp;tipo=por_data&amp;upos=false&amp;outequip=0")),"")</f>
        <v/>
      </c>
      <c r="AN34" s="100" t="str">
        <f t="shared" si="5"/>
        <v xml:space="preserve">               </v>
      </c>
    </row>
    <row r="35" spans="1:40" x14ac:dyDescent="0.25">
      <c r="A35" s="81"/>
      <c r="B35" s="81"/>
      <c r="C35" s="81"/>
      <c r="D35" s="144">
        <v>44866</v>
      </c>
      <c r="E35" s="76">
        <v>44868.956250000003</v>
      </c>
      <c r="F35" s="6" t="s">
        <v>126</v>
      </c>
      <c r="G35" s="5" t="str">
        <f>IFERROR(VLOOKUP(SUMIFS(MSOLICITADA!$I:$I,MSOLICITADA!$B:$B,D35,MSOLICITADA!$F:$F,F35),CODIGOSPLACAS!$A$64:$B$89,2,FALSE),"")</f>
        <v>IZAIAS</v>
      </c>
      <c r="H35" s="77">
        <v>475631</v>
      </c>
      <c r="I35" s="77">
        <v>476405</v>
      </c>
      <c r="J35" s="7">
        <v>492.00099999999998</v>
      </c>
      <c r="K35" s="78">
        <v>3222.6</v>
      </c>
      <c r="L35" s="79" t="s">
        <v>111</v>
      </c>
      <c r="M35" s="6"/>
      <c r="N35" s="5">
        <f t="shared" si="0"/>
        <v>774</v>
      </c>
      <c r="O35" s="80">
        <f t="shared" si="1"/>
        <v>6.5499866870189294</v>
      </c>
      <c r="P35" s="8">
        <f t="shared" si="2"/>
        <v>1.573167534212329</v>
      </c>
      <c r="Q35" s="8">
        <f t="shared" si="6"/>
        <v>1.4310423058843909</v>
      </c>
      <c r="R35" s="81">
        <f t="shared" si="4"/>
        <v>0</v>
      </c>
      <c r="S35" s="113" t="str">
        <f>IF(F35="","",IF(H35="",TEXT(_xlfn.MAXIFS($I$1:I35,$F$1:F35,F35,$H$1:H35,"&gt;"&amp;0),"000.000"),F35))</f>
        <v>GHX4D71</v>
      </c>
      <c r="T35" s="81"/>
      <c r="U35" s="82"/>
      <c r="V35" s="98"/>
      <c r="W35" s="82"/>
      <c r="X35" s="98"/>
      <c r="Y35" s="82"/>
      <c r="Z35" s="98"/>
      <c r="AA35" s="82"/>
      <c r="AB35" s="98"/>
      <c r="AC35" s="82"/>
      <c r="AD35" s="98"/>
      <c r="AE35" s="117"/>
      <c r="AF35" s="98"/>
      <c r="AG35" s="98"/>
      <c r="AH35" s="98"/>
      <c r="AI35" s="82"/>
      <c r="AJ35" s="98"/>
      <c r="AK35" s="83"/>
      <c r="AL35" s="84" t="str">
        <f>IF(F35&lt;&gt;0,IF(_xlfn.MAXIFS($I$1:I35,$F$1:F35,F35,$H$1:H35,"&gt;"&amp;0)=0,"KM NÃO ENCONTRADO",IF(H35=0,CONCATENATE("SUGESTÃO DE KM PARA PLACA ",F35," *",_xlfn.MAXIFS($I$1:I35,$F$1:F35,F35,$H$1:H35,"&gt;"&amp;0),"*"),"")),"")</f>
        <v/>
      </c>
      <c r="AM35" s="85" t="str" cm="1">
        <f t="array" ref="AM35">IFERROR(IF(M35&lt;&gt;"","",CONCATENATE("https://btx.brasiltrack.com/logistica/trajeto.php?idveiculo=",VLOOKUP(F35,DATAS!$A$221:$B$250,2,FALSE),"&amp;lat=-22.204247","&amp;data_ini=",TEXT(IF(E35&lt;&gt;"",IF(COUNTIF($F$2:$F35,F35)&gt;1,MAX(IF($F$1:$F34=F35,$E$1:$E34)),""),""),"DD/MM/AAAA"),"&amp;data_fim=",TEXT(E35,"DD/MM/AAAA"),"&amp;hora_inicial=",HOUR(IF(E35&lt;&gt;"",IF(COUNTIF($F$2:$F35,F35)&gt;1,MAX(IF($F$1:$F34=F35,$E$1:$E34)),""),"")),"&amp;minuto_inicial=",MINUTE(IF(E35&lt;&gt;"",IF(COUNTIF($F$2:$F35,F35)&gt;1,MAX(IF($F$1:$F34=F35,$E$1:$E34)),""),"")),"&amp;hora_final=",HOUR(E35),"&amp;minuto_final=",MINUTE(E35),"&amp;periodo=6&amp;tipo=por_data&amp;upos=false&amp;outequip=0")),"")</f>
        <v>https://btx.brasiltrack.com/logistica/trajeto.php?idveiculo=6B5F18E0-6EAE-404A-AE41-39E549361094&amp;lat=-22.204247&amp;data_ini=02/11/2022&amp;data_fim=03/11/2022&amp;hora_inicial=9&amp;minuto_inicial=7&amp;hora_final=22&amp;minuto_final=57&amp;periodo=6&amp;tipo=por_data&amp;upos=false&amp;outequip=0</v>
      </c>
      <c r="AN35" s="100" t="str">
        <f t="shared" si="5"/>
        <v xml:space="preserve">               </v>
      </c>
    </row>
    <row r="36" spans="1:40" x14ac:dyDescent="0.25">
      <c r="A36" s="81"/>
      <c r="B36" s="81"/>
      <c r="C36" s="81"/>
      <c r="D36" s="144">
        <v>44866</v>
      </c>
      <c r="E36" s="76">
        <v>44869.000694444447</v>
      </c>
      <c r="F36" s="6" t="s">
        <v>26</v>
      </c>
      <c r="G36" s="5" t="str">
        <f>IFERROR(VLOOKUP(SUMIFS(MSOLICITADA!$I:$I,MSOLICITADA!$B:$B,D36,MSOLICITADA!$F:$F,F36),CODIGOSPLACAS!$A$64:$B$89,2,FALSE),"")</f>
        <v>DIEGO</v>
      </c>
      <c r="H36" s="77">
        <v>389088</v>
      </c>
      <c r="I36" s="77">
        <v>389783</v>
      </c>
      <c r="J36" s="7">
        <v>465.52</v>
      </c>
      <c r="K36" s="78">
        <v>3002.6</v>
      </c>
      <c r="L36" s="79" t="s">
        <v>111</v>
      </c>
      <c r="M36" s="6"/>
      <c r="N36" s="5">
        <f t="shared" si="0"/>
        <v>695</v>
      </c>
      <c r="O36" s="80">
        <f t="shared" si="1"/>
        <v>6.4499914074583264</v>
      </c>
      <c r="P36" s="8">
        <f t="shared" si="2"/>
        <v>1.4929541158274617</v>
      </c>
      <c r="Q36" s="8">
        <f t="shared" si="6"/>
        <v>1.4215213058096179</v>
      </c>
      <c r="R36" s="81">
        <f t="shared" si="4"/>
        <v>0</v>
      </c>
      <c r="S36" s="113" t="str">
        <f>IF(F36="","",IF(H36="",TEXT(_xlfn.MAXIFS($I$1:I36,$F$1:F36,F36,$H$1:H36,"&gt;"&amp;0),"000.000"),F36))</f>
        <v>BZA3587</v>
      </c>
      <c r="T36" s="81"/>
      <c r="U36" s="82"/>
      <c r="V36" s="98"/>
      <c r="W36" s="82"/>
      <c r="X36" s="98"/>
      <c r="Y36" s="82"/>
      <c r="Z36" s="98"/>
      <c r="AA36" s="82"/>
      <c r="AB36" s="98"/>
      <c r="AC36" s="82"/>
      <c r="AD36" s="98"/>
      <c r="AE36" s="117"/>
      <c r="AF36" s="98"/>
      <c r="AG36" s="98"/>
      <c r="AH36" s="98"/>
      <c r="AI36" s="82"/>
      <c r="AJ36" s="98"/>
      <c r="AK36" s="83"/>
      <c r="AL36" s="84" t="str">
        <f>IF(F36&lt;&gt;0,IF(_xlfn.MAXIFS($I$1:I36,$F$1:F36,F36,$H$1:H36,"&gt;"&amp;0)=0,"KM NÃO ENCONTRADO",IF(H36=0,CONCATENATE("SUGESTÃO DE KM PARA PLACA ",F36," *",_xlfn.MAXIFS($I$1:I36,$F$1:F36,F36,$H$1:H36,"&gt;"&amp;0),"*"),"")),"")</f>
        <v/>
      </c>
      <c r="AM36" s="85" t="str" cm="1">
        <f t="array" ref="AM36">IFERROR(IF(M36&lt;&gt;"","",CONCATENATE("https://btx.brasiltrack.com/logistica/trajeto.php?idveiculo=",VLOOKUP(F36,DATAS!$A$221:$B$250,2,FALSE),"&amp;lat=-22.204247","&amp;data_ini=",TEXT(IF(E36&lt;&gt;"",IF(COUNTIF($F$2:$F36,F36)&gt;1,MAX(IF($F$1:$F35=F36,$E$1:$E35)),""),""),"DD/MM/AAAA"),"&amp;data_fim=",TEXT(E36,"DD/MM/AAAA"),"&amp;hora_inicial=",HOUR(IF(E36&lt;&gt;"",IF(COUNTIF($F$2:$F36,F36)&gt;1,MAX(IF($F$1:$F35=F36,$E$1:$E35)),""),"")),"&amp;minuto_inicial=",MINUTE(IF(E36&lt;&gt;"",IF(COUNTIF($F$2:$F36,F36)&gt;1,MAX(IF($F$1:$F35=F36,$E$1:$E35)),""),"")),"&amp;hora_final=",HOUR(E36),"&amp;minuto_final=",MINUTE(E36),"&amp;periodo=6&amp;tipo=por_data&amp;upos=false&amp;outequip=0")),"")</f>
        <v>https://btx.brasiltrack.com/logistica/trajeto.php?idveiculo=6CC0A70E-9379-4BF7-9063-21D318A103FE&amp;lat=-22.204247&amp;data_ini=02/11/2022&amp;data_fim=04/11/2022&amp;hora_inicial=22&amp;minuto_inicial=39&amp;hora_final=0&amp;minuto_final=1&amp;periodo=6&amp;tipo=por_data&amp;upos=false&amp;outequip=0</v>
      </c>
      <c r="AN36" s="100" t="str">
        <f t="shared" si="5"/>
        <v xml:space="preserve">               </v>
      </c>
    </row>
    <row r="37" spans="1:40" x14ac:dyDescent="0.25">
      <c r="A37" s="81"/>
      <c r="B37" s="81"/>
      <c r="C37" s="81"/>
      <c r="D37" s="144">
        <v>44866</v>
      </c>
      <c r="E37" s="76">
        <v>44869.004166666666</v>
      </c>
      <c r="F37" s="6" t="s">
        <v>32</v>
      </c>
      <c r="G37" s="5" t="str">
        <f>IFERROR(VLOOKUP(SUMIFS(MSOLICITADA!$I:$I,MSOLICITADA!$B:$B,D37,MSOLICITADA!$F:$F,F37),CODIGOSPLACAS!$A$64:$B$89,2,FALSE),"")</f>
        <v>ADILSON</v>
      </c>
      <c r="H37" s="77">
        <v>189361</v>
      </c>
      <c r="I37" s="77">
        <v>190276</v>
      </c>
      <c r="J37" s="7">
        <v>522</v>
      </c>
      <c r="K37" s="78">
        <v>3366.9</v>
      </c>
      <c r="L37" s="79" t="s">
        <v>111</v>
      </c>
      <c r="M37" s="6"/>
      <c r="N37" s="5">
        <f t="shared" si="0"/>
        <v>915</v>
      </c>
      <c r="O37" s="80">
        <f t="shared" si="1"/>
        <v>6.45</v>
      </c>
      <c r="P37" s="8">
        <f t="shared" si="2"/>
        <v>1.7528735632183907</v>
      </c>
      <c r="Q37" s="8">
        <f t="shared" si="6"/>
        <v>1.518200707495146</v>
      </c>
      <c r="R37" s="81">
        <f t="shared" si="4"/>
        <v>0</v>
      </c>
      <c r="S37" s="113" t="str">
        <f>IF(F37="","",IF(H37="",TEXT(_xlfn.MAXIFS($I$1:I37,$F$1:F37,F37,$H$1:H37,"&gt;"&amp;0),"000.000"),F37))</f>
        <v>GJU9A22</v>
      </c>
      <c r="T37" s="81"/>
      <c r="U37" s="82"/>
      <c r="V37" s="98"/>
      <c r="W37" s="82"/>
      <c r="X37" s="98"/>
      <c r="Y37" s="82"/>
      <c r="Z37" s="98"/>
      <c r="AA37" s="82"/>
      <c r="AB37" s="98"/>
      <c r="AC37" s="82"/>
      <c r="AD37" s="98"/>
      <c r="AE37" s="117"/>
      <c r="AF37" s="98"/>
      <c r="AG37" s="98"/>
      <c r="AH37" s="98"/>
      <c r="AI37" s="82"/>
      <c r="AJ37" s="98"/>
      <c r="AK37" s="83"/>
      <c r="AL37" s="84" t="str">
        <f>IF(F37&lt;&gt;0,IF(_xlfn.MAXIFS($I$1:I37,$F$1:F37,F37,$H$1:H37,"&gt;"&amp;0)=0,"KM NÃO ENCONTRADO",IF(H37=0,CONCATENATE("SUGESTÃO DE KM PARA PLACA ",F37," *",_xlfn.MAXIFS($I$1:I37,$F$1:F37,F37,$H$1:H37,"&gt;"&amp;0),"*"),"")),"")</f>
        <v/>
      </c>
      <c r="AM37" s="85" t="str" cm="1">
        <f t="array" ref="AM37">IFERROR(IF(M37&lt;&gt;"","",CONCATENATE("https://btx.brasiltrack.com/logistica/trajeto.php?idveiculo=",VLOOKUP(F37,DATAS!$A$221:$B$250,2,FALSE),"&amp;lat=-22.204247","&amp;data_ini=",TEXT(IF(E37&lt;&gt;"",IF(COUNTIF($F$2:$F37,F37)&gt;1,MAX(IF($F$1:$F36=F37,$E$1:$E36)),""),""),"DD/MM/AAAA"),"&amp;data_fim=",TEXT(E37,"DD/MM/AAAA"),"&amp;hora_inicial=",HOUR(IF(E37&lt;&gt;"",IF(COUNTIF($F$2:$F37,F37)&gt;1,MAX(IF($F$1:$F36=F37,$E$1:$E36)),""),"")),"&amp;minuto_inicial=",MINUTE(IF(E37&lt;&gt;"",IF(COUNTIF($F$2:$F37,F37)&gt;1,MAX(IF($F$1:$F36=F37,$E$1:$E36)),""),"")),"&amp;hora_final=",HOUR(E37),"&amp;minuto_final=",MINUTE(E37),"&amp;periodo=6&amp;tipo=por_data&amp;upos=false&amp;outequip=0")),"")</f>
        <v>https://btx.brasiltrack.com/logistica/trajeto.php?idveiculo=51FCA948-8BA9-488B-AAF2-8F2F237B75B2&amp;lat=-22.204247&amp;data_ini=02/11/2022&amp;data_fim=04/11/2022&amp;hora_inicial=7&amp;minuto_inicial=41&amp;hora_final=0&amp;minuto_final=6&amp;periodo=6&amp;tipo=por_data&amp;upos=false&amp;outequip=0</v>
      </c>
      <c r="AN37" s="100" t="str">
        <f t="shared" si="5"/>
        <v xml:space="preserve">               </v>
      </c>
    </row>
    <row r="38" spans="1:40" x14ac:dyDescent="0.25">
      <c r="A38" s="81"/>
      <c r="B38" s="81"/>
      <c r="C38" s="81"/>
      <c r="D38" s="144">
        <v>44866</v>
      </c>
      <c r="E38" s="76">
        <v>44869.02847222222</v>
      </c>
      <c r="F38" s="6" t="s">
        <v>124</v>
      </c>
      <c r="G38" s="5" t="str">
        <f>IFERROR(VLOOKUP(SUMIFS(MSOLICITADA!$I:$I,MSOLICITADA!$B:$B,D38,MSOLICITADA!$F:$F,F38),CODIGOSPLACAS!$A$64:$B$89,2,FALSE),"")</f>
        <v>ISRAEL</v>
      </c>
      <c r="H38" s="77">
        <v>125443</v>
      </c>
      <c r="I38" s="77">
        <v>126328</v>
      </c>
      <c r="J38" s="7">
        <v>570</v>
      </c>
      <c r="K38" s="78">
        <v>3676.95</v>
      </c>
      <c r="L38" s="79" t="s">
        <v>111</v>
      </c>
      <c r="M38" s="6"/>
      <c r="N38" s="5">
        <f t="shared" si="0"/>
        <v>885</v>
      </c>
      <c r="O38" s="80">
        <f t="shared" si="1"/>
        <v>6.4507894736842104</v>
      </c>
      <c r="P38" s="8">
        <f t="shared" si="2"/>
        <v>1.5526315789473684</v>
      </c>
      <c r="Q38" s="8">
        <f t="shared" si="6"/>
        <v>1.5512732562038034</v>
      </c>
      <c r="R38" s="81">
        <f t="shared" si="4"/>
        <v>0</v>
      </c>
      <c r="S38" s="113" t="str">
        <f>IF(F38="","",IF(H38="",TEXT(_xlfn.MAXIFS($I$1:I38,$F$1:F38,F38,$H$1:H38,"&gt;"&amp;0),"000.000"),F38))</f>
        <v>GHH9B64</v>
      </c>
      <c r="T38" s="81"/>
      <c r="U38" s="82"/>
      <c r="V38" s="98"/>
      <c r="W38" s="82"/>
      <c r="X38" s="98"/>
      <c r="Y38" s="82"/>
      <c r="Z38" s="98"/>
      <c r="AA38" s="82"/>
      <c r="AB38" s="98"/>
      <c r="AC38" s="82"/>
      <c r="AD38" s="98"/>
      <c r="AE38" s="117"/>
      <c r="AF38" s="98"/>
      <c r="AG38" s="98"/>
      <c r="AH38" s="98"/>
      <c r="AI38" s="82"/>
      <c r="AJ38" s="98"/>
      <c r="AK38" s="83"/>
      <c r="AL38" s="84" t="str">
        <f>IF(F38&lt;&gt;0,IF(_xlfn.MAXIFS($I$1:I38,$F$1:F38,F38,$H$1:H38,"&gt;"&amp;0)=0,"KM NÃO ENCONTRADO",IF(H38=0,CONCATENATE("SUGESTÃO DE KM PARA PLACA ",F38," *",_xlfn.MAXIFS($I$1:I38,$F$1:F38,F38,$H$1:H38,"&gt;"&amp;0),"*"),"")),"")</f>
        <v/>
      </c>
      <c r="AM38" s="85" t="str" cm="1">
        <f t="array" ref="AM38">IFERROR(IF(M38&lt;&gt;"","",CONCATENATE("https://btx.brasiltrack.com/logistica/trajeto.php?idveiculo=",VLOOKUP(F38,DATAS!$A$221:$B$250,2,FALSE),"&amp;lat=-22.204247","&amp;data_ini=",TEXT(IF(E38&lt;&gt;"",IF(COUNTIF($F$2:$F38,F38)&gt;1,MAX(IF($F$1:$F37=F38,$E$1:$E37)),""),""),"DD/MM/AAAA"),"&amp;data_fim=",TEXT(E38,"DD/MM/AAAA"),"&amp;hora_inicial=",HOUR(IF(E38&lt;&gt;"",IF(COUNTIF($F$2:$F38,F38)&gt;1,MAX(IF($F$1:$F37=F38,$E$1:$E37)),""),"")),"&amp;minuto_inicial=",MINUTE(IF(E38&lt;&gt;"",IF(COUNTIF($F$2:$F38,F38)&gt;1,MAX(IF($F$1:$F37=F38,$E$1:$E37)),""),"")),"&amp;hora_final=",HOUR(E38),"&amp;minuto_final=",MINUTE(E38),"&amp;periodo=6&amp;tipo=por_data&amp;upos=false&amp;outequip=0")),"")</f>
        <v>https://btx.brasiltrack.com/logistica/trajeto.php?idveiculo=82801E41-A001-436F-A743-F071900B878A&amp;lat=-22.204247&amp;data_ini=02/11/2022&amp;data_fim=04/11/2022&amp;hora_inicial=23&amp;minuto_inicial=24&amp;hora_final=0&amp;minuto_final=41&amp;periodo=6&amp;tipo=por_data&amp;upos=false&amp;outequip=0</v>
      </c>
      <c r="AN38" s="100" t="str">
        <f t="shared" si="5"/>
        <v xml:space="preserve">               </v>
      </c>
    </row>
    <row r="39" spans="1:40" x14ac:dyDescent="0.25">
      <c r="A39" s="81"/>
      <c r="B39" s="81"/>
      <c r="C39" s="81"/>
      <c r="D39" s="144">
        <v>44866</v>
      </c>
      <c r="E39" s="76">
        <v>44869.336111111108</v>
      </c>
      <c r="F39" s="6" t="s">
        <v>24</v>
      </c>
      <c r="G39" s="5" t="str">
        <f>IFERROR(VLOOKUP(SUMIFS(MSOLICITADA!$I:$I,MSOLICITADA!$B:$B,D39,MSOLICITADA!$F:$F,F39),CODIGOSPLACAS!$A$64:$B$89,2,FALSE),"")</f>
        <v>PAULO HENR.</v>
      </c>
      <c r="H39" s="77">
        <v>936415</v>
      </c>
      <c r="I39" s="77">
        <v>937140</v>
      </c>
      <c r="J39" s="7">
        <v>480</v>
      </c>
      <c r="K39" s="78">
        <v>3096</v>
      </c>
      <c r="L39" s="79" t="s">
        <v>111</v>
      </c>
      <c r="M39" s="6"/>
      <c r="N39" s="5">
        <f t="shared" si="0"/>
        <v>725</v>
      </c>
      <c r="O39" s="80">
        <f t="shared" si="1"/>
        <v>6.45</v>
      </c>
      <c r="P39" s="8">
        <f t="shared" si="2"/>
        <v>1.5104166666666667</v>
      </c>
      <c r="Q39" s="8">
        <f t="shared" si="6"/>
        <v>1.4770603223392504</v>
      </c>
      <c r="R39" s="81">
        <f t="shared" si="4"/>
        <v>0</v>
      </c>
      <c r="S39" s="113" t="str">
        <f>IF(F39="","",IF(H39="",TEXT(_xlfn.MAXIFS($I$1:I39,$F$1:F39,F39,$H$1:H39,"&gt;"&amp;0),"000.000"),F39))</f>
        <v>FKS0J24</v>
      </c>
      <c r="T39" s="81"/>
      <c r="U39" s="82"/>
      <c r="V39" s="98"/>
      <c r="W39" s="82"/>
      <c r="X39" s="98"/>
      <c r="Y39" s="82"/>
      <c r="Z39" s="98"/>
      <c r="AA39" s="82"/>
      <c r="AB39" s="98"/>
      <c r="AC39" s="82"/>
      <c r="AD39" s="98"/>
      <c r="AE39" s="117"/>
      <c r="AF39" s="98"/>
      <c r="AG39" s="98"/>
      <c r="AH39" s="98"/>
      <c r="AI39" s="82"/>
      <c r="AJ39" s="98"/>
      <c r="AK39" s="83"/>
      <c r="AL39" s="84" t="str">
        <f>IF(F39&lt;&gt;0,IF(_xlfn.MAXIFS($I$1:I39,$F$1:F39,F39,$H$1:H39,"&gt;"&amp;0)=0,"KM NÃO ENCONTRADO",IF(H39=0,CONCATENATE("SUGESTÃO DE KM PARA PLACA ",F39," *",_xlfn.MAXIFS($I$1:I39,$F$1:F39,F39,$H$1:H39,"&gt;"&amp;0),"*"),"")),"")</f>
        <v/>
      </c>
      <c r="AM39" s="85" t="str" cm="1">
        <f t="array" ref="AM39">IFERROR(IF(M39&lt;&gt;"","",CONCATENATE("https://btx.brasiltrack.com/logistica/trajeto.php?idveiculo=",VLOOKUP(F39,DATAS!$A$221:$B$250,2,FALSE),"&amp;lat=-22.204247","&amp;data_ini=",TEXT(IF(E39&lt;&gt;"",IF(COUNTIF($F$2:$F39,F39)&gt;1,MAX(IF($F$1:$F38=F39,$E$1:$E38)),""),""),"DD/MM/AAAA"),"&amp;data_fim=",TEXT(E39,"DD/MM/AAAA"),"&amp;hora_inicial=",HOUR(IF(E39&lt;&gt;"",IF(COUNTIF($F$2:$F39,F39)&gt;1,MAX(IF($F$1:$F38=F39,$E$1:$E38)),""),"")),"&amp;minuto_inicial=",MINUTE(IF(E39&lt;&gt;"",IF(COUNTIF($F$2:$F39,F39)&gt;1,MAX(IF($F$1:$F38=F39,$E$1:$E38)),""),"")),"&amp;hora_final=",HOUR(E39),"&amp;minuto_final=",MINUTE(E39),"&amp;periodo=6&amp;tipo=por_data&amp;upos=false&amp;outequip=0")),"")</f>
        <v>https://btx.brasiltrack.com/logistica/trajeto.php?idveiculo=F4FE5996-DC74-4D0B-AEF1-D6ADE020157C&amp;lat=-22.204247&amp;data_ini=02/11/2022&amp;data_fim=04/11/2022&amp;hora_inicial=23&amp;minuto_inicial=21&amp;hora_final=8&amp;minuto_final=4&amp;periodo=6&amp;tipo=por_data&amp;upos=false&amp;outequip=0</v>
      </c>
      <c r="AN39" s="100" t="str">
        <f t="shared" si="5"/>
        <v xml:space="preserve">               </v>
      </c>
    </row>
    <row r="40" spans="1:40" x14ac:dyDescent="0.25">
      <c r="A40" s="81"/>
      <c r="B40" s="81"/>
      <c r="C40" s="81"/>
      <c r="D40" s="144">
        <v>44866</v>
      </c>
      <c r="E40" s="76">
        <v>44869.392361111109</v>
      </c>
      <c r="F40" s="6" t="s">
        <v>29</v>
      </c>
      <c r="G40" s="5" t="str">
        <f>IFERROR(VLOOKUP(SUMIFS(MSOLICITADA!$I:$I,MSOLICITADA!$B:$B,D40,MSOLICITADA!$F:$F,F40),CODIGOSPLACAS!$A$64:$B$89,2,FALSE),"")</f>
        <v>EDNILSON</v>
      </c>
      <c r="H40" s="77">
        <v>223549</v>
      </c>
      <c r="I40" s="77">
        <v>223877</v>
      </c>
      <c r="J40" s="7">
        <v>192.1</v>
      </c>
      <c r="K40" s="78">
        <v>1174.72</v>
      </c>
      <c r="L40" s="79" t="s">
        <v>112</v>
      </c>
      <c r="M40" s="6"/>
      <c r="N40" s="5">
        <f t="shared" si="0"/>
        <v>328</v>
      </c>
      <c r="O40" s="80">
        <f t="shared" si="1"/>
        <v>6.115148360229048</v>
      </c>
      <c r="P40" s="8">
        <f t="shared" si="2"/>
        <v>1.7074440395627277</v>
      </c>
      <c r="Q40" s="8">
        <f t="shared" si="6"/>
        <v>1.5506852118293495</v>
      </c>
      <c r="R40" s="81">
        <f t="shared" si="4"/>
        <v>0</v>
      </c>
      <c r="S40" s="113" t="str">
        <f>IF(F40="","",IF(H40="",TEXT(_xlfn.MAXIFS($I$1:I40,$F$1:F40,F40,$H$1:H40,"&gt;"&amp;0),"000.000"),F40))</f>
        <v>GKA2J56</v>
      </c>
      <c r="T40" s="81"/>
      <c r="U40" s="82"/>
      <c r="V40" s="98"/>
      <c r="W40" s="82"/>
      <c r="X40" s="98"/>
      <c r="Y40" s="82"/>
      <c r="Z40" s="98"/>
      <c r="AA40" s="82"/>
      <c r="AB40" s="98"/>
      <c r="AC40" s="82"/>
      <c r="AD40" s="98"/>
      <c r="AE40" s="117"/>
      <c r="AF40" s="98"/>
      <c r="AG40" s="98"/>
      <c r="AH40" s="98"/>
      <c r="AI40" s="82"/>
      <c r="AJ40" s="98"/>
      <c r="AK40" s="83"/>
      <c r="AL40" s="84" t="str">
        <f>IF(F40&lt;&gt;0,IF(_xlfn.MAXIFS($I$1:I40,$F$1:F40,F40,$H$1:H40,"&gt;"&amp;0)=0,"KM NÃO ENCONTRADO",IF(H40=0,CONCATENATE("SUGESTÃO DE KM PARA PLACA ",F40," *",_xlfn.MAXIFS($I$1:I40,$F$1:F40,F40,$H$1:H40,"&gt;"&amp;0),"*"),"")),"")</f>
        <v/>
      </c>
      <c r="AM40" s="85" t="str" cm="1">
        <f t="array" ref="AM40">IFERROR(IF(M40&lt;&gt;"","",CONCATENATE("https://btx.brasiltrack.com/logistica/trajeto.php?idveiculo=",VLOOKUP(F40,DATAS!$A$221:$B$250,2,FALSE),"&amp;lat=-22.204247","&amp;data_ini=",TEXT(IF(E40&lt;&gt;"",IF(COUNTIF($F$2:$F40,F40)&gt;1,MAX(IF($F$1:$F39=F40,$E$1:$E39)),""),""),"DD/MM/AAAA"),"&amp;data_fim=",TEXT(E40,"DD/MM/AAAA"),"&amp;hora_inicial=",HOUR(IF(E40&lt;&gt;"",IF(COUNTIF($F$2:$F40,F40)&gt;1,MAX(IF($F$1:$F39=F40,$E$1:$E39)),""),"")),"&amp;minuto_inicial=",MINUTE(IF(E40&lt;&gt;"",IF(COUNTIF($F$2:$F40,F40)&gt;1,MAX(IF($F$1:$F39=F40,$E$1:$E39)),""),"")),"&amp;hora_final=",HOUR(E40),"&amp;minuto_final=",MINUTE(E40),"&amp;periodo=6&amp;tipo=por_data&amp;upos=false&amp;outequip=0")),"")</f>
        <v>https://btx.brasiltrack.com/logistica/trajeto.php?idveiculo=75A3D88C-4B99-481A-ACC8-34008151E92D&amp;lat=-22.204247&amp;data_ini=03/11/2022&amp;data_fim=04/11/2022&amp;hora_inicial=11&amp;minuto_inicial=29&amp;hora_final=9&amp;minuto_final=25&amp;periodo=6&amp;tipo=por_data&amp;upos=false&amp;outequip=0</v>
      </c>
      <c r="AN40" s="100" t="str">
        <f t="shared" si="5"/>
        <v xml:space="preserve">               </v>
      </c>
    </row>
    <row r="41" spans="1:40" x14ac:dyDescent="0.25">
      <c r="A41" s="81"/>
      <c r="B41" s="81"/>
      <c r="C41" s="81"/>
      <c r="D41" s="144">
        <v>44866</v>
      </c>
      <c r="E41" s="76">
        <v>44869.5</v>
      </c>
      <c r="F41" s="6" t="s">
        <v>128</v>
      </c>
      <c r="G41" s="5" t="str">
        <f>IFERROR(VLOOKUP(SUMIFS(MSOLICITADA!$I:$I,MSOLICITADA!$B:$B,D41,MSOLICITADA!$F:$F,F41),CODIGOSPLACAS!$A$64:$B$89,2,FALSE),"")</f>
        <v>ELI RICARDO</v>
      </c>
      <c r="H41" s="77">
        <v>79176</v>
      </c>
      <c r="I41" s="77">
        <v>79816</v>
      </c>
      <c r="J41" s="7">
        <v>340.01100000000002</v>
      </c>
      <c r="K41" s="78">
        <v>2227.06</v>
      </c>
      <c r="L41" s="79" t="s">
        <v>111</v>
      </c>
      <c r="M41" s="6"/>
      <c r="N41" s="5">
        <f t="shared" si="0"/>
        <v>640</v>
      </c>
      <c r="O41" s="80">
        <f t="shared" si="1"/>
        <v>6.5499645599701184</v>
      </c>
      <c r="P41" s="8">
        <f t="shared" si="2"/>
        <v>1.8822920434927104</v>
      </c>
      <c r="Q41" s="8">
        <f t="shared" si="6"/>
        <v>1.6394783012697074</v>
      </c>
      <c r="R41" s="81">
        <f t="shared" si="4"/>
        <v>0</v>
      </c>
      <c r="S41" s="113" t="str">
        <f>IF(F41="","",IF(H41="",TEXT(_xlfn.MAXIFS($I$1:I41,$F$1:F41,F41,$H$1:H41,"&gt;"&amp;0),"000.000"),F41))</f>
        <v>GFR0D47</v>
      </c>
      <c r="T41" s="81"/>
      <c r="U41" s="82"/>
      <c r="V41" s="98"/>
      <c r="W41" s="82"/>
      <c r="X41" s="98"/>
      <c r="Y41" s="82"/>
      <c r="Z41" s="98"/>
      <c r="AA41" s="82"/>
      <c r="AB41" s="98"/>
      <c r="AC41" s="82"/>
      <c r="AD41" s="98"/>
      <c r="AE41" s="117"/>
      <c r="AF41" s="98"/>
      <c r="AG41" s="98"/>
      <c r="AH41" s="98"/>
      <c r="AI41" s="82"/>
      <c r="AJ41" s="98"/>
      <c r="AK41" s="83"/>
      <c r="AL41" s="84" t="str">
        <f>IF(F41&lt;&gt;0,IF(_xlfn.MAXIFS($I$1:I41,$F$1:F41,F41,$H$1:H41,"&gt;"&amp;0)=0,"KM NÃO ENCONTRADO",IF(H41=0,CONCATENATE("SUGESTÃO DE KM PARA PLACA ",F41," *",_xlfn.MAXIFS($I$1:I41,$F$1:F41,F41,$H$1:H41,"&gt;"&amp;0),"*"),"")),"")</f>
        <v/>
      </c>
      <c r="AM41" s="85" t="str" cm="1">
        <f t="array" ref="AM41">IFERROR(IF(M41&lt;&gt;"","",CONCATENATE("https://btx.brasiltrack.com/logistica/trajeto.php?idveiculo=",VLOOKUP(F41,DATAS!$A$221:$B$250,2,FALSE),"&amp;lat=-22.204247","&amp;data_ini=",TEXT(IF(E41&lt;&gt;"",IF(COUNTIF($F$2:$F41,F41)&gt;1,MAX(IF($F$1:$F40=F41,$E$1:$E40)),""),""),"DD/MM/AAAA"),"&amp;data_fim=",TEXT(E41,"DD/MM/AAAA"),"&amp;hora_inicial=",HOUR(IF(E41&lt;&gt;"",IF(COUNTIF($F$2:$F41,F41)&gt;1,MAX(IF($F$1:$F40=F41,$E$1:$E40)),""),"")),"&amp;minuto_inicial=",MINUTE(IF(E41&lt;&gt;"",IF(COUNTIF($F$2:$F41,F41)&gt;1,MAX(IF($F$1:$F40=F41,$E$1:$E40)),""),"")),"&amp;hora_final=",HOUR(E41),"&amp;minuto_final=",MINUTE(E41),"&amp;periodo=6&amp;tipo=por_data&amp;upos=false&amp;outequip=0")),"")</f>
        <v>https://btx.brasiltrack.com/logistica/trajeto.php?idveiculo=D171D77B-7EEE-4B8A-AB93-163C02819566&amp;lat=-22.204247&amp;data_ini=03/11/2022&amp;data_fim=04/11/2022&amp;hora_inicial=11&amp;minuto_inicial=28&amp;hora_final=12&amp;minuto_final=0&amp;periodo=6&amp;tipo=por_data&amp;upos=false&amp;outequip=0</v>
      </c>
      <c r="AN41" s="100" t="str">
        <f t="shared" si="5"/>
        <v xml:space="preserve">               </v>
      </c>
    </row>
    <row r="42" spans="1:40" x14ac:dyDescent="0.25">
      <c r="A42" s="81"/>
      <c r="B42" s="81"/>
      <c r="C42" s="81"/>
      <c r="D42" s="144">
        <v>44866</v>
      </c>
      <c r="E42" s="76">
        <v>44869.50277777778</v>
      </c>
      <c r="F42" s="6" t="s">
        <v>33</v>
      </c>
      <c r="G42" s="5" t="str">
        <f>IFERROR(VLOOKUP(SUMIFS(MSOLICITADA!$I:$I,MSOLICITADA!$B:$B,D42,MSOLICITADA!$F:$F,F42),CODIGOSPLACAS!$A$64:$B$89,2,FALSE),"")</f>
        <v>JULIO</v>
      </c>
      <c r="H42" s="77">
        <v>154198</v>
      </c>
      <c r="I42" s="77">
        <v>155021</v>
      </c>
      <c r="J42" s="7">
        <v>399.07</v>
      </c>
      <c r="K42" s="78">
        <v>2692.74</v>
      </c>
      <c r="L42" s="79" t="s">
        <v>111</v>
      </c>
      <c r="M42" s="6"/>
      <c r="N42" s="5">
        <f t="shared" si="0"/>
        <v>823</v>
      </c>
      <c r="O42" s="80">
        <f t="shared" si="1"/>
        <v>6.7475380259102407</v>
      </c>
      <c r="P42" s="8">
        <f t="shared" si="2"/>
        <v>2.0622948354925201</v>
      </c>
      <c r="Q42" s="8">
        <f t="shared" si="6"/>
        <v>1.7415645068481733</v>
      </c>
      <c r="R42" s="81">
        <f t="shared" si="4"/>
        <v>0</v>
      </c>
      <c r="S42" s="113" t="str">
        <f>IF(F42="","",IF(H42="",TEXT(_xlfn.MAXIFS($I$1:I42,$F$1:F42,F42,$H$1:H42,"&gt;"&amp;0),"000.000"),F42))</f>
        <v>GGF7G26</v>
      </c>
      <c r="T42" s="81"/>
      <c r="U42" s="82"/>
      <c r="V42" s="98"/>
      <c r="W42" s="82"/>
      <c r="X42" s="98"/>
      <c r="Y42" s="82"/>
      <c r="Z42" s="98"/>
      <c r="AA42" s="82"/>
      <c r="AB42" s="98"/>
      <c r="AC42" s="82"/>
      <c r="AD42" s="98"/>
      <c r="AE42" s="117"/>
      <c r="AF42" s="98"/>
      <c r="AG42" s="98"/>
      <c r="AH42" s="98"/>
      <c r="AI42" s="82"/>
      <c r="AJ42" s="98"/>
      <c r="AK42" s="83"/>
      <c r="AL42" s="84" t="str">
        <f>IF(F42&lt;&gt;0,IF(_xlfn.MAXIFS($I$1:I42,$F$1:F42,F42,$H$1:H42,"&gt;"&amp;0)=0,"KM NÃO ENCONTRADO",IF(H42=0,CONCATENATE("SUGESTÃO DE KM PARA PLACA ",F42," *",_xlfn.MAXIFS($I$1:I42,$F$1:F42,F42,$H$1:H42,"&gt;"&amp;0),"*"),"")),"")</f>
        <v/>
      </c>
      <c r="AM42" s="85" t="str" cm="1">
        <f t="array" ref="AM42">IFERROR(IF(M42&lt;&gt;"","",CONCATENATE("https://btx.brasiltrack.com/logistica/trajeto.php?idveiculo=",VLOOKUP(F42,DATAS!$A$221:$B$250,2,FALSE),"&amp;lat=-22.204247","&amp;data_ini=",TEXT(IF(E42&lt;&gt;"",IF(COUNTIF($F$2:$F42,F42)&gt;1,MAX(IF($F$1:$F41=F42,$E$1:$E41)),""),""),"DD/MM/AAAA"),"&amp;data_fim=",TEXT(E42,"DD/MM/AAAA"),"&amp;hora_inicial=",HOUR(IF(E42&lt;&gt;"",IF(COUNTIF($F$2:$F42,F42)&gt;1,MAX(IF($F$1:$F41=F42,$E$1:$E41)),""),"")),"&amp;minuto_inicial=",MINUTE(IF(E42&lt;&gt;"",IF(COUNTIF($F$2:$F42,F42)&gt;1,MAX(IF($F$1:$F41=F42,$E$1:$E41)),""),"")),"&amp;hora_final=",HOUR(E42),"&amp;minuto_final=",MINUTE(E42),"&amp;periodo=6&amp;tipo=por_data&amp;upos=false&amp;outequip=0")),"")</f>
        <v>https://btx.brasiltrack.com/logistica/trajeto.php?idveiculo=4F0C2317-958D-4267-BAF8-BC4F7B6B12A1&amp;lat=-22.204247&amp;data_ini=03/11/2022&amp;data_fim=04/11/2022&amp;hora_inicial=9&amp;minuto_inicial=29&amp;hora_final=12&amp;minuto_final=4&amp;periodo=6&amp;tipo=por_data&amp;upos=false&amp;outequip=0</v>
      </c>
      <c r="AN42" s="100" t="str">
        <f t="shared" si="5"/>
        <v xml:space="preserve">               </v>
      </c>
    </row>
    <row r="43" spans="1:40" x14ac:dyDescent="0.25">
      <c r="A43" s="81"/>
      <c r="B43" s="81"/>
      <c r="C43" s="81"/>
      <c r="D43" s="144">
        <v>44866</v>
      </c>
      <c r="E43" s="76">
        <v>44869.506944444445</v>
      </c>
      <c r="F43" s="6" t="s">
        <v>30</v>
      </c>
      <c r="G43" s="5" t="str">
        <f>IFERROR(VLOOKUP(SUMIFS(MSOLICITADA!$I:$I,MSOLICITADA!$B:$B,D43,MSOLICITADA!$F:$F,F43),CODIGOSPLACAS!$A$64:$B$89,2,FALSE),"")</f>
        <v>RONILSON</v>
      </c>
      <c r="H43" s="77">
        <v>207570</v>
      </c>
      <c r="I43" s="77">
        <v>208455</v>
      </c>
      <c r="J43" s="7">
        <v>542</v>
      </c>
      <c r="K43" s="78">
        <v>3495.9</v>
      </c>
      <c r="L43" s="79" t="s">
        <v>111</v>
      </c>
      <c r="M43" s="6"/>
      <c r="N43" s="5">
        <f t="shared" si="0"/>
        <v>885</v>
      </c>
      <c r="O43" s="80">
        <f t="shared" si="1"/>
        <v>6.45</v>
      </c>
      <c r="P43" s="8">
        <f t="shared" si="2"/>
        <v>1.6328413284132841</v>
      </c>
      <c r="Q43" s="8">
        <f t="shared" si="6"/>
        <v>1.5438598974121283</v>
      </c>
      <c r="R43" s="81">
        <f t="shared" si="4"/>
        <v>0</v>
      </c>
      <c r="S43" s="113" t="str">
        <f>IF(F43="","",IF(H43="",TEXT(_xlfn.MAXIFS($I$1:I43,$F$1:F43,F43,$H$1:H43,"&gt;"&amp;0),"000.000"),F43))</f>
        <v>GFB0I37</v>
      </c>
      <c r="T43" s="81"/>
      <c r="U43" s="82"/>
      <c r="V43" s="98"/>
      <c r="W43" s="82"/>
      <c r="X43" s="98"/>
      <c r="Y43" s="82"/>
      <c r="Z43" s="98"/>
      <c r="AA43" s="82"/>
      <c r="AB43" s="98"/>
      <c r="AC43" s="82"/>
      <c r="AD43" s="98"/>
      <c r="AE43" s="117"/>
      <c r="AF43" s="98"/>
      <c r="AG43" s="98"/>
      <c r="AH43" s="98"/>
      <c r="AI43" s="82"/>
      <c r="AJ43" s="98"/>
      <c r="AK43" s="83"/>
      <c r="AL43" s="84" t="str">
        <f>IF(F43&lt;&gt;0,IF(_xlfn.MAXIFS($I$1:I43,$F$1:F43,F43,$H$1:H43,"&gt;"&amp;0)=0,"KM NÃO ENCONTRADO",IF(H43=0,CONCATENATE("SUGESTÃO DE KM PARA PLACA ",F43," *",_xlfn.MAXIFS($I$1:I43,$F$1:F43,F43,$H$1:H43,"&gt;"&amp;0),"*"),"")),"")</f>
        <v/>
      </c>
      <c r="AM43" s="85" t="str" cm="1">
        <f t="array" ref="AM43">IFERROR(IF(M43&lt;&gt;"","",CONCATENATE("https://btx.brasiltrack.com/logistica/trajeto.php?idveiculo=",VLOOKUP(F43,DATAS!$A$221:$B$250,2,FALSE),"&amp;lat=-22.204247","&amp;data_ini=",TEXT(IF(E43&lt;&gt;"",IF(COUNTIF($F$2:$F43,F43)&gt;1,MAX(IF($F$1:$F42=F43,$E$1:$E42)),""),""),"DD/MM/AAAA"),"&amp;data_fim=",TEXT(E43,"DD/MM/AAAA"),"&amp;hora_inicial=",HOUR(IF(E43&lt;&gt;"",IF(COUNTIF($F$2:$F43,F43)&gt;1,MAX(IF($F$1:$F42=F43,$E$1:$E42)),""),"")),"&amp;minuto_inicial=",MINUTE(IF(E43&lt;&gt;"",IF(COUNTIF($F$2:$F43,F43)&gt;1,MAX(IF($F$1:$F42=F43,$E$1:$E42)),""),"")),"&amp;hora_final=",HOUR(E43),"&amp;minuto_final=",MINUTE(E43),"&amp;periodo=6&amp;tipo=por_data&amp;upos=false&amp;outequip=0")),"")</f>
        <v>https://btx.brasiltrack.com/logistica/trajeto.php?idveiculo=94099C57-E02A-40F7-B573-6368475EB0B3&amp;lat=-22.204247&amp;data_ini=03/11/2022&amp;data_fim=04/11/2022&amp;hora_inicial=0&amp;minuto_inicial=57&amp;hora_final=12&amp;minuto_final=10&amp;periodo=6&amp;tipo=por_data&amp;upos=false&amp;outequip=0</v>
      </c>
      <c r="AN43" s="100" t="str">
        <f t="shared" si="5"/>
        <v xml:space="preserve">               </v>
      </c>
    </row>
    <row r="44" spans="1:40" x14ac:dyDescent="0.25">
      <c r="A44" s="81"/>
      <c r="B44" s="81"/>
      <c r="C44" s="81"/>
      <c r="D44" s="144">
        <v>44866</v>
      </c>
      <c r="E44" s="76">
        <v>44869.625</v>
      </c>
      <c r="F44" s="6" t="s">
        <v>32</v>
      </c>
      <c r="G44" s="5" t="str">
        <f>IFERROR(VLOOKUP(SUMIFS(MSOLICITADA!$I:$I,MSOLICITADA!$B:$B,D44,MSOLICITADA!$F:$F,F44),CODIGOSPLACAS!$A$64:$B$89,2,FALSE),"")</f>
        <v>ADILSON</v>
      </c>
      <c r="H44" s="77">
        <v>190276</v>
      </c>
      <c r="I44" s="77">
        <v>190559</v>
      </c>
      <c r="J44" s="7">
        <v>235.2</v>
      </c>
      <c r="K44" s="78">
        <v>1438.28</v>
      </c>
      <c r="L44" s="79" t="s">
        <v>112</v>
      </c>
      <c r="M44" s="6"/>
      <c r="N44" s="5">
        <f t="shared" si="0"/>
        <v>283</v>
      </c>
      <c r="O44" s="80">
        <f t="shared" si="1"/>
        <v>6.115136054421769</v>
      </c>
      <c r="P44" s="8">
        <f t="shared" si="2"/>
        <v>1.2032312925170068</v>
      </c>
      <c r="Q44" s="8">
        <f t="shared" si="6"/>
        <v>1.518200707495146</v>
      </c>
      <c r="R44" s="81">
        <f t="shared" si="4"/>
        <v>0</v>
      </c>
      <c r="S44" s="113" t="str">
        <f>IF(F44="","",IF(H44="",TEXT(_xlfn.MAXIFS($I$1:I44,$F$1:F44,F44,$H$1:H44,"&gt;"&amp;0),"000.000"),F44))</f>
        <v>GJU9A22</v>
      </c>
      <c r="T44" s="81"/>
      <c r="U44" s="82"/>
      <c r="V44" s="98"/>
      <c r="W44" s="82"/>
      <c r="X44" s="98"/>
      <c r="Y44" s="82"/>
      <c r="Z44" s="98"/>
      <c r="AA44" s="82"/>
      <c r="AB44" s="98"/>
      <c r="AC44" s="82"/>
      <c r="AD44" s="98"/>
      <c r="AE44" s="117"/>
      <c r="AF44" s="98"/>
      <c r="AG44" s="98"/>
      <c r="AH44" s="98"/>
      <c r="AI44" s="82"/>
      <c r="AJ44" s="98"/>
      <c r="AK44" s="83"/>
      <c r="AL44" s="84" t="str">
        <f>IF(F44&lt;&gt;0,IF(_xlfn.MAXIFS($I$1:I44,$F$1:F44,F44,$H$1:H44,"&gt;"&amp;0)=0,"KM NÃO ENCONTRADO",IF(H44=0,CONCATENATE("SUGESTÃO DE KM PARA PLACA ",F44," *",_xlfn.MAXIFS($I$1:I44,$F$1:F44,F44,$H$1:H44,"&gt;"&amp;0),"*"),"")),"")</f>
        <v/>
      </c>
      <c r="AM44" s="85" t="str" cm="1">
        <f t="array" ref="AM44">IFERROR(IF(M44&lt;&gt;"","",CONCATENATE("https://btx.brasiltrack.com/logistica/trajeto.php?idveiculo=",VLOOKUP(F44,DATAS!$A$221:$B$250,2,FALSE),"&amp;lat=-22.204247","&amp;data_ini=",TEXT(IF(E44&lt;&gt;"",IF(COUNTIF($F$2:$F44,F44)&gt;1,MAX(IF($F$1:$F43=F44,$E$1:$E43)),""),""),"DD/MM/AAAA"),"&amp;data_fim=",TEXT(E44,"DD/MM/AAAA"),"&amp;hora_inicial=",HOUR(IF(E44&lt;&gt;"",IF(COUNTIF($F$2:$F44,F44)&gt;1,MAX(IF($F$1:$F43=F44,$E$1:$E43)),""),"")),"&amp;minuto_inicial=",MINUTE(IF(E44&lt;&gt;"",IF(COUNTIF($F$2:$F44,F44)&gt;1,MAX(IF($F$1:$F43=F44,$E$1:$E43)),""),"")),"&amp;hora_final=",HOUR(E44),"&amp;minuto_final=",MINUTE(E44),"&amp;periodo=6&amp;tipo=por_data&amp;upos=false&amp;outequip=0")),"")</f>
        <v>https://btx.brasiltrack.com/logistica/trajeto.php?idveiculo=51FCA948-8BA9-488B-AAF2-8F2F237B75B2&amp;lat=-22.204247&amp;data_ini=04/11/2022&amp;data_fim=04/11/2022&amp;hora_inicial=0&amp;minuto_inicial=6&amp;hora_final=15&amp;minuto_final=0&amp;periodo=6&amp;tipo=por_data&amp;upos=false&amp;outequip=0</v>
      </c>
      <c r="AN44" s="100" t="str">
        <f t="shared" si="5"/>
        <v xml:space="preserve">               </v>
      </c>
    </row>
    <row r="45" spans="1:40" x14ac:dyDescent="0.25">
      <c r="A45" s="81"/>
      <c r="B45" s="81"/>
      <c r="C45" s="81"/>
      <c r="D45" s="144">
        <v>44866</v>
      </c>
      <c r="E45" s="76">
        <v>44869.638888888891</v>
      </c>
      <c r="F45" s="6" t="s">
        <v>126</v>
      </c>
      <c r="G45" s="5" t="str">
        <f>IFERROR(VLOOKUP(SUMIFS(MSOLICITADA!$I:$I,MSOLICITADA!$B:$B,D45,MSOLICITADA!$F:$F,F45),CODIGOSPLACAS!$A$64:$B$89,2,FALSE),"")</f>
        <v>IZAIAS</v>
      </c>
      <c r="H45" s="77">
        <v>476405</v>
      </c>
      <c r="I45" s="77">
        <v>476822</v>
      </c>
      <c r="J45" s="7">
        <v>342.5</v>
      </c>
      <c r="K45" s="78">
        <v>2094.4299999999998</v>
      </c>
      <c r="L45" s="79" t="s">
        <v>112</v>
      </c>
      <c r="M45" s="6"/>
      <c r="N45" s="5">
        <f t="shared" si="0"/>
        <v>417</v>
      </c>
      <c r="O45" s="80">
        <f t="shared" si="1"/>
        <v>6.1151240875912407</v>
      </c>
      <c r="P45" s="8">
        <f t="shared" si="2"/>
        <v>1.2175182481751825</v>
      </c>
      <c r="Q45" s="8">
        <f t="shared" si="6"/>
        <v>1.4310423058843909</v>
      </c>
      <c r="R45" s="81">
        <f t="shared" si="4"/>
        <v>0</v>
      </c>
      <c r="S45" s="113" t="str">
        <f>IF(F45="","",IF(H45="",TEXT(_xlfn.MAXIFS($I$1:I45,$F$1:F45,F45,$H$1:H45,"&gt;"&amp;0),"000.000"),F45))</f>
        <v>GHX4D71</v>
      </c>
      <c r="T45" s="81"/>
      <c r="U45" s="82"/>
      <c r="V45" s="98"/>
      <c r="W45" s="82"/>
      <c r="X45" s="98"/>
      <c r="Y45" s="82"/>
      <c r="Z45" s="98"/>
      <c r="AA45" s="82"/>
      <c r="AB45" s="98"/>
      <c r="AC45" s="82"/>
      <c r="AD45" s="98"/>
      <c r="AE45" s="117"/>
      <c r="AF45" s="98"/>
      <c r="AG45" s="98"/>
      <c r="AH45" s="98"/>
      <c r="AI45" s="82"/>
      <c r="AJ45" s="98"/>
      <c r="AK45" s="83"/>
      <c r="AL45" s="84" t="str">
        <f>IF(F45&lt;&gt;0,IF(_xlfn.MAXIFS($I$1:I45,$F$1:F45,F45,$H$1:H45,"&gt;"&amp;0)=0,"KM NÃO ENCONTRADO",IF(H45=0,CONCATENATE("SUGESTÃO DE KM PARA PLACA ",F45," *",_xlfn.MAXIFS($I$1:I45,$F$1:F45,F45,$H$1:H45,"&gt;"&amp;0),"*"),"")),"")</f>
        <v/>
      </c>
      <c r="AM45" s="85" t="str" cm="1">
        <f t="array" ref="AM45">IFERROR(IF(M45&lt;&gt;"","",CONCATENATE("https://btx.brasiltrack.com/logistica/trajeto.php?idveiculo=",VLOOKUP(F45,DATAS!$A$221:$B$250,2,FALSE),"&amp;lat=-22.204247","&amp;data_ini=",TEXT(IF(E45&lt;&gt;"",IF(COUNTIF($F$2:$F45,F45)&gt;1,MAX(IF($F$1:$F44=F45,$E$1:$E44)),""),""),"DD/MM/AAAA"),"&amp;data_fim=",TEXT(E45,"DD/MM/AAAA"),"&amp;hora_inicial=",HOUR(IF(E45&lt;&gt;"",IF(COUNTIF($F$2:$F45,F45)&gt;1,MAX(IF($F$1:$F44=F45,$E$1:$E44)),""),"")),"&amp;minuto_inicial=",MINUTE(IF(E45&lt;&gt;"",IF(COUNTIF($F$2:$F45,F45)&gt;1,MAX(IF($F$1:$F44=F45,$E$1:$E44)),""),"")),"&amp;hora_final=",HOUR(E45),"&amp;minuto_final=",MINUTE(E45),"&amp;periodo=6&amp;tipo=por_data&amp;upos=false&amp;outequip=0")),"")</f>
        <v>https://btx.brasiltrack.com/logistica/trajeto.php?idveiculo=6B5F18E0-6EAE-404A-AE41-39E549361094&amp;lat=-22.204247&amp;data_ini=03/11/2022&amp;data_fim=04/11/2022&amp;hora_inicial=22&amp;minuto_inicial=57&amp;hora_final=15&amp;minuto_final=20&amp;periodo=6&amp;tipo=por_data&amp;upos=false&amp;outequip=0</v>
      </c>
      <c r="AN45" s="100" t="str">
        <f t="shared" si="5"/>
        <v xml:space="preserve">               </v>
      </c>
    </row>
    <row r="46" spans="1:40" x14ac:dyDescent="0.25">
      <c r="A46" s="81"/>
      <c r="B46" s="81"/>
      <c r="C46" s="81"/>
      <c r="D46" s="144">
        <v>44866</v>
      </c>
      <c r="E46" s="76">
        <v>44869.6875</v>
      </c>
      <c r="F46" s="6" t="s">
        <v>23</v>
      </c>
      <c r="G46" s="5" t="str">
        <f>IFERROR(VLOOKUP(SUMIFS(MSOLICITADA!$I:$I,MSOLICITADA!$B:$B,D46,MSOLICITADA!$F:$F,F46),CODIGOSPLACAS!$A$64:$B$89,2,FALSE),"")</f>
        <v>ISAC</v>
      </c>
      <c r="H46" s="77">
        <v>1192859</v>
      </c>
      <c r="I46" s="77">
        <v>1193548</v>
      </c>
      <c r="J46" s="7">
        <v>400.5</v>
      </c>
      <c r="K46" s="78">
        <v>2449.11</v>
      </c>
      <c r="L46" s="79" t="s">
        <v>112</v>
      </c>
      <c r="M46" s="6"/>
      <c r="N46" s="5">
        <f t="shared" si="0"/>
        <v>689</v>
      </c>
      <c r="O46" s="80">
        <f t="shared" si="1"/>
        <v>6.1151310861423225</v>
      </c>
      <c r="P46" s="8">
        <f t="shared" si="2"/>
        <v>1.7203495630461922</v>
      </c>
      <c r="Q46" s="8">
        <f t="shared" si="6"/>
        <v>1.447714664858804</v>
      </c>
      <c r="R46" s="81">
        <f t="shared" si="4"/>
        <v>0</v>
      </c>
      <c r="S46" s="113" t="str">
        <f>IF(F46="","",IF(H46="",TEXT(_xlfn.MAXIFS($I$1:I46,$F$1:F46,F46,$H$1:H46,"&gt;"&amp;0),"000.000"),F46))</f>
        <v>HNC7I76</v>
      </c>
      <c r="T46" s="81"/>
      <c r="U46" s="82"/>
      <c r="V46" s="98"/>
      <c r="W46" s="82"/>
      <c r="X46" s="98"/>
      <c r="Y46" s="82"/>
      <c r="Z46" s="98"/>
      <c r="AA46" s="82"/>
      <c r="AB46" s="98"/>
      <c r="AC46" s="82"/>
      <c r="AD46" s="98"/>
      <c r="AE46" s="117"/>
      <c r="AF46" s="98"/>
      <c r="AG46" s="98"/>
      <c r="AH46" s="98"/>
      <c r="AI46" s="82"/>
      <c r="AJ46" s="98"/>
      <c r="AK46" s="83"/>
      <c r="AL46" s="84" t="str">
        <f>IF(F46&lt;&gt;0,IF(_xlfn.MAXIFS($I$1:I46,$F$1:F46,F46,$H$1:H46,"&gt;"&amp;0)=0,"KM NÃO ENCONTRADO",IF(H46=0,CONCATENATE("SUGESTÃO DE KM PARA PLACA ",F46," *",_xlfn.MAXIFS($I$1:I46,$F$1:F46,F46,$H$1:H46,"&gt;"&amp;0),"*"),"")),"")</f>
        <v/>
      </c>
      <c r="AM46" s="85" t="str" cm="1">
        <f t="array" ref="AM46">IFERROR(IF(M46&lt;&gt;"","",CONCATENATE("https://btx.brasiltrack.com/logistica/trajeto.php?idveiculo=",VLOOKUP(F46,DATAS!$A$221:$B$250,2,FALSE),"&amp;lat=-22.204247","&amp;data_ini=",TEXT(IF(E46&lt;&gt;"",IF(COUNTIF($F$2:$F46,F46)&gt;1,MAX(IF($F$1:$F45=F46,$E$1:$E45)),""),""),"DD/MM/AAAA"),"&amp;data_fim=",TEXT(E46,"DD/MM/AAAA"),"&amp;hora_inicial=",HOUR(IF(E46&lt;&gt;"",IF(COUNTIF($F$2:$F46,F46)&gt;1,MAX(IF($F$1:$F45=F46,$E$1:$E45)),""),"")),"&amp;minuto_inicial=",MINUTE(IF(E46&lt;&gt;"",IF(COUNTIF($F$2:$F46,F46)&gt;1,MAX(IF($F$1:$F45=F46,$E$1:$E45)),""),"")),"&amp;hora_final=",HOUR(E46),"&amp;minuto_final=",MINUTE(E46),"&amp;periodo=6&amp;tipo=por_data&amp;upos=false&amp;outequip=0")),"")</f>
        <v/>
      </c>
      <c r="AN46" s="100" t="str">
        <f t="shared" si="5"/>
        <v xml:space="preserve">               </v>
      </c>
    </row>
    <row r="47" spans="1:40" x14ac:dyDescent="0.25">
      <c r="A47" s="81"/>
      <c r="B47" s="81"/>
      <c r="C47" s="81"/>
      <c r="D47" s="144">
        <v>44866</v>
      </c>
      <c r="E47" s="76">
        <v>44869.744444444441</v>
      </c>
      <c r="F47" s="6" t="s">
        <v>28</v>
      </c>
      <c r="G47" s="5" t="str">
        <f>IFERROR(VLOOKUP(SUMIFS(MSOLICITADA!$I:$I,MSOLICITADA!$B:$B,D47,MSOLICITADA!$F:$F,F47),CODIGOSPLACAS!$A$64:$B$89,2,FALSE),"")</f>
        <v>RONY</v>
      </c>
      <c r="H47" s="77">
        <v>229457</v>
      </c>
      <c r="I47" s="77">
        <v>230256</v>
      </c>
      <c r="J47" s="7">
        <v>630.59</v>
      </c>
      <c r="K47" s="78">
        <v>3966.41</v>
      </c>
      <c r="L47" s="79" t="s">
        <v>111</v>
      </c>
      <c r="M47" s="6"/>
      <c r="N47" s="5">
        <f t="shared" si="0"/>
        <v>799</v>
      </c>
      <c r="O47" s="80">
        <f t="shared" si="1"/>
        <v>6.2899982556018958</v>
      </c>
      <c r="P47" s="8">
        <f t="shared" si="2"/>
        <v>1.2670673496249543</v>
      </c>
      <c r="Q47" s="8">
        <f t="shared" si="6"/>
        <v>1.398271770983244</v>
      </c>
      <c r="R47" s="81">
        <f t="shared" si="4"/>
        <v>0</v>
      </c>
      <c r="S47" s="113" t="str">
        <f>IF(F47="","",IF(H47="",TEXT(_xlfn.MAXIFS($I$1:I47,$F$1:F47,F47,$H$1:H47,"&gt;"&amp;0),"000.000"),F47))</f>
        <v>FZA3E94</v>
      </c>
      <c r="T47" s="81"/>
      <c r="U47" s="82"/>
      <c r="V47" s="98"/>
      <c r="W47" s="82"/>
      <c r="X47" s="98"/>
      <c r="Y47" s="82"/>
      <c r="Z47" s="98"/>
      <c r="AA47" s="82"/>
      <c r="AB47" s="98"/>
      <c r="AC47" s="82"/>
      <c r="AD47" s="98"/>
      <c r="AE47" s="117"/>
      <c r="AF47" s="98"/>
      <c r="AG47" s="98"/>
      <c r="AH47" s="98"/>
      <c r="AI47" s="82"/>
      <c r="AJ47" s="98"/>
      <c r="AK47" s="83"/>
      <c r="AL47" s="84" t="str">
        <f>IF(F47&lt;&gt;0,IF(_xlfn.MAXIFS($I$1:I47,$F$1:F47,F47,$H$1:H47,"&gt;"&amp;0)=0,"KM NÃO ENCONTRADO",IF(H47=0,CONCATENATE("SUGESTÃO DE KM PARA PLACA ",F47," *",_xlfn.MAXIFS($I$1:I47,$F$1:F47,F47,$H$1:H47,"&gt;"&amp;0),"*"),"")),"")</f>
        <v/>
      </c>
      <c r="AM47" s="85" t="str" cm="1">
        <f t="array" ref="AM47">IFERROR(IF(M47&lt;&gt;"","",CONCATENATE("https://btx.brasiltrack.com/logistica/trajeto.php?idveiculo=",VLOOKUP(F47,DATAS!$A$221:$B$250,2,FALSE),"&amp;lat=-22.204247","&amp;data_ini=",TEXT(IF(E47&lt;&gt;"",IF(COUNTIF($F$2:$F47,F47)&gt;1,MAX(IF($F$1:$F46=F47,$E$1:$E46)),""),""),"DD/MM/AAAA"),"&amp;data_fim=",TEXT(E47,"DD/MM/AAAA"),"&amp;hora_inicial=",HOUR(IF(E47&lt;&gt;"",IF(COUNTIF($F$2:$F47,F47)&gt;1,MAX(IF($F$1:$F46=F47,$E$1:$E46)),""),"")),"&amp;minuto_inicial=",MINUTE(IF(E47&lt;&gt;"",IF(COUNTIF($F$2:$F47,F47)&gt;1,MAX(IF($F$1:$F46=F47,$E$1:$E46)),""),"")),"&amp;hora_final=",HOUR(E47),"&amp;minuto_final=",MINUTE(E47),"&amp;periodo=6&amp;tipo=por_data&amp;upos=false&amp;outequip=0")),"")</f>
        <v/>
      </c>
      <c r="AN47" s="100" t="str">
        <f t="shared" si="5"/>
        <v xml:space="preserve">               </v>
      </c>
    </row>
    <row r="48" spans="1:40" x14ac:dyDescent="0.25">
      <c r="A48" s="81"/>
      <c r="B48" s="81"/>
      <c r="C48" s="81"/>
      <c r="D48" s="144">
        <v>44866</v>
      </c>
      <c r="E48" s="76">
        <v>44869.805555555555</v>
      </c>
      <c r="F48" s="6" t="s">
        <v>27</v>
      </c>
      <c r="G48" s="5" t="str">
        <f>IFERROR(VLOOKUP(SUMIFS(MSOLICITADA!$I:$I,MSOLICITADA!$B:$B,D48,MSOLICITADA!$F:$F,F48),CODIGOSPLACAS!$A$64:$B$89,2,FALSE),"")</f>
        <v>ANTONIO</v>
      </c>
      <c r="H48" s="77">
        <v>234351</v>
      </c>
      <c r="I48" s="77">
        <v>234743</v>
      </c>
      <c r="J48" s="7">
        <v>238.7</v>
      </c>
      <c r="K48" s="78">
        <v>1459.68</v>
      </c>
      <c r="L48" s="79" t="s">
        <v>112</v>
      </c>
      <c r="M48" s="6"/>
      <c r="N48" s="5">
        <f t="shared" si="0"/>
        <v>392</v>
      </c>
      <c r="O48" s="80">
        <f t="shared" si="1"/>
        <v>6.1151235860913289</v>
      </c>
      <c r="P48" s="8">
        <f t="shared" si="2"/>
        <v>1.6422287390029326</v>
      </c>
      <c r="Q48" s="8">
        <f t="shared" si="6"/>
        <v>1.4461676128873802</v>
      </c>
      <c r="R48" s="81">
        <f t="shared" si="4"/>
        <v>0</v>
      </c>
      <c r="S48" s="113" t="str">
        <f>IF(F48="","",IF(H48="",TEXT(_xlfn.MAXIFS($I$1:I48,$F$1:F48,F48,$H$1:H48,"&gt;"&amp;0),"000.000"),F48))</f>
        <v>GHS4J57</v>
      </c>
      <c r="T48" s="81"/>
      <c r="U48" s="82"/>
      <c r="V48" s="98"/>
      <c r="W48" s="82"/>
      <c r="X48" s="98"/>
      <c r="Y48" s="82"/>
      <c r="Z48" s="98"/>
      <c r="AA48" s="82"/>
      <c r="AB48" s="98"/>
      <c r="AC48" s="82"/>
      <c r="AD48" s="98"/>
      <c r="AE48" s="117"/>
      <c r="AF48" s="98"/>
      <c r="AG48" s="98"/>
      <c r="AH48" s="98"/>
      <c r="AI48" s="82"/>
      <c r="AJ48" s="98"/>
      <c r="AK48" s="83"/>
      <c r="AL48" s="84" t="str">
        <f>IF(F48&lt;&gt;0,IF(_xlfn.MAXIFS($I$1:I48,$F$1:F48,F48,$H$1:H48,"&gt;"&amp;0)=0,"KM NÃO ENCONTRADO",IF(H48=0,CONCATENATE("SUGESTÃO DE KM PARA PLACA ",F48," *",_xlfn.MAXIFS($I$1:I48,$F$1:F48,F48,$H$1:H48,"&gt;"&amp;0),"*"),"")),"")</f>
        <v/>
      </c>
      <c r="AM48" s="85" t="str" cm="1">
        <f t="array" ref="AM48">IFERROR(IF(M48&lt;&gt;"","",CONCATENATE("https://btx.brasiltrack.com/logistica/trajeto.php?idveiculo=",VLOOKUP(F48,DATAS!$A$221:$B$250,2,FALSE),"&amp;lat=-22.204247","&amp;data_ini=",TEXT(IF(E48&lt;&gt;"",IF(COUNTIF($F$2:$F48,F48)&gt;1,MAX(IF($F$1:$F47=F48,$E$1:$E47)),""),""),"DD/MM/AAAA"),"&amp;data_fim=",TEXT(E48,"DD/MM/AAAA"),"&amp;hora_inicial=",HOUR(IF(E48&lt;&gt;"",IF(COUNTIF($F$2:$F48,F48)&gt;1,MAX(IF($F$1:$F47=F48,$E$1:$E47)),""),"")),"&amp;minuto_inicial=",MINUTE(IF(E48&lt;&gt;"",IF(COUNTIF($F$2:$F48,F48)&gt;1,MAX(IF($F$1:$F47=F48,$E$1:$E47)),""),"")),"&amp;hora_final=",HOUR(E48),"&amp;minuto_final=",MINUTE(E48),"&amp;periodo=6&amp;tipo=por_data&amp;upos=false&amp;outequip=0")),"")</f>
        <v>https://btx.brasiltrack.com/logistica/trajeto.php?idveiculo=17ED636C-5A71-44D5-AF3C-192D3DA6CDD1&amp;lat=-22.204247&amp;data_ini=03/11/2022&amp;data_fim=04/11/2022&amp;hora_inicial=10&amp;minuto_inicial=32&amp;hora_final=19&amp;minuto_final=20&amp;periodo=6&amp;tipo=por_data&amp;upos=false&amp;outequip=0</v>
      </c>
      <c r="AN48" s="100" t="str">
        <f t="shared" si="5"/>
        <v xml:space="preserve">               </v>
      </c>
    </row>
    <row r="49" spans="1:40" x14ac:dyDescent="0.25">
      <c r="A49" s="81"/>
      <c r="B49" s="81"/>
      <c r="C49" s="81"/>
      <c r="D49" s="144">
        <v>44866</v>
      </c>
      <c r="E49" s="76">
        <v>44870.285416666666</v>
      </c>
      <c r="F49" s="6" t="s">
        <v>161</v>
      </c>
      <c r="G49" s="5" t="str">
        <f>IFERROR(VLOOKUP(SUMIFS(MSOLICITADA!$I:$I,MSOLICITADA!$B:$B,D49,MSOLICITADA!$F:$F,F49),CODIGOSPLACAS!$A$64:$B$89,2,FALSE),"")</f>
        <v/>
      </c>
      <c r="H49" s="77">
        <v>254098</v>
      </c>
      <c r="I49" s="77">
        <v>254390</v>
      </c>
      <c r="J49" s="7">
        <v>154.80000000000001</v>
      </c>
      <c r="K49" s="78">
        <v>946.62</v>
      </c>
      <c r="L49" s="79" t="s">
        <v>112</v>
      </c>
      <c r="M49" s="6"/>
      <c r="N49" s="5">
        <f t="shared" si="0"/>
        <v>292</v>
      </c>
      <c r="O49" s="80">
        <f t="shared" si="1"/>
        <v>6.1151162790697668</v>
      </c>
      <c r="P49" s="8">
        <f t="shared" si="2"/>
        <v>1.8863049095607234</v>
      </c>
      <c r="Q49" s="8">
        <f t="shared" si="6"/>
        <v>1.3257365202890494</v>
      </c>
      <c r="R49" s="81">
        <f t="shared" si="4"/>
        <v>0</v>
      </c>
      <c r="S49" s="113" t="str">
        <f>IF(F49="","",IF(H49="",TEXT(_xlfn.MAXIFS($I$1:I49,$F$1:F49,F49,$H$1:H49,"&gt;"&amp;0),"000.000"),F49))</f>
        <v>GYS4080</v>
      </c>
      <c r="T49" s="81"/>
      <c r="U49" s="82"/>
      <c r="V49" s="98"/>
      <c r="W49" s="82"/>
      <c r="X49" s="98"/>
      <c r="Y49" s="82"/>
      <c r="Z49" s="98"/>
      <c r="AA49" s="82"/>
      <c r="AB49" s="98"/>
      <c r="AC49" s="82"/>
      <c r="AD49" s="98"/>
      <c r="AE49" s="117"/>
      <c r="AF49" s="98"/>
      <c r="AG49" s="98"/>
      <c r="AH49" s="98"/>
      <c r="AI49" s="82"/>
      <c r="AJ49" s="98"/>
      <c r="AK49" s="83"/>
      <c r="AL49" s="84" t="str">
        <f>IF(F49&lt;&gt;0,IF(_xlfn.MAXIFS($I$1:I49,$F$1:F49,F49,$H$1:H49,"&gt;"&amp;0)=0,"KM NÃO ENCONTRADO",IF(H49=0,CONCATENATE("SUGESTÃO DE KM PARA PLACA ",F49," *",_xlfn.MAXIFS($I$1:I49,$F$1:F49,F49,$H$1:H49,"&gt;"&amp;0),"*"),"")),"")</f>
        <v/>
      </c>
      <c r="AM49" s="85" t="str" cm="1">
        <f t="array" ref="AM49">IFERROR(IF(M49&lt;&gt;"","",CONCATENATE("https://btx.brasiltrack.com/logistica/trajeto.php?idveiculo=",VLOOKUP(F49,DATAS!$A$221:$B$250,2,FALSE),"&amp;lat=-22.204247","&amp;data_ini=",TEXT(IF(E49&lt;&gt;"",IF(COUNTIF($F$2:$F49,F49)&gt;1,MAX(IF($F$1:$F48=F49,$E$1:$E48)),""),""),"DD/MM/AAAA"),"&amp;data_fim=",TEXT(E49,"DD/MM/AAAA"),"&amp;hora_inicial=",HOUR(IF(E49&lt;&gt;"",IF(COUNTIF($F$2:$F49,F49)&gt;1,MAX(IF($F$1:$F48=F49,$E$1:$E48)),""),"")),"&amp;minuto_inicial=",MINUTE(IF(E49&lt;&gt;"",IF(COUNTIF($F$2:$F49,F49)&gt;1,MAX(IF($F$1:$F48=F49,$E$1:$E48)),""),"")),"&amp;hora_final=",HOUR(E49),"&amp;minuto_final=",MINUTE(E49),"&amp;periodo=6&amp;tipo=por_data&amp;upos=false&amp;outequip=0")),"")</f>
        <v/>
      </c>
      <c r="AN49" s="100" t="str">
        <f t="shared" si="5"/>
        <v xml:space="preserve">               </v>
      </c>
    </row>
    <row r="50" spans="1:40" x14ac:dyDescent="0.25">
      <c r="A50" s="81"/>
      <c r="B50" s="81"/>
      <c r="C50" s="81"/>
      <c r="D50" s="144">
        <v>44866</v>
      </c>
      <c r="E50" s="76">
        <v>44870.511805555558</v>
      </c>
      <c r="F50" s="6" t="s">
        <v>131</v>
      </c>
      <c r="G50" s="5" t="str">
        <f>IFERROR(VLOOKUP(SUMIFS(MSOLICITADA!$I:$I,MSOLICITADA!$B:$B,D50,MSOLICITADA!$F:$F,F50),CODIGOSPLACAS!$A$64:$B$89,2,FALSE),"")</f>
        <v>ALTIELIS</v>
      </c>
      <c r="H50" s="77">
        <v>34135</v>
      </c>
      <c r="I50" s="77">
        <v>34666</v>
      </c>
      <c r="J50" s="7">
        <v>350.00099999999998</v>
      </c>
      <c r="K50" s="78">
        <v>2327.5</v>
      </c>
      <c r="L50" s="79" t="s">
        <v>111</v>
      </c>
      <c r="M50" s="6"/>
      <c r="N50" s="5">
        <f t="shared" si="0"/>
        <v>531</v>
      </c>
      <c r="O50" s="80">
        <f t="shared" si="1"/>
        <v>6.6499810000542858</v>
      </c>
      <c r="P50" s="8">
        <f t="shared" si="2"/>
        <v>1.5171385224613645</v>
      </c>
      <c r="Q50" s="8">
        <f t="shared" si="6"/>
        <v>1.4985018243623649</v>
      </c>
      <c r="R50" s="81">
        <f t="shared" si="4"/>
        <v>0</v>
      </c>
      <c r="S50" s="113" t="str">
        <f>IF(F50="","",IF(H50="",TEXT(_xlfn.MAXIFS($I$1:I50,$F$1:F50,F50,$H$1:H50,"&gt;"&amp;0),"000.000"),F50))</f>
        <v>GGN4J86</v>
      </c>
      <c r="T50" s="81"/>
      <c r="U50" s="82"/>
      <c r="V50" s="98"/>
      <c r="W50" s="82"/>
      <c r="X50" s="98"/>
      <c r="Y50" s="82"/>
      <c r="Z50" s="98"/>
      <c r="AA50" s="82"/>
      <c r="AB50" s="98"/>
      <c r="AC50" s="82"/>
      <c r="AD50" s="98"/>
      <c r="AE50" s="117"/>
      <c r="AF50" s="98"/>
      <c r="AG50" s="98"/>
      <c r="AH50" s="98"/>
      <c r="AI50" s="82"/>
      <c r="AJ50" s="98"/>
      <c r="AK50" s="83"/>
      <c r="AL50" s="84" t="str">
        <f>IF(F50&lt;&gt;0,IF(_xlfn.MAXIFS($I$1:I50,$F$1:F50,F50,$H$1:H50,"&gt;"&amp;0)=0,"KM NÃO ENCONTRADO",IF(H50=0,CONCATENATE("SUGESTÃO DE KM PARA PLACA ",F50," *",_xlfn.MAXIFS($I$1:I50,$F$1:F50,F50,$H$1:H50,"&gt;"&amp;0),"*"),"")),"")</f>
        <v/>
      </c>
      <c r="AM50" s="85" t="str" cm="1">
        <f t="array" ref="AM50">IFERROR(IF(M50&lt;&gt;"","",CONCATENATE("https://btx.brasiltrack.com/logistica/trajeto.php?idveiculo=",VLOOKUP(F50,DATAS!$A$221:$B$250,2,FALSE),"&amp;lat=-22.204247","&amp;data_ini=",TEXT(IF(E50&lt;&gt;"",IF(COUNTIF($F$2:$F50,F50)&gt;1,MAX(IF($F$1:$F49=F50,$E$1:$E49)),""),""),"DD/MM/AAAA"),"&amp;data_fim=",TEXT(E50,"DD/MM/AAAA"),"&amp;hora_inicial=",HOUR(IF(E50&lt;&gt;"",IF(COUNTIF($F$2:$F50,F50)&gt;1,MAX(IF($F$1:$F49=F50,$E$1:$E49)),""),"")),"&amp;minuto_inicial=",MINUTE(IF(E50&lt;&gt;"",IF(COUNTIF($F$2:$F50,F50)&gt;1,MAX(IF($F$1:$F49=F50,$E$1:$E49)),""),"")),"&amp;hora_final=",HOUR(E50),"&amp;minuto_final=",MINUTE(E50),"&amp;periodo=6&amp;tipo=por_data&amp;upos=false&amp;outequip=0")),"")</f>
        <v>https://btx.brasiltrack.com/logistica/trajeto.php?idveiculo=0C13AEC3-426E-4E1A-A62E-C4BA625F41E7&amp;lat=-22.204247&amp;data_ini=03/11/2022&amp;data_fim=05/11/2022&amp;hora_inicial=19&amp;minuto_inicial=11&amp;hora_final=12&amp;minuto_final=17&amp;periodo=6&amp;tipo=por_data&amp;upos=false&amp;outequip=0</v>
      </c>
      <c r="AN50" s="100" t="str">
        <f t="shared" si="5"/>
        <v xml:space="preserve">               </v>
      </c>
    </row>
    <row r="51" spans="1:40" x14ac:dyDescent="0.25">
      <c r="A51" s="81"/>
      <c r="B51" s="81"/>
      <c r="C51" s="81"/>
      <c r="D51" s="144">
        <v>44866</v>
      </c>
      <c r="E51" s="76">
        <v>44870.644444444442</v>
      </c>
      <c r="F51" s="6" t="s">
        <v>28</v>
      </c>
      <c r="G51" s="5" t="str">
        <f>IFERROR(VLOOKUP(SUMIFS(MSOLICITADA!$I:$I,MSOLICITADA!$B:$B,D51,MSOLICITADA!$F:$F,F51),CODIGOSPLACAS!$A$64:$B$89,2,FALSE),"")</f>
        <v>RONY</v>
      </c>
      <c r="H51" s="77">
        <v>230256</v>
      </c>
      <c r="I51" s="77">
        <v>230705</v>
      </c>
      <c r="J51" s="7">
        <v>279.3</v>
      </c>
      <c r="K51" s="78">
        <v>2064.3000000000002</v>
      </c>
      <c r="L51" s="79" t="s">
        <v>111</v>
      </c>
      <c r="M51" s="6"/>
      <c r="N51" s="5">
        <f t="shared" si="0"/>
        <v>449</v>
      </c>
      <c r="O51" s="80">
        <f t="shared" si="1"/>
        <v>7.3909774436090228</v>
      </c>
      <c r="P51" s="8">
        <f t="shared" si="2"/>
        <v>1.6075904045828857</v>
      </c>
      <c r="Q51" s="8">
        <f t="shared" si="6"/>
        <v>1.398271770983244</v>
      </c>
      <c r="R51" s="81">
        <f t="shared" si="4"/>
        <v>0</v>
      </c>
      <c r="S51" s="113" t="str">
        <f>IF(F51="","",IF(H51="",TEXT(_xlfn.MAXIFS($I$1:I51,$F$1:F51,F51,$H$1:H51,"&gt;"&amp;0),"000.000"),F51))</f>
        <v>FZA3E94</v>
      </c>
      <c r="T51" s="81"/>
      <c r="U51" s="82"/>
      <c r="V51" s="98"/>
      <c r="W51" s="82"/>
      <c r="X51" s="98"/>
      <c r="Y51" s="82"/>
      <c r="Z51" s="98"/>
      <c r="AA51" s="82"/>
      <c r="AB51" s="98"/>
      <c r="AC51" s="82"/>
      <c r="AD51" s="98"/>
      <c r="AE51" s="117"/>
      <c r="AF51" s="98"/>
      <c r="AG51" s="98"/>
      <c r="AH51" s="98"/>
      <c r="AI51" s="82"/>
      <c r="AJ51" s="98"/>
      <c r="AK51" s="83"/>
      <c r="AL51" s="84" t="str">
        <f>IF(F51&lt;&gt;0,IF(_xlfn.MAXIFS($I$1:I51,$F$1:F51,F51,$H$1:H51,"&gt;"&amp;0)=0,"KM NÃO ENCONTRADO",IF(H51=0,CONCATENATE("SUGESTÃO DE KM PARA PLACA ",F51," *",_xlfn.MAXIFS($I$1:I51,$F$1:F51,F51,$H$1:H51,"&gt;"&amp;0),"*"),"")),"")</f>
        <v/>
      </c>
      <c r="AM51" s="85" t="str" cm="1">
        <f t="array" ref="AM51">IFERROR(IF(M51&lt;&gt;"","",CONCATENATE("https://btx.brasiltrack.com/logistica/trajeto.php?idveiculo=",VLOOKUP(F51,DATAS!$A$221:$B$250,2,FALSE),"&amp;lat=-22.204247","&amp;data_ini=",TEXT(IF(E51&lt;&gt;"",IF(COUNTIF($F$2:$F51,F51)&gt;1,MAX(IF($F$1:$F50=F51,$E$1:$E50)),""),""),"DD/MM/AAAA"),"&amp;data_fim=",TEXT(E51,"DD/MM/AAAA"),"&amp;hora_inicial=",HOUR(IF(E51&lt;&gt;"",IF(COUNTIF($F$2:$F51,F51)&gt;1,MAX(IF($F$1:$F50=F51,$E$1:$E50)),""),"")),"&amp;minuto_inicial=",MINUTE(IF(E51&lt;&gt;"",IF(COUNTIF($F$2:$F51,F51)&gt;1,MAX(IF($F$1:$F50=F51,$E$1:$E50)),""),"")),"&amp;hora_final=",HOUR(E51),"&amp;minuto_final=",MINUTE(E51),"&amp;periodo=6&amp;tipo=por_data&amp;upos=false&amp;outequip=0")),"")</f>
        <v>https://btx.brasiltrack.com/logistica/trajeto.php?idveiculo=4DFC6CC2-BC04-4FE8-81DF-C3A3882D850D&amp;lat=-22.204247&amp;data_ini=04/11/2022&amp;data_fim=05/11/2022&amp;hora_inicial=17&amp;minuto_inicial=52&amp;hora_final=15&amp;minuto_final=28&amp;periodo=6&amp;tipo=por_data&amp;upos=false&amp;outequip=0</v>
      </c>
      <c r="AN51" s="100" t="str">
        <f t="shared" si="5"/>
        <v xml:space="preserve">               </v>
      </c>
    </row>
    <row r="52" spans="1:40" x14ac:dyDescent="0.25">
      <c r="A52" s="81"/>
      <c r="B52" s="81"/>
      <c r="C52" s="81"/>
      <c r="D52" s="144">
        <v>44866</v>
      </c>
      <c r="E52" s="76">
        <v>44871.914583333331</v>
      </c>
      <c r="F52" s="6" t="s">
        <v>23</v>
      </c>
      <c r="G52" s="5" t="str">
        <f>IFERROR(VLOOKUP(SUMIFS(MSOLICITADA!$I:$I,MSOLICITADA!$B:$B,D52,MSOLICITADA!$F:$F,F52),CODIGOSPLACAS!$A$64:$B$89,2,FALSE),"")</f>
        <v>ISAC</v>
      </c>
      <c r="H52" s="77">
        <v>1193548</v>
      </c>
      <c r="I52" s="77">
        <v>1193932</v>
      </c>
      <c r="J52" s="7">
        <v>274.01</v>
      </c>
      <c r="K52" s="78">
        <v>1822.14</v>
      </c>
      <c r="L52" s="79" t="s">
        <v>111</v>
      </c>
      <c r="M52" s="6"/>
      <c r="N52" s="5">
        <f t="shared" si="0"/>
        <v>384</v>
      </c>
      <c r="O52" s="80">
        <f t="shared" si="1"/>
        <v>6.6499032882011608</v>
      </c>
      <c r="P52" s="8">
        <f t="shared" si="2"/>
        <v>1.4014087077113975</v>
      </c>
      <c r="Q52" s="8">
        <f t="shared" si="6"/>
        <v>1.447714664858804</v>
      </c>
      <c r="R52" s="81">
        <f t="shared" si="4"/>
        <v>0</v>
      </c>
      <c r="S52" s="113" t="str">
        <f>IF(F52="","",IF(H52="",TEXT(_xlfn.MAXIFS($I$1:I52,$F$1:F52,F52,$H$1:H52,"&gt;"&amp;0),"000.000"),F52))</f>
        <v>HNC7I76</v>
      </c>
      <c r="T52" s="81"/>
      <c r="U52" s="82"/>
      <c r="V52" s="98"/>
      <c r="W52" s="82"/>
      <c r="X52" s="98"/>
      <c r="Y52" s="82"/>
      <c r="Z52" s="98"/>
      <c r="AA52" s="82"/>
      <c r="AB52" s="98"/>
      <c r="AC52" s="82"/>
      <c r="AD52" s="98"/>
      <c r="AE52" s="117"/>
      <c r="AF52" s="98"/>
      <c r="AG52" s="98"/>
      <c r="AH52" s="98"/>
      <c r="AI52" s="82"/>
      <c r="AJ52" s="98"/>
      <c r="AK52" s="83"/>
      <c r="AL52" s="84" t="str">
        <f>IF(F52&lt;&gt;0,IF(_xlfn.MAXIFS($I$1:I52,$F$1:F52,F52,$H$1:H52,"&gt;"&amp;0)=0,"KM NÃO ENCONTRADO",IF(H52=0,CONCATENATE("SUGESTÃO DE KM PARA PLACA ",F52," *",_xlfn.MAXIFS($I$1:I52,$F$1:F52,F52,$H$1:H52,"&gt;"&amp;0),"*"),"")),"")</f>
        <v/>
      </c>
      <c r="AM52" s="85" t="str" cm="1">
        <f t="array" ref="AM52">IFERROR(IF(M52&lt;&gt;"","",CONCATENATE("https://btx.brasiltrack.com/logistica/trajeto.php?idveiculo=",VLOOKUP(F52,DATAS!$A$221:$B$250,2,FALSE),"&amp;lat=-22.204247","&amp;data_ini=",TEXT(IF(E52&lt;&gt;"",IF(COUNTIF($F$2:$F52,F52)&gt;1,MAX(IF($F$1:$F51=F52,$E$1:$E51)),""),""),"DD/MM/AAAA"),"&amp;data_fim=",TEXT(E52,"DD/MM/AAAA"),"&amp;hora_inicial=",HOUR(IF(E52&lt;&gt;"",IF(COUNTIF($F$2:$F52,F52)&gt;1,MAX(IF($F$1:$F51=F52,$E$1:$E51)),""),"")),"&amp;minuto_inicial=",MINUTE(IF(E52&lt;&gt;"",IF(COUNTIF($F$2:$F52,F52)&gt;1,MAX(IF($F$1:$F51=F52,$E$1:$E51)),""),"")),"&amp;hora_final=",HOUR(E52),"&amp;minuto_final=",MINUTE(E52),"&amp;periodo=6&amp;tipo=por_data&amp;upos=false&amp;outequip=0")),"")</f>
        <v>https://btx.brasiltrack.com/logistica/trajeto.php?idveiculo=B05A8E44-5DA1-4128-83F0-8DDE6CB8291B&amp;lat=-22.204247&amp;data_ini=04/11/2022&amp;data_fim=06/11/2022&amp;hora_inicial=16&amp;minuto_inicial=30&amp;hora_final=21&amp;minuto_final=57&amp;periodo=6&amp;tipo=por_data&amp;upos=false&amp;outequip=0</v>
      </c>
      <c r="AN52" s="100" t="str">
        <f t="shared" si="5"/>
        <v xml:space="preserve">               </v>
      </c>
    </row>
    <row r="53" spans="1:40" x14ac:dyDescent="0.25">
      <c r="A53" s="81"/>
      <c r="B53" s="81"/>
      <c r="C53" s="81"/>
      <c r="D53" s="144">
        <v>44866</v>
      </c>
      <c r="E53" s="76">
        <v>44872.451388888891</v>
      </c>
      <c r="F53" s="6" t="s">
        <v>31</v>
      </c>
      <c r="G53" s="5" t="str">
        <f>IFERROR(VLOOKUP(SUMIFS(MSOLICITADA!$I:$I,MSOLICITADA!$B:$B,D53,MSOLICITADA!$F:$F,F53),CODIGOSPLACAS!$A$64:$B$89,2,FALSE),"")</f>
        <v>CELIO</v>
      </c>
      <c r="H53" s="77">
        <v>201115</v>
      </c>
      <c r="I53" s="77">
        <v>201739</v>
      </c>
      <c r="J53" s="7">
        <v>383.24</v>
      </c>
      <c r="K53" s="78">
        <v>2471.9</v>
      </c>
      <c r="L53" s="79" t="s">
        <v>111</v>
      </c>
      <c r="M53" s="6"/>
      <c r="N53" s="5">
        <f t="shared" si="0"/>
        <v>624</v>
      </c>
      <c r="O53" s="80">
        <f t="shared" si="1"/>
        <v>6.4500052186619348</v>
      </c>
      <c r="P53" s="8">
        <f t="shared" si="2"/>
        <v>1.6282225237449117</v>
      </c>
      <c r="Q53" s="8">
        <f t="shared" si="6"/>
        <v>1.5697196307565964</v>
      </c>
      <c r="R53" s="81">
        <f t="shared" si="4"/>
        <v>0</v>
      </c>
      <c r="S53" s="113" t="str">
        <f>IF(F53="","",IF(H53="",TEXT(_xlfn.MAXIFS($I$1:I53,$F$1:F53,F53,$H$1:H53,"&gt;"&amp;0),"000.000"),F53))</f>
        <v>GGZ3G38</v>
      </c>
      <c r="T53" s="81"/>
      <c r="U53" s="82"/>
      <c r="V53" s="98"/>
      <c r="W53" s="82"/>
      <c r="X53" s="98"/>
      <c r="Y53" s="82"/>
      <c r="Z53" s="98"/>
      <c r="AA53" s="82"/>
      <c r="AB53" s="98"/>
      <c r="AC53" s="82"/>
      <c r="AD53" s="98"/>
      <c r="AE53" s="117"/>
      <c r="AF53" s="98"/>
      <c r="AG53" s="98"/>
      <c r="AH53" s="98"/>
      <c r="AI53" s="82"/>
      <c r="AJ53" s="98"/>
      <c r="AK53" s="83"/>
      <c r="AL53" s="84" t="str">
        <f>IF(F53&lt;&gt;0,IF(_xlfn.MAXIFS($I$1:I53,$F$1:F53,F53,$H$1:H53,"&gt;"&amp;0)=0,"KM NÃO ENCONTRADO",IF(H53=0,CONCATENATE("SUGESTÃO DE KM PARA PLACA ",F53," *",_xlfn.MAXIFS($I$1:I53,$F$1:F53,F53,$H$1:H53,"&gt;"&amp;0),"*"),"")),"")</f>
        <v/>
      </c>
      <c r="AM53" s="85" t="str" cm="1">
        <f t="array" ref="AM53">IFERROR(IF(M53&lt;&gt;"","",CONCATENATE("https://btx.brasiltrack.com/logistica/trajeto.php?idveiculo=",VLOOKUP(F53,DATAS!$A$221:$B$250,2,FALSE),"&amp;lat=-22.204247","&amp;data_ini=",TEXT(IF(E53&lt;&gt;"",IF(COUNTIF($F$2:$F53,F53)&gt;1,MAX(IF($F$1:$F52=F53,$E$1:$E52)),""),""),"DD/MM/AAAA"),"&amp;data_fim=",TEXT(E53,"DD/MM/AAAA"),"&amp;hora_inicial=",HOUR(IF(E53&lt;&gt;"",IF(COUNTIF($F$2:$F53,F53)&gt;1,MAX(IF($F$1:$F52=F53,$E$1:$E52)),""),"")),"&amp;minuto_inicial=",MINUTE(IF(E53&lt;&gt;"",IF(COUNTIF($F$2:$F53,F53)&gt;1,MAX(IF($F$1:$F52=F53,$E$1:$E52)),""),"")),"&amp;hora_final=",HOUR(E53),"&amp;minuto_final=",MINUTE(E53),"&amp;periodo=6&amp;tipo=por_data&amp;upos=false&amp;outequip=0")),"")</f>
        <v>https://btx.brasiltrack.com/logistica/trajeto.php?idveiculo=28D74B0F-5C0F-4A59-86EB-697E3711F324&amp;lat=-22.204247&amp;data_ini=03/11/2022&amp;data_fim=07/11/2022&amp;hora_inicial=12&amp;minuto_inicial=30&amp;hora_final=10&amp;minuto_final=50&amp;periodo=6&amp;tipo=por_data&amp;upos=false&amp;outequip=0</v>
      </c>
      <c r="AN53" s="100" t="str">
        <f t="shared" si="5"/>
        <v xml:space="preserve">               </v>
      </c>
    </row>
    <row r="54" spans="1:40" x14ac:dyDescent="0.25">
      <c r="A54" s="81"/>
      <c r="B54" s="81"/>
      <c r="C54" s="81"/>
      <c r="D54" s="144">
        <v>44866</v>
      </c>
      <c r="E54" s="76">
        <v>44872.520833333336</v>
      </c>
      <c r="F54" s="6" t="s">
        <v>22</v>
      </c>
      <c r="G54" s="5" t="str">
        <f>IFERROR(VLOOKUP(SUMIFS(MSOLICITADA!$I:$I,MSOLICITADA!$B:$B,D54,MSOLICITADA!$F:$F,F54),CODIGOSPLACAS!$A$64:$B$89,2,FALSE),"")</f>
        <v>GUILHERME</v>
      </c>
      <c r="H54" s="77">
        <v>1200585</v>
      </c>
      <c r="I54" s="77">
        <v>1201349</v>
      </c>
      <c r="J54" s="7">
        <v>120.1</v>
      </c>
      <c r="K54" s="78">
        <v>736.61</v>
      </c>
      <c r="L54" s="79" t="s">
        <v>112</v>
      </c>
      <c r="M54" s="6"/>
      <c r="N54" s="5">
        <f t="shared" si="0"/>
        <v>764</v>
      </c>
      <c r="O54" s="80">
        <f t="shared" si="1"/>
        <v>6.1333055786844302</v>
      </c>
      <c r="P54" s="8">
        <f t="shared" si="2"/>
        <v>6.3613655287260622</v>
      </c>
      <c r="Q54" s="8">
        <f t="shared" si="6"/>
        <v>1.7591747451720028</v>
      </c>
      <c r="R54" s="81">
        <f t="shared" si="4"/>
        <v>0</v>
      </c>
      <c r="S54" s="113" t="str">
        <f>IF(F54="","",IF(H54="",TEXT(_xlfn.MAXIFS($I$1:I54,$F$1:F54,F54,$H$1:H54,"&gt;"&amp;0),"000.000"),F54))</f>
        <v>OQC0C33</v>
      </c>
      <c r="T54" s="81"/>
      <c r="U54" s="82"/>
      <c r="V54" s="98"/>
      <c r="W54" s="82"/>
      <c r="X54" s="98"/>
      <c r="Y54" s="82"/>
      <c r="Z54" s="98"/>
      <c r="AA54" s="82"/>
      <c r="AB54" s="98"/>
      <c r="AC54" s="82"/>
      <c r="AD54" s="98"/>
      <c r="AE54" s="117"/>
      <c r="AF54" s="98"/>
      <c r="AG54" s="98"/>
      <c r="AH54" s="98"/>
      <c r="AI54" s="82"/>
      <c r="AJ54" s="98"/>
      <c r="AK54" s="83"/>
      <c r="AL54" s="84" t="str">
        <f>IF(F54&lt;&gt;0,IF(_xlfn.MAXIFS($I$1:I54,$F$1:F54,F54,$H$1:H54,"&gt;"&amp;0)=0,"KM NÃO ENCONTRADO",IF(H54=0,CONCATENATE("SUGESTÃO DE KM PARA PLACA ",F54," *",_xlfn.MAXIFS($I$1:I54,$F$1:F54,F54,$H$1:H54,"&gt;"&amp;0),"*"),"")),"")</f>
        <v/>
      </c>
      <c r="AM54" s="85" t="str" cm="1">
        <f t="array" ref="AM54">IFERROR(IF(M54&lt;&gt;"","",CONCATENATE("https://btx.brasiltrack.com/logistica/trajeto.php?idveiculo=",VLOOKUP(F54,DATAS!$A$221:$B$250,2,FALSE),"&amp;lat=-22.204247","&amp;data_ini=",TEXT(IF(E54&lt;&gt;"",IF(COUNTIF($F$2:$F54,F54)&gt;1,MAX(IF($F$1:$F53=F54,$E$1:$E53)),""),""),"DD/MM/AAAA"),"&amp;data_fim=",TEXT(E54,"DD/MM/AAAA"),"&amp;hora_inicial=",HOUR(IF(E54&lt;&gt;"",IF(COUNTIF($F$2:$F54,F54)&gt;1,MAX(IF($F$1:$F53=F54,$E$1:$E53)),""),"")),"&amp;minuto_inicial=",MINUTE(IF(E54&lt;&gt;"",IF(COUNTIF($F$2:$F54,F54)&gt;1,MAX(IF($F$1:$F53=F54,$E$1:$E53)),""),"")),"&amp;hora_final=",HOUR(E54),"&amp;minuto_final=",MINUTE(E54),"&amp;periodo=6&amp;tipo=por_data&amp;upos=false&amp;outequip=0")),"")</f>
        <v/>
      </c>
      <c r="AN54" s="100" t="str">
        <f t="shared" si="5"/>
        <v xml:space="preserve">               </v>
      </c>
    </row>
    <row r="55" spans="1:40" x14ac:dyDescent="0.25">
      <c r="A55" s="81"/>
      <c r="B55" s="81"/>
      <c r="C55" s="81"/>
      <c r="D55" s="144">
        <v>44866</v>
      </c>
      <c r="E55" s="76">
        <v>44872.643055555556</v>
      </c>
      <c r="F55" s="6" t="s">
        <v>26</v>
      </c>
      <c r="G55" s="5" t="str">
        <f>IFERROR(VLOOKUP(SUMIFS(MSOLICITADA!$I:$I,MSOLICITADA!$B:$B,D55,MSOLICITADA!$F:$F,F55),CODIGOSPLACAS!$A$64:$B$89,2,FALSE),"")</f>
        <v>DIEGO</v>
      </c>
      <c r="H55" s="77">
        <v>389783</v>
      </c>
      <c r="I55" s="77">
        <v>390570</v>
      </c>
      <c r="J55" s="7">
        <v>491</v>
      </c>
      <c r="K55" s="78">
        <v>3166.95</v>
      </c>
      <c r="L55" s="79" t="s">
        <v>111</v>
      </c>
      <c r="M55" s="6"/>
      <c r="N55" s="5">
        <f t="shared" si="0"/>
        <v>787</v>
      </c>
      <c r="O55" s="80">
        <f t="shared" si="1"/>
        <v>6.4499999999999993</v>
      </c>
      <c r="P55" s="8">
        <f t="shared" si="2"/>
        <v>1.6028513238289206</v>
      </c>
      <c r="Q55" s="8">
        <f t="shared" si="6"/>
        <v>1.4215213058096179</v>
      </c>
      <c r="R55" s="81">
        <f t="shared" si="4"/>
        <v>0</v>
      </c>
      <c r="S55" s="113" t="str">
        <f>IF(F55="","",IF(H55="",TEXT(_xlfn.MAXIFS($I$1:I55,$F$1:F55,F55,$H$1:H55,"&gt;"&amp;0),"000.000"),F55))</f>
        <v>BZA3587</v>
      </c>
      <c r="T55" s="81"/>
      <c r="U55" s="82"/>
      <c r="V55" s="98"/>
      <c r="W55" s="82"/>
      <c r="X55" s="98"/>
      <c r="Y55" s="82"/>
      <c r="Z55" s="98"/>
      <c r="AA55" s="82"/>
      <c r="AB55" s="98"/>
      <c r="AC55" s="82"/>
      <c r="AD55" s="98"/>
      <c r="AE55" s="117"/>
      <c r="AF55" s="98"/>
      <c r="AG55" s="98"/>
      <c r="AH55" s="98"/>
      <c r="AI55" s="82"/>
      <c r="AJ55" s="98"/>
      <c r="AK55" s="83"/>
      <c r="AL55" s="84" t="str">
        <f>IF(F55&lt;&gt;0,IF(_xlfn.MAXIFS($I$1:I55,$F$1:F55,F55,$H$1:H55,"&gt;"&amp;0)=0,"KM NÃO ENCONTRADO",IF(H55=0,CONCATENATE("SUGESTÃO DE KM PARA PLACA ",F55," *",_xlfn.MAXIFS($I$1:I55,$F$1:F55,F55,$H$1:H55,"&gt;"&amp;0),"*"),"")),"")</f>
        <v/>
      </c>
      <c r="AM55" s="85" t="str" cm="1">
        <f t="array" ref="AM55">IFERROR(IF(M55&lt;&gt;"","",CONCATENATE("https://btx.brasiltrack.com/logistica/trajeto.php?idveiculo=",VLOOKUP(F55,DATAS!$A$221:$B$250,2,FALSE),"&amp;lat=-22.204247","&amp;data_ini=",TEXT(IF(E55&lt;&gt;"",IF(COUNTIF($F$2:$F55,F55)&gt;1,MAX(IF($F$1:$F54=F55,$E$1:$E54)),""),""),"DD/MM/AAAA"),"&amp;data_fim=",TEXT(E55,"DD/MM/AAAA"),"&amp;hora_inicial=",HOUR(IF(E55&lt;&gt;"",IF(COUNTIF($F$2:$F55,F55)&gt;1,MAX(IF($F$1:$F54=F55,$E$1:$E54)),""),"")),"&amp;minuto_inicial=",MINUTE(IF(E55&lt;&gt;"",IF(COUNTIF($F$2:$F55,F55)&gt;1,MAX(IF($F$1:$F54=F55,$E$1:$E54)),""),"")),"&amp;hora_final=",HOUR(E55),"&amp;minuto_final=",MINUTE(E55),"&amp;periodo=6&amp;tipo=por_data&amp;upos=false&amp;outequip=0")),"")</f>
        <v>https://btx.brasiltrack.com/logistica/trajeto.php?idveiculo=6CC0A70E-9379-4BF7-9063-21D318A103FE&amp;lat=-22.204247&amp;data_ini=04/11/2022&amp;data_fim=07/11/2022&amp;hora_inicial=0&amp;minuto_inicial=1&amp;hora_final=15&amp;minuto_final=26&amp;periodo=6&amp;tipo=por_data&amp;upos=false&amp;outequip=0</v>
      </c>
      <c r="AN55" s="100" t="str">
        <f t="shared" si="5"/>
        <v xml:space="preserve">               </v>
      </c>
    </row>
    <row r="56" spans="1:40" x14ac:dyDescent="0.25">
      <c r="A56" s="81"/>
      <c r="B56" s="81"/>
      <c r="C56" s="81"/>
      <c r="D56" s="144">
        <v>44866</v>
      </c>
      <c r="E56" s="76">
        <v>44872.821527777778</v>
      </c>
      <c r="F56" s="6" t="s">
        <v>22</v>
      </c>
      <c r="G56" s="5" t="str">
        <f>IFERROR(VLOOKUP(SUMIFS(MSOLICITADA!$I:$I,MSOLICITADA!$B:$B,D56,MSOLICITADA!$F:$F,F56),CODIGOSPLACAS!$A$64:$B$89,2,FALSE),"")</f>
        <v>GUILHERME</v>
      </c>
      <c r="H56" s="77">
        <v>1201349</v>
      </c>
      <c r="I56" s="77">
        <v>1201591</v>
      </c>
      <c r="J56" s="7">
        <v>455.02</v>
      </c>
      <c r="K56" s="78">
        <v>2934.88</v>
      </c>
      <c r="L56" s="79" t="s">
        <v>111</v>
      </c>
      <c r="M56" s="6"/>
      <c r="N56" s="5">
        <f t="shared" si="0"/>
        <v>242</v>
      </c>
      <c r="O56" s="80">
        <f t="shared" si="1"/>
        <v>6.4500021977055955</v>
      </c>
      <c r="P56" s="8">
        <f t="shared" si="2"/>
        <v>0.53184475407674392</v>
      </c>
      <c r="Q56" s="8">
        <f t="shared" si="6"/>
        <v>1.7591747451720028</v>
      </c>
      <c r="R56" s="81">
        <f t="shared" si="4"/>
        <v>0</v>
      </c>
      <c r="S56" s="113" t="str">
        <f>IF(F56="","",IF(H56="",TEXT(_xlfn.MAXIFS($I$1:I56,$F$1:F56,F56,$H$1:H56,"&gt;"&amp;0),"000.000"),F56))</f>
        <v>OQC0C33</v>
      </c>
      <c r="T56" s="81"/>
      <c r="U56" s="82"/>
      <c r="V56" s="98"/>
      <c r="W56" s="82"/>
      <c r="X56" s="98"/>
      <c r="Y56" s="82"/>
      <c r="Z56" s="98"/>
      <c r="AA56" s="82"/>
      <c r="AB56" s="98"/>
      <c r="AC56" s="82"/>
      <c r="AD56" s="98"/>
      <c r="AE56" s="117"/>
      <c r="AF56" s="98"/>
      <c r="AG56" s="98"/>
      <c r="AH56" s="98"/>
      <c r="AI56" s="82"/>
      <c r="AJ56" s="98"/>
      <c r="AK56" s="83"/>
      <c r="AL56" s="5"/>
      <c r="AM56" s="85" t="str" cm="1">
        <f t="array" ref="AM56">IFERROR(IF(M56&lt;&gt;"","",CONCATENATE("https://btx.brasiltrack.com/logistica/trajeto.php?idveiculo=",VLOOKUP(F56,DATAS!$A$221:$B$250,2,FALSE),"&amp;lat=-22.204247","&amp;data_ini=",TEXT(IF(E56&lt;&gt;"",IF(COUNTIF($F$2:$F56,F56)&gt;1,MAX(IF($F$1:$F55=F56,$E$1:$E55)),""),""),"DD/MM/AAAA"),"&amp;data_fim=",TEXT(E56,"DD/MM/AAAA"),"&amp;hora_inicial=",HOUR(IF(E56&lt;&gt;"",IF(COUNTIF($F$2:$F56,F56)&gt;1,MAX(IF($F$1:$F55=F56,$E$1:$E55)),""),"")),"&amp;minuto_inicial=",MINUTE(IF(E56&lt;&gt;"",IF(COUNTIF($F$2:$F56,F56)&gt;1,MAX(IF($F$1:$F55=F56,$E$1:$E55)),""),"")),"&amp;hora_final=",HOUR(E56),"&amp;minuto_final=",MINUTE(E56),"&amp;periodo=6&amp;tipo=por_data&amp;upos=false&amp;outequip=0")),"")</f>
        <v>https://btx.brasiltrack.com/logistica/trajeto.php?idveiculo=0704F285-9532-44A8-B32A-C16F1E6FD89C&amp;lat=-22.204247&amp;data_ini=07/11/2022&amp;data_fim=07/11/2022&amp;hora_inicial=12&amp;minuto_inicial=30&amp;hora_final=19&amp;minuto_final=43&amp;periodo=6&amp;tipo=por_data&amp;upos=false&amp;outequip=0</v>
      </c>
      <c r="AN56" s="100" t="str">
        <f t="shared" si="5"/>
        <v xml:space="preserve">               </v>
      </c>
    </row>
    <row r="57" spans="1:40" x14ac:dyDescent="0.25">
      <c r="A57" s="81"/>
      <c r="B57" s="81"/>
      <c r="C57" s="81"/>
      <c r="D57" s="144">
        <v>44866</v>
      </c>
      <c r="E57" s="76">
        <v>44873.224305555559</v>
      </c>
      <c r="F57" s="6" t="s">
        <v>27</v>
      </c>
      <c r="G57" s="5" t="str">
        <f>IFERROR(VLOOKUP(SUMIFS(MSOLICITADA!$I:$I,MSOLICITADA!$B:$B,D57,MSOLICITADA!$F:$F,F57),CODIGOSPLACAS!$A$64:$B$89,2,FALSE),"")</f>
        <v>ANTONIO</v>
      </c>
      <c r="H57" s="77">
        <v>234743</v>
      </c>
      <c r="I57" s="77">
        <v>235427</v>
      </c>
      <c r="J57" s="7">
        <v>530</v>
      </c>
      <c r="K57" s="78">
        <v>3524.47</v>
      </c>
      <c r="L57" s="79" t="s">
        <v>111</v>
      </c>
      <c r="M57" s="6"/>
      <c r="N57" s="5">
        <f t="shared" si="0"/>
        <v>684</v>
      </c>
      <c r="O57" s="80">
        <f t="shared" si="1"/>
        <v>6.6499433962264147</v>
      </c>
      <c r="P57" s="8">
        <f t="shared" si="2"/>
        <v>1.290566037735849</v>
      </c>
      <c r="Q57" s="8">
        <f t="shared" si="6"/>
        <v>1.4461676128873802</v>
      </c>
      <c r="R57" s="81">
        <f t="shared" si="4"/>
        <v>0</v>
      </c>
      <c r="S57" s="113" t="str">
        <f>IF(F57="","",IF(H57="",TEXT(_xlfn.MAXIFS($I$1:I57,$F$1:F57,F57,$H$1:H57,"&gt;"&amp;0),"000.000"),F57))</f>
        <v>GHS4J57</v>
      </c>
      <c r="T57" s="81"/>
      <c r="U57" s="82"/>
      <c r="V57" s="98"/>
      <c r="W57" s="82"/>
      <c r="X57" s="98"/>
      <c r="Y57" s="82"/>
      <c r="Z57" s="98"/>
      <c r="AA57" s="82"/>
      <c r="AB57" s="98"/>
      <c r="AC57" s="82"/>
      <c r="AD57" s="98"/>
      <c r="AE57" s="117"/>
      <c r="AF57" s="98"/>
      <c r="AG57" s="98"/>
      <c r="AH57" s="98"/>
      <c r="AI57" s="82"/>
      <c r="AJ57" s="98"/>
      <c r="AK57" s="83"/>
      <c r="AL57" s="84" t="str">
        <f>IF(F57&lt;&gt;0,IF(_xlfn.MAXIFS($I$1:I57,$F$1:F57,F57,$H$1:H57,"&gt;"&amp;0)=0,"KM NÃO ENCONTRADO",IF(H57=0,CONCATENATE("SUGESTÃO DE KM PARA PLACA ",F57," *",_xlfn.MAXIFS($I$1:I57,$F$1:F57,F57,$H$1:H57,"&gt;"&amp;0),"*"),"")),"")</f>
        <v/>
      </c>
      <c r="AM57" s="85" t="str" cm="1">
        <f t="array" ref="AM57">IFERROR(IF(M57&lt;&gt;"","",CONCATENATE("https://btx.brasiltrack.com/logistica/trajeto.php?idveiculo=",VLOOKUP(F57,DATAS!$A$221:$B$250,2,FALSE),"&amp;lat=-22.204247","&amp;data_ini=",TEXT(IF(E57&lt;&gt;"",IF(COUNTIF($F$2:$F57,F57)&gt;1,MAX(IF($F$1:$F56=F57,$E$1:$E56)),""),""),"DD/MM/AAAA"),"&amp;data_fim=",TEXT(E57,"DD/MM/AAAA"),"&amp;hora_inicial=",HOUR(IF(E57&lt;&gt;"",IF(COUNTIF($F$2:$F57,F57)&gt;1,MAX(IF($F$1:$F56=F57,$E$1:$E56)),""),"")),"&amp;minuto_inicial=",MINUTE(IF(E57&lt;&gt;"",IF(COUNTIF($F$2:$F57,F57)&gt;1,MAX(IF($F$1:$F56=F57,$E$1:$E56)),""),"")),"&amp;hora_final=",HOUR(E57),"&amp;minuto_final=",MINUTE(E57),"&amp;periodo=6&amp;tipo=por_data&amp;upos=false&amp;outequip=0")),"")</f>
        <v>https://btx.brasiltrack.com/logistica/trajeto.php?idveiculo=17ED636C-5A71-44D5-AF3C-192D3DA6CDD1&amp;lat=-22.204247&amp;data_ini=04/11/2022&amp;data_fim=08/11/2022&amp;hora_inicial=19&amp;minuto_inicial=20&amp;hora_final=5&amp;minuto_final=23&amp;periodo=6&amp;tipo=por_data&amp;upos=false&amp;outequip=0</v>
      </c>
      <c r="AN57" s="100" t="str">
        <f t="shared" si="5"/>
        <v xml:space="preserve">               </v>
      </c>
    </row>
    <row r="58" spans="1:40" x14ac:dyDescent="0.25">
      <c r="A58" s="81"/>
      <c r="B58" s="81"/>
      <c r="C58" s="81"/>
      <c r="D58" s="144">
        <v>44866</v>
      </c>
      <c r="E58" s="76">
        <v>44873.281944444447</v>
      </c>
      <c r="F58" s="6" t="s">
        <v>23</v>
      </c>
      <c r="G58" s="5" t="str">
        <f>IFERROR(VLOOKUP(SUMIFS(MSOLICITADA!$I:$I,MSOLICITADA!$B:$B,D58,MSOLICITADA!$F:$F,F58),CODIGOSPLACAS!$A$64:$B$89,2,FALSE),"")</f>
        <v>ISAC</v>
      </c>
      <c r="H58" s="77">
        <v>1193932</v>
      </c>
      <c r="I58" s="77">
        <v>1194241</v>
      </c>
      <c r="J58" s="7">
        <v>265</v>
      </c>
      <c r="K58" s="78">
        <v>1762.25</v>
      </c>
      <c r="L58" s="79" t="s">
        <v>111</v>
      </c>
      <c r="M58" s="6"/>
      <c r="N58" s="5">
        <f t="shared" si="0"/>
        <v>309</v>
      </c>
      <c r="O58" s="80">
        <f t="shared" si="1"/>
        <v>6.65</v>
      </c>
      <c r="P58" s="8">
        <f t="shared" si="2"/>
        <v>1.1660377358490566</v>
      </c>
      <c r="Q58" s="8">
        <f t="shared" si="6"/>
        <v>1.447714664858804</v>
      </c>
      <c r="R58" s="81">
        <f t="shared" si="4"/>
        <v>0</v>
      </c>
      <c r="S58" s="113" t="str">
        <f>IF(F58="","",IF(H58="",TEXT(_xlfn.MAXIFS($I$1:I58,$F$1:F58,F58,$H$1:H58,"&gt;"&amp;0),"000.000"),F58))</f>
        <v>HNC7I76</v>
      </c>
      <c r="T58" s="81"/>
      <c r="U58" s="82"/>
      <c r="V58" s="98"/>
      <c r="W58" s="82"/>
      <c r="X58" s="98"/>
      <c r="Y58" s="82"/>
      <c r="Z58" s="98"/>
      <c r="AA58" s="82"/>
      <c r="AB58" s="98"/>
      <c r="AC58" s="82"/>
      <c r="AD58" s="98"/>
      <c r="AE58" s="117"/>
      <c r="AF58" s="98"/>
      <c r="AG58" s="98"/>
      <c r="AH58" s="98"/>
      <c r="AI58" s="82"/>
      <c r="AJ58" s="98"/>
      <c r="AK58" s="83"/>
      <c r="AL58" s="84" t="str">
        <f>IF(F58&lt;&gt;0,IF(_xlfn.MAXIFS($I$1:I58,$F$1:F58,F58,$H$1:H58,"&gt;"&amp;0)=0,"KM NÃO ENCONTRADO",IF(H58=0,CONCATENATE("SUGESTÃO DE KM PARA PLACA ",F58," *",_xlfn.MAXIFS($I$1:I58,$F$1:F58,F58,$H$1:H58,"&gt;"&amp;0),"*"),"")),"")</f>
        <v/>
      </c>
      <c r="AM58" s="85" t="str" cm="1">
        <f t="array" ref="AM58">IFERROR(IF(M58&lt;&gt;"","",CONCATENATE("https://btx.brasiltrack.com/logistica/trajeto.php?idveiculo=",VLOOKUP(F58,DATAS!$A$221:$B$250,2,FALSE),"&amp;lat=-22.204247","&amp;data_ini=",TEXT(IF(E58&lt;&gt;"",IF(COUNTIF($F$2:$F58,F58)&gt;1,MAX(IF($F$1:$F57=F58,$E$1:$E57)),""),""),"DD/MM/AAAA"),"&amp;data_fim=",TEXT(E58,"DD/MM/AAAA"),"&amp;hora_inicial=",HOUR(IF(E58&lt;&gt;"",IF(COUNTIF($F$2:$F58,F58)&gt;1,MAX(IF($F$1:$F57=F58,$E$1:$E57)),""),"")),"&amp;minuto_inicial=",MINUTE(IF(E58&lt;&gt;"",IF(COUNTIF($F$2:$F58,F58)&gt;1,MAX(IF($F$1:$F57=F58,$E$1:$E57)),""),"")),"&amp;hora_final=",HOUR(E58),"&amp;minuto_final=",MINUTE(E58),"&amp;periodo=6&amp;tipo=por_data&amp;upos=false&amp;outequip=0")),"")</f>
        <v>https://btx.brasiltrack.com/logistica/trajeto.php?idveiculo=B05A8E44-5DA1-4128-83F0-8DDE6CB8291B&amp;lat=-22.204247&amp;data_ini=06/11/2022&amp;data_fim=08/11/2022&amp;hora_inicial=21&amp;minuto_inicial=57&amp;hora_final=6&amp;minuto_final=46&amp;periodo=6&amp;tipo=por_data&amp;upos=false&amp;outequip=0</v>
      </c>
      <c r="AN58" s="100" t="str">
        <f t="shared" si="5"/>
        <v xml:space="preserve">               </v>
      </c>
    </row>
    <row r="59" spans="1:40" x14ac:dyDescent="0.25">
      <c r="A59" s="81"/>
      <c r="B59" s="81"/>
      <c r="C59" s="81"/>
      <c r="D59" s="144">
        <v>44866</v>
      </c>
      <c r="E59" s="76">
        <v>44873.411111111112</v>
      </c>
      <c r="F59" s="6" t="s">
        <v>28</v>
      </c>
      <c r="G59" s="5" t="str">
        <f>IFERROR(VLOOKUP(SUMIFS(MSOLICITADA!$I:$I,MSOLICITADA!$B:$B,D59,MSOLICITADA!$F:$F,F59),CODIGOSPLACAS!$A$64:$B$89,2,FALSE),"")</f>
        <v>RONY</v>
      </c>
      <c r="H59" s="77">
        <v>230705</v>
      </c>
      <c r="I59" s="77">
        <v>231477</v>
      </c>
      <c r="J59" s="7">
        <v>563</v>
      </c>
      <c r="K59" s="78">
        <v>3631.35</v>
      </c>
      <c r="L59" s="79" t="s">
        <v>111</v>
      </c>
      <c r="M59" s="6"/>
      <c r="N59" s="5">
        <f t="shared" si="0"/>
        <v>772</v>
      </c>
      <c r="O59" s="80">
        <f t="shared" si="1"/>
        <v>6.45</v>
      </c>
      <c r="P59" s="8">
        <f t="shared" si="2"/>
        <v>1.3712255772646536</v>
      </c>
      <c r="Q59" s="8">
        <f t="shared" si="6"/>
        <v>1.398271770983244</v>
      </c>
      <c r="R59" s="81">
        <f t="shared" si="4"/>
        <v>0</v>
      </c>
      <c r="S59" s="113" t="str">
        <f>IF(F59="","",IF(H59="",TEXT(_xlfn.MAXIFS($I$1:I59,$F$1:F59,F59,$H$1:H59,"&gt;"&amp;0),"000.000"),F59))</f>
        <v>FZA3E94</v>
      </c>
      <c r="T59" s="81"/>
      <c r="U59" s="82"/>
      <c r="V59" s="98"/>
      <c r="W59" s="82"/>
      <c r="X59" s="98"/>
      <c r="Y59" s="82"/>
      <c r="Z59" s="98"/>
      <c r="AA59" s="82"/>
      <c r="AB59" s="98"/>
      <c r="AC59" s="82"/>
      <c r="AD59" s="98"/>
      <c r="AE59" s="117"/>
      <c r="AF59" s="98"/>
      <c r="AG59" s="98"/>
      <c r="AH59" s="98"/>
      <c r="AI59" s="82"/>
      <c r="AJ59" s="98"/>
      <c r="AK59" s="83"/>
      <c r="AL59" s="84" t="str">
        <f>IF(F59&lt;&gt;0,IF(_xlfn.MAXIFS($I$1:I59,$F$1:F59,F59,$H$1:H59,"&gt;"&amp;0)=0,"KM NÃO ENCONTRADO",IF(H59=0,CONCATENATE("SUGESTÃO DE KM PARA PLACA ",F59," *",_xlfn.MAXIFS($I$1:I59,$F$1:F59,F59,$H$1:H59,"&gt;"&amp;0),"*"),"")),"")</f>
        <v/>
      </c>
      <c r="AM59" s="85" t="str" cm="1">
        <f t="array" ref="AM59">IFERROR(IF(M59&lt;&gt;"","",CONCATENATE("https://btx.brasiltrack.com/logistica/trajeto.php?idveiculo=",VLOOKUP(F59,DATAS!$A$221:$B$250,2,FALSE),"&amp;lat=-22.204247","&amp;data_ini=",TEXT(IF(E59&lt;&gt;"",IF(COUNTIF($F$2:$F59,F59)&gt;1,MAX(IF($F$1:$F58=F59,$E$1:$E58)),""),""),"DD/MM/AAAA"),"&amp;data_fim=",TEXT(E59,"DD/MM/AAAA"),"&amp;hora_inicial=",HOUR(IF(E59&lt;&gt;"",IF(COUNTIF($F$2:$F59,F59)&gt;1,MAX(IF($F$1:$F58=F59,$E$1:$E58)),""),"")),"&amp;minuto_inicial=",MINUTE(IF(E59&lt;&gt;"",IF(COUNTIF($F$2:$F59,F59)&gt;1,MAX(IF($F$1:$F58=F59,$E$1:$E58)),""),"")),"&amp;hora_final=",HOUR(E59),"&amp;minuto_final=",MINUTE(E59),"&amp;periodo=6&amp;tipo=por_data&amp;upos=false&amp;outequip=0")),"")</f>
        <v>https://btx.brasiltrack.com/logistica/trajeto.php?idveiculo=4DFC6CC2-BC04-4FE8-81DF-C3A3882D850D&amp;lat=-22.204247&amp;data_ini=05/11/2022&amp;data_fim=08/11/2022&amp;hora_inicial=15&amp;minuto_inicial=28&amp;hora_final=9&amp;minuto_final=52&amp;periodo=6&amp;tipo=por_data&amp;upos=false&amp;outequip=0</v>
      </c>
      <c r="AN59" s="100" t="str">
        <f t="shared" si="5"/>
        <v xml:space="preserve">               </v>
      </c>
    </row>
    <row r="60" spans="1:40" x14ac:dyDescent="0.25">
      <c r="A60" s="81"/>
      <c r="B60" s="81"/>
      <c r="C60" s="81"/>
      <c r="D60" s="144">
        <v>44866</v>
      </c>
      <c r="E60" s="76">
        <v>44873.413194444445</v>
      </c>
      <c r="F60" s="6" t="s">
        <v>24</v>
      </c>
      <c r="G60" s="5" t="str">
        <f>IFERROR(VLOOKUP(SUMIFS(MSOLICITADA!$I:$I,MSOLICITADA!$B:$B,D60,MSOLICITADA!$F:$F,F60),CODIGOSPLACAS!$A$64:$B$89,2,FALSE),"")</f>
        <v>PAULO HENR.</v>
      </c>
      <c r="H60" s="77">
        <v>937140</v>
      </c>
      <c r="I60" s="77">
        <v>937978</v>
      </c>
      <c r="J60" s="7">
        <v>513</v>
      </c>
      <c r="K60" s="78">
        <v>3308.85</v>
      </c>
      <c r="L60" s="79" t="s">
        <v>111</v>
      </c>
      <c r="M60" s="6"/>
      <c r="N60" s="5">
        <f t="shared" si="0"/>
        <v>838</v>
      </c>
      <c r="O60" s="80">
        <f t="shared" si="1"/>
        <v>6.45</v>
      </c>
      <c r="P60" s="8">
        <f t="shared" si="2"/>
        <v>1.6335282651072125</v>
      </c>
      <c r="Q60" s="8">
        <f t="shared" si="6"/>
        <v>1.4770603223392504</v>
      </c>
      <c r="R60" s="81">
        <f t="shared" si="4"/>
        <v>0</v>
      </c>
      <c r="S60" s="113" t="str">
        <f>IF(F60="","",IF(H60="",TEXT(_xlfn.MAXIFS($I$1:I60,$F$1:F60,F60,$H$1:H60,"&gt;"&amp;0),"000.000"),F60))</f>
        <v>FKS0J24</v>
      </c>
      <c r="T60" s="81"/>
      <c r="U60" s="82"/>
      <c r="V60" s="98"/>
      <c r="W60" s="82"/>
      <c r="X60" s="98"/>
      <c r="Y60" s="82"/>
      <c r="Z60" s="98"/>
      <c r="AA60" s="82"/>
      <c r="AB60" s="98"/>
      <c r="AC60" s="82"/>
      <c r="AD60" s="98"/>
      <c r="AE60" s="117"/>
      <c r="AF60" s="98"/>
      <c r="AG60" s="98"/>
      <c r="AH60" s="98"/>
      <c r="AI60" s="82"/>
      <c r="AJ60" s="98"/>
      <c r="AK60" s="83"/>
      <c r="AL60" s="84" t="str">
        <f>IF(F60&lt;&gt;0,IF(_xlfn.MAXIFS($I$1:I60,$F$1:F60,F60,$H$1:H60,"&gt;"&amp;0)=0,"KM NÃO ENCONTRADO",IF(H60=0,CONCATENATE("SUGESTÃO DE KM PARA PLACA ",F60," *",_xlfn.MAXIFS($I$1:I60,$F$1:F60,F60,$H$1:H60,"&gt;"&amp;0),"*"),"")),"")</f>
        <v/>
      </c>
      <c r="AM60" s="85" t="str" cm="1">
        <f t="array" ref="AM60">IFERROR(IF(M60&lt;&gt;"","",CONCATENATE("https://btx.brasiltrack.com/logistica/trajeto.php?idveiculo=",VLOOKUP(F60,DATAS!$A$221:$B$250,2,FALSE),"&amp;lat=-22.204247","&amp;data_ini=",TEXT(IF(E60&lt;&gt;"",IF(COUNTIF($F$2:$F60,F60)&gt;1,MAX(IF($F$1:$F59=F60,$E$1:$E59)),""),""),"DD/MM/AAAA"),"&amp;data_fim=",TEXT(E60,"DD/MM/AAAA"),"&amp;hora_inicial=",HOUR(IF(E60&lt;&gt;"",IF(COUNTIF($F$2:$F60,F60)&gt;1,MAX(IF($F$1:$F59=F60,$E$1:$E59)),""),"")),"&amp;minuto_inicial=",MINUTE(IF(E60&lt;&gt;"",IF(COUNTIF($F$2:$F60,F60)&gt;1,MAX(IF($F$1:$F59=F60,$E$1:$E59)),""),"")),"&amp;hora_final=",HOUR(E60),"&amp;minuto_final=",MINUTE(E60),"&amp;periodo=6&amp;tipo=por_data&amp;upos=false&amp;outequip=0")),"")</f>
        <v>https://btx.brasiltrack.com/logistica/trajeto.php?idveiculo=F4FE5996-DC74-4D0B-AEF1-D6ADE020157C&amp;lat=-22.204247&amp;data_ini=04/11/2022&amp;data_fim=08/11/2022&amp;hora_inicial=8&amp;minuto_inicial=4&amp;hora_final=9&amp;minuto_final=55&amp;periodo=6&amp;tipo=por_data&amp;upos=false&amp;outequip=0</v>
      </c>
      <c r="AN60" s="100" t="str">
        <f t="shared" si="5"/>
        <v xml:space="preserve">               </v>
      </c>
    </row>
    <row r="61" spans="1:40" x14ac:dyDescent="0.25">
      <c r="A61" s="81"/>
      <c r="B61" s="81"/>
      <c r="C61" s="81"/>
      <c r="D61" s="144">
        <v>44866</v>
      </c>
      <c r="E61" s="76">
        <v>44873.416666666664</v>
      </c>
      <c r="F61" s="6" t="s">
        <v>29</v>
      </c>
      <c r="G61" s="5" t="str">
        <f>IFERROR(VLOOKUP(SUMIFS(MSOLICITADA!$I:$I,MSOLICITADA!$B:$B,D61,MSOLICITADA!$F:$F,F61),CODIGOSPLACAS!$A$64:$B$89,2,FALSE),"")</f>
        <v>EDNILSON</v>
      </c>
      <c r="H61" s="77">
        <v>223877</v>
      </c>
      <c r="I61" s="77">
        <v>224816</v>
      </c>
      <c r="J61" s="7">
        <v>636</v>
      </c>
      <c r="K61" s="78">
        <v>4102.2</v>
      </c>
      <c r="L61" s="79" t="s">
        <v>111</v>
      </c>
      <c r="M61" s="6"/>
      <c r="N61" s="5">
        <f t="shared" si="0"/>
        <v>939</v>
      </c>
      <c r="O61" s="80">
        <f t="shared" si="1"/>
        <v>6.4499999999999993</v>
      </c>
      <c r="P61" s="8">
        <f t="shared" si="2"/>
        <v>1.4764150943396226</v>
      </c>
      <c r="Q61" s="8">
        <f t="shared" si="6"/>
        <v>1.5506852118293495</v>
      </c>
      <c r="R61" s="81">
        <f t="shared" si="4"/>
        <v>0</v>
      </c>
      <c r="S61" s="113" t="str">
        <f>IF(F61="","",IF(H61="",TEXT(_xlfn.MAXIFS($I$1:I61,$F$1:F61,F61,$H$1:H61,"&gt;"&amp;0),"000.000"),F61))</f>
        <v>GKA2J56</v>
      </c>
      <c r="T61" s="81"/>
      <c r="U61" s="82"/>
      <c r="V61" s="98"/>
      <c r="W61" s="82"/>
      <c r="X61" s="98"/>
      <c r="Y61" s="82"/>
      <c r="Z61" s="98"/>
      <c r="AA61" s="82"/>
      <c r="AB61" s="98"/>
      <c r="AC61" s="82"/>
      <c r="AD61" s="98"/>
      <c r="AE61" s="117"/>
      <c r="AF61" s="98"/>
      <c r="AG61" s="98"/>
      <c r="AH61" s="98"/>
      <c r="AI61" s="82"/>
      <c r="AJ61" s="98"/>
      <c r="AK61" s="83"/>
      <c r="AL61" s="84" t="str">
        <f>IF(F61&lt;&gt;0,IF(_xlfn.MAXIFS($I$1:I61,$F$1:F61,F61,$H$1:H61,"&gt;"&amp;0)=0,"KM NÃO ENCONTRADO",IF(H61=0,CONCATENATE("SUGESTÃO DE KM PARA PLACA ",F61," *",_xlfn.MAXIFS($I$1:I61,$F$1:F61,F61,$H$1:H61,"&gt;"&amp;0),"*"),"")),"")</f>
        <v/>
      </c>
      <c r="AM61" s="85" t="str" cm="1">
        <f t="array" ref="AM61">IFERROR(IF(M61&lt;&gt;"","",CONCATENATE("https://btx.brasiltrack.com/logistica/trajeto.php?idveiculo=",VLOOKUP(F61,DATAS!$A$221:$B$250,2,FALSE),"&amp;lat=-22.204247","&amp;data_ini=",TEXT(IF(E61&lt;&gt;"",IF(COUNTIF($F$2:$F61,F61)&gt;1,MAX(IF($F$1:$F60=F61,$E$1:$E60)),""),""),"DD/MM/AAAA"),"&amp;data_fim=",TEXT(E61,"DD/MM/AAAA"),"&amp;hora_inicial=",HOUR(IF(E61&lt;&gt;"",IF(COUNTIF($F$2:$F61,F61)&gt;1,MAX(IF($F$1:$F60=F61,$E$1:$E60)),""),"")),"&amp;minuto_inicial=",MINUTE(IF(E61&lt;&gt;"",IF(COUNTIF($F$2:$F61,F61)&gt;1,MAX(IF($F$1:$F60=F61,$E$1:$E60)),""),"")),"&amp;hora_final=",HOUR(E61),"&amp;minuto_final=",MINUTE(E61),"&amp;periodo=6&amp;tipo=por_data&amp;upos=false&amp;outequip=0")),"")</f>
        <v>https://btx.brasiltrack.com/logistica/trajeto.php?idveiculo=75A3D88C-4B99-481A-ACC8-34008151E92D&amp;lat=-22.204247&amp;data_ini=04/11/2022&amp;data_fim=08/11/2022&amp;hora_inicial=9&amp;minuto_inicial=25&amp;hora_final=10&amp;minuto_final=0&amp;periodo=6&amp;tipo=por_data&amp;upos=false&amp;outequip=0</v>
      </c>
      <c r="AN61" s="100" t="str">
        <f t="shared" si="5"/>
        <v xml:space="preserve">               </v>
      </c>
    </row>
    <row r="62" spans="1:40" x14ac:dyDescent="0.25">
      <c r="A62" s="81"/>
      <c r="B62" s="81"/>
      <c r="C62" s="81"/>
      <c r="D62" s="144">
        <v>44866</v>
      </c>
      <c r="E62" s="76">
        <v>44873.428472222222</v>
      </c>
      <c r="F62" s="6" t="s">
        <v>30</v>
      </c>
      <c r="G62" s="5" t="str">
        <f>IFERROR(VLOOKUP(SUMIFS(MSOLICITADA!$I:$I,MSOLICITADA!$B:$B,D62,MSOLICITADA!$F:$F,F62),CODIGOSPLACAS!$A$64:$B$89,2,FALSE),"")</f>
        <v>RONILSON</v>
      </c>
      <c r="H62" s="77">
        <v>208455</v>
      </c>
      <c r="I62" s="77">
        <v>209367</v>
      </c>
      <c r="J62" s="7">
        <v>527</v>
      </c>
      <c r="K62" s="78">
        <v>3399.15</v>
      </c>
      <c r="L62" s="79" t="s">
        <v>111</v>
      </c>
      <c r="M62" s="6"/>
      <c r="N62" s="5">
        <f t="shared" si="0"/>
        <v>912</v>
      </c>
      <c r="O62" s="80">
        <f t="shared" si="1"/>
        <v>6.45</v>
      </c>
      <c r="P62" s="8">
        <f t="shared" si="2"/>
        <v>1.730550284629981</v>
      </c>
      <c r="Q62" s="8">
        <f t="shared" si="6"/>
        <v>1.5438598974121283</v>
      </c>
      <c r="R62" s="81">
        <f t="shared" si="4"/>
        <v>0</v>
      </c>
      <c r="S62" s="113" t="str">
        <f>IF(F62="","",IF(H62="",TEXT(_xlfn.MAXIFS($I$1:I62,$F$1:F62,F62,$H$1:H62,"&gt;"&amp;0),"000.000"),F62))</f>
        <v>GFB0I37</v>
      </c>
      <c r="T62" s="81"/>
      <c r="U62" s="82"/>
      <c r="V62" s="98"/>
      <c r="W62" s="82"/>
      <c r="X62" s="98"/>
      <c r="Y62" s="82"/>
      <c r="Z62" s="98"/>
      <c r="AA62" s="82"/>
      <c r="AB62" s="98"/>
      <c r="AC62" s="82"/>
      <c r="AD62" s="98"/>
      <c r="AE62" s="117"/>
      <c r="AF62" s="98"/>
      <c r="AG62" s="98"/>
      <c r="AH62" s="98"/>
      <c r="AI62" s="82"/>
      <c r="AJ62" s="98"/>
      <c r="AK62" s="83"/>
      <c r="AL62" s="84" t="str">
        <f>IF(F62&lt;&gt;0,IF(_xlfn.MAXIFS($I$1:I62,$F$1:F62,F62,$H$1:H62,"&gt;"&amp;0)=0,"KM NÃO ENCONTRADO",IF(H62=0,CONCATENATE("SUGESTÃO DE KM PARA PLACA ",F62," *",_xlfn.MAXIFS($I$1:I62,$F$1:F62,F62,$H$1:H62,"&gt;"&amp;0),"*"),"")),"")</f>
        <v/>
      </c>
      <c r="AM62" s="85" t="str" cm="1">
        <f t="array" ref="AM62">IFERROR(IF(M62&lt;&gt;"","",CONCATENATE("https://btx.brasiltrack.com/logistica/trajeto.php?idveiculo=",VLOOKUP(F62,DATAS!$A$221:$B$250,2,FALSE),"&amp;lat=-22.204247","&amp;data_ini=",TEXT(IF(E62&lt;&gt;"",IF(COUNTIF($F$2:$F62,F62)&gt;1,MAX(IF($F$1:$F61=F62,$E$1:$E61)),""),""),"DD/MM/AAAA"),"&amp;data_fim=",TEXT(E62,"DD/MM/AAAA"),"&amp;hora_inicial=",HOUR(IF(E62&lt;&gt;"",IF(COUNTIF($F$2:$F62,F62)&gt;1,MAX(IF($F$1:$F61=F62,$E$1:$E61)),""),"")),"&amp;minuto_inicial=",MINUTE(IF(E62&lt;&gt;"",IF(COUNTIF($F$2:$F62,F62)&gt;1,MAX(IF($F$1:$F61=F62,$E$1:$E61)),""),"")),"&amp;hora_final=",HOUR(E62),"&amp;minuto_final=",MINUTE(E62),"&amp;periodo=6&amp;tipo=por_data&amp;upos=false&amp;outequip=0")),"")</f>
        <v>https://btx.brasiltrack.com/logistica/trajeto.php?idveiculo=94099C57-E02A-40F7-B573-6368475EB0B3&amp;lat=-22.204247&amp;data_ini=04/11/2022&amp;data_fim=08/11/2022&amp;hora_inicial=12&amp;minuto_inicial=10&amp;hora_final=10&amp;minuto_final=17&amp;periodo=6&amp;tipo=por_data&amp;upos=false&amp;outequip=0</v>
      </c>
      <c r="AN62" s="100" t="str">
        <f t="shared" si="5"/>
        <v xml:space="preserve">               </v>
      </c>
    </row>
    <row r="63" spans="1:40" x14ac:dyDescent="0.25">
      <c r="A63" s="81"/>
      <c r="B63" s="81"/>
      <c r="C63" s="81"/>
      <c r="D63" s="144">
        <v>44866</v>
      </c>
      <c r="E63" s="76">
        <v>44873.640972222223</v>
      </c>
      <c r="F63" s="6" t="s">
        <v>131</v>
      </c>
      <c r="G63" s="5" t="str">
        <f>IFERROR(VLOOKUP(SUMIFS(MSOLICITADA!$I:$I,MSOLICITADA!$B:$B,D63,MSOLICITADA!$F:$F,F63),CODIGOSPLACAS!$A$64:$B$89,2,FALSE),"")</f>
        <v>ALTIELIS</v>
      </c>
      <c r="H63" s="77">
        <v>34666</v>
      </c>
      <c r="I63" s="77">
        <v>35387</v>
      </c>
      <c r="J63" s="7">
        <v>510</v>
      </c>
      <c r="K63" s="78">
        <v>3386.75</v>
      </c>
      <c r="L63" s="79" t="s">
        <v>111</v>
      </c>
      <c r="M63" s="6"/>
      <c r="N63" s="5">
        <f t="shared" si="0"/>
        <v>721</v>
      </c>
      <c r="O63" s="80">
        <f t="shared" si="1"/>
        <v>6.6406862745098039</v>
      </c>
      <c r="P63" s="8">
        <f t="shared" si="2"/>
        <v>1.4137254901960785</v>
      </c>
      <c r="Q63" s="8">
        <f t="shared" si="6"/>
        <v>1.4985018243623649</v>
      </c>
      <c r="R63" s="81">
        <f t="shared" si="4"/>
        <v>0</v>
      </c>
      <c r="S63" s="113" t="str">
        <f>IF(F63="","",IF(H63="",TEXT(_xlfn.MAXIFS($I$1:I63,$F$1:F63,F63,$H$1:H63,"&gt;"&amp;0),"000.000"),F63))</f>
        <v>GGN4J86</v>
      </c>
      <c r="T63" s="81"/>
      <c r="U63" s="82"/>
      <c r="V63" s="98"/>
      <c r="W63" s="82"/>
      <c r="X63" s="98"/>
      <c r="Y63" s="82"/>
      <c r="Z63" s="98"/>
      <c r="AA63" s="82"/>
      <c r="AB63" s="98"/>
      <c r="AC63" s="82"/>
      <c r="AD63" s="98"/>
      <c r="AE63" s="117"/>
      <c r="AF63" s="98"/>
      <c r="AG63" s="98"/>
      <c r="AH63" s="98"/>
      <c r="AI63" s="82"/>
      <c r="AJ63" s="98"/>
      <c r="AK63" s="83"/>
      <c r="AL63" s="84" t="str">
        <f>IF(F63&lt;&gt;0,IF(_xlfn.MAXIFS($I$1:I63,$F$1:F63,F63,$H$1:H63,"&gt;"&amp;0)=0,"KM NÃO ENCONTRADO",IF(H63=0,CONCATENATE("SUGESTÃO DE KM PARA PLACA ",F63," *",_xlfn.MAXIFS($I$1:I63,$F$1:F63,F63,$H$1:H63,"&gt;"&amp;0),"*"),"")),"")</f>
        <v/>
      </c>
      <c r="AM63" s="85" t="str" cm="1">
        <f t="array" ref="AM63">IFERROR(IF(M63&lt;&gt;"","",CONCATENATE("https://btx.brasiltrack.com/logistica/trajeto.php?idveiculo=",VLOOKUP(F63,DATAS!$A$221:$B$250,2,FALSE),"&amp;lat=-22.204247","&amp;data_ini=",TEXT(IF(E63&lt;&gt;"",IF(COUNTIF($F$2:$F63,F63)&gt;1,MAX(IF($F$1:$F62=F63,$E$1:$E62)),""),""),"DD/MM/AAAA"),"&amp;data_fim=",TEXT(E63,"DD/MM/AAAA"),"&amp;hora_inicial=",HOUR(IF(E63&lt;&gt;"",IF(COUNTIF($F$2:$F63,F63)&gt;1,MAX(IF($F$1:$F62=F63,$E$1:$E62)),""),"")),"&amp;minuto_inicial=",MINUTE(IF(E63&lt;&gt;"",IF(COUNTIF($F$2:$F63,F63)&gt;1,MAX(IF($F$1:$F62=F63,$E$1:$E62)),""),"")),"&amp;hora_final=",HOUR(E63),"&amp;minuto_final=",MINUTE(E63),"&amp;periodo=6&amp;tipo=por_data&amp;upos=false&amp;outequip=0")),"")</f>
        <v>https://btx.brasiltrack.com/logistica/trajeto.php?idveiculo=0C13AEC3-426E-4E1A-A62E-C4BA625F41E7&amp;lat=-22.204247&amp;data_ini=05/11/2022&amp;data_fim=08/11/2022&amp;hora_inicial=12&amp;minuto_inicial=17&amp;hora_final=15&amp;minuto_final=23&amp;periodo=6&amp;tipo=por_data&amp;upos=false&amp;outequip=0</v>
      </c>
      <c r="AN63" s="100" t="str">
        <f t="shared" si="5"/>
        <v xml:space="preserve">               </v>
      </c>
    </row>
    <row r="64" spans="1:40" x14ac:dyDescent="0.25">
      <c r="A64" s="81"/>
      <c r="B64" s="81"/>
      <c r="C64" s="81"/>
      <c r="D64" s="144">
        <v>44866</v>
      </c>
      <c r="E64" s="76">
        <v>44873.835416666669</v>
      </c>
      <c r="F64" s="6" t="s">
        <v>31</v>
      </c>
      <c r="G64" s="5" t="str">
        <f>IFERROR(VLOOKUP(SUMIFS(MSOLICITADA!$I:$I,MSOLICITADA!$B:$B,D64,MSOLICITADA!$F:$F,F64),CODIGOSPLACAS!$A$64:$B$89,2,FALSE),"")</f>
        <v>CELIO</v>
      </c>
      <c r="H64" s="77">
        <v>201739</v>
      </c>
      <c r="I64" s="77">
        <v>202208</v>
      </c>
      <c r="J64" s="7">
        <v>260</v>
      </c>
      <c r="K64" s="78">
        <v>1729</v>
      </c>
      <c r="L64" s="79" t="s">
        <v>111</v>
      </c>
      <c r="M64" s="6"/>
      <c r="N64" s="5">
        <f t="shared" si="0"/>
        <v>469</v>
      </c>
      <c r="O64" s="80">
        <f t="shared" si="1"/>
        <v>6.65</v>
      </c>
      <c r="P64" s="8">
        <f t="shared" si="2"/>
        <v>1.8038461538461539</v>
      </c>
      <c r="Q64" s="8">
        <f t="shared" si="6"/>
        <v>1.5697196307565964</v>
      </c>
      <c r="R64" s="81">
        <f t="shared" si="4"/>
        <v>0</v>
      </c>
      <c r="S64" s="113" t="str">
        <f>IF(F64="","",IF(H64="",TEXT(_xlfn.MAXIFS($I$1:I64,$F$1:F64,F64,$H$1:H64,"&gt;"&amp;0),"000.000"),F64))</f>
        <v>GGZ3G38</v>
      </c>
      <c r="T64" s="81"/>
      <c r="U64" s="82"/>
      <c r="V64" s="98"/>
      <c r="W64" s="82"/>
      <c r="X64" s="98"/>
      <c r="Y64" s="82"/>
      <c r="Z64" s="98"/>
      <c r="AA64" s="82"/>
      <c r="AB64" s="98"/>
      <c r="AC64" s="82"/>
      <c r="AD64" s="98"/>
      <c r="AE64" s="117"/>
      <c r="AF64" s="98"/>
      <c r="AG64" s="98"/>
      <c r="AH64" s="98"/>
      <c r="AI64" s="82"/>
      <c r="AJ64" s="98"/>
      <c r="AK64" s="83"/>
      <c r="AL64" s="84" t="str">
        <f>IF(F64&lt;&gt;0,IF(_xlfn.MAXIFS($I$1:I64,$F$1:F64,F64,$H$1:H64,"&gt;"&amp;0)=0,"KM NÃO ENCONTRADO",IF(H64=0,CONCATENATE("SUGESTÃO DE KM PARA PLACA ",F64," *",_xlfn.MAXIFS($I$1:I64,$F$1:F64,F64,$H$1:H64,"&gt;"&amp;0),"*"),"")),"")</f>
        <v/>
      </c>
      <c r="AM64" s="85" t="str" cm="1">
        <f t="array" ref="AM64">IFERROR(IF(M64&lt;&gt;"","",CONCATENATE("https://btx.brasiltrack.com/logistica/trajeto.php?idveiculo=",VLOOKUP(F64,DATAS!$A$221:$B$250,2,FALSE),"&amp;lat=-22.204247","&amp;data_ini=",TEXT(IF(E64&lt;&gt;"",IF(COUNTIF($F$2:$F64,F64)&gt;1,MAX(IF($F$1:$F63=F64,$E$1:$E63)),""),""),"DD/MM/AAAA"),"&amp;data_fim=",TEXT(E64,"DD/MM/AAAA"),"&amp;hora_inicial=",HOUR(IF(E64&lt;&gt;"",IF(COUNTIF($F$2:$F64,F64)&gt;1,MAX(IF($F$1:$F63=F64,$E$1:$E63)),""),"")),"&amp;minuto_inicial=",MINUTE(IF(E64&lt;&gt;"",IF(COUNTIF($F$2:$F64,F64)&gt;1,MAX(IF($F$1:$F63=F64,$E$1:$E63)),""),"")),"&amp;hora_final=",HOUR(E64),"&amp;minuto_final=",MINUTE(E64),"&amp;periodo=6&amp;tipo=por_data&amp;upos=false&amp;outequip=0")),"")</f>
        <v>https://btx.brasiltrack.com/logistica/trajeto.php?idveiculo=28D74B0F-5C0F-4A59-86EB-697E3711F324&amp;lat=-22.204247&amp;data_ini=07/11/2022&amp;data_fim=08/11/2022&amp;hora_inicial=10&amp;minuto_inicial=50&amp;hora_final=20&amp;minuto_final=3&amp;periodo=6&amp;tipo=por_data&amp;upos=false&amp;outequip=0</v>
      </c>
      <c r="AN64" s="100" t="str">
        <f t="shared" si="5"/>
        <v xml:space="preserve">               </v>
      </c>
    </row>
    <row r="65" spans="1:40" x14ac:dyDescent="0.25">
      <c r="A65" s="81"/>
      <c r="B65" s="81"/>
      <c r="C65" s="81"/>
      <c r="D65" s="144">
        <v>44866</v>
      </c>
      <c r="E65" s="76">
        <v>44873.836111111108</v>
      </c>
      <c r="F65" s="6" t="s">
        <v>124</v>
      </c>
      <c r="G65" s="5" t="str">
        <f>IFERROR(VLOOKUP(SUMIFS(MSOLICITADA!$I:$I,MSOLICITADA!$B:$B,D65,MSOLICITADA!$F:$F,F65),CODIGOSPLACAS!$A$64:$B$89,2,FALSE),"")</f>
        <v>ISRAEL</v>
      </c>
      <c r="H65" s="77">
        <v>126328</v>
      </c>
      <c r="I65" s="77">
        <v>127007</v>
      </c>
      <c r="J65" s="7">
        <v>375</v>
      </c>
      <c r="K65" s="78">
        <v>2493.75</v>
      </c>
      <c r="L65" s="79" t="s">
        <v>111</v>
      </c>
      <c r="M65" s="6"/>
      <c r="N65" s="5">
        <f t="shared" si="0"/>
        <v>679</v>
      </c>
      <c r="O65" s="80">
        <f t="shared" si="1"/>
        <v>6.65</v>
      </c>
      <c r="P65" s="8">
        <f t="shared" si="2"/>
        <v>1.8106666666666666</v>
      </c>
      <c r="Q65" s="8">
        <f t="shared" si="6"/>
        <v>1.5512732562038034</v>
      </c>
      <c r="R65" s="81">
        <f t="shared" si="4"/>
        <v>0</v>
      </c>
      <c r="S65" s="113" t="str">
        <f>IF(F65="","",IF(H65="",TEXT(_xlfn.MAXIFS($I$1:I65,$F$1:F65,F65,$H$1:H65,"&gt;"&amp;0),"000.000"),F65))</f>
        <v>GHH9B64</v>
      </c>
      <c r="T65" s="81"/>
      <c r="U65" s="82"/>
      <c r="V65" s="98"/>
      <c r="W65" s="82"/>
      <c r="X65" s="98"/>
      <c r="Y65" s="82"/>
      <c r="Z65" s="98"/>
      <c r="AA65" s="82"/>
      <c r="AB65" s="98"/>
      <c r="AC65" s="82"/>
      <c r="AD65" s="98"/>
      <c r="AE65" s="117"/>
      <c r="AF65" s="98"/>
      <c r="AG65" s="98"/>
      <c r="AH65" s="98"/>
      <c r="AI65" s="82"/>
      <c r="AJ65" s="98"/>
      <c r="AK65" s="83"/>
      <c r="AL65" s="84" t="str">
        <f>IF(F65&lt;&gt;0,IF(_xlfn.MAXIFS($I$1:I65,$F$1:F65,F65,$H$1:H65,"&gt;"&amp;0)=0,"KM NÃO ENCONTRADO",IF(H65=0,CONCATENATE("SUGESTÃO DE KM PARA PLACA ",F65," *",_xlfn.MAXIFS($I$1:I65,$F$1:F65,F65,$H$1:H65,"&gt;"&amp;0),"*"),"")),"")</f>
        <v/>
      </c>
      <c r="AM65" s="85" t="str" cm="1">
        <f t="array" ref="AM65">IFERROR(IF(M65&lt;&gt;"","",CONCATENATE("https://btx.brasiltrack.com/logistica/trajeto.php?idveiculo=",VLOOKUP(F65,DATAS!$A$221:$B$250,2,FALSE),"&amp;lat=-22.204247","&amp;data_ini=",TEXT(IF(E65&lt;&gt;"",IF(COUNTIF($F$2:$F65,F65)&gt;1,MAX(IF($F$1:$F64=F65,$E$1:$E64)),""),""),"DD/MM/AAAA"),"&amp;data_fim=",TEXT(E65,"DD/MM/AAAA"),"&amp;hora_inicial=",HOUR(IF(E65&lt;&gt;"",IF(COUNTIF($F$2:$F65,F65)&gt;1,MAX(IF($F$1:$F64=F65,$E$1:$E64)),""),"")),"&amp;minuto_inicial=",MINUTE(IF(E65&lt;&gt;"",IF(COUNTIF($F$2:$F65,F65)&gt;1,MAX(IF($F$1:$F64=F65,$E$1:$E64)),""),"")),"&amp;hora_final=",HOUR(E65),"&amp;minuto_final=",MINUTE(E65),"&amp;periodo=6&amp;tipo=por_data&amp;upos=false&amp;outequip=0")),"")</f>
        <v>https://btx.brasiltrack.com/logistica/trajeto.php?idveiculo=82801E41-A001-436F-A743-F071900B878A&amp;lat=-22.204247&amp;data_ini=04/11/2022&amp;data_fim=08/11/2022&amp;hora_inicial=0&amp;minuto_inicial=41&amp;hora_final=20&amp;minuto_final=4&amp;periodo=6&amp;tipo=por_data&amp;upos=false&amp;outequip=0</v>
      </c>
      <c r="AN65" s="100" t="str">
        <f t="shared" si="5"/>
        <v xml:space="preserve">               </v>
      </c>
    </row>
    <row r="66" spans="1:40" x14ac:dyDescent="0.25">
      <c r="A66" s="81"/>
      <c r="B66" s="81"/>
      <c r="C66" s="81"/>
      <c r="D66" s="144">
        <v>44866</v>
      </c>
      <c r="E66" s="76">
        <v>44873.868055555555</v>
      </c>
      <c r="F66" s="6" t="s">
        <v>33</v>
      </c>
      <c r="G66" s="5" t="str">
        <f>IFERROR(VLOOKUP(SUMIFS(MSOLICITADA!$I:$I,MSOLICITADA!$B:$B,D66,MSOLICITADA!$F:$F,F66),CODIGOSPLACAS!$A$64:$B$89,2,FALSE),"")</f>
        <v>JULIO</v>
      </c>
      <c r="H66" s="77">
        <v>155021</v>
      </c>
      <c r="I66" s="77">
        <v>155606</v>
      </c>
      <c r="J66" s="7">
        <v>401</v>
      </c>
      <c r="K66" s="78">
        <v>2666.65</v>
      </c>
      <c r="L66" s="79" t="s">
        <v>111</v>
      </c>
      <c r="M66" s="6"/>
      <c r="N66" s="5">
        <f t="shared" si="0"/>
        <v>585</v>
      </c>
      <c r="O66" s="80">
        <f t="shared" si="1"/>
        <v>6.65</v>
      </c>
      <c r="P66" s="8">
        <f t="shared" si="2"/>
        <v>1.458852867830424</v>
      </c>
      <c r="Q66" s="8">
        <f t="shared" si="6"/>
        <v>1.7415645068481733</v>
      </c>
      <c r="R66" s="81">
        <f t="shared" si="4"/>
        <v>0</v>
      </c>
      <c r="S66" s="113" t="str">
        <f>IF(F66="","",IF(H66="",TEXT(_xlfn.MAXIFS($I$1:I66,$F$1:F66,F66,$H$1:H66,"&gt;"&amp;0),"000.000"),F66))</f>
        <v>GGF7G26</v>
      </c>
      <c r="T66" s="81"/>
      <c r="U66" s="82"/>
      <c r="V66" s="98"/>
      <c r="W66" s="82"/>
      <c r="X66" s="98"/>
      <c r="Y66" s="82"/>
      <c r="Z66" s="98"/>
      <c r="AA66" s="82"/>
      <c r="AB66" s="98"/>
      <c r="AC66" s="82"/>
      <c r="AD66" s="98"/>
      <c r="AE66" s="117"/>
      <c r="AF66" s="98"/>
      <c r="AG66" s="98"/>
      <c r="AH66" s="98"/>
      <c r="AI66" s="82"/>
      <c r="AJ66" s="98"/>
      <c r="AK66" s="83"/>
      <c r="AL66" s="84" t="str">
        <f>IF(F66&lt;&gt;0,IF(_xlfn.MAXIFS($I$1:I66,$F$1:F66,F66,$H$1:H66,"&gt;"&amp;0)=0,"KM NÃO ENCONTRADO",IF(H66=0,CONCATENATE("SUGESTÃO DE KM PARA PLACA ",F66," *",_xlfn.MAXIFS($I$1:I66,$F$1:F66,F66,$H$1:H66,"&gt;"&amp;0),"*"),"")),"")</f>
        <v/>
      </c>
      <c r="AM66" s="85" t="str" cm="1">
        <f t="array" ref="AM66">IFERROR(IF(M66&lt;&gt;"","",CONCATENATE("https://btx.brasiltrack.com/logistica/trajeto.php?idveiculo=",VLOOKUP(F66,DATAS!$A$221:$B$250,2,FALSE),"&amp;lat=-22.204247","&amp;data_ini=",TEXT(IF(E66&lt;&gt;"",IF(COUNTIF($F$2:$F66,F66)&gt;1,MAX(IF($F$1:$F65=F66,$E$1:$E65)),""),""),"DD/MM/AAAA"),"&amp;data_fim=",TEXT(E66,"DD/MM/AAAA"),"&amp;hora_inicial=",HOUR(IF(E66&lt;&gt;"",IF(COUNTIF($F$2:$F66,F66)&gt;1,MAX(IF($F$1:$F65=F66,$E$1:$E65)),""),"")),"&amp;minuto_inicial=",MINUTE(IF(E66&lt;&gt;"",IF(COUNTIF($F$2:$F66,F66)&gt;1,MAX(IF($F$1:$F65=F66,$E$1:$E65)),""),"")),"&amp;hora_final=",HOUR(E66),"&amp;minuto_final=",MINUTE(E66),"&amp;periodo=6&amp;tipo=por_data&amp;upos=false&amp;outequip=0")),"")</f>
        <v>https://btx.brasiltrack.com/logistica/trajeto.php?idveiculo=4F0C2317-958D-4267-BAF8-BC4F7B6B12A1&amp;lat=-22.204247&amp;data_ini=04/11/2022&amp;data_fim=08/11/2022&amp;hora_inicial=12&amp;minuto_inicial=4&amp;hora_final=20&amp;minuto_final=50&amp;periodo=6&amp;tipo=por_data&amp;upos=false&amp;outequip=0</v>
      </c>
      <c r="AN66" s="100" t="str">
        <f t="shared" si="5"/>
        <v xml:space="preserve">               </v>
      </c>
    </row>
    <row r="67" spans="1:40" x14ac:dyDescent="0.25">
      <c r="A67" s="81"/>
      <c r="B67" s="81"/>
      <c r="C67" s="81"/>
      <c r="D67" s="144">
        <v>44866</v>
      </c>
      <c r="E67" s="76">
        <v>44873.901388888888</v>
      </c>
      <c r="F67" s="6" t="s">
        <v>23</v>
      </c>
      <c r="G67" s="5" t="str">
        <f>IFERROR(VLOOKUP(SUMIFS(MSOLICITADA!$I:$I,MSOLICITADA!$B:$B,D67,MSOLICITADA!$F:$F,F67),CODIGOSPLACAS!$A$64:$B$89,2,FALSE),"")</f>
        <v>ISAC</v>
      </c>
      <c r="H67" s="77">
        <v>1194241</v>
      </c>
      <c r="I67" s="77">
        <v>1194771</v>
      </c>
      <c r="J67" s="7">
        <v>250</v>
      </c>
      <c r="K67" s="78">
        <v>1662.5</v>
      </c>
      <c r="L67" s="79" t="s">
        <v>111</v>
      </c>
      <c r="M67" s="6"/>
      <c r="N67" s="5">
        <f t="shared" ref="N67:N130" si="7">IF(IF((I67-H67-M67)&lt;0,"ERRO",I67-H67-M67)=0,"",IF((I67-H67-M67)&lt;0,"ERRO",I67-H67-M67))</f>
        <v>530</v>
      </c>
      <c r="O67" s="80">
        <f t="shared" ref="O67:O130" si="8">IFERROR(K67/J67,"")</f>
        <v>6.65</v>
      </c>
      <c r="P67" s="8">
        <f t="shared" ref="P67:P130" si="9">IF(F67&lt;&gt;"",(SUM(M67:N67)-AK67)/(J67-(AK67/5)),0)</f>
        <v>2.12</v>
      </c>
      <c r="Q67" s="8">
        <f t="shared" si="6"/>
        <v>1.447714664858804</v>
      </c>
      <c r="R67" s="81">
        <f t="shared" ref="R67:R130" si="10">IFERROR(IF(M67/(I67-H67)=0,0,M67/(I67-H67)),0)</f>
        <v>0</v>
      </c>
      <c r="S67" s="113" t="str">
        <f>IF(F67="","",IF(H67="",TEXT(_xlfn.MAXIFS($I$1:I67,$F$1:F67,F67,$H$1:H67,"&gt;"&amp;0),"000.000"),F67))</f>
        <v>HNC7I76</v>
      </c>
      <c r="T67" s="81"/>
      <c r="U67" s="82"/>
      <c r="V67" s="98"/>
      <c r="W67" s="82"/>
      <c r="X67" s="98"/>
      <c r="Y67" s="82"/>
      <c r="Z67" s="98"/>
      <c r="AA67" s="82"/>
      <c r="AB67" s="98"/>
      <c r="AC67" s="82"/>
      <c r="AD67" s="98"/>
      <c r="AE67" s="117"/>
      <c r="AF67" s="98"/>
      <c r="AG67" s="98"/>
      <c r="AH67" s="98"/>
      <c r="AI67" s="82"/>
      <c r="AJ67" s="98"/>
      <c r="AK67" s="83"/>
      <c r="AL67" s="84" t="str">
        <f>IF(F67&lt;&gt;0,IF(_xlfn.MAXIFS($I$1:I67,$F$1:F67,F67,$H$1:H67,"&gt;"&amp;0)=0,"KM NÃO ENCONTRADO",IF(H67=0,CONCATENATE("SUGESTÃO DE KM PARA PLACA ",F67," *",_xlfn.MAXIFS($I$1:I67,$F$1:F67,F67,$H$1:H67,"&gt;"&amp;0),"*"),"")),"")</f>
        <v/>
      </c>
      <c r="AM67" s="85" t="str" cm="1">
        <f t="array" ref="AM67">IFERROR(IF(M67&lt;&gt;"","",CONCATENATE("https://btx.brasiltrack.com/logistica/trajeto.php?idveiculo=",VLOOKUP(F67,DATAS!$A$221:$B$250,2,FALSE),"&amp;lat=-22.204247","&amp;data_ini=",TEXT(IF(E67&lt;&gt;"",IF(COUNTIF($F$2:$F67,F67)&gt;1,MAX(IF($F$1:$F66=F67,$E$1:$E66)),""),""),"DD/MM/AAAA"),"&amp;data_fim=",TEXT(E67,"DD/MM/AAAA"),"&amp;hora_inicial=",HOUR(IF(E67&lt;&gt;"",IF(COUNTIF($F$2:$F67,F67)&gt;1,MAX(IF($F$1:$F66=F67,$E$1:$E66)),""),"")),"&amp;minuto_inicial=",MINUTE(IF(E67&lt;&gt;"",IF(COUNTIF($F$2:$F67,F67)&gt;1,MAX(IF($F$1:$F66=F67,$E$1:$E66)),""),"")),"&amp;hora_final=",HOUR(E67),"&amp;minuto_final=",MINUTE(E67),"&amp;periodo=6&amp;tipo=por_data&amp;upos=false&amp;outequip=0")),"")</f>
        <v>https://btx.brasiltrack.com/logistica/trajeto.php?idveiculo=B05A8E44-5DA1-4128-83F0-8DDE6CB8291B&amp;lat=-22.204247&amp;data_ini=08/11/2022&amp;data_fim=08/11/2022&amp;hora_inicial=6&amp;minuto_inicial=46&amp;hora_final=21&amp;minuto_final=38&amp;periodo=6&amp;tipo=por_data&amp;upos=false&amp;outequip=0</v>
      </c>
      <c r="AN67" s="100" t="str">
        <f t="shared" ref="AN67:AN130" si="11">CONCATENATE(U67," ",V67," ",W67," ",X67," ",Y67," ",Z67," ",AA67," ",AB67," ",AC67," ",AD67," ",AE67," ",AF67," ",AG67," ",AH67," ",AI67," ",AJ67)</f>
        <v xml:space="preserve">               </v>
      </c>
    </row>
    <row r="68" spans="1:40" x14ac:dyDescent="0.25">
      <c r="A68" s="81"/>
      <c r="B68" s="81"/>
      <c r="C68" s="81"/>
      <c r="D68" s="144">
        <v>44866</v>
      </c>
      <c r="E68" s="76">
        <v>44873.926388888889</v>
      </c>
      <c r="F68" s="6" t="s">
        <v>22</v>
      </c>
      <c r="G68" s="5" t="str">
        <f>IFERROR(VLOOKUP(SUMIFS(MSOLICITADA!$I:$I,MSOLICITADA!$B:$B,D68,MSOLICITADA!$F:$F,F68),CODIGOSPLACAS!$A$64:$B$89,2,FALSE),"")</f>
        <v>GUILHERME</v>
      </c>
      <c r="H68" s="77">
        <v>1201591</v>
      </c>
      <c r="I68" s="77">
        <v>1202077</v>
      </c>
      <c r="J68" s="7">
        <v>285.09100000000001</v>
      </c>
      <c r="K68" s="78">
        <v>1895.85</v>
      </c>
      <c r="L68" s="79" t="s">
        <v>111</v>
      </c>
      <c r="M68" s="6"/>
      <c r="N68" s="5">
        <f t="shared" si="7"/>
        <v>486</v>
      </c>
      <c r="O68" s="80">
        <f t="shared" si="8"/>
        <v>6.6499819355924945</v>
      </c>
      <c r="P68" s="8">
        <f t="shared" si="9"/>
        <v>1.7047188441585317</v>
      </c>
      <c r="Q68" s="8">
        <f t="shared" si="6"/>
        <v>1.7591747451720028</v>
      </c>
      <c r="R68" s="81">
        <f t="shared" si="10"/>
        <v>0</v>
      </c>
      <c r="S68" s="113" t="str">
        <f>IF(F68="","",IF(H68="",TEXT(_xlfn.MAXIFS($I$1:I68,$F$1:F68,F68,$H$1:H68,"&gt;"&amp;0),"000.000"),F68))</f>
        <v>OQC0C33</v>
      </c>
      <c r="T68" s="81"/>
      <c r="U68" s="82"/>
      <c r="V68" s="98"/>
      <c r="W68" s="82"/>
      <c r="X68" s="98"/>
      <c r="Y68" s="82"/>
      <c r="Z68" s="98"/>
      <c r="AA68" s="82"/>
      <c r="AB68" s="98"/>
      <c r="AC68" s="82"/>
      <c r="AD68" s="98"/>
      <c r="AE68" s="117"/>
      <c r="AF68" s="98"/>
      <c r="AG68" s="98"/>
      <c r="AH68" s="98"/>
      <c r="AI68" s="82"/>
      <c r="AJ68" s="98"/>
      <c r="AK68" s="83"/>
      <c r="AL68" s="84" t="str">
        <f>IF(F68&lt;&gt;0,IF(_xlfn.MAXIFS($I$1:I68,$F$1:F68,F68,$H$1:H68,"&gt;"&amp;0)=0,"KM NÃO ENCONTRADO",IF(H68=0,CONCATENATE("SUGESTÃO DE KM PARA PLACA ",F68," *",_xlfn.MAXIFS($I$1:I68,$F$1:F68,F68,$H$1:H68,"&gt;"&amp;0),"*"),"")),"")</f>
        <v/>
      </c>
      <c r="AM68" s="85" t="str" cm="1">
        <f t="array" ref="AM68">IFERROR(IF(M68&lt;&gt;"","",CONCATENATE("https://btx.brasiltrack.com/logistica/trajeto.php?idveiculo=",VLOOKUP(F68,DATAS!$A$221:$B$250,2,FALSE),"&amp;lat=-22.204247","&amp;data_ini=",TEXT(IF(E68&lt;&gt;"",IF(COUNTIF($F$2:$F68,F68)&gt;1,MAX(IF($F$1:$F67=F68,$E$1:$E67)),""),""),"DD/MM/AAAA"),"&amp;data_fim=",TEXT(E68,"DD/MM/AAAA"),"&amp;hora_inicial=",HOUR(IF(E68&lt;&gt;"",IF(COUNTIF($F$2:$F68,F68)&gt;1,MAX(IF($F$1:$F67=F68,$E$1:$E67)),""),"")),"&amp;minuto_inicial=",MINUTE(IF(E68&lt;&gt;"",IF(COUNTIF($F$2:$F68,F68)&gt;1,MAX(IF($F$1:$F67=F68,$E$1:$E67)),""),"")),"&amp;hora_final=",HOUR(E68),"&amp;minuto_final=",MINUTE(E68),"&amp;periodo=6&amp;tipo=por_data&amp;upos=false&amp;outequip=0")),"")</f>
        <v>https://btx.brasiltrack.com/logistica/trajeto.php?idveiculo=0704F285-9532-44A8-B32A-C16F1E6FD89C&amp;lat=-22.204247&amp;data_ini=07/11/2022&amp;data_fim=08/11/2022&amp;hora_inicial=19&amp;minuto_inicial=43&amp;hora_final=22&amp;minuto_final=14&amp;periodo=6&amp;tipo=por_data&amp;upos=false&amp;outequip=0</v>
      </c>
      <c r="AN68" s="100" t="str">
        <f t="shared" si="11"/>
        <v xml:space="preserve">               </v>
      </c>
    </row>
    <row r="69" spans="1:40" x14ac:dyDescent="0.25">
      <c r="A69" s="81"/>
      <c r="B69" s="81"/>
      <c r="C69" s="81"/>
      <c r="D69" s="144">
        <v>44866</v>
      </c>
      <c r="E69" s="76">
        <v>44873.955555555556</v>
      </c>
      <c r="F69" s="6" t="s">
        <v>32</v>
      </c>
      <c r="G69" s="5" t="str">
        <f>IFERROR(VLOOKUP(SUMIFS(MSOLICITADA!$I:$I,MSOLICITADA!$B:$B,D69,MSOLICITADA!$F:$F,F69),CODIGOSPLACAS!$A$64:$B$89,2,FALSE),"")</f>
        <v>ADILSON</v>
      </c>
      <c r="H69" s="77">
        <v>190559</v>
      </c>
      <c r="I69" s="77">
        <v>191424</v>
      </c>
      <c r="J69" s="7">
        <v>610</v>
      </c>
      <c r="K69" s="78">
        <v>4062.6</v>
      </c>
      <c r="L69" s="79" t="s">
        <v>111</v>
      </c>
      <c r="M69" s="6"/>
      <c r="N69" s="5">
        <f t="shared" si="7"/>
        <v>865</v>
      </c>
      <c r="O69" s="80">
        <f t="shared" si="8"/>
        <v>6.66</v>
      </c>
      <c r="P69" s="8">
        <f t="shared" si="9"/>
        <v>1.4180327868852458</v>
      </c>
      <c r="Q69" s="8">
        <f t="shared" si="6"/>
        <v>1.518200707495146</v>
      </c>
      <c r="R69" s="81">
        <f t="shared" si="10"/>
        <v>0</v>
      </c>
      <c r="S69" s="113" t="str">
        <f>IF(F69="","",IF(H69="",TEXT(_xlfn.MAXIFS($I$1:I69,$F$1:F69,F69,$H$1:H69,"&gt;"&amp;0),"000.000"),F69))</f>
        <v>GJU9A22</v>
      </c>
      <c r="T69" s="81"/>
      <c r="U69" s="82"/>
      <c r="V69" s="98"/>
      <c r="W69" s="82"/>
      <c r="X69" s="98"/>
      <c r="Y69" s="82"/>
      <c r="Z69" s="98"/>
      <c r="AA69" s="82"/>
      <c r="AB69" s="98"/>
      <c r="AC69" s="82"/>
      <c r="AD69" s="98"/>
      <c r="AE69" s="117"/>
      <c r="AF69" s="98"/>
      <c r="AG69" s="98"/>
      <c r="AH69" s="98"/>
      <c r="AI69" s="82"/>
      <c r="AJ69" s="98"/>
      <c r="AK69" s="83"/>
      <c r="AL69" s="84" t="str">
        <f>IF(F69&lt;&gt;0,IF(_xlfn.MAXIFS($I$1:I69,$F$1:F69,F69,$H$1:H69,"&gt;"&amp;0)=0,"KM NÃO ENCONTRADO",IF(H69=0,CONCATENATE("SUGESTÃO DE KM PARA PLACA ",F69," *",_xlfn.MAXIFS($I$1:I69,$F$1:F69,F69,$H$1:H69,"&gt;"&amp;0),"*"),"")),"")</f>
        <v/>
      </c>
      <c r="AM69" s="85" t="str" cm="1">
        <f t="array" ref="AM69">IFERROR(IF(M69&lt;&gt;"","",CONCATENATE("https://btx.brasiltrack.com/logistica/trajeto.php?idveiculo=",VLOOKUP(F69,DATAS!$A$221:$B$250,2,FALSE),"&amp;lat=-22.204247","&amp;data_ini=",TEXT(IF(E69&lt;&gt;"",IF(COUNTIF($F$2:$F69,F69)&gt;1,MAX(IF($F$1:$F68=F69,$E$1:$E68)),""),""),"DD/MM/AAAA"),"&amp;data_fim=",TEXT(E69,"DD/MM/AAAA"),"&amp;hora_inicial=",HOUR(IF(E69&lt;&gt;"",IF(COUNTIF($F$2:$F69,F69)&gt;1,MAX(IF($F$1:$F68=F69,$E$1:$E68)),""),"")),"&amp;minuto_inicial=",MINUTE(IF(E69&lt;&gt;"",IF(COUNTIF($F$2:$F69,F69)&gt;1,MAX(IF($F$1:$F68=F69,$E$1:$E68)),""),"")),"&amp;hora_final=",HOUR(E69),"&amp;minuto_final=",MINUTE(E69),"&amp;periodo=6&amp;tipo=por_data&amp;upos=false&amp;outequip=0")),"")</f>
        <v>https://btx.brasiltrack.com/logistica/trajeto.php?idveiculo=51FCA948-8BA9-488B-AAF2-8F2F237B75B2&amp;lat=-22.204247&amp;data_ini=04/11/2022&amp;data_fim=08/11/2022&amp;hora_inicial=15&amp;minuto_inicial=0&amp;hora_final=22&amp;minuto_final=56&amp;periodo=6&amp;tipo=por_data&amp;upos=false&amp;outequip=0</v>
      </c>
      <c r="AN69" s="100" t="str">
        <f t="shared" si="11"/>
        <v xml:space="preserve">               </v>
      </c>
    </row>
    <row r="70" spans="1:40" x14ac:dyDescent="0.25">
      <c r="A70" s="81"/>
      <c r="B70" s="81"/>
      <c r="C70" s="81"/>
      <c r="D70" s="144">
        <v>44866</v>
      </c>
      <c r="E70" s="76">
        <v>44874.230555555558</v>
      </c>
      <c r="F70" s="6" t="s">
        <v>128</v>
      </c>
      <c r="G70" s="5" t="str">
        <f>IFERROR(VLOOKUP(SUMIFS(MSOLICITADA!$I:$I,MSOLICITADA!$B:$B,D70,MSOLICITADA!$F:$F,F70),CODIGOSPLACAS!$A$64:$B$89,2,FALSE),"")</f>
        <v>ELI RICARDO</v>
      </c>
      <c r="H70" s="77">
        <v>79816</v>
      </c>
      <c r="I70" s="77">
        <v>80410</v>
      </c>
      <c r="J70" s="7">
        <v>371.00099999999998</v>
      </c>
      <c r="K70" s="78">
        <v>2467.15</v>
      </c>
      <c r="L70" s="79" t="s">
        <v>111</v>
      </c>
      <c r="M70" s="6"/>
      <c r="N70" s="5">
        <f t="shared" si="7"/>
        <v>594</v>
      </c>
      <c r="O70" s="80">
        <f t="shared" si="8"/>
        <v>6.649982075520013</v>
      </c>
      <c r="P70" s="8">
        <f t="shared" si="9"/>
        <v>1.6010738515529608</v>
      </c>
      <c r="Q70" s="8">
        <f t="shared" si="6"/>
        <v>1.6394783012697074</v>
      </c>
      <c r="R70" s="81">
        <f t="shared" si="10"/>
        <v>0</v>
      </c>
      <c r="S70" s="113" t="str">
        <f>IF(F70="","",IF(H70="",TEXT(_xlfn.MAXIFS($I$1:I70,$F$1:F70,F70,$H$1:H70,"&gt;"&amp;0),"000.000"),F70))</f>
        <v>GFR0D47</v>
      </c>
      <c r="T70" s="81"/>
      <c r="U70" s="82"/>
      <c r="V70" s="98"/>
      <c r="W70" s="82"/>
      <c r="X70" s="98"/>
      <c r="Y70" s="82"/>
      <c r="Z70" s="98"/>
      <c r="AA70" s="82"/>
      <c r="AB70" s="98"/>
      <c r="AC70" s="82"/>
      <c r="AD70" s="98"/>
      <c r="AE70" s="117"/>
      <c r="AF70" s="98"/>
      <c r="AG70" s="98"/>
      <c r="AH70" s="98"/>
      <c r="AI70" s="82"/>
      <c r="AJ70" s="98"/>
      <c r="AK70" s="83"/>
      <c r="AL70" s="84" t="str">
        <f>IF(F70&lt;&gt;0,IF(_xlfn.MAXIFS($I$1:I70,$F$1:F70,F70,$H$1:H70,"&gt;"&amp;0)=0,"KM NÃO ENCONTRADO",IF(H70=0,CONCATENATE("SUGESTÃO DE KM PARA PLACA ",F70," *",_xlfn.MAXIFS($I$1:I70,$F$1:F70,F70,$H$1:H70,"&gt;"&amp;0),"*"),"")),"")</f>
        <v/>
      </c>
      <c r="AM70" s="85" t="str" cm="1">
        <f t="array" ref="AM70">IFERROR(IF(M70&lt;&gt;"","",CONCATENATE("https://btx.brasiltrack.com/logistica/trajeto.php?idveiculo=",VLOOKUP(F70,DATAS!$A$221:$B$250,2,FALSE),"&amp;lat=-22.204247","&amp;data_ini=",TEXT(IF(E70&lt;&gt;"",IF(COUNTIF($F$2:$F70,F70)&gt;1,MAX(IF($F$1:$F69=F70,$E$1:$E69)),""),""),"DD/MM/AAAA"),"&amp;data_fim=",TEXT(E70,"DD/MM/AAAA"),"&amp;hora_inicial=",HOUR(IF(E70&lt;&gt;"",IF(COUNTIF($F$2:$F70,F70)&gt;1,MAX(IF($F$1:$F69=F70,$E$1:$E69)),""),"")),"&amp;minuto_inicial=",MINUTE(IF(E70&lt;&gt;"",IF(COUNTIF($F$2:$F70,F70)&gt;1,MAX(IF($F$1:$F69=F70,$E$1:$E69)),""),"")),"&amp;hora_final=",HOUR(E70),"&amp;minuto_final=",MINUTE(E70),"&amp;periodo=6&amp;tipo=por_data&amp;upos=false&amp;outequip=0")),"")</f>
        <v>https://btx.brasiltrack.com/logistica/trajeto.php?idveiculo=D171D77B-7EEE-4B8A-AB93-163C02819566&amp;lat=-22.204247&amp;data_ini=04/11/2022&amp;data_fim=09/11/2022&amp;hora_inicial=12&amp;minuto_inicial=0&amp;hora_final=5&amp;minuto_final=32&amp;periodo=6&amp;tipo=por_data&amp;upos=false&amp;outequip=0</v>
      </c>
      <c r="AN70" s="100" t="str">
        <f t="shared" si="11"/>
        <v xml:space="preserve">               </v>
      </c>
    </row>
    <row r="71" spans="1:40" x14ac:dyDescent="0.25">
      <c r="A71" s="81"/>
      <c r="B71" s="81"/>
      <c r="C71" s="81"/>
      <c r="D71" s="144">
        <v>44866</v>
      </c>
      <c r="E71" s="76">
        <v>44874.302777777775</v>
      </c>
      <c r="F71" s="6" t="s">
        <v>26</v>
      </c>
      <c r="G71" s="5" t="str">
        <f>IFERROR(VLOOKUP(SUMIFS(MSOLICITADA!$I:$I,MSOLICITADA!$B:$B,D71,MSOLICITADA!$F:$F,F71),CODIGOSPLACAS!$A$64:$B$89,2,FALSE),"")</f>
        <v>DIEGO</v>
      </c>
      <c r="H71" s="77">
        <v>390570</v>
      </c>
      <c r="I71" s="77">
        <v>391266</v>
      </c>
      <c r="J71" s="7">
        <v>480</v>
      </c>
      <c r="K71" s="78">
        <v>3067.2</v>
      </c>
      <c r="L71" s="79" t="s">
        <v>111</v>
      </c>
      <c r="M71" s="6"/>
      <c r="N71" s="5">
        <f t="shared" si="7"/>
        <v>696</v>
      </c>
      <c r="O71" s="80">
        <f t="shared" si="8"/>
        <v>6.39</v>
      </c>
      <c r="P71" s="8">
        <f t="shared" si="9"/>
        <v>1.45</v>
      </c>
      <c r="Q71" s="8">
        <f t="shared" si="6"/>
        <v>1.4215213058096179</v>
      </c>
      <c r="R71" s="81">
        <f t="shared" si="10"/>
        <v>0</v>
      </c>
      <c r="S71" s="113" t="str">
        <f>IF(F71="","",IF(H71="",TEXT(_xlfn.MAXIFS($I$1:I71,$F$1:F71,F71,$H$1:H71,"&gt;"&amp;0),"000.000"),F71))</f>
        <v>BZA3587</v>
      </c>
      <c r="T71" s="81"/>
      <c r="U71" s="82"/>
      <c r="V71" s="98"/>
      <c r="W71" s="82"/>
      <c r="X71" s="98"/>
      <c r="Y71" s="82"/>
      <c r="Z71" s="98"/>
      <c r="AA71" s="82"/>
      <c r="AB71" s="98"/>
      <c r="AC71" s="82"/>
      <c r="AD71" s="98"/>
      <c r="AE71" s="117"/>
      <c r="AF71" s="98"/>
      <c r="AG71" s="98"/>
      <c r="AH71" s="98"/>
      <c r="AI71" s="82"/>
      <c r="AJ71" s="98"/>
      <c r="AK71" s="83"/>
      <c r="AL71" s="84" t="str">
        <f>IF(F71&lt;&gt;0,IF(_xlfn.MAXIFS($I$1:I71,$F$1:F71,F71,$H$1:H71,"&gt;"&amp;0)=0,"KM NÃO ENCONTRADO",IF(H71=0,CONCATENATE("SUGESTÃO DE KM PARA PLACA ",F71," *",_xlfn.MAXIFS($I$1:I71,$F$1:F71,F71,$H$1:H71,"&gt;"&amp;0),"*"),"")),"")</f>
        <v/>
      </c>
      <c r="AM71" s="85" t="str" cm="1">
        <f t="array" ref="AM71">IFERROR(IF(M71&lt;&gt;"","",CONCATENATE("https://btx.brasiltrack.com/logistica/trajeto.php?idveiculo=",VLOOKUP(F71,DATAS!$A$221:$B$250,2,FALSE),"&amp;lat=-22.204247","&amp;data_ini=",TEXT(IF(E71&lt;&gt;"",IF(COUNTIF($F$2:$F71,F71)&gt;1,MAX(IF($F$1:$F70=F71,$E$1:$E70)),""),""),"DD/MM/AAAA"),"&amp;data_fim=",TEXT(E71,"DD/MM/AAAA"),"&amp;hora_inicial=",HOUR(IF(E71&lt;&gt;"",IF(COUNTIF($F$2:$F71,F71)&gt;1,MAX(IF($F$1:$F70=F71,$E$1:$E70)),""),"")),"&amp;minuto_inicial=",MINUTE(IF(E71&lt;&gt;"",IF(COUNTIF($F$2:$F71,F71)&gt;1,MAX(IF($F$1:$F70=F71,$E$1:$E70)),""),"")),"&amp;hora_final=",HOUR(E71),"&amp;minuto_final=",MINUTE(E71),"&amp;periodo=6&amp;tipo=por_data&amp;upos=false&amp;outequip=0")),"")</f>
        <v>https://btx.brasiltrack.com/logistica/trajeto.php?idveiculo=6CC0A70E-9379-4BF7-9063-21D318A103FE&amp;lat=-22.204247&amp;data_ini=07/11/2022&amp;data_fim=09/11/2022&amp;hora_inicial=15&amp;minuto_inicial=26&amp;hora_final=7&amp;minuto_final=16&amp;periodo=6&amp;tipo=por_data&amp;upos=false&amp;outequip=0</v>
      </c>
      <c r="AN71" s="100" t="str">
        <f t="shared" si="11"/>
        <v xml:space="preserve">               </v>
      </c>
    </row>
    <row r="72" spans="1:40" x14ac:dyDescent="0.25">
      <c r="A72" s="81"/>
      <c r="B72" s="81"/>
      <c r="C72" s="81"/>
      <c r="D72" s="144">
        <v>44866</v>
      </c>
      <c r="E72" s="76">
        <v>44874.505555555559</v>
      </c>
      <c r="F72" s="6" t="s">
        <v>29</v>
      </c>
      <c r="G72" s="5" t="str">
        <f>IFERROR(VLOOKUP(SUMIFS(MSOLICITADA!$I:$I,MSOLICITADA!$B:$B,D72,MSOLICITADA!$F:$F,F72),CODIGOSPLACAS!$A$64:$B$89,2,FALSE),"")</f>
        <v>EDNILSON</v>
      </c>
      <c r="H72" s="77">
        <v>224816</v>
      </c>
      <c r="I72" s="77">
        <v>225453</v>
      </c>
      <c r="J72" s="7">
        <v>364</v>
      </c>
      <c r="K72" s="78">
        <v>2325.96</v>
      </c>
      <c r="L72" s="79" t="s">
        <v>111</v>
      </c>
      <c r="M72" s="6"/>
      <c r="N72" s="5">
        <f t="shared" si="7"/>
        <v>637</v>
      </c>
      <c r="O72" s="80">
        <f t="shared" si="8"/>
        <v>6.39</v>
      </c>
      <c r="P72" s="8">
        <f t="shared" si="9"/>
        <v>1.75</v>
      </c>
      <c r="Q72" s="8">
        <f t="shared" si="6"/>
        <v>1.5506852118293495</v>
      </c>
      <c r="R72" s="81">
        <f t="shared" si="10"/>
        <v>0</v>
      </c>
      <c r="S72" s="113" t="str">
        <f>IF(F72="","",IF(H72="",TEXT(_xlfn.MAXIFS($I$1:I72,$F$1:F72,F72,$H$1:H72,"&gt;"&amp;0),"000.000"),F72))</f>
        <v>GKA2J56</v>
      </c>
      <c r="T72" s="81"/>
      <c r="U72" s="82"/>
      <c r="V72" s="98"/>
      <c r="W72" s="82"/>
      <c r="X72" s="98"/>
      <c r="Y72" s="82"/>
      <c r="Z72" s="98"/>
      <c r="AA72" s="82"/>
      <c r="AB72" s="98"/>
      <c r="AC72" s="82"/>
      <c r="AD72" s="98"/>
      <c r="AE72" s="117"/>
      <c r="AF72" s="98"/>
      <c r="AG72" s="98"/>
      <c r="AH72" s="98"/>
      <c r="AI72" s="82"/>
      <c r="AJ72" s="98"/>
      <c r="AK72" s="83"/>
      <c r="AL72" s="84" t="str">
        <f>IF(F72&lt;&gt;0,IF(_xlfn.MAXIFS($I$1:I72,$F$1:F72,F72,$H$1:H72,"&gt;"&amp;0)=0,"KM NÃO ENCONTRADO",IF(H72=0,CONCATENATE("SUGESTÃO DE KM PARA PLACA ",F72," *",_xlfn.MAXIFS($I$1:I72,$F$1:F72,F72,$H$1:H72,"&gt;"&amp;0),"*"),"")),"")</f>
        <v/>
      </c>
      <c r="AM72" s="85" t="str" cm="1">
        <f t="array" ref="AM72">IFERROR(IF(M72&lt;&gt;"","",CONCATENATE("https://btx.brasiltrack.com/logistica/trajeto.php?idveiculo=",VLOOKUP(F72,DATAS!$A$221:$B$250,2,FALSE),"&amp;lat=-22.204247","&amp;data_ini=",TEXT(IF(E72&lt;&gt;"",IF(COUNTIF($F$2:$F72,F72)&gt;1,MAX(IF($F$1:$F71=F72,$E$1:$E71)),""),""),"DD/MM/AAAA"),"&amp;data_fim=",TEXT(E72,"DD/MM/AAAA"),"&amp;hora_inicial=",HOUR(IF(E72&lt;&gt;"",IF(COUNTIF($F$2:$F72,F72)&gt;1,MAX(IF($F$1:$F71=F72,$E$1:$E71)),""),"")),"&amp;minuto_inicial=",MINUTE(IF(E72&lt;&gt;"",IF(COUNTIF($F$2:$F72,F72)&gt;1,MAX(IF($F$1:$F71=F72,$E$1:$E71)),""),"")),"&amp;hora_final=",HOUR(E72),"&amp;minuto_final=",MINUTE(E72),"&amp;periodo=6&amp;tipo=por_data&amp;upos=false&amp;outequip=0")),"")</f>
        <v>https://btx.brasiltrack.com/logistica/trajeto.php?idveiculo=75A3D88C-4B99-481A-ACC8-34008151E92D&amp;lat=-22.204247&amp;data_ini=08/11/2022&amp;data_fim=09/11/2022&amp;hora_inicial=10&amp;minuto_inicial=0&amp;hora_final=12&amp;minuto_final=8&amp;periodo=6&amp;tipo=por_data&amp;upos=false&amp;outequip=0</v>
      </c>
      <c r="AN72" s="100" t="str">
        <f t="shared" si="11"/>
        <v xml:space="preserve">               </v>
      </c>
    </row>
    <row r="73" spans="1:40" x14ac:dyDescent="0.25">
      <c r="A73" s="81"/>
      <c r="B73" s="81"/>
      <c r="C73" s="81"/>
      <c r="D73" s="144">
        <v>44866</v>
      </c>
      <c r="E73" s="76">
        <v>44874.509027777778</v>
      </c>
      <c r="F73" s="6" t="s">
        <v>26</v>
      </c>
      <c r="G73" s="5" t="str">
        <f>IFERROR(VLOOKUP(SUMIFS(MSOLICITADA!$I:$I,MSOLICITADA!$B:$B,D73,MSOLICITADA!$F:$F,F73),CODIGOSPLACAS!$A$64:$B$89,2,FALSE),"")</f>
        <v>DIEGO</v>
      </c>
      <c r="H73" s="77">
        <v>391266</v>
      </c>
      <c r="I73" s="77">
        <v>391416</v>
      </c>
      <c r="J73" s="7">
        <v>96.81</v>
      </c>
      <c r="K73" s="78">
        <v>620.54999999999995</v>
      </c>
      <c r="L73" s="79" t="s">
        <v>111</v>
      </c>
      <c r="M73" s="6"/>
      <c r="N73" s="5">
        <f t="shared" si="7"/>
        <v>150</v>
      </c>
      <c r="O73" s="80">
        <f t="shared" si="8"/>
        <v>6.4099783080260302</v>
      </c>
      <c r="P73" s="8">
        <f t="shared" si="9"/>
        <v>1.5494267121165168</v>
      </c>
      <c r="Q73" s="8">
        <f t="shared" si="6"/>
        <v>1.4215213058096179</v>
      </c>
      <c r="R73" s="81">
        <f t="shared" si="10"/>
        <v>0</v>
      </c>
      <c r="S73" s="113" t="str">
        <f>IF(F73="","",IF(H73="",TEXT(_xlfn.MAXIFS($I$1:I73,$F$1:F73,F73,$H$1:H73,"&gt;"&amp;0),"000.000"),F73))</f>
        <v>BZA3587</v>
      </c>
      <c r="T73" s="81"/>
      <c r="U73" s="82"/>
      <c r="V73" s="98"/>
      <c r="W73" s="82"/>
      <c r="X73" s="98"/>
      <c r="Y73" s="82"/>
      <c r="Z73" s="98"/>
      <c r="AA73" s="82"/>
      <c r="AB73" s="98"/>
      <c r="AC73" s="82"/>
      <c r="AD73" s="98"/>
      <c r="AE73" s="117"/>
      <c r="AF73" s="98"/>
      <c r="AG73" s="98"/>
      <c r="AH73" s="98"/>
      <c r="AI73" s="82"/>
      <c r="AJ73" s="98"/>
      <c r="AK73" s="83"/>
      <c r="AL73" s="84" t="str">
        <f>IF(F73&lt;&gt;0,IF(_xlfn.MAXIFS($I$1:I73,$F$1:F73,F73,$H$1:H73,"&gt;"&amp;0)=0,"KM NÃO ENCONTRADO",IF(H73=0,CONCATENATE("SUGESTÃO DE KM PARA PLACA ",F73," *",_xlfn.MAXIFS($I$1:I73,$F$1:F73,F73,$H$1:H73,"&gt;"&amp;0),"*"),"")),"")</f>
        <v/>
      </c>
      <c r="AM73" s="85" t="str" cm="1">
        <f t="array" ref="AM73">IFERROR(IF(M73&lt;&gt;"","",CONCATENATE("https://btx.brasiltrack.com/logistica/trajeto.php?idveiculo=",VLOOKUP(F73,DATAS!$A$221:$B$250,2,FALSE),"&amp;lat=-22.204247","&amp;data_ini=",TEXT(IF(E73&lt;&gt;"",IF(COUNTIF($F$2:$F73,F73)&gt;1,MAX(IF($F$1:$F72=F73,$E$1:$E72)),""),""),"DD/MM/AAAA"),"&amp;data_fim=",TEXT(E73,"DD/MM/AAAA"),"&amp;hora_inicial=",HOUR(IF(E73&lt;&gt;"",IF(COUNTIF($F$2:$F73,F73)&gt;1,MAX(IF($F$1:$F72=F73,$E$1:$E72)),""),"")),"&amp;minuto_inicial=",MINUTE(IF(E73&lt;&gt;"",IF(COUNTIF($F$2:$F73,F73)&gt;1,MAX(IF($F$1:$F72=F73,$E$1:$E72)),""),"")),"&amp;hora_final=",HOUR(E73),"&amp;minuto_final=",MINUTE(E73),"&amp;periodo=6&amp;tipo=por_data&amp;upos=false&amp;outequip=0")),"")</f>
        <v>https://btx.brasiltrack.com/logistica/trajeto.php?idveiculo=6CC0A70E-9379-4BF7-9063-21D318A103FE&amp;lat=-22.204247&amp;data_ini=09/11/2022&amp;data_fim=09/11/2022&amp;hora_inicial=7&amp;minuto_inicial=16&amp;hora_final=12&amp;minuto_final=13&amp;periodo=6&amp;tipo=por_data&amp;upos=false&amp;outequip=0</v>
      </c>
      <c r="AN73" s="100" t="str">
        <f t="shared" si="11"/>
        <v xml:space="preserve">               </v>
      </c>
    </row>
    <row r="74" spans="1:40" x14ac:dyDescent="0.25">
      <c r="A74" s="81"/>
      <c r="B74" s="81"/>
      <c r="C74" s="81"/>
      <c r="D74" s="144">
        <v>44866</v>
      </c>
      <c r="E74" s="76">
        <v>44874.745833333334</v>
      </c>
      <c r="F74" s="6" t="s">
        <v>131</v>
      </c>
      <c r="G74" s="5" t="str">
        <f>IFERROR(VLOOKUP(SUMIFS(MSOLICITADA!$I:$I,MSOLICITADA!$B:$B,D74,MSOLICITADA!$F:$F,F74),CODIGOSPLACAS!$A$64:$B$89,2,FALSE),"")</f>
        <v>ALTIELIS</v>
      </c>
      <c r="H74" s="77">
        <v>35387</v>
      </c>
      <c r="I74" s="77">
        <v>35860</v>
      </c>
      <c r="J74" s="7">
        <v>342.01</v>
      </c>
      <c r="K74" s="78">
        <v>2274.36</v>
      </c>
      <c r="L74" s="79" t="s">
        <v>111</v>
      </c>
      <c r="M74" s="6"/>
      <c r="N74" s="5">
        <f t="shared" si="7"/>
        <v>473</v>
      </c>
      <c r="O74" s="80">
        <f t="shared" si="8"/>
        <v>6.6499809947077573</v>
      </c>
      <c r="P74" s="8">
        <f t="shared" si="9"/>
        <v>1.3830004970614895</v>
      </c>
      <c r="Q74" s="8">
        <f t="shared" si="6"/>
        <v>1.4985018243623649</v>
      </c>
      <c r="R74" s="81">
        <f t="shared" si="10"/>
        <v>0</v>
      </c>
      <c r="S74" s="113" t="str">
        <f>IF(F74="","",IF(H74="",TEXT(_xlfn.MAXIFS($I$1:I74,$F$1:F74,F74,$H$1:H74,"&gt;"&amp;0),"000.000"),F74))</f>
        <v>GGN4J86</v>
      </c>
      <c r="T74" s="81"/>
      <c r="U74" s="82"/>
      <c r="V74" s="98"/>
      <c r="W74" s="82"/>
      <c r="X74" s="98"/>
      <c r="Y74" s="82"/>
      <c r="Z74" s="98"/>
      <c r="AA74" s="82"/>
      <c r="AB74" s="98"/>
      <c r="AC74" s="82"/>
      <c r="AD74" s="98"/>
      <c r="AE74" s="117"/>
      <c r="AF74" s="98"/>
      <c r="AG74" s="98"/>
      <c r="AH74" s="98"/>
      <c r="AI74" s="82"/>
      <c r="AJ74" s="98"/>
      <c r="AK74" s="83"/>
      <c r="AL74" s="84" t="str">
        <f>IF(F74&lt;&gt;0,IF(_xlfn.MAXIFS($I$1:I74,$F$1:F74,F74,$H$1:H74,"&gt;"&amp;0)=0,"KM NÃO ENCONTRADO",IF(H74=0,CONCATENATE("SUGESTÃO DE KM PARA PLACA ",F74," *",_xlfn.MAXIFS($I$1:I74,$F$1:F74,F74,$H$1:H74,"&gt;"&amp;0),"*"),"")),"")</f>
        <v/>
      </c>
      <c r="AM74" s="85" t="str" cm="1">
        <f t="array" ref="AM74">IFERROR(IF(M74&lt;&gt;"","",CONCATENATE("https://btx.brasiltrack.com/logistica/trajeto.php?idveiculo=",VLOOKUP(F74,DATAS!$A$221:$B$250,2,FALSE),"&amp;lat=-22.204247","&amp;data_ini=",TEXT(IF(E74&lt;&gt;"",IF(COUNTIF($F$2:$F74,F74)&gt;1,MAX(IF($F$1:$F73=F74,$E$1:$E73)),""),""),"DD/MM/AAAA"),"&amp;data_fim=",TEXT(E74,"DD/MM/AAAA"),"&amp;hora_inicial=",HOUR(IF(E74&lt;&gt;"",IF(COUNTIF($F$2:$F74,F74)&gt;1,MAX(IF($F$1:$F73=F74,$E$1:$E73)),""),"")),"&amp;minuto_inicial=",MINUTE(IF(E74&lt;&gt;"",IF(COUNTIF($F$2:$F74,F74)&gt;1,MAX(IF($F$1:$F73=F74,$E$1:$E73)),""),"")),"&amp;hora_final=",HOUR(E74),"&amp;minuto_final=",MINUTE(E74),"&amp;periodo=6&amp;tipo=por_data&amp;upos=false&amp;outequip=0")),"")</f>
        <v>https://btx.brasiltrack.com/logistica/trajeto.php?idveiculo=0C13AEC3-426E-4E1A-A62E-C4BA625F41E7&amp;lat=-22.204247&amp;data_ini=08/11/2022&amp;data_fim=09/11/2022&amp;hora_inicial=15&amp;minuto_inicial=23&amp;hora_final=17&amp;minuto_final=54&amp;periodo=6&amp;tipo=por_data&amp;upos=false&amp;outequip=0</v>
      </c>
      <c r="AN74" s="100" t="str">
        <f t="shared" si="11"/>
        <v xml:space="preserve">               </v>
      </c>
    </row>
    <row r="75" spans="1:40" x14ac:dyDescent="0.25">
      <c r="A75" s="81"/>
      <c r="B75" s="81"/>
      <c r="C75" s="81"/>
      <c r="D75" s="144">
        <v>44866</v>
      </c>
      <c r="E75" s="76">
        <v>44874.806944444441</v>
      </c>
      <c r="F75" s="6" t="s">
        <v>126</v>
      </c>
      <c r="G75" s="5" t="str">
        <f>IFERROR(VLOOKUP(SUMIFS(MSOLICITADA!$I:$I,MSOLICITADA!$B:$B,D75,MSOLICITADA!$F:$F,F75),CODIGOSPLACAS!$A$64:$B$89,2,FALSE),"")</f>
        <v>IZAIAS</v>
      </c>
      <c r="H75" s="77">
        <v>476822</v>
      </c>
      <c r="I75" s="77">
        <v>477700</v>
      </c>
      <c r="J75" s="7">
        <v>695.02</v>
      </c>
      <c r="K75" s="78">
        <v>4628.83</v>
      </c>
      <c r="L75" s="79" t="s">
        <v>111</v>
      </c>
      <c r="M75" s="6"/>
      <c r="N75" s="5">
        <f t="shared" si="7"/>
        <v>878</v>
      </c>
      <c r="O75" s="80">
        <f t="shared" si="8"/>
        <v>6.6599953958159475</v>
      </c>
      <c r="P75" s="8">
        <f t="shared" si="9"/>
        <v>1.2632729993381486</v>
      </c>
      <c r="Q75" s="8">
        <f t="shared" si="6"/>
        <v>1.4310423058843909</v>
      </c>
      <c r="R75" s="81">
        <f t="shared" si="10"/>
        <v>0</v>
      </c>
      <c r="S75" s="113" t="str">
        <f>IF(F75="","",IF(H75="",TEXT(_xlfn.MAXIFS($I$1:I75,$F$1:F75,F75,$H$1:H75,"&gt;"&amp;0),"000.000"),F75))</f>
        <v>GHX4D71</v>
      </c>
      <c r="T75" s="81"/>
      <c r="U75" s="82"/>
      <c r="V75" s="98"/>
      <c r="W75" s="82"/>
      <c r="X75" s="98"/>
      <c r="Y75" s="82"/>
      <c r="Z75" s="98"/>
      <c r="AA75" s="82"/>
      <c r="AB75" s="98"/>
      <c r="AC75" s="82"/>
      <c r="AD75" s="98"/>
      <c r="AE75" s="117"/>
      <c r="AF75" s="98"/>
      <c r="AG75" s="98"/>
      <c r="AH75" s="98"/>
      <c r="AI75" s="82"/>
      <c r="AJ75" s="98"/>
      <c r="AK75" s="83"/>
      <c r="AL75" s="84" t="str">
        <f>IF(F75&lt;&gt;0,IF(_xlfn.MAXIFS($I$1:I75,$F$1:F75,F75,$H$1:H75,"&gt;"&amp;0)=0,"KM NÃO ENCONTRADO",IF(H75=0,CONCATENATE("SUGESTÃO DE KM PARA PLACA ",F75," *",_xlfn.MAXIFS($I$1:I75,$F$1:F75,F75,$H$1:H75,"&gt;"&amp;0),"*"),"")),"")</f>
        <v/>
      </c>
      <c r="AM75" s="85" t="str" cm="1">
        <f t="array" ref="AM75">IFERROR(IF(M75&lt;&gt;"","",CONCATENATE("https://btx.brasiltrack.com/logistica/trajeto.php?idveiculo=",VLOOKUP(F75,DATAS!$A$221:$B$250,2,FALSE),"&amp;lat=-22.204247","&amp;data_ini=",TEXT(IF(E75&lt;&gt;"",IF(COUNTIF($F$2:$F75,F75)&gt;1,MAX(IF($F$1:$F74=F75,$E$1:$E74)),""),""),"DD/MM/AAAA"),"&amp;data_fim=",TEXT(E75,"DD/MM/AAAA"),"&amp;hora_inicial=",HOUR(IF(E75&lt;&gt;"",IF(COUNTIF($F$2:$F75,F75)&gt;1,MAX(IF($F$1:$F74=F75,$E$1:$E74)),""),"")),"&amp;minuto_inicial=",MINUTE(IF(E75&lt;&gt;"",IF(COUNTIF($F$2:$F75,F75)&gt;1,MAX(IF($F$1:$F74=F75,$E$1:$E74)),""),"")),"&amp;hora_final=",HOUR(E75),"&amp;minuto_final=",MINUTE(E75),"&amp;periodo=6&amp;tipo=por_data&amp;upos=false&amp;outequip=0")),"")</f>
        <v>https://btx.brasiltrack.com/logistica/trajeto.php?idveiculo=6B5F18E0-6EAE-404A-AE41-39E549361094&amp;lat=-22.204247&amp;data_ini=04/11/2022&amp;data_fim=09/11/2022&amp;hora_inicial=15&amp;minuto_inicial=20&amp;hora_final=19&amp;minuto_final=22&amp;periodo=6&amp;tipo=por_data&amp;upos=false&amp;outequip=0</v>
      </c>
      <c r="AN75" s="100" t="str">
        <f t="shared" si="11"/>
        <v xml:space="preserve">               </v>
      </c>
    </row>
    <row r="76" spans="1:40" x14ac:dyDescent="0.25">
      <c r="A76" s="81"/>
      <c r="B76" s="81"/>
      <c r="C76" s="81"/>
      <c r="D76" s="144">
        <v>44866</v>
      </c>
      <c r="E76" s="76">
        <v>44875.493055555555</v>
      </c>
      <c r="F76" s="6" t="s">
        <v>23</v>
      </c>
      <c r="G76" s="5" t="str">
        <f>IFERROR(VLOOKUP(SUMIFS(MSOLICITADA!$I:$I,MSOLICITADA!$B:$B,D76,MSOLICITADA!$F:$F,F76),CODIGOSPLACAS!$A$64:$B$89,2,FALSE),"")</f>
        <v>ISAC</v>
      </c>
      <c r="H76" s="77">
        <v>1194771</v>
      </c>
      <c r="I76" s="77">
        <v>1195245</v>
      </c>
      <c r="J76" s="7">
        <v>370</v>
      </c>
      <c r="K76" s="78">
        <v>2371.6999999999998</v>
      </c>
      <c r="L76" s="79" t="s">
        <v>111</v>
      </c>
      <c r="M76" s="6"/>
      <c r="N76" s="5">
        <f t="shared" si="7"/>
        <v>474</v>
      </c>
      <c r="O76" s="80">
        <f t="shared" si="8"/>
        <v>6.4099999999999993</v>
      </c>
      <c r="P76" s="8">
        <f t="shared" si="9"/>
        <v>1.2810810810810811</v>
      </c>
      <c r="Q76" s="8">
        <f t="shared" si="6"/>
        <v>1.447714664858804</v>
      </c>
      <c r="R76" s="81">
        <f t="shared" si="10"/>
        <v>0</v>
      </c>
      <c r="S76" s="113" t="str">
        <f>IF(F76="","",IF(H76="",TEXT(_xlfn.MAXIFS($I$1:I76,$F$1:F76,F76,$H$1:H76,"&gt;"&amp;0),"000.000"),F76))</f>
        <v>HNC7I76</v>
      </c>
      <c r="T76" s="81"/>
      <c r="U76" s="82"/>
      <c r="V76" s="98"/>
      <c r="W76" s="82"/>
      <c r="X76" s="98"/>
      <c r="Y76" s="82"/>
      <c r="Z76" s="98"/>
      <c r="AA76" s="82"/>
      <c r="AB76" s="98"/>
      <c r="AC76" s="82"/>
      <c r="AD76" s="98"/>
      <c r="AE76" s="117"/>
      <c r="AF76" s="98"/>
      <c r="AG76" s="98"/>
      <c r="AH76" s="98"/>
      <c r="AI76" s="82"/>
      <c r="AJ76" s="98"/>
      <c r="AK76" s="83"/>
      <c r="AL76" s="84" t="str">
        <f>IF(F76&lt;&gt;0,IF(_xlfn.MAXIFS($I$1:I76,$F$1:F76,F76,$H$1:H76,"&gt;"&amp;0)=0,"KM NÃO ENCONTRADO",IF(H76=0,CONCATENATE("SUGESTÃO DE KM PARA PLACA ",F76," *",_xlfn.MAXIFS($I$1:I76,$F$1:F76,F76,$H$1:H76,"&gt;"&amp;0),"*"),"")),"")</f>
        <v/>
      </c>
      <c r="AM76" s="85" t="str" cm="1">
        <f t="array" ref="AM76">IFERROR(IF(M76&lt;&gt;"","",CONCATENATE("https://btx.brasiltrack.com/logistica/trajeto.php?idveiculo=",VLOOKUP(F76,DATAS!$A$221:$B$250,2,FALSE),"&amp;lat=-22.204247","&amp;data_ini=",TEXT(IF(E76&lt;&gt;"",IF(COUNTIF($F$2:$F76,F76)&gt;1,MAX(IF($F$1:$F75=F76,$E$1:$E75)),""),""),"DD/MM/AAAA"),"&amp;data_fim=",TEXT(E76,"DD/MM/AAAA"),"&amp;hora_inicial=",HOUR(IF(E76&lt;&gt;"",IF(COUNTIF($F$2:$F76,F76)&gt;1,MAX(IF($F$1:$F75=F76,$E$1:$E75)),""),"")),"&amp;minuto_inicial=",MINUTE(IF(E76&lt;&gt;"",IF(COUNTIF($F$2:$F76,F76)&gt;1,MAX(IF($F$1:$F75=F76,$E$1:$E75)),""),"")),"&amp;hora_final=",HOUR(E76),"&amp;minuto_final=",MINUTE(E76),"&amp;periodo=6&amp;tipo=por_data&amp;upos=false&amp;outequip=0")),"")</f>
        <v>https://btx.brasiltrack.com/logistica/trajeto.php?idveiculo=B05A8E44-5DA1-4128-83F0-8DDE6CB8291B&amp;lat=-22.204247&amp;data_ini=08/11/2022&amp;data_fim=10/11/2022&amp;hora_inicial=21&amp;minuto_inicial=38&amp;hora_final=11&amp;minuto_final=50&amp;periodo=6&amp;tipo=por_data&amp;upos=false&amp;outequip=0</v>
      </c>
      <c r="AN76" s="100" t="str">
        <f t="shared" si="11"/>
        <v xml:space="preserve">               </v>
      </c>
    </row>
    <row r="77" spans="1:40" x14ac:dyDescent="0.25">
      <c r="A77" s="81"/>
      <c r="B77" s="81"/>
      <c r="C77" s="81"/>
      <c r="D77" s="144">
        <v>44866</v>
      </c>
      <c r="E77" s="76">
        <v>44875.500694444447</v>
      </c>
      <c r="F77" s="6" t="s">
        <v>28</v>
      </c>
      <c r="G77" s="5" t="str">
        <f>IFERROR(VLOOKUP(SUMIFS(MSOLICITADA!$I:$I,MSOLICITADA!$B:$B,D77,MSOLICITADA!$F:$F,F77),CODIGOSPLACAS!$A$64:$B$89,2,FALSE),"")</f>
        <v>RONY</v>
      </c>
      <c r="H77" s="77">
        <v>231477</v>
      </c>
      <c r="I77" s="77">
        <v>232223</v>
      </c>
      <c r="J77" s="7">
        <v>457</v>
      </c>
      <c r="K77" s="78">
        <v>2929.37</v>
      </c>
      <c r="L77" s="79" t="s">
        <v>111</v>
      </c>
      <c r="M77" s="6"/>
      <c r="N77" s="5">
        <f t="shared" si="7"/>
        <v>746</v>
      </c>
      <c r="O77" s="80">
        <f t="shared" si="8"/>
        <v>6.41</v>
      </c>
      <c r="P77" s="8">
        <f t="shared" si="9"/>
        <v>1.6323851203501094</v>
      </c>
      <c r="Q77" s="8">
        <f t="shared" si="6"/>
        <v>1.398271770983244</v>
      </c>
      <c r="R77" s="81">
        <f t="shared" si="10"/>
        <v>0</v>
      </c>
      <c r="S77" s="113" t="str">
        <f>IF(F77="","",IF(H77="",TEXT(_xlfn.MAXIFS($I$1:I77,$F$1:F77,F77,$H$1:H77,"&gt;"&amp;0),"000.000"),F77))</f>
        <v>FZA3E94</v>
      </c>
      <c r="T77" s="81"/>
      <c r="U77" s="82"/>
      <c r="V77" s="98"/>
      <c r="W77" s="82"/>
      <c r="X77" s="98"/>
      <c r="Y77" s="82"/>
      <c r="Z77" s="98"/>
      <c r="AA77" s="82"/>
      <c r="AB77" s="98"/>
      <c r="AC77" s="82"/>
      <c r="AD77" s="98"/>
      <c r="AE77" s="117"/>
      <c r="AF77" s="98"/>
      <c r="AG77" s="98"/>
      <c r="AH77" s="98"/>
      <c r="AI77" s="82"/>
      <c r="AJ77" s="98"/>
      <c r="AK77" s="83"/>
      <c r="AL77" s="84" t="str">
        <f>IF(F77&lt;&gt;0,IF(_xlfn.MAXIFS($I$1:I77,$F$1:F77,F77,$H$1:H77,"&gt;"&amp;0)=0,"KM NÃO ENCONTRADO",IF(H77=0,CONCATENATE("SUGESTÃO DE KM PARA PLACA ",F77," *",_xlfn.MAXIFS($I$1:I77,$F$1:F77,F77,$H$1:H77,"&gt;"&amp;0),"*"),"")),"")</f>
        <v/>
      </c>
      <c r="AM77" s="85" t="str" cm="1">
        <f t="array" ref="AM77">IFERROR(IF(M77&lt;&gt;"","",CONCATENATE("https://btx.brasiltrack.com/logistica/trajeto.php?idveiculo=",VLOOKUP(F77,DATAS!$A$221:$B$250,2,FALSE),"&amp;lat=-22.204247","&amp;data_ini=",TEXT(IF(E77&lt;&gt;"",IF(COUNTIF($F$2:$F77,F77)&gt;1,MAX(IF($F$1:$F76=F77,$E$1:$E76)),""),""),"DD/MM/AAAA"),"&amp;data_fim=",TEXT(E77,"DD/MM/AAAA"),"&amp;hora_inicial=",HOUR(IF(E77&lt;&gt;"",IF(COUNTIF($F$2:$F77,F77)&gt;1,MAX(IF($F$1:$F76=F77,$E$1:$E76)),""),"")),"&amp;minuto_inicial=",MINUTE(IF(E77&lt;&gt;"",IF(COUNTIF($F$2:$F77,F77)&gt;1,MAX(IF($F$1:$F76=F77,$E$1:$E76)),""),"")),"&amp;hora_final=",HOUR(E77),"&amp;minuto_final=",MINUTE(E77),"&amp;periodo=6&amp;tipo=por_data&amp;upos=false&amp;outequip=0")),"")</f>
        <v>https://btx.brasiltrack.com/logistica/trajeto.php?idveiculo=4DFC6CC2-BC04-4FE8-81DF-C3A3882D850D&amp;lat=-22.204247&amp;data_ini=08/11/2022&amp;data_fim=10/11/2022&amp;hora_inicial=9&amp;minuto_inicial=52&amp;hora_final=12&amp;minuto_final=1&amp;periodo=6&amp;tipo=por_data&amp;upos=false&amp;outequip=0</v>
      </c>
      <c r="AN77" s="100" t="str">
        <f t="shared" si="11"/>
        <v xml:space="preserve">               </v>
      </c>
    </row>
    <row r="78" spans="1:40" x14ac:dyDescent="0.25">
      <c r="A78" s="81"/>
      <c r="B78" s="81"/>
      <c r="C78" s="81"/>
      <c r="D78" s="144">
        <v>44866</v>
      </c>
      <c r="E78" s="76">
        <v>44875.501388888886</v>
      </c>
      <c r="F78" s="6" t="s">
        <v>24</v>
      </c>
      <c r="G78" s="5" t="str">
        <f>IFERROR(VLOOKUP(SUMIFS(MSOLICITADA!$I:$I,MSOLICITADA!$B:$B,D78,MSOLICITADA!$F:$F,F78),CODIGOSPLACAS!$A$64:$B$89,2,FALSE),"")</f>
        <v>PAULO HENR.</v>
      </c>
      <c r="H78" s="77">
        <v>937978</v>
      </c>
      <c r="I78" s="77">
        <v>938636</v>
      </c>
      <c r="J78" s="7">
        <v>500</v>
      </c>
      <c r="K78" s="78">
        <v>3205</v>
      </c>
      <c r="L78" s="79" t="s">
        <v>111</v>
      </c>
      <c r="M78" s="6"/>
      <c r="N78" s="5">
        <f t="shared" si="7"/>
        <v>658</v>
      </c>
      <c r="O78" s="80">
        <f t="shared" si="8"/>
        <v>6.41</v>
      </c>
      <c r="P78" s="8">
        <f t="shared" si="9"/>
        <v>1.3160000000000001</v>
      </c>
      <c r="Q78" s="8">
        <f t="shared" si="6"/>
        <v>1.4770603223392504</v>
      </c>
      <c r="R78" s="81">
        <f t="shared" si="10"/>
        <v>0</v>
      </c>
      <c r="S78" s="113" t="str">
        <f>IF(F78="","",IF(H78="",TEXT(_xlfn.MAXIFS($I$1:I78,$F$1:F78,F78,$H$1:H78,"&gt;"&amp;0),"000.000"),F78))</f>
        <v>FKS0J24</v>
      </c>
      <c r="T78" s="81"/>
      <c r="U78" s="82"/>
      <c r="V78" s="98"/>
      <c r="W78" s="82"/>
      <c r="X78" s="98"/>
      <c r="Y78" s="82"/>
      <c r="Z78" s="98"/>
      <c r="AA78" s="82"/>
      <c r="AB78" s="98"/>
      <c r="AC78" s="82"/>
      <c r="AD78" s="98"/>
      <c r="AE78" s="117"/>
      <c r="AF78" s="98"/>
      <c r="AG78" s="98"/>
      <c r="AH78" s="98"/>
      <c r="AI78" s="82"/>
      <c r="AJ78" s="98"/>
      <c r="AK78" s="83"/>
      <c r="AL78" s="84" t="str">
        <f>IF(F78&lt;&gt;0,IF(_xlfn.MAXIFS($I$1:I78,$F$1:F78,F78,$H$1:H78,"&gt;"&amp;0)=0,"KM NÃO ENCONTRADO",IF(H78=0,CONCATENATE("SUGESTÃO DE KM PARA PLACA ",F78," *",_xlfn.MAXIFS($I$1:I78,$F$1:F78,F78,$H$1:H78,"&gt;"&amp;0),"*"),"")),"")</f>
        <v/>
      </c>
      <c r="AM78" s="85" t="str" cm="1">
        <f t="array" ref="AM78">IFERROR(IF(M78&lt;&gt;"","",CONCATENATE("https://btx.brasiltrack.com/logistica/trajeto.php?idveiculo=",VLOOKUP(F78,DATAS!$A$221:$B$250,2,FALSE),"&amp;lat=-22.204247","&amp;data_ini=",TEXT(IF(E78&lt;&gt;"",IF(COUNTIF($F$2:$F78,F78)&gt;1,MAX(IF($F$1:$F77=F78,$E$1:$E77)),""),""),"DD/MM/AAAA"),"&amp;data_fim=",TEXT(E78,"DD/MM/AAAA"),"&amp;hora_inicial=",HOUR(IF(E78&lt;&gt;"",IF(COUNTIF($F$2:$F78,F78)&gt;1,MAX(IF($F$1:$F77=F78,$E$1:$E77)),""),"")),"&amp;minuto_inicial=",MINUTE(IF(E78&lt;&gt;"",IF(COUNTIF($F$2:$F78,F78)&gt;1,MAX(IF($F$1:$F77=F78,$E$1:$E77)),""),"")),"&amp;hora_final=",HOUR(E78),"&amp;minuto_final=",MINUTE(E78),"&amp;periodo=6&amp;tipo=por_data&amp;upos=false&amp;outequip=0")),"")</f>
        <v>https://btx.brasiltrack.com/logistica/trajeto.php?idveiculo=F4FE5996-DC74-4D0B-AEF1-D6ADE020157C&amp;lat=-22.204247&amp;data_ini=08/11/2022&amp;data_fim=10/11/2022&amp;hora_inicial=9&amp;minuto_inicial=55&amp;hora_final=12&amp;minuto_final=2&amp;periodo=6&amp;tipo=por_data&amp;upos=false&amp;outequip=0</v>
      </c>
      <c r="AN78" s="100" t="str">
        <f t="shared" si="11"/>
        <v xml:space="preserve">               </v>
      </c>
    </row>
    <row r="79" spans="1:40" x14ac:dyDescent="0.25">
      <c r="A79" s="81"/>
      <c r="B79" s="81"/>
      <c r="C79" s="81"/>
      <c r="D79" s="144">
        <v>44866</v>
      </c>
      <c r="E79" s="76">
        <v>44875.503472222219</v>
      </c>
      <c r="F79" s="6" t="s">
        <v>30</v>
      </c>
      <c r="G79" s="5" t="str">
        <f>IFERROR(VLOOKUP(SUMIFS(MSOLICITADA!$I:$I,MSOLICITADA!$B:$B,D79,MSOLICITADA!$F:$F,F79),CODIGOSPLACAS!$A$64:$B$89,2,FALSE),"")</f>
        <v>RONILSON</v>
      </c>
      <c r="H79" s="77">
        <v>209367</v>
      </c>
      <c r="I79" s="77">
        <v>210112</v>
      </c>
      <c r="J79" s="7">
        <v>431.02</v>
      </c>
      <c r="K79" s="78">
        <v>2762.84</v>
      </c>
      <c r="L79" s="79" t="s">
        <v>111</v>
      </c>
      <c r="M79" s="6"/>
      <c r="N79" s="5">
        <f t="shared" si="7"/>
        <v>745</v>
      </c>
      <c r="O79" s="80">
        <f t="shared" si="8"/>
        <v>6.410004176140319</v>
      </c>
      <c r="P79" s="8">
        <f t="shared" si="9"/>
        <v>1.7284580761913602</v>
      </c>
      <c r="Q79" s="8">
        <f t="shared" si="6"/>
        <v>1.5438598974121283</v>
      </c>
      <c r="R79" s="81">
        <f t="shared" si="10"/>
        <v>0</v>
      </c>
      <c r="S79" s="113" t="str">
        <f>IF(F79="","",IF(H79="",TEXT(_xlfn.MAXIFS($I$1:I79,$F$1:F79,F79,$H$1:H79,"&gt;"&amp;0),"000.000"),F79))</f>
        <v>GFB0I37</v>
      </c>
      <c r="T79" s="81"/>
      <c r="U79" s="82"/>
      <c r="V79" s="98"/>
      <c r="W79" s="82"/>
      <c r="X79" s="98"/>
      <c r="Y79" s="82"/>
      <c r="Z79" s="98"/>
      <c r="AA79" s="82"/>
      <c r="AB79" s="98"/>
      <c r="AC79" s="82"/>
      <c r="AD79" s="98"/>
      <c r="AE79" s="117"/>
      <c r="AF79" s="98"/>
      <c r="AG79" s="98"/>
      <c r="AH79" s="98"/>
      <c r="AI79" s="82"/>
      <c r="AJ79" s="98"/>
      <c r="AK79" s="83"/>
      <c r="AL79" s="84" t="str">
        <f>IF(F79&lt;&gt;0,IF(_xlfn.MAXIFS($I$1:I79,$F$1:F79,F79,$H$1:H79,"&gt;"&amp;0)=0,"KM NÃO ENCONTRADO",IF(H79=0,CONCATENATE("SUGESTÃO DE KM PARA PLACA ",F79," *",_xlfn.MAXIFS($I$1:I79,$F$1:F79,F79,$H$1:H79,"&gt;"&amp;0),"*"),"")),"")</f>
        <v/>
      </c>
      <c r="AM79" s="85" t="str" cm="1">
        <f t="array" ref="AM79">IFERROR(IF(M79&lt;&gt;"","",CONCATENATE("https://btx.brasiltrack.com/logistica/trajeto.php?idveiculo=",VLOOKUP(F79,DATAS!$A$221:$B$250,2,FALSE),"&amp;lat=-22.204247","&amp;data_ini=",TEXT(IF(E79&lt;&gt;"",IF(COUNTIF($F$2:$F79,F79)&gt;1,MAX(IF($F$1:$F78=F79,$E$1:$E78)),""),""),"DD/MM/AAAA"),"&amp;data_fim=",TEXT(E79,"DD/MM/AAAA"),"&amp;hora_inicial=",HOUR(IF(E79&lt;&gt;"",IF(COUNTIF($F$2:$F79,F79)&gt;1,MAX(IF($F$1:$F78=F79,$E$1:$E78)),""),"")),"&amp;minuto_inicial=",MINUTE(IF(E79&lt;&gt;"",IF(COUNTIF($F$2:$F79,F79)&gt;1,MAX(IF($F$1:$F78=F79,$E$1:$E78)),""),"")),"&amp;hora_final=",HOUR(E79),"&amp;minuto_final=",MINUTE(E79),"&amp;periodo=6&amp;tipo=por_data&amp;upos=false&amp;outequip=0")),"")</f>
        <v>https://btx.brasiltrack.com/logistica/trajeto.php?idveiculo=94099C57-E02A-40F7-B573-6368475EB0B3&amp;lat=-22.204247&amp;data_ini=08/11/2022&amp;data_fim=10/11/2022&amp;hora_inicial=10&amp;minuto_inicial=17&amp;hora_final=12&amp;minuto_final=5&amp;periodo=6&amp;tipo=por_data&amp;upos=false&amp;outequip=0</v>
      </c>
      <c r="AN79" s="100" t="str">
        <f t="shared" si="11"/>
        <v xml:space="preserve">               </v>
      </c>
    </row>
    <row r="80" spans="1:40" x14ac:dyDescent="0.25">
      <c r="A80" s="81"/>
      <c r="B80" s="81"/>
      <c r="C80" s="81"/>
      <c r="D80" s="144">
        <v>44866</v>
      </c>
      <c r="E80" s="76">
        <v>44875.743750000001</v>
      </c>
      <c r="F80" s="6" t="s">
        <v>27</v>
      </c>
      <c r="G80" s="5" t="str">
        <f>IFERROR(VLOOKUP(SUMIFS(MSOLICITADA!$I:$I,MSOLICITADA!$B:$B,D80,MSOLICITADA!$F:$F,F80),CODIGOSPLACAS!$A$64:$B$89,2,FALSE),"")</f>
        <v>ANTONIO</v>
      </c>
      <c r="H80" s="77">
        <v>235427</v>
      </c>
      <c r="I80" s="77">
        <v>236279</v>
      </c>
      <c r="J80" s="7">
        <v>582.72</v>
      </c>
      <c r="K80" s="78">
        <v>3818.51</v>
      </c>
      <c r="L80" s="79" t="s">
        <v>111</v>
      </c>
      <c r="M80" s="6"/>
      <c r="N80" s="5">
        <f t="shared" si="7"/>
        <v>852</v>
      </c>
      <c r="O80" s="80">
        <f t="shared" si="8"/>
        <v>6.5529070565623284</v>
      </c>
      <c r="P80" s="8">
        <f t="shared" si="9"/>
        <v>1.4621087314662273</v>
      </c>
      <c r="Q80" s="8">
        <f t="shared" si="6"/>
        <v>1.4461676128873802</v>
      </c>
      <c r="R80" s="81">
        <f t="shared" si="10"/>
        <v>0</v>
      </c>
      <c r="S80" s="113" t="str">
        <f>IF(F80="","",IF(H80="",TEXT(_xlfn.MAXIFS($I$1:I80,$F$1:F80,F80,$H$1:H80,"&gt;"&amp;0),"000.000"),F80))</f>
        <v>GHS4J57</v>
      </c>
      <c r="T80" s="81"/>
      <c r="U80" s="82"/>
      <c r="V80" s="98"/>
      <c r="W80" s="82"/>
      <c r="X80" s="98"/>
      <c r="Y80" s="82"/>
      <c r="Z80" s="98"/>
      <c r="AA80" s="82"/>
      <c r="AB80" s="98"/>
      <c r="AC80" s="82"/>
      <c r="AD80" s="98"/>
      <c r="AE80" s="117"/>
      <c r="AF80" s="98"/>
      <c r="AG80" s="98"/>
      <c r="AH80" s="98"/>
      <c r="AI80" s="82"/>
      <c r="AJ80" s="98"/>
      <c r="AK80" s="83"/>
      <c r="AL80" s="84" t="str">
        <f>IF(F80&lt;&gt;0,IF(_xlfn.MAXIFS($I$1:I80,$F$1:F80,F80,$H$1:H80,"&gt;"&amp;0)=0,"KM NÃO ENCONTRADO",IF(H80=0,CONCATENATE("SUGESTÃO DE KM PARA PLACA ",F80," *",_xlfn.MAXIFS($I$1:I80,$F$1:F80,F80,$H$1:H80,"&gt;"&amp;0),"*"),"")),"")</f>
        <v/>
      </c>
      <c r="AM80" s="85" t="str" cm="1">
        <f t="array" ref="AM80">IFERROR(IF(M80&lt;&gt;"","",CONCATENATE("https://btx.brasiltrack.com/logistica/trajeto.php?idveiculo=",VLOOKUP(F80,DATAS!$A$221:$B$250,2,FALSE),"&amp;lat=-22.204247","&amp;data_ini=",TEXT(IF(E80&lt;&gt;"",IF(COUNTIF($F$2:$F80,F80)&gt;1,MAX(IF($F$1:$F79=F80,$E$1:$E79)),""),""),"DD/MM/AAAA"),"&amp;data_fim=",TEXT(E80,"DD/MM/AAAA"),"&amp;hora_inicial=",HOUR(IF(E80&lt;&gt;"",IF(COUNTIF($F$2:$F80,F80)&gt;1,MAX(IF($F$1:$F79=F80,$E$1:$E79)),""),"")),"&amp;minuto_inicial=",MINUTE(IF(E80&lt;&gt;"",IF(COUNTIF($F$2:$F80,F80)&gt;1,MAX(IF($F$1:$F79=F80,$E$1:$E79)),""),"")),"&amp;hora_final=",HOUR(E80),"&amp;minuto_final=",MINUTE(E80),"&amp;periodo=6&amp;tipo=por_data&amp;upos=false&amp;outequip=0")),"")</f>
        <v>https://btx.brasiltrack.com/logistica/trajeto.php?idveiculo=17ED636C-5A71-44D5-AF3C-192D3DA6CDD1&amp;lat=-22.204247&amp;data_ini=08/11/2022&amp;data_fim=10/11/2022&amp;hora_inicial=5&amp;minuto_inicial=23&amp;hora_final=17&amp;minuto_final=51&amp;periodo=6&amp;tipo=por_data&amp;upos=false&amp;outequip=0</v>
      </c>
      <c r="AN80" s="100" t="str">
        <f t="shared" si="11"/>
        <v xml:space="preserve">               </v>
      </c>
    </row>
    <row r="81" spans="1:40" x14ac:dyDescent="0.25">
      <c r="A81" s="81"/>
      <c r="B81" s="81"/>
      <c r="C81" s="81"/>
      <c r="D81" s="144">
        <v>44866</v>
      </c>
      <c r="E81" s="76">
        <v>44875.75</v>
      </c>
      <c r="F81" s="6" t="s">
        <v>35</v>
      </c>
      <c r="G81" s="5" t="str">
        <f>IFERROR(VLOOKUP(SUMIFS(MSOLICITADA!$I:$I,MSOLICITADA!$B:$B,D81,MSOLICITADA!$F:$F,F81),CODIGOSPLACAS!$A$64:$B$89,2,FALSE),"")</f>
        <v>JOEL</v>
      </c>
      <c r="H81" s="77">
        <v>226283</v>
      </c>
      <c r="I81" s="77">
        <v>226547</v>
      </c>
      <c r="J81" s="7">
        <v>205.2</v>
      </c>
      <c r="K81" s="78">
        <v>1258.56</v>
      </c>
      <c r="L81" s="79" t="s">
        <v>112</v>
      </c>
      <c r="M81" s="6"/>
      <c r="N81" s="5">
        <f t="shared" si="7"/>
        <v>264</v>
      </c>
      <c r="O81" s="80">
        <f t="shared" si="8"/>
        <v>6.1333333333333337</v>
      </c>
      <c r="P81" s="8">
        <f t="shared" si="9"/>
        <v>1.2865497076023393</v>
      </c>
      <c r="Q81" s="8">
        <f t="shared" si="6"/>
        <v>2.367571672678944</v>
      </c>
      <c r="R81" s="81">
        <f t="shared" si="10"/>
        <v>0</v>
      </c>
      <c r="S81" s="113" t="str">
        <f>IF(F81="","",IF(H81="",TEXT(_xlfn.MAXIFS($I$1:I81,$F$1:F81,F81,$H$1:H81,"&gt;"&amp;0),"000.000"),F81))</f>
        <v>QNP3A97</v>
      </c>
      <c r="T81" s="81"/>
      <c r="U81" s="82"/>
      <c r="V81" s="98"/>
      <c r="W81" s="82"/>
      <c r="X81" s="98"/>
      <c r="Y81" s="82"/>
      <c r="Z81" s="98"/>
      <c r="AA81" s="82"/>
      <c r="AB81" s="98"/>
      <c r="AC81" s="82"/>
      <c r="AD81" s="98"/>
      <c r="AE81" s="117"/>
      <c r="AF81" s="98"/>
      <c r="AG81" s="98"/>
      <c r="AH81" s="98"/>
      <c r="AI81" s="82"/>
      <c r="AJ81" s="98"/>
      <c r="AK81" s="83"/>
      <c r="AL81" s="84" t="str">
        <f>IF(F81&lt;&gt;0,IF(_xlfn.MAXIFS($I$1:I81,$F$1:F81,F81,$H$1:H81,"&gt;"&amp;0)=0,"KM NÃO ENCONTRADO",IF(H81=0,CONCATENATE("SUGESTÃO DE KM PARA PLACA ",F81," *",_xlfn.MAXIFS($I$1:I81,$F$1:F81,F81,$H$1:H81,"&gt;"&amp;0),"*"),"")),"")</f>
        <v/>
      </c>
      <c r="AM81" s="85" t="str" cm="1">
        <f t="array" ref="AM81">IFERROR(IF(M81&lt;&gt;"","",CONCATENATE("https://btx.brasiltrack.com/logistica/trajeto.php?idveiculo=",VLOOKUP(F81,DATAS!$A$221:$B$250,2,FALSE),"&amp;lat=-22.204247","&amp;data_ini=",TEXT(IF(E81&lt;&gt;"",IF(COUNTIF($F$2:$F81,F81)&gt;1,MAX(IF($F$1:$F80=F81,$E$1:$E80)),""),""),"DD/MM/AAAA"),"&amp;data_fim=",TEXT(E81,"DD/MM/AAAA"),"&amp;hora_inicial=",HOUR(IF(E81&lt;&gt;"",IF(COUNTIF($F$2:$F81,F81)&gt;1,MAX(IF($F$1:$F80=F81,$E$1:$E80)),""),"")),"&amp;minuto_inicial=",MINUTE(IF(E81&lt;&gt;"",IF(COUNTIF($F$2:$F81,F81)&gt;1,MAX(IF($F$1:$F80=F81,$E$1:$E80)),""),"")),"&amp;hora_final=",HOUR(E81),"&amp;minuto_final=",MINUTE(E81),"&amp;periodo=6&amp;tipo=por_data&amp;upos=false&amp;outequip=0")),"")</f>
        <v>https://btx.brasiltrack.com/logistica/trajeto.php?idveiculo=E2142D75-BC20-47B9-8225-FC4ED3D279CF&amp;lat=-22.204247&amp;data_ini=03/11/2022&amp;data_fim=10/11/2022&amp;hora_inicial=17&amp;minuto_inicial=20&amp;hora_final=18&amp;minuto_final=0&amp;periodo=6&amp;tipo=por_data&amp;upos=false&amp;outequip=0</v>
      </c>
      <c r="AN81" s="100" t="str">
        <f t="shared" si="11"/>
        <v xml:space="preserve">               </v>
      </c>
    </row>
    <row r="82" spans="1:40" x14ac:dyDescent="0.25">
      <c r="A82" s="81"/>
      <c r="B82" s="81"/>
      <c r="C82" s="81"/>
      <c r="D82" s="144">
        <v>44866</v>
      </c>
      <c r="E82" s="76">
        <v>44876.171527777777</v>
      </c>
      <c r="F82" s="6" t="s">
        <v>124</v>
      </c>
      <c r="G82" s="5" t="str">
        <f>IFERROR(VLOOKUP(SUMIFS(MSOLICITADA!$I:$I,MSOLICITADA!$B:$B,D82,MSOLICITADA!$F:$F,F82),CODIGOSPLACAS!$A$64:$B$89,2,FALSE),"")</f>
        <v>ISRAEL</v>
      </c>
      <c r="H82" s="77">
        <v>127007</v>
      </c>
      <c r="I82" s="77">
        <v>127790</v>
      </c>
      <c r="J82" s="7">
        <v>435.00099999999998</v>
      </c>
      <c r="K82" s="78">
        <v>2892.75</v>
      </c>
      <c r="L82" s="79" t="s">
        <v>111</v>
      </c>
      <c r="M82" s="6"/>
      <c r="N82" s="5">
        <f t="shared" si="7"/>
        <v>783</v>
      </c>
      <c r="O82" s="80">
        <f t="shared" si="8"/>
        <v>6.6499847126788216</v>
      </c>
      <c r="P82" s="8">
        <f t="shared" si="9"/>
        <v>1.7999958620784782</v>
      </c>
      <c r="Q82" s="8">
        <f t="shared" si="6"/>
        <v>1.5512732562038034</v>
      </c>
      <c r="R82" s="81">
        <f t="shared" si="10"/>
        <v>0</v>
      </c>
      <c r="S82" s="113" t="str">
        <f>IF(F82="","",IF(H82="",TEXT(_xlfn.MAXIFS($I$1:I82,$F$1:F82,F82,$H$1:H82,"&gt;"&amp;0),"000.000"),F82))</f>
        <v>GHH9B64</v>
      </c>
      <c r="T82" s="81"/>
      <c r="U82" s="82"/>
      <c r="V82" s="98"/>
      <c r="W82" s="82"/>
      <c r="X82" s="98"/>
      <c r="Y82" s="82"/>
      <c r="Z82" s="98"/>
      <c r="AA82" s="82"/>
      <c r="AB82" s="98"/>
      <c r="AC82" s="82"/>
      <c r="AD82" s="98"/>
      <c r="AE82" s="117"/>
      <c r="AF82" s="98"/>
      <c r="AG82" s="98"/>
      <c r="AH82" s="98"/>
      <c r="AI82" s="82"/>
      <c r="AJ82" s="98"/>
      <c r="AK82" s="83"/>
      <c r="AL82" s="84" t="str">
        <f>IF(F82&lt;&gt;0,IF(_xlfn.MAXIFS($I$1:I82,$F$1:F82,F82,$H$1:H82,"&gt;"&amp;0)=0,"KM NÃO ENCONTRADO",IF(H82=0,CONCATENATE("SUGESTÃO DE KM PARA PLACA ",F82," *",_xlfn.MAXIFS($I$1:I82,$F$1:F82,F82,$H$1:H82,"&gt;"&amp;0),"*"),"")),"")</f>
        <v/>
      </c>
      <c r="AM82" s="85" t="str" cm="1">
        <f t="array" ref="AM82">IFERROR(IF(M82&lt;&gt;"","",CONCATENATE("https://btx.brasiltrack.com/logistica/trajeto.php?idveiculo=",VLOOKUP(F82,DATAS!$A$221:$B$250,2,FALSE),"&amp;lat=-22.204247","&amp;data_ini=",TEXT(IF(E82&lt;&gt;"",IF(COUNTIF($F$2:$F82,F82)&gt;1,MAX(IF($F$1:$F81=F82,$E$1:$E81)),""),""),"DD/MM/AAAA"),"&amp;data_fim=",TEXT(E82,"DD/MM/AAAA"),"&amp;hora_inicial=",HOUR(IF(E82&lt;&gt;"",IF(COUNTIF($F$2:$F82,F82)&gt;1,MAX(IF($F$1:$F81=F82,$E$1:$E81)),""),"")),"&amp;minuto_inicial=",MINUTE(IF(E82&lt;&gt;"",IF(COUNTIF($F$2:$F82,F82)&gt;1,MAX(IF($F$1:$F81=F82,$E$1:$E81)),""),"")),"&amp;hora_final=",HOUR(E82),"&amp;minuto_final=",MINUTE(E82),"&amp;periodo=6&amp;tipo=por_data&amp;upos=false&amp;outequip=0")),"")</f>
        <v>https://btx.brasiltrack.com/logistica/trajeto.php?idveiculo=82801E41-A001-436F-A743-F071900B878A&amp;lat=-22.204247&amp;data_ini=08/11/2022&amp;data_fim=11/11/2022&amp;hora_inicial=20&amp;minuto_inicial=4&amp;hora_final=4&amp;minuto_final=7&amp;periodo=6&amp;tipo=por_data&amp;upos=false&amp;outequip=0</v>
      </c>
      <c r="AN82" s="100" t="str">
        <f t="shared" si="11"/>
        <v xml:space="preserve">               </v>
      </c>
    </row>
    <row r="83" spans="1:40" x14ac:dyDescent="0.25">
      <c r="A83" s="81"/>
      <c r="B83" s="81"/>
      <c r="C83" s="81"/>
      <c r="D83" s="144">
        <v>44866</v>
      </c>
      <c r="E83" s="76">
        <v>44876.186805555553</v>
      </c>
      <c r="F83" s="6" t="s">
        <v>33</v>
      </c>
      <c r="G83" s="5" t="str">
        <f>IFERROR(VLOOKUP(SUMIFS(MSOLICITADA!$I:$I,MSOLICITADA!$B:$B,D83,MSOLICITADA!$F:$F,F83),CODIGOSPLACAS!$A$64:$B$89,2,FALSE),"")</f>
        <v>JULIO</v>
      </c>
      <c r="H83" s="77">
        <v>155606</v>
      </c>
      <c r="I83" s="77">
        <v>156416</v>
      </c>
      <c r="J83" s="7">
        <v>436.00099999999998</v>
      </c>
      <c r="K83" s="78">
        <v>2899.4</v>
      </c>
      <c r="L83" s="79" t="s">
        <v>111</v>
      </c>
      <c r="M83" s="6"/>
      <c r="N83" s="5">
        <f t="shared" si="7"/>
        <v>810</v>
      </c>
      <c r="O83" s="80">
        <f t="shared" si="8"/>
        <v>6.6499847477414047</v>
      </c>
      <c r="P83" s="8">
        <f t="shared" si="9"/>
        <v>1.8577939041424218</v>
      </c>
      <c r="Q83" s="8">
        <f t="shared" si="6"/>
        <v>1.7415645068481733</v>
      </c>
      <c r="R83" s="81">
        <f t="shared" si="10"/>
        <v>0</v>
      </c>
      <c r="S83" s="113" t="str">
        <f>IF(F83="","",IF(H83="",TEXT(_xlfn.MAXIFS($I$1:I83,$F$1:F83,F83,$H$1:H83,"&gt;"&amp;0),"000.000"),F83))</f>
        <v>GGF7G26</v>
      </c>
      <c r="T83" s="81"/>
      <c r="U83" s="82"/>
      <c r="V83" s="98"/>
      <c r="W83" s="82"/>
      <c r="X83" s="98"/>
      <c r="Y83" s="82"/>
      <c r="Z83" s="98"/>
      <c r="AA83" s="82"/>
      <c r="AB83" s="98"/>
      <c r="AC83" s="82"/>
      <c r="AD83" s="98"/>
      <c r="AE83" s="117"/>
      <c r="AF83" s="98"/>
      <c r="AG83" s="98"/>
      <c r="AH83" s="98"/>
      <c r="AI83" s="82"/>
      <c r="AJ83" s="98"/>
      <c r="AK83" s="83"/>
      <c r="AL83" s="84" t="str">
        <f>IF(F83&lt;&gt;0,IF(_xlfn.MAXIFS($I$1:I83,$F$1:F83,F83,$H$1:H83,"&gt;"&amp;0)=0,"KM NÃO ENCONTRADO",IF(H83=0,CONCATENATE("SUGESTÃO DE KM PARA PLACA ",F83," *",_xlfn.MAXIFS($I$1:I83,$F$1:F83,F83,$H$1:H83,"&gt;"&amp;0),"*"),"")),"")</f>
        <v/>
      </c>
      <c r="AM83" s="85" t="str" cm="1">
        <f t="array" ref="AM83">IFERROR(IF(M83&lt;&gt;"","",CONCATENATE("https://btx.brasiltrack.com/logistica/trajeto.php?idveiculo=",VLOOKUP(F83,DATAS!$A$221:$B$250,2,FALSE),"&amp;lat=-22.204247","&amp;data_ini=",TEXT(IF(E83&lt;&gt;"",IF(COUNTIF($F$2:$F83,F83)&gt;1,MAX(IF($F$1:$F82=F83,$E$1:$E82)),""),""),"DD/MM/AAAA"),"&amp;data_fim=",TEXT(E83,"DD/MM/AAAA"),"&amp;hora_inicial=",HOUR(IF(E83&lt;&gt;"",IF(COUNTIF($F$2:$F83,F83)&gt;1,MAX(IF($F$1:$F82=F83,$E$1:$E82)),""),"")),"&amp;minuto_inicial=",MINUTE(IF(E83&lt;&gt;"",IF(COUNTIF($F$2:$F83,F83)&gt;1,MAX(IF($F$1:$F82=F83,$E$1:$E82)),""),"")),"&amp;hora_final=",HOUR(E83),"&amp;minuto_final=",MINUTE(E83),"&amp;periodo=6&amp;tipo=por_data&amp;upos=false&amp;outequip=0")),"")</f>
        <v>https://btx.brasiltrack.com/logistica/trajeto.php?idveiculo=4F0C2317-958D-4267-BAF8-BC4F7B6B12A1&amp;lat=-22.204247&amp;data_ini=08/11/2022&amp;data_fim=11/11/2022&amp;hora_inicial=20&amp;minuto_inicial=50&amp;hora_final=4&amp;minuto_final=29&amp;periodo=6&amp;tipo=por_data&amp;upos=false&amp;outequip=0</v>
      </c>
      <c r="AN83" s="100" t="str">
        <f t="shared" si="11"/>
        <v xml:space="preserve">               </v>
      </c>
    </row>
    <row r="84" spans="1:40" x14ac:dyDescent="0.25">
      <c r="A84" s="81"/>
      <c r="B84" s="81"/>
      <c r="C84" s="81"/>
      <c r="D84" s="144">
        <v>44866</v>
      </c>
      <c r="E84" s="76">
        <v>44876.194444444445</v>
      </c>
      <c r="F84" s="6" t="s">
        <v>128</v>
      </c>
      <c r="G84" s="5" t="str">
        <f>IFERROR(VLOOKUP(SUMIFS(MSOLICITADA!$I:$I,MSOLICITADA!$B:$B,D84,MSOLICITADA!$F:$F,F84),CODIGOSPLACAS!$A$64:$B$89,2,FALSE),"")</f>
        <v>ELI RICARDO</v>
      </c>
      <c r="H84" s="77">
        <v>80410</v>
      </c>
      <c r="I84" s="77">
        <v>81042</v>
      </c>
      <c r="J84" s="7">
        <v>377.00099999999998</v>
      </c>
      <c r="K84" s="78">
        <v>2507.0500000000002</v>
      </c>
      <c r="L84" s="79" t="s">
        <v>111</v>
      </c>
      <c r="M84" s="6"/>
      <c r="N84" s="5">
        <f t="shared" si="7"/>
        <v>632</v>
      </c>
      <c r="O84" s="80">
        <f t="shared" si="8"/>
        <v>6.6499823607894948</v>
      </c>
      <c r="P84" s="8">
        <f t="shared" si="9"/>
        <v>1.6763881262914424</v>
      </c>
      <c r="Q84" s="8">
        <f t="shared" ref="Q84:Q147" si="12">IFERROR((SUMIFS(M:M,D:D,D84,F:F,F84)+SUMIFS(N:N,D:D,D84,F:F,F84)-SUMIFS(AK:AK,D:D,D84,F:F,F84))/(SUMIFS(J:J,D:D,D84,F:F,F84)-(SUMIFS(AK:AK,D:D,D84,F:F,F84)/5)),0)</f>
        <v>1.6394783012697074</v>
      </c>
      <c r="R84" s="81">
        <f t="shared" si="10"/>
        <v>0</v>
      </c>
      <c r="S84" s="113" t="str">
        <f>IF(F84="","",IF(H84="",TEXT(_xlfn.MAXIFS($I$1:I84,$F$1:F84,F84,$H$1:H84,"&gt;"&amp;0),"000.000"),F84))</f>
        <v>GFR0D47</v>
      </c>
      <c r="T84" s="81"/>
      <c r="U84" s="82"/>
      <c r="V84" s="98"/>
      <c r="W84" s="82"/>
      <c r="X84" s="98"/>
      <c r="Y84" s="82"/>
      <c r="Z84" s="98"/>
      <c r="AA84" s="82"/>
      <c r="AB84" s="98"/>
      <c r="AC84" s="82"/>
      <c r="AD84" s="98"/>
      <c r="AE84" s="117"/>
      <c r="AF84" s="98"/>
      <c r="AG84" s="98"/>
      <c r="AH84" s="98"/>
      <c r="AI84" s="82"/>
      <c r="AJ84" s="98"/>
      <c r="AK84" s="83"/>
      <c r="AL84" s="84" t="str">
        <f>IF(F84&lt;&gt;0,IF(_xlfn.MAXIFS($I$1:I84,$F$1:F84,F84,$H$1:H84,"&gt;"&amp;0)=0,"KM NÃO ENCONTRADO",IF(H84=0,CONCATENATE("SUGESTÃO DE KM PARA PLACA ",F84," *",_xlfn.MAXIFS($I$1:I84,$F$1:F84,F84,$H$1:H84,"&gt;"&amp;0),"*"),"")),"")</f>
        <v/>
      </c>
      <c r="AM84" s="85" t="str" cm="1">
        <f t="array" ref="AM84">IFERROR(IF(M84&lt;&gt;"","",CONCATENATE("https://btx.brasiltrack.com/logistica/trajeto.php?idveiculo=",VLOOKUP(F84,DATAS!$A$221:$B$250,2,FALSE),"&amp;lat=-22.204247","&amp;data_ini=",TEXT(IF(E84&lt;&gt;"",IF(COUNTIF($F$2:$F84,F84)&gt;1,MAX(IF($F$1:$F83=F84,$E$1:$E83)),""),""),"DD/MM/AAAA"),"&amp;data_fim=",TEXT(E84,"DD/MM/AAAA"),"&amp;hora_inicial=",HOUR(IF(E84&lt;&gt;"",IF(COUNTIF($F$2:$F84,F84)&gt;1,MAX(IF($F$1:$F83=F84,$E$1:$E83)),""),"")),"&amp;minuto_inicial=",MINUTE(IF(E84&lt;&gt;"",IF(COUNTIF($F$2:$F84,F84)&gt;1,MAX(IF($F$1:$F83=F84,$E$1:$E83)),""),"")),"&amp;hora_final=",HOUR(E84),"&amp;minuto_final=",MINUTE(E84),"&amp;periodo=6&amp;tipo=por_data&amp;upos=false&amp;outequip=0")),"")</f>
        <v>https://btx.brasiltrack.com/logistica/trajeto.php?idveiculo=D171D77B-7EEE-4B8A-AB93-163C02819566&amp;lat=-22.204247&amp;data_ini=09/11/2022&amp;data_fim=11/11/2022&amp;hora_inicial=5&amp;minuto_inicial=32&amp;hora_final=4&amp;minuto_final=40&amp;periodo=6&amp;tipo=por_data&amp;upos=false&amp;outequip=0</v>
      </c>
      <c r="AN84" s="100" t="str">
        <f t="shared" si="11"/>
        <v xml:space="preserve">               </v>
      </c>
    </row>
    <row r="85" spans="1:40" x14ac:dyDescent="0.25">
      <c r="A85" s="81"/>
      <c r="B85" s="81"/>
      <c r="C85" s="81"/>
      <c r="D85" s="144">
        <v>44866</v>
      </c>
      <c r="E85" s="76">
        <v>44876.198611111111</v>
      </c>
      <c r="F85" s="6" t="s">
        <v>31</v>
      </c>
      <c r="G85" s="5" t="str">
        <f>IFERROR(VLOOKUP(SUMIFS(MSOLICITADA!$I:$I,MSOLICITADA!$B:$B,D85,MSOLICITADA!$F:$F,F85),CODIGOSPLACAS!$A$64:$B$89,2,FALSE),"")</f>
        <v>CELIO</v>
      </c>
      <c r="H85" s="77">
        <v>202208</v>
      </c>
      <c r="I85" s="77">
        <v>202985</v>
      </c>
      <c r="J85" s="7">
        <v>437.00099999999998</v>
      </c>
      <c r="K85" s="78">
        <v>2906.05</v>
      </c>
      <c r="L85" s="79" t="s">
        <v>111</v>
      </c>
      <c r="M85" s="6"/>
      <c r="N85" s="5">
        <f t="shared" si="7"/>
        <v>777</v>
      </c>
      <c r="O85" s="80">
        <f t="shared" si="8"/>
        <v>6.6499847826435188</v>
      </c>
      <c r="P85" s="8">
        <f t="shared" si="9"/>
        <v>1.7780279678993871</v>
      </c>
      <c r="Q85" s="8">
        <f t="shared" si="12"/>
        <v>1.5697196307565964</v>
      </c>
      <c r="R85" s="81">
        <f t="shared" si="10"/>
        <v>0</v>
      </c>
      <c r="S85" s="113" t="str">
        <f>IF(F85="","",IF(H85="",TEXT(_xlfn.MAXIFS($I$1:I85,$F$1:F85,F85,$H$1:H85,"&gt;"&amp;0),"000.000"),F85))</f>
        <v>GGZ3G38</v>
      </c>
      <c r="T85" s="81"/>
      <c r="U85" s="82"/>
      <c r="V85" s="98"/>
      <c r="W85" s="82"/>
      <c r="X85" s="98"/>
      <c r="Y85" s="82"/>
      <c r="Z85" s="98"/>
      <c r="AA85" s="82"/>
      <c r="AB85" s="98"/>
      <c r="AC85" s="82"/>
      <c r="AD85" s="98"/>
      <c r="AE85" s="117"/>
      <c r="AF85" s="98"/>
      <c r="AG85" s="98"/>
      <c r="AH85" s="98"/>
      <c r="AI85" s="82"/>
      <c r="AJ85" s="98"/>
      <c r="AK85" s="83"/>
      <c r="AL85" s="84" t="str">
        <f>IF(F85&lt;&gt;0,IF(_xlfn.MAXIFS($I$1:I85,$F$1:F85,F85,$H$1:H85,"&gt;"&amp;0)=0,"KM NÃO ENCONTRADO",IF(H85=0,CONCATENATE("SUGESTÃO DE KM PARA PLACA ",F85," *",_xlfn.MAXIFS($I$1:I85,$F$1:F85,F85,$H$1:H85,"&gt;"&amp;0),"*"),"")),"")</f>
        <v/>
      </c>
      <c r="AM85" s="85" t="str" cm="1">
        <f t="array" ref="AM85">IFERROR(IF(M85&lt;&gt;"","",CONCATENATE("https://btx.brasiltrack.com/logistica/trajeto.php?idveiculo=",VLOOKUP(F85,DATAS!$A$221:$B$250,2,FALSE),"&amp;lat=-22.204247","&amp;data_ini=",TEXT(IF(E85&lt;&gt;"",IF(COUNTIF($F$2:$F85,F85)&gt;1,MAX(IF($F$1:$F84=F85,$E$1:$E84)),""),""),"DD/MM/AAAA"),"&amp;data_fim=",TEXT(E85,"DD/MM/AAAA"),"&amp;hora_inicial=",HOUR(IF(E85&lt;&gt;"",IF(COUNTIF($F$2:$F85,F85)&gt;1,MAX(IF($F$1:$F84=F85,$E$1:$E84)),""),"")),"&amp;minuto_inicial=",MINUTE(IF(E85&lt;&gt;"",IF(COUNTIF($F$2:$F85,F85)&gt;1,MAX(IF($F$1:$F84=F85,$E$1:$E84)),""),"")),"&amp;hora_final=",HOUR(E85),"&amp;minuto_final=",MINUTE(E85),"&amp;periodo=6&amp;tipo=por_data&amp;upos=false&amp;outequip=0")),"")</f>
        <v>https://btx.brasiltrack.com/logistica/trajeto.php?idveiculo=28D74B0F-5C0F-4A59-86EB-697E3711F324&amp;lat=-22.204247&amp;data_ini=08/11/2022&amp;data_fim=11/11/2022&amp;hora_inicial=20&amp;minuto_inicial=3&amp;hora_final=4&amp;minuto_final=46&amp;periodo=6&amp;tipo=por_data&amp;upos=false&amp;outequip=0</v>
      </c>
      <c r="AN85" s="100" t="str">
        <f t="shared" si="11"/>
        <v xml:space="preserve">               </v>
      </c>
    </row>
    <row r="86" spans="1:40" x14ac:dyDescent="0.25">
      <c r="A86" s="81"/>
      <c r="B86" s="81"/>
      <c r="C86" s="81"/>
      <c r="D86" s="144">
        <v>44866</v>
      </c>
      <c r="E86" s="76">
        <v>44876.550694444442</v>
      </c>
      <c r="F86" s="6" t="s">
        <v>126</v>
      </c>
      <c r="G86" s="5" t="str">
        <f>IFERROR(VLOOKUP(SUMIFS(MSOLICITADA!$I:$I,MSOLICITADA!$B:$B,D86,MSOLICITADA!$F:$F,F86),CODIGOSPLACAS!$A$64:$B$89,2,FALSE),"")</f>
        <v>IZAIAS</v>
      </c>
      <c r="H86" s="77">
        <v>477700</v>
      </c>
      <c r="I86" s="77">
        <v>478247</v>
      </c>
      <c r="J86" s="7">
        <v>427.00099999999998</v>
      </c>
      <c r="K86" s="78">
        <v>2839.55</v>
      </c>
      <c r="L86" s="79" t="s">
        <v>111</v>
      </c>
      <c r="M86" s="6"/>
      <c r="N86" s="5">
        <f t="shared" si="7"/>
        <v>547</v>
      </c>
      <c r="O86" s="80">
        <f t="shared" si="8"/>
        <v>6.6499844262659815</v>
      </c>
      <c r="P86" s="8">
        <f t="shared" si="9"/>
        <v>1.2810274449005974</v>
      </c>
      <c r="Q86" s="8">
        <f t="shared" si="12"/>
        <v>1.4310423058843909</v>
      </c>
      <c r="R86" s="81">
        <f t="shared" si="10"/>
        <v>0</v>
      </c>
      <c r="S86" s="113" t="str">
        <f>IF(F86="","",IF(H86="",TEXT(_xlfn.MAXIFS($I$1:I86,$F$1:F86,F86,$H$1:H86,"&gt;"&amp;0),"000.000"),F86))</f>
        <v>GHX4D71</v>
      </c>
      <c r="T86" s="81"/>
      <c r="U86" s="82"/>
      <c r="V86" s="98"/>
      <c r="W86" s="82"/>
      <c r="X86" s="98"/>
      <c r="Y86" s="82"/>
      <c r="Z86" s="98"/>
      <c r="AA86" s="82"/>
      <c r="AB86" s="98"/>
      <c r="AC86" s="82"/>
      <c r="AD86" s="98"/>
      <c r="AE86" s="117"/>
      <c r="AF86" s="98"/>
      <c r="AG86" s="98"/>
      <c r="AH86" s="98"/>
      <c r="AI86" s="82"/>
      <c r="AJ86" s="98"/>
      <c r="AK86" s="83"/>
      <c r="AL86" s="84" t="str">
        <f>IF(F86&lt;&gt;0,IF(_xlfn.MAXIFS($I$1:I86,$F$1:F86,F86,$H$1:H86,"&gt;"&amp;0)=0,"KM NÃO ENCONTRADO",IF(H86=0,CONCATENATE("SUGESTÃO DE KM PARA PLACA ",F86," *",_xlfn.MAXIFS($I$1:I86,$F$1:F86,F86,$H$1:H86,"&gt;"&amp;0),"*"),"")),"")</f>
        <v/>
      </c>
      <c r="AM86" s="85" t="str" cm="1">
        <f t="array" ref="AM86">IFERROR(IF(M86&lt;&gt;"","",CONCATENATE("https://btx.brasiltrack.com/logistica/trajeto.php?idveiculo=",VLOOKUP(F86,DATAS!$A$221:$B$250,2,FALSE),"&amp;lat=-22.204247","&amp;data_ini=",TEXT(IF(E86&lt;&gt;"",IF(COUNTIF($F$2:$F86,F86)&gt;1,MAX(IF($F$1:$F85=F86,$E$1:$E85)),""),""),"DD/MM/AAAA"),"&amp;data_fim=",TEXT(E86,"DD/MM/AAAA"),"&amp;hora_inicial=",HOUR(IF(E86&lt;&gt;"",IF(COUNTIF($F$2:$F86,F86)&gt;1,MAX(IF($F$1:$F85=F86,$E$1:$E85)),""),"")),"&amp;minuto_inicial=",MINUTE(IF(E86&lt;&gt;"",IF(COUNTIF($F$2:$F86,F86)&gt;1,MAX(IF($F$1:$F85=F86,$E$1:$E85)),""),"")),"&amp;hora_final=",HOUR(E86),"&amp;minuto_final=",MINUTE(E86),"&amp;periodo=6&amp;tipo=por_data&amp;upos=false&amp;outequip=0")),"")</f>
        <v>https://btx.brasiltrack.com/logistica/trajeto.php?idveiculo=6B5F18E0-6EAE-404A-AE41-39E549361094&amp;lat=-22.204247&amp;data_ini=09/11/2022&amp;data_fim=11/11/2022&amp;hora_inicial=19&amp;minuto_inicial=22&amp;hora_final=13&amp;minuto_final=13&amp;periodo=6&amp;tipo=por_data&amp;upos=false&amp;outequip=0</v>
      </c>
      <c r="AN86" s="100" t="str">
        <f t="shared" si="11"/>
        <v xml:space="preserve">               </v>
      </c>
    </row>
    <row r="87" spans="1:40" x14ac:dyDescent="0.25">
      <c r="A87" s="81"/>
      <c r="B87" s="81"/>
      <c r="C87" s="81"/>
      <c r="D87" s="144">
        <v>44866</v>
      </c>
      <c r="E87" s="76">
        <v>44876.89166666667</v>
      </c>
      <c r="F87" s="6" t="s">
        <v>23</v>
      </c>
      <c r="G87" s="5" t="str">
        <f>IFERROR(VLOOKUP(SUMIFS(MSOLICITADA!$I:$I,MSOLICITADA!$B:$B,D87,MSOLICITADA!$F:$F,F87),CODIGOSPLACAS!$A$64:$B$89,2,FALSE),"")</f>
        <v>ISAC</v>
      </c>
      <c r="H87" s="77">
        <v>1195245</v>
      </c>
      <c r="I87" s="77">
        <v>1195794</v>
      </c>
      <c r="J87" s="7">
        <v>373.02</v>
      </c>
      <c r="K87" s="78">
        <v>2391.06</v>
      </c>
      <c r="L87" s="79" t="s">
        <v>111</v>
      </c>
      <c r="M87" s="6"/>
      <c r="N87" s="5">
        <f t="shared" si="7"/>
        <v>549</v>
      </c>
      <c r="O87" s="80">
        <f t="shared" si="8"/>
        <v>6.4100048254785271</v>
      </c>
      <c r="P87" s="8">
        <f t="shared" si="9"/>
        <v>1.4717709506192698</v>
      </c>
      <c r="Q87" s="8">
        <f t="shared" si="12"/>
        <v>1.447714664858804</v>
      </c>
      <c r="R87" s="81">
        <f t="shared" si="10"/>
        <v>0</v>
      </c>
      <c r="S87" s="113" t="str">
        <f>IF(F87="","",IF(H87="",TEXT(_xlfn.MAXIFS($I$1:I87,$F$1:F87,F87,$H$1:H87,"&gt;"&amp;0),"000.000"),F87))</f>
        <v>HNC7I76</v>
      </c>
      <c r="T87" s="81"/>
      <c r="U87" s="82"/>
      <c r="V87" s="98"/>
      <c r="W87" s="82"/>
      <c r="X87" s="98"/>
      <c r="Y87" s="82"/>
      <c r="Z87" s="98"/>
      <c r="AA87" s="82"/>
      <c r="AB87" s="98"/>
      <c r="AC87" s="82"/>
      <c r="AD87" s="98"/>
      <c r="AE87" s="117"/>
      <c r="AF87" s="98"/>
      <c r="AG87" s="98"/>
      <c r="AH87" s="98"/>
      <c r="AI87" s="82"/>
      <c r="AJ87" s="98"/>
      <c r="AK87" s="83"/>
      <c r="AL87" s="84" t="str">
        <f>IF(F87&lt;&gt;0,IF(_xlfn.MAXIFS($I$1:I87,$F$1:F87,F87,$H$1:H87,"&gt;"&amp;0)=0,"KM NÃO ENCONTRADO",IF(H87=0,CONCATENATE("SUGESTÃO DE KM PARA PLACA ",F87," *",_xlfn.MAXIFS($I$1:I87,$F$1:F87,F87,$H$1:H87,"&gt;"&amp;0),"*"),"")),"")</f>
        <v/>
      </c>
      <c r="AM87" s="85" t="str" cm="1">
        <f t="array" ref="AM87">IFERROR(IF(M87&lt;&gt;"","",CONCATENATE("https://btx.brasiltrack.com/logistica/trajeto.php?idveiculo=",VLOOKUP(F87,DATAS!$A$221:$B$250,2,FALSE),"&amp;lat=-22.204247","&amp;data_ini=",TEXT(IF(E87&lt;&gt;"",IF(COUNTIF($F$2:$F87,F87)&gt;1,MAX(IF($F$1:$F86=F87,$E$1:$E86)),""),""),"DD/MM/AAAA"),"&amp;data_fim=",TEXT(E87,"DD/MM/AAAA"),"&amp;hora_inicial=",HOUR(IF(E87&lt;&gt;"",IF(COUNTIF($F$2:$F87,F87)&gt;1,MAX(IF($F$1:$F86=F87,$E$1:$E86)),""),"")),"&amp;minuto_inicial=",MINUTE(IF(E87&lt;&gt;"",IF(COUNTIF($F$2:$F87,F87)&gt;1,MAX(IF($F$1:$F86=F87,$E$1:$E86)),""),"")),"&amp;hora_final=",HOUR(E87),"&amp;minuto_final=",MINUTE(E87),"&amp;periodo=6&amp;tipo=por_data&amp;upos=false&amp;outequip=0")),"")</f>
        <v>https://btx.brasiltrack.com/logistica/trajeto.php?idveiculo=B05A8E44-5DA1-4128-83F0-8DDE6CB8291B&amp;lat=-22.204247&amp;data_ini=10/11/2022&amp;data_fim=11/11/2022&amp;hora_inicial=11&amp;minuto_inicial=50&amp;hora_final=21&amp;minuto_final=24&amp;periodo=6&amp;tipo=por_data&amp;upos=false&amp;outequip=0</v>
      </c>
      <c r="AN87" s="100" t="str">
        <f t="shared" si="11"/>
        <v xml:space="preserve">               </v>
      </c>
    </row>
    <row r="88" spans="1:40" x14ac:dyDescent="0.25">
      <c r="A88" s="81"/>
      <c r="B88" s="81"/>
      <c r="C88" s="81"/>
      <c r="D88" s="144">
        <v>44866</v>
      </c>
      <c r="E88" s="76">
        <v>44877.315972222219</v>
      </c>
      <c r="F88" s="6" t="s">
        <v>22</v>
      </c>
      <c r="G88" s="5" t="str">
        <f>IFERROR(VLOOKUP(SUMIFS(MSOLICITADA!$I:$I,MSOLICITADA!$B:$B,D88,MSOLICITADA!$F:$F,F88),CODIGOSPLACAS!$A$64:$B$89,2,FALSE),"")</f>
        <v>GUILHERME</v>
      </c>
      <c r="H88" s="77">
        <v>1202077</v>
      </c>
      <c r="I88" s="77">
        <v>1202802</v>
      </c>
      <c r="J88" s="7">
        <v>444.3</v>
      </c>
      <c r="K88" s="78">
        <v>2725.03</v>
      </c>
      <c r="L88" s="79" t="s">
        <v>112</v>
      </c>
      <c r="M88" s="6"/>
      <c r="N88" s="5">
        <f t="shared" si="7"/>
        <v>725</v>
      </c>
      <c r="O88" s="80">
        <f t="shared" si="8"/>
        <v>6.1333108260184561</v>
      </c>
      <c r="P88" s="8">
        <f t="shared" si="9"/>
        <v>1.6317803286067971</v>
      </c>
      <c r="Q88" s="8">
        <f t="shared" si="12"/>
        <v>1.7591747451720028</v>
      </c>
      <c r="R88" s="81">
        <f t="shared" si="10"/>
        <v>0</v>
      </c>
      <c r="S88" s="113" t="str">
        <f>IF(F88="","",IF(H88="",TEXT(_xlfn.MAXIFS($I$1:I88,$F$1:F88,F88,$H$1:H88,"&gt;"&amp;0),"000.000"),F88))</f>
        <v>OQC0C33</v>
      </c>
      <c r="T88" s="81"/>
      <c r="U88" s="82"/>
      <c r="V88" s="98"/>
      <c r="W88" s="82"/>
      <c r="X88" s="98"/>
      <c r="Y88" s="82"/>
      <c r="Z88" s="98"/>
      <c r="AA88" s="82"/>
      <c r="AB88" s="98"/>
      <c r="AC88" s="82"/>
      <c r="AD88" s="98"/>
      <c r="AE88" s="117"/>
      <c r="AF88" s="98"/>
      <c r="AG88" s="98"/>
      <c r="AH88" s="98"/>
      <c r="AI88" s="82"/>
      <c r="AJ88" s="98"/>
      <c r="AK88" s="83"/>
      <c r="AL88" s="84" t="str">
        <f>IF(F88&lt;&gt;0,IF(_xlfn.MAXIFS($I$1:I88,$F$1:F88,F88,$H$1:H88,"&gt;"&amp;0)=0,"KM NÃO ENCONTRADO",IF(H88=0,CONCATENATE("SUGESTÃO DE KM PARA PLACA ",F88," *",_xlfn.MAXIFS($I$1:I88,$F$1:F88,F88,$H$1:H88,"&gt;"&amp;0),"*"),"")),"")</f>
        <v/>
      </c>
      <c r="AM88" s="85" t="str" cm="1">
        <f t="array" ref="AM88">IFERROR(IF(M88&lt;&gt;"","",CONCATENATE("https://btx.brasiltrack.com/logistica/trajeto.php?idveiculo=",VLOOKUP(F88,DATAS!$A$221:$B$250,2,FALSE),"&amp;lat=-22.204247","&amp;data_ini=",TEXT(IF(E88&lt;&gt;"",IF(COUNTIF($F$2:$F88,F88)&gt;1,MAX(IF($F$1:$F87=F88,$E$1:$E87)),""),""),"DD/MM/AAAA"),"&amp;data_fim=",TEXT(E88,"DD/MM/AAAA"),"&amp;hora_inicial=",HOUR(IF(E88&lt;&gt;"",IF(COUNTIF($F$2:$F88,F88)&gt;1,MAX(IF($F$1:$F87=F88,$E$1:$E87)),""),"")),"&amp;minuto_inicial=",MINUTE(IF(E88&lt;&gt;"",IF(COUNTIF($F$2:$F88,F88)&gt;1,MAX(IF($F$1:$F87=F88,$E$1:$E87)),""),"")),"&amp;hora_final=",HOUR(E88),"&amp;minuto_final=",MINUTE(E88),"&amp;periodo=6&amp;tipo=por_data&amp;upos=false&amp;outequip=0")),"")</f>
        <v>https://btx.brasiltrack.com/logistica/trajeto.php?idveiculo=0704F285-9532-44A8-B32A-C16F1E6FD89C&amp;lat=-22.204247&amp;data_ini=08/11/2022&amp;data_fim=12/11/2022&amp;hora_inicial=22&amp;minuto_inicial=14&amp;hora_final=7&amp;minuto_final=35&amp;periodo=6&amp;tipo=por_data&amp;upos=false&amp;outequip=0</v>
      </c>
      <c r="AN88" s="100" t="str">
        <f t="shared" si="11"/>
        <v xml:space="preserve">               </v>
      </c>
    </row>
    <row r="89" spans="1:40" x14ac:dyDescent="0.25">
      <c r="A89" s="81"/>
      <c r="B89" s="81"/>
      <c r="C89" s="81"/>
      <c r="D89" s="144">
        <v>44866</v>
      </c>
      <c r="E89" s="76">
        <v>44877.484027777777</v>
      </c>
      <c r="F89" s="6" t="s">
        <v>24</v>
      </c>
      <c r="G89" s="5" t="str">
        <f>IFERROR(VLOOKUP(SUMIFS(MSOLICITADA!$I:$I,MSOLICITADA!$B:$B,D89,MSOLICITADA!$F:$F,F89),CODIGOSPLACAS!$A$64:$B$89,2,FALSE),"")</f>
        <v>PAULO HENR.</v>
      </c>
      <c r="H89" s="77">
        <v>938636</v>
      </c>
      <c r="I89" s="77">
        <v>939280</v>
      </c>
      <c r="J89" s="7">
        <v>427.03</v>
      </c>
      <c r="K89" s="78">
        <v>2737.26</v>
      </c>
      <c r="L89" s="79" t="s">
        <v>111</v>
      </c>
      <c r="M89" s="6"/>
      <c r="N89" s="5">
        <f t="shared" si="7"/>
        <v>644</v>
      </c>
      <c r="O89" s="80">
        <f t="shared" si="8"/>
        <v>6.4099946139615493</v>
      </c>
      <c r="P89" s="8">
        <f t="shared" si="9"/>
        <v>1.5080907664566894</v>
      </c>
      <c r="Q89" s="8">
        <f t="shared" si="12"/>
        <v>1.4770603223392504</v>
      </c>
      <c r="R89" s="81">
        <f t="shared" si="10"/>
        <v>0</v>
      </c>
      <c r="S89" s="113" t="str">
        <f>IF(F89="","",IF(H89="",TEXT(_xlfn.MAXIFS($I$1:I89,$F$1:F89,F89,$H$1:H89,"&gt;"&amp;0),"000.000"),F89))</f>
        <v>FKS0J24</v>
      </c>
      <c r="T89" s="81"/>
      <c r="U89" s="82"/>
      <c r="V89" s="98"/>
      <c r="W89" s="82"/>
      <c r="X89" s="98"/>
      <c r="Y89" s="82"/>
      <c r="Z89" s="98"/>
      <c r="AA89" s="82"/>
      <c r="AB89" s="98"/>
      <c r="AC89" s="82"/>
      <c r="AD89" s="98"/>
      <c r="AE89" s="117"/>
      <c r="AF89" s="98"/>
      <c r="AG89" s="98"/>
      <c r="AH89" s="98"/>
      <c r="AI89" s="82"/>
      <c r="AJ89" s="98"/>
      <c r="AK89" s="83"/>
      <c r="AL89" s="84" t="str">
        <f>IF(F89&lt;&gt;0,IF(_xlfn.MAXIFS($I$1:I89,$F$1:F89,F89,$H$1:H89,"&gt;"&amp;0)=0,"KM NÃO ENCONTRADO",IF(H89=0,CONCATENATE("SUGESTÃO DE KM PARA PLACA ",F89," *",_xlfn.MAXIFS($I$1:I89,$F$1:F89,F89,$H$1:H89,"&gt;"&amp;0),"*"),"")),"")</f>
        <v/>
      </c>
      <c r="AM89" s="85" t="str" cm="1">
        <f t="array" ref="AM89">IFERROR(IF(M89&lt;&gt;"","",CONCATENATE("https://btx.brasiltrack.com/logistica/trajeto.php?idveiculo=",VLOOKUP(F89,DATAS!$A$221:$B$250,2,FALSE),"&amp;lat=-22.204247","&amp;data_ini=",TEXT(IF(E89&lt;&gt;"",IF(COUNTIF($F$2:$F89,F89)&gt;1,MAX(IF($F$1:$F88=F89,$E$1:$E88)),""),""),"DD/MM/AAAA"),"&amp;data_fim=",TEXT(E89,"DD/MM/AAAA"),"&amp;hora_inicial=",HOUR(IF(E89&lt;&gt;"",IF(COUNTIF($F$2:$F89,F89)&gt;1,MAX(IF($F$1:$F88=F89,$E$1:$E88)),""),"")),"&amp;minuto_inicial=",MINUTE(IF(E89&lt;&gt;"",IF(COUNTIF($F$2:$F89,F89)&gt;1,MAX(IF($F$1:$F88=F89,$E$1:$E88)),""),"")),"&amp;hora_final=",HOUR(E89),"&amp;minuto_final=",MINUTE(E89),"&amp;periodo=6&amp;tipo=por_data&amp;upos=false&amp;outequip=0")),"")</f>
        <v>https://btx.brasiltrack.com/logistica/trajeto.php?idveiculo=F4FE5996-DC74-4D0B-AEF1-D6ADE020157C&amp;lat=-22.204247&amp;data_ini=10/11/2022&amp;data_fim=12/11/2022&amp;hora_inicial=12&amp;minuto_inicial=2&amp;hora_final=11&amp;minuto_final=37&amp;periodo=6&amp;tipo=por_data&amp;upos=false&amp;outequip=0</v>
      </c>
      <c r="AN89" s="100" t="str">
        <f t="shared" si="11"/>
        <v xml:space="preserve">               </v>
      </c>
    </row>
    <row r="90" spans="1:40" x14ac:dyDescent="0.25">
      <c r="A90" s="81"/>
      <c r="B90" s="81"/>
      <c r="C90" s="81"/>
      <c r="D90" s="144">
        <v>44866</v>
      </c>
      <c r="E90" s="76">
        <v>44880.302777777775</v>
      </c>
      <c r="F90" s="6" t="s">
        <v>22</v>
      </c>
      <c r="G90" s="5" t="str">
        <f>IFERROR(VLOOKUP(SUMIFS(MSOLICITADA!$I:$I,MSOLICITADA!$B:$B,D90,MSOLICITADA!$F:$F,F90),CODIGOSPLACAS!$A$64:$B$89,2,FALSE),"")</f>
        <v>GUILHERME</v>
      </c>
      <c r="H90" s="77">
        <v>1202802</v>
      </c>
      <c r="I90" s="77">
        <v>1203481</v>
      </c>
      <c r="J90" s="7">
        <v>416</v>
      </c>
      <c r="K90" s="78">
        <v>2658.24</v>
      </c>
      <c r="L90" s="79" t="s">
        <v>111</v>
      </c>
      <c r="M90" s="6"/>
      <c r="N90" s="5">
        <f t="shared" si="7"/>
        <v>679</v>
      </c>
      <c r="O90" s="80">
        <f t="shared" si="8"/>
        <v>6.39</v>
      </c>
      <c r="P90" s="8">
        <f t="shared" si="9"/>
        <v>1.6322115384615385</v>
      </c>
      <c r="Q90" s="8">
        <f t="shared" si="12"/>
        <v>1.7591747451720028</v>
      </c>
      <c r="R90" s="81">
        <f t="shared" si="10"/>
        <v>0</v>
      </c>
      <c r="S90" s="113" t="str">
        <f>IF(F90="","",IF(H90="",TEXT(_xlfn.MAXIFS($I$1:I90,$F$1:F90,F90,$H$1:H90,"&gt;"&amp;0),"000.000"),F90))</f>
        <v>OQC0C33</v>
      </c>
      <c r="T90" s="81"/>
      <c r="U90" s="82"/>
      <c r="V90" s="98"/>
      <c r="W90" s="82"/>
      <c r="X90" s="98"/>
      <c r="Y90" s="82"/>
      <c r="Z90" s="98"/>
      <c r="AA90" s="82"/>
      <c r="AB90" s="98"/>
      <c r="AC90" s="82"/>
      <c r="AD90" s="98"/>
      <c r="AE90" s="117"/>
      <c r="AF90" s="98"/>
      <c r="AG90" s="98"/>
      <c r="AH90" s="98"/>
      <c r="AI90" s="82"/>
      <c r="AJ90" s="98"/>
      <c r="AK90" s="83"/>
      <c r="AL90" s="84" t="str">
        <f>IF(F90&lt;&gt;0,IF(_xlfn.MAXIFS($I$1:I90,$F$1:F90,F90,$H$1:H90,"&gt;"&amp;0)=0,"KM NÃO ENCONTRADO",IF(H90=0,CONCATENATE("SUGESTÃO DE KM PARA PLACA ",F90," *",_xlfn.MAXIFS($I$1:I90,$F$1:F90,F90,$H$1:H90,"&gt;"&amp;0),"*"),"")),"")</f>
        <v/>
      </c>
      <c r="AM90" s="85" t="str" cm="1">
        <f t="array" ref="AM90">IFERROR(IF(M90&lt;&gt;"","",CONCATENATE("https://btx.brasiltrack.com/logistica/trajeto.php?idveiculo=",VLOOKUP(F90,DATAS!$A$221:$B$250,2,FALSE),"&amp;lat=-22.204247","&amp;data_ini=",TEXT(IF(E90&lt;&gt;"",IF(COUNTIF($F$2:$F90,F90)&gt;1,MAX(IF($F$1:$F89=F90,$E$1:$E89)),""),""),"DD/MM/AAAA"),"&amp;data_fim=",TEXT(E90,"DD/MM/AAAA"),"&amp;hora_inicial=",HOUR(IF(E90&lt;&gt;"",IF(COUNTIF($F$2:$F90,F90)&gt;1,MAX(IF($F$1:$F89=F90,$E$1:$E89)),""),"")),"&amp;minuto_inicial=",MINUTE(IF(E90&lt;&gt;"",IF(COUNTIF($F$2:$F90,F90)&gt;1,MAX(IF($F$1:$F89=F90,$E$1:$E89)),""),"")),"&amp;hora_final=",HOUR(E90),"&amp;minuto_final=",MINUTE(E90),"&amp;periodo=6&amp;tipo=por_data&amp;upos=false&amp;outequip=0")),"")</f>
        <v>https://btx.brasiltrack.com/logistica/trajeto.php?idveiculo=0704F285-9532-44A8-B32A-C16F1E6FD89C&amp;lat=-22.204247&amp;data_ini=12/11/2022&amp;data_fim=15/11/2022&amp;hora_inicial=7&amp;minuto_inicial=35&amp;hora_final=7&amp;minuto_final=16&amp;periodo=6&amp;tipo=por_data&amp;upos=false&amp;outequip=0</v>
      </c>
      <c r="AN90" s="100" t="str">
        <f t="shared" si="11"/>
        <v xml:space="preserve">               </v>
      </c>
    </row>
    <row r="91" spans="1:40" x14ac:dyDescent="0.25">
      <c r="A91" s="81"/>
      <c r="B91" s="81"/>
      <c r="C91" s="81"/>
      <c r="D91" s="144">
        <v>44866</v>
      </c>
      <c r="E91" s="76">
        <v>44880.638888888891</v>
      </c>
      <c r="F91" s="6" t="s">
        <v>32</v>
      </c>
      <c r="G91" s="5" t="str">
        <f>IFERROR(VLOOKUP(SUMIFS(MSOLICITADA!$I:$I,MSOLICITADA!$B:$B,D91,MSOLICITADA!$F:$F,F91),CODIGOSPLACAS!$A$64:$B$89,2,FALSE),"")</f>
        <v>ADILSON</v>
      </c>
      <c r="H91" s="77">
        <v>191424</v>
      </c>
      <c r="I91" s="77">
        <v>192319</v>
      </c>
      <c r="J91" s="7">
        <v>201.5</v>
      </c>
      <c r="K91" s="78">
        <v>1235.8599999999999</v>
      </c>
      <c r="L91" s="79" t="s">
        <v>112</v>
      </c>
      <c r="M91" s="6"/>
      <c r="N91" s="5">
        <f t="shared" si="7"/>
        <v>895</v>
      </c>
      <c r="O91" s="80">
        <f t="shared" si="8"/>
        <v>6.1333002481389576</v>
      </c>
      <c r="P91" s="8">
        <f t="shared" si="9"/>
        <v>4.4416873449131513</v>
      </c>
      <c r="Q91" s="8">
        <f t="shared" si="12"/>
        <v>1.518200707495146</v>
      </c>
      <c r="R91" s="81">
        <f t="shared" si="10"/>
        <v>0</v>
      </c>
      <c r="S91" s="113" t="str">
        <f>IF(F91="","",IF(H91="",TEXT(_xlfn.MAXIFS($I$1:I91,$F$1:F91,F91,$H$1:H91,"&gt;"&amp;0),"000.000"),F91))</f>
        <v>GJU9A22</v>
      </c>
      <c r="T91" s="81"/>
      <c r="U91" s="82"/>
      <c r="V91" s="98"/>
      <c r="W91" s="82"/>
      <c r="X91" s="98"/>
      <c r="Y91" s="82"/>
      <c r="Z91" s="98"/>
      <c r="AA91" s="82"/>
      <c r="AB91" s="98"/>
      <c r="AC91" s="82"/>
      <c r="AD91" s="98"/>
      <c r="AE91" s="117"/>
      <c r="AF91" s="98"/>
      <c r="AG91" s="98"/>
      <c r="AH91" s="98"/>
      <c r="AI91" s="82"/>
      <c r="AJ91" s="98"/>
      <c r="AK91" s="83"/>
      <c r="AL91" s="84" t="str">
        <f>IF(F91&lt;&gt;0,IF(_xlfn.MAXIFS($I$1:I91,$F$1:F91,F91,$H$1:H91,"&gt;"&amp;0)=0,"KM NÃO ENCONTRADO",IF(H91=0,CONCATENATE("SUGESTÃO DE KM PARA PLACA ",F91," *",_xlfn.MAXIFS($I$1:I91,$F$1:F91,F91,$H$1:H91,"&gt;"&amp;0),"*"),"")),"")</f>
        <v/>
      </c>
      <c r="AM91" s="85" t="str" cm="1">
        <f t="array" ref="AM91">IFERROR(IF(M91&lt;&gt;"","",CONCATENATE("https://btx.brasiltrack.com/logistica/trajeto.php?idveiculo=",VLOOKUP(F91,DATAS!$A$221:$B$250,2,FALSE),"&amp;lat=-22.204247","&amp;data_ini=",TEXT(IF(E91&lt;&gt;"",IF(COUNTIF($F$2:$F91,F91)&gt;1,MAX(IF($F$1:$F90=F91,$E$1:$E90)),""),""),"DD/MM/AAAA"),"&amp;data_fim=",TEXT(E91,"DD/MM/AAAA"),"&amp;hora_inicial=",HOUR(IF(E91&lt;&gt;"",IF(COUNTIF($F$2:$F91,F91)&gt;1,MAX(IF($F$1:$F90=F91,$E$1:$E90)),""),"")),"&amp;minuto_inicial=",MINUTE(IF(E91&lt;&gt;"",IF(COUNTIF($F$2:$F91,F91)&gt;1,MAX(IF($F$1:$F90=F91,$E$1:$E90)),""),"")),"&amp;hora_final=",HOUR(E91),"&amp;minuto_final=",MINUTE(E91),"&amp;periodo=6&amp;tipo=por_data&amp;upos=false&amp;outequip=0")),"")</f>
        <v>https://btx.brasiltrack.com/logistica/trajeto.php?idveiculo=51FCA948-8BA9-488B-AAF2-8F2F237B75B2&amp;lat=-22.204247&amp;data_ini=08/11/2022&amp;data_fim=15/11/2022&amp;hora_inicial=22&amp;minuto_inicial=56&amp;hora_final=15&amp;minuto_final=20&amp;periodo=6&amp;tipo=por_data&amp;upos=false&amp;outequip=0</v>
      </c>
      <c r="AN91" s="100" t="str">
        <f t="shared" si="11"/>
        <v xml:space="preserve">               </v>
      </c>
    </row>
    <row r="92" spans="1:40" x14ac:dyDescent="0.25">
      <c r="A92" s="81"/>
      <c r="B92" s="81"/>
      <c r="C92" s="81"/>
      <c r="D92" s="144">
        <v>44866</v>
      </c>
      <c r="E92" s="76">
        <v>44880.949305555558</v>
      </c>
      <c r="F92" s="6" t="s">
        <v>27</v>
      </c>
      <c r="G92" s="5" t="str">
        <f>IFERROR(VLOOKUP(SUMIFS(MSOLICITADA!$I:$I,MSOLICITADA!$B:$B,D92,MSOLICITADA!$F:$F,F92),CODIGOSPLACAS!$A$64:$B$89,2,FALSE),"")</f>
        <v>ANTONIO</v>
      </c>
      <c r="H92" s="77">
        <v>236279</v>
      </c>
      <c r="I92" s="77">
        <v>237054</v>
      </c>
      <c r="J92" s="7">
        <v>518.28</v>
      </c>
      <c r="K92" s="78">
        <v>3311.81</v>
      </c>
      <c r="L92" s="79" t="s">
        <v>111</v>
      </c>
      <c r="M92" s="6"/>
      <c r="N92" s="5">
        <f t="shared" si="7"/>
        <v>775</v>
      </c>
      <c r="O92" s="80">
        <f t="shared" si="8"/>
        <v>6.390001543567184</v>
      </c>
      <c r="P92" s="8">
        <f t="shared" si="9"/>
        <v>1.495330709269121</v>
      </c>
      <c r="Q92" s="8">
        <f t="shared" si="12"/>
        <v>1.4461676128873802</v>
      </c>
      <c r="R92" s="81">
        <f t="shared" si="10"/>
        <v>0</v>
      </c>
      <c r="S92" s="113" t="str">
        <f>IF(F92="","",IF(H92="",TEXT(_xlfn.MAXIFS($I$1:I92,$F$1:F92,F92,$H$1:H92,"&gt;"&amp;0),"000.000"),F92))</f>
        <v>GHS4J57</v>
      </c>
      <c r="T92" s="81"/>
      <c r="U92" s="82"/>
      <c r="V92" s="98"/>
      <c r="W92" s="82"/>
      <c r="X92" s="98"/>
      <c r="Y92" s="82"/>
      <c r="Z92" s="98"/>
      <c r="AA92" s="82"/>
      <c r="AB92" s="98"/>
      <c r="AC92" s="82"/>
      <c r="AD92" s="98"/>
      <c r="AE92" s="117"/>
      <c r="AF92" s="98"/>
      <c r="AG92" s="98"/>
      <c r="AH92" s="98"/>
      <c r="AI92" s="82"/>
      <c r="AJ92" s="98"/>
      <c r="AK92" s="83"/>
      <c r="AL92" s="84" t="str">
        <f>IF(F92&lt;&gt;0,IF(_xlfn.MAXIFS($I$1:I92,$F$1:F92,F92,$H$1:H92,"&gt;"&amp;0)=0,"KM NÃO ENCONTRADO",IF(H92=0,CONCATENATE("SUGESTÃO DE KM PARA PLACA ",F92," *",_xlfn.MAXIFS($I$1:I92,$F$1:F92,F92,$H$1:H92,"&gt;"&amp;0),"*"),"")),"")</f>
        <v/>
      </c>
      <c r="AM92" s="85" t="str" cm="1">
        <f t="array" ref="AM92">IFERROR(IF(M92&lt;&gt;"","",CONCATENATE("https://btx.brasiltrack.com/logistica/trajeto.php?idveiculo=",VLOOKUP(F92,DATAS!$A$221:$B$250,2,FALSE),"&amp;lat=-22.204247","&amp;data_ini=",TEXT(IF(E92&lt;&gt;"",IF(COUNTIF($F$2:$F92,F92)&gt;1,MAX(IF($F$1:$F91=F92,$E$1:$E91)),""),""),"DD/MM/AAAA"),"&amp;data_fim=",TEXT(E92,"DD/MM/AAAA"),"&amp;hora_inicial=",HOUR(IF(E92&lt;&gt;"",IF(COUNTIF($F$2:$F92,F92)&gt;1,MAX(IF($F$1:$F91=F92,$E$1:$E91)),""),"")),"&amp;minuto_inicial=",MINUTE(IF(E92&lt;&gt;"",IF(COUNTIF($F$2:$F92,F92)&gt;1,MAX(IF($F$1:$F91=F92,$E$1:$E91)),""),"")),"&amp;hora_final=",HOUR(E92),"&amp;minuto_final=",MINUTE(E92),"&amp;periodo=6&amp;tipo=por_data&amp;upos=false&amp;outequip=0")),"")</f>
        <v>https://btx.brasiltrack.com/logistica/trajeto.php?idveiculo=17ED636C-5A71-44D5-AF3C-192D3DA6CDD1&amp;lat=-22.204247&amp;data_ini=10/11/2022&amp;data_fim=15/11/2022&amp;hora_inicial=17&amp;minuto_inicial=51&amp;hora_final=22&amp;minuto_final=47&amp;periodo=6&amp;tipo=por_data&amp;upos=false&amp;outequip=0</v>
      </c>
      <c r="AN92" s="100" t="str">
        <f t="shared" si="11"/>
        <v xml:space="preserve">               </v>
      </c>
    </row>
    <row r="93" spans="1:40" x14ac:dyDescent="0.25">
      <c r="A93" s="81"/>
      <c r="B93" s="81"/>
      <c r="C93" s="81"/>
      <c r="D93" s="144">
        <v>44866</v>
      </c>
      <c r="E93" s="76">
        <v>44880.98541666667</v>
      </c>
      <c r="F93" s="6" t="s">
        <v>30</v>
      </c>
      <c r="G93" s="5" t="str">
        <f>IFERROR(VLOOKUP(SUMIFS(MSOLICITADA!$I:$I,MSOLICITADA!$B:$B,D93,MSOLICITADA!$F:$F,F93),CODIGOSPLACAS!$A$64:$B$89,2,FALSE),"")</f>
        <v>RONILSON</v>
      </c>
      <c r="H93" s="77">
        <v>210112</v>
      </c>
      <c r="I93" s="77">
        <v>210899</v>
      </c>
      <c r="J93" s="7">
        <v>481.42</v>
      </c>
      <c r="K93" s="78">
        <v>3085.9</v>
      </c>
      <c r="L93" s="79" t="s">
        <v>111</v>
      </c>
      <c r="M93" s="6"/>
      <c r="N93" s="5">
        <f t="shared" si="7"/>
        <v>787</v>
      </c>
      <c r="O93" s="80">
        <f t="shared" si="8"/>
        <v>6.4099954301857007</v>
      </c>
      <c r="P93" s="8">
        <f t="shared" si="9"/>
        <v>1.6347472061817123</v>
      </c>
      <c r="Q93" s="8">
        <f t="shared" si="12"/>
        <v>1.5438598974121283</v>
      </c>
      <c r="R93" s="81">
        <f t="shared" si="10"/>
        <v>0</v>
      </c>
      <c r="S93" s="113" t="str">
        <f>IF(F93="","",IF(H93="",TEXT(_xlfn.MAXIFS($I$1:I93,$F$1:F93,F93,$H$1:H93,"&gt;"&amp;0),"000.000"),F93))</f>
        <v>GFB0I37</v>
      </c>
      <c r="T93" s="81"/>
      <c r="U93" s="82"/>
      <c r="V93" s="98"/>
      <c r="W93" s="82"/>
      <c r="X93" s="98"/>
      <c r="Y93" s="82"/>
      <c r="Z93" s="98"/>
      <c r="AA93" s="82"/>
      <c r="AB93" s="98"/>
      <c r="AC93" s="82"/>
      <c r="AD93" s="98"/>
      <c r="AE93" s="117"/>
      <c r="AF93" s="98"/>
      <c r="AG93" s="98"/>
      <c r="AH93" s="98"/>
      <c r="AI93" s="82"/>
      <c r="AJ93" s="98"/>
      <c r="AK93" s="83"/>
      <c r="AL93" s="84" t="str">
        <f>IF(F93&lt;&gt;0,IF(_xlfn.MAXIFS($I$1:I93,$F$1:F93,F93,$H$1:H93,"&gt;"&amp;0)=0,"KM NÃO ENCONTRADO",IF(H93=0,CONCATENATE("SUGESTÃO DE KM PARA PLACA ",F93," *",_xlfn.MAXIFS($I$1:I93,$F$1:F93,F93,$H$1:H93,"&gt;"&amp;0),"*"),"")),"")</f>
        <v/>
      </c>
      <c r="AM93" s="85" t="str" cm="1">
        <f t="array" ref="AM93">IFERROR(IF(M93&lt;&gt;"","",CONCATENATE("https://btx.brasiltrack.com/logistica/trajeto.php?idveiculo=",VLOOKUP(F93,DATAS!$A$221:$B$250,2,FALSE),"&amp;lat=-22.204247","&amp;data_ini=",TEXT(IF(E93&lt;&gt;"",IF(COUNTIF($F$2:$F93,F93)&gt;1,MAX(IF($F$1:$F92=F93,$E$1:$E92)),""),""),"DD/MM/AAAA"),"&amp;data_fim=",TEXT(E93,"DD/MM/AAAA"),"&amp;hora_inicial=",HOUR(IF(E93&lt;&gt;"",IF(COUNTIF($F$2:$F93,F93)&gt;1,MAX(IF($F$1:$F92=F93,$E$1:$E92)),""),"")),"&amp;minuto_inicial=",MINUTE(IF(E93&lt;&gt;"",IF(COUNTIF($F$2:$F93,F93)&gt;1,MAX(IF($F$1:$F92=F93,$E$1:$E92)),""),"")),"&amp;hora_final=",HOUR(E93),"&amp;minuto_final=",MINUTE(E93),"&amp;periodo=6&amp;tipo=por_data&amp;upos=false&amp;outequip=0")),"")</f>
        <v>https://btx.brasiltrack.com/logistica/trajeto.php?idveiculo=94099C57-E02A-40F7-B573-6368475EB0B3&amp;lat=-22.204247&amp;data_ini=10/11/2022&amp;data_fim=15/11/2022&amp;hora_inicial=12&amp;minuto_inicial=5&amp;hora_final=23&amp;minuto_final=39&amp;periodo=6&amp;tipo=por_data&amp;upos=false&amp;outequip=0</v>
      </c>
      <c r="AN93" s="100" t="str">
        <f t="shared" si="11"/>
        <v xml:space="preserve">               </v>
      </c>
    </row>
    <row r="94" spans="1:40" x14ac:dyDescent="0.25">
      <c r="A94" s="81"/>
      <c r="B94" s="81"/>
      <c r="C94" s="81"/>
      <c r="D94" s="144">
        <v>44866</v>
      </c>
      <c r="E94" s="76">
        <v>44881.059027777781</v>
      </c>
      <c r="F94" s="6" t="s">
        <v>29</v>
      </c>
      <c r="G94" s="5" t="str">
        <f>IFERROR(VLOOKUP(SUMIFS(MSOLICITADA!$I:$I,MSOLICITADA!$B:$B,D94,MSOLICITADA!$F:$F,F94),CODIGOSPLACAS!$A$64:$B$89,2,FALSE),"")</f>
        <v>EDNILSON</v>
      </c>
      <c r="H94" s="77">
        <v>225453</v>
      </c>
      <c r="I94" s="77">
        <v>226082</v>
      </c>
      <c r="J94" s="7">
        <v>390</v>
      </c>
      <c r="K94" s="78">
        <v>2499.9</v>
      </c>
      <c r="L94" s="79" t="s">
        <v>111</v>
      </c>
      <c r="M94" s="6"/>
      <c r="N94" s="5">
        <f t="shared" si="7"/>
        <v>629</v>
      </c>
      <c r="O94" s="80">
        <f t="shared" si="8"/>
        <v>6.41</v>
      </c>
      <c r="P94" s="8">
        <f t="shared" si="9"/>
        <v>1.6128205128205129</v>
      </c>
      <c r="Q94" s="8">
        <f t="shared" si="12"/>
        <v>1.5506852118293495</v>
      </c>
      <c r="R94" s="81">
        <f t="shared" si="10"/>
        <v>0</v>
      </c>
      <c r="S94" s="113" t="str">
        <f>IF(F94="","",IF(H94="",TEXT(_xlfn.MAXIFS($I$1:I94,$F$1:F94,F94,$H$1:H94,"&gt;"&amp;0),"000.000"),F94))</f>
        <v>GKA2J56</v>
      </c>
      <c r="T94" s="81"/>
      <c r="U94" s="82"/>
      <c r="V94" s="98"/>
      <c r="W94" s="82"/>
      <c r="X94" s="98"/>
      <c r="Y94" s="82"/>
      <c r="Z94" s="98"/>
      <c r="AA94" s="82"/>
      <c r="AB94" s="98"/>
      <c r="AC94" s="82"/>
      <c r="AD94" s="98"/>
      <c r="AE94" s="117"/>
      <c r="AF94" s="98"/>
      <c r="AG94" s="98"/>
      <c r="AH94" s="98"/>
      <c r="AI94" s="82"/>
      <c r="AJ94" s="98"/>
      <c r="AK94" s="83"/>
      <c r="AL94" s="84" t="str">
        <f>IF(F94&lt;&gt;0,IF(_xlfn.MAXIFS($I$1:I94,$F$1:F94,F94,$H$1:H94,"&gt;"&amp;0)=0,"KM NÃO ENCONTRADO",IF(H94=0,CONCATENATE("SUGESTÃO DE KM PARA PLACA ",F94," *",_xlfn.MAXIFS($I$1:I94,$F$1:F94,F94,$H$1:H94,"&gt;"&amp;0),"*"),"")),"")</f>
        <v/>
      </c>
      <c r="AM94" s="85" t="str" cm="1">
        <f t="array" ref="AM94">IFERROR(IF(M94&lt;&gt;"","",CONCATENATE("https://btx.brasiltrack.com/logistica/trajeto.php?idveiculo=",VLOOKUP(F94,DATAS!$A$221:$B$250,2,FALSE),"&amp;lat=-22.204247","&amp;data_ini=",TEXT(IF(E94&lt;&gt;"",IF(COUNTIF($F$2:$F94,F94)&gt;1,MAX(IF($F$1:$F93=F94,$E$1:$E93)),""),""),"DD/MM/AAAA"),"&amp;data_fim=",TEXT(E94,"DD/MM/AAAA"),"&amp;hora_inicial=",HOUR(IF(E94&lt;&gt;"",IF(COUNTIF($F$2:$F94,F94)&gt;1,MAX(IF($F$1:$F93=F94,$E$1:$E93)),""),"")),"&amp;minuto_inicial=",MINUTE(IF(E94&lt;&gt;"",IF(COUNTIF($F$2:$F94,F94)&gt;1,MAX(IF($F$1:$F93=F94,$E$1:$E93)),""),"")),"&amp;hora_final=",HOUR(E94),"&amp;minuto_final=",MINUTE(E94),"&amp;periodo=6&amp;tipo=por_data&amp;upos=false&amp;outequip=0")),"")</f>
        <v>https://btx.brasiltrack.com/logistica/trajeto.php?idveiculo=75A3D88C-4B99-481A-ACC8-34008151E92D&amp;lat=-22.204247&amp;data_ini=09/11/2022&amp;data_fim=16/11/2022&amp;hora_inicial=12&amp;minuto_inicial=8&amp;hora_final=1&amp;minuto_final=25&amp;periodo=6&amp;tipo=por_data&amp;upos=false&amp;outequip=0</v>
      </c>
      <c r="AN94" s="100" t="str">
        <f t="shared" si="11"/>
        <v xml:space="preserve">               </v>
      </c>
    </row>
    <row r="95" spans="1:40" x14ac:dyDescent="0.25">
      <c r="A95" s="81"/>
      <c r="B95" s="81"/>
      <c r="C95" s="81"/>
      <c r="D95" s="144">
        <v>44866</v>
      </c>
      <c r="E95" s="76">
        <v>44881.270833333336</v>
      </c>
      <c r="F95" s="6" t="s">
        <v>161</v>
      </c>
      <c r="G95" s="5" t="str">
        <f>IFERROR(VLOOKUP(SUMIFS(MSOLICITADA!$I:$I,MSOLICITADA!$B:$B,D95,MSOLICITADA!$F:$F,F95),CODIGOSPLACAS!$A$64:$B$89,2,FALSE),"")</f>
        <v/>
      </c>
      <c r="H95" s="77">
        <v>254390</v>
      </c>
      <c r="I95" s="77">
        <v>254575</v>
      </c>
      <c r="J95" s="7">
        <v>205</v>
      </c>
      <c r="K95" s="78">
        <v>1257.33</v>
      </c>
      <c r="L95" s="79" t="s">
        <v>112</v>
      </c>
      <c r="M95" s="6"/>
      <c r="N95" s="5">
        <f t="shared" si="7"/>
        <v>185</v>
      </c>
      <c r="O95" s="80">
        <f t="shared" si="8"/>
        <v>6.1333170731707316</v>
      </c>
      <c r="P95" s="8">
        <f t="shared" si="9"/>
        <v>0.90243902439024393</v>
      </c>
      <c r="Q95" s="8">
        <f t="shared" si="12"/>
        <v>1.3257365202890494</v>
      </c>
      <c r="R95" s="81">
        <f t="shared" si="10"/>
        <v>0</v>
      </c>
      <c r="S95" s="113" t="str">
        <f>IF(F95="","",IF(H95="",TEXT(_xlfn.MAXIFS($I$1:I95,$F$1:F95,F95,$H$1:H95,"&gt;"&amp;0),"000.000"),F95))</f>
        <v>GYS4080</v>
      </c>
      <c r="T95" s="81"/>
      <c r="U95" s="82"/>
      <c r="V95" s="98"/>
      <c r="W95" s="82"/>
      <c r="X95" s="98"/>
      <c r="Y95" s="82"/>
      <c r="Z95" s="98"/>
      <c r="AA95" s="82"/>
      <c r="AB95" s="98"/>
      <c r="AC95" s="82"/>
      <c r="AD95" s="98"/>
      <c r="AE95" s="117"/>
      <c r="AF95" s="98"/>
      <c r="AG95" s="98"/>
      <c r="AH95" s="98"/>
      <c r="AI95" s="82"/>
      <c r="AJ95" s="98"/>
      <c r="AK95" s="83"/>
      <c r="AL95" s="84" t="str">
        <f>IF(F95&lt;&gt;0,IF(_xlfn.MAXIFS($I$1:I95,$F$1:F95,F95,$H$1:H95,"&gt;"&amp;0)=0,"KM NÃO ENCONTRADO",IF(H95=0,CONCATENATE("SUGESTÃO DE KM PARA PLACA ",F95," *",_xlfn.MAXIFS($I$1:I95,$F$1:F95,F95,$H$1:H95,"&gt;"&amp;0),"*"),"")),"")</f>
        <v/>
      </c>
      <c r="AM95" s="85" t="str" cm="1">
        <f t="array" ref="AM95">IFERROR(IF(M95&lt;&gt;"","",CONCATENATE("https://btx.brasiltrack.com/logistica/trajeto.php?idveiculo=",VLOOKUP(F95,DATAS!$A$221:$B$250,2,FALSE),"&amp;lat=-22.204247","&amp;data_ini=",TEXT(IF(E95&lt;&gt;"",IF(COUNTIF($F$2:$F95,F95)&gt;1,MAX(IF($F$1:$F94=F95,$E$1:$E94)),""),""),"DD/MM/AAAA"),"&amp;data_fim=",TEXT(E95,"DD/MM/AAAA"),"&amp;hora_inicial=",HOUR(IF(E95&lt;&gt;"",IF(COUNTIF($F$2:$F95,F95)&gt;1,MAX(IF($F$1:$F94=F95,$E$1:$E94)),""),"")),"&amp;minuto_inicial=",MINUTE(IF(E95&lt;&gt;"",IF(COUNTIF($F$2:$F95,F95)&gt;1,MAX(IF($F$1:$F94=F95,$E$1:$E94)),""),"")),"&amp;hora_final=",HOUR(E95),"&amp;minuto_final=",MINUTE(E95),"&amp;periodo=6&amp;tipo=por_data&amp;upos=false&amp;outequip=0")),"")</f>
        <v/>
      </c>
      <c r="AN95" s="100" t="str">
        <f t="shared" si="11"/>
        <v xml:space="preserve">               </v>
      </c>
    </row>
    <row r="96" spans="1:40" x14ac:dyDescent="0.25">
      <c r="A96" s="81"/>
      <c r="B96" s="81"/>
      <c r="C96" s="81"/>
      <c r="D96" s="144">
        <v>44866</v>
      </c>
      <c r="E96" s="76">
        <v>44881.925694444442</v>
      </c>
      <c r="F96" s="6" t="s">
        <v>28</v>
      </c>
      <c r="G96" s="5" t="str">
        <f>IFERROR(VLOOKUP(SUMIFS(MSOLICITADA!$I:$I,MSOLICITADA!$B:$B,D96,MSOLICITADA!$F:$F,F96),CODIGOSPLACAS!$A$64:$B$89,2,FALSE),"")</f>
        <v>RONY</v>
      </c>
      <c r="H96" s="77">
        <v>232223</v>
      </c>
      <c r="I96" s="77">
        <v>233321</v>
      </c>
      <c r="J96" s="7">
        <v>100</v>
      </c>
      <c r="K96" s="78">
        <v>660</v>
      </c>
      <c r="L96" s="79" t="s">
        <v>111</v>
      </c>
      <c r="M96" s="6"/>
      <c r="N96" s="5">
        <f t="shared" si="7"/>
        <v>1098</v>
      </c>
      <c r="O96" s="80">
        <f t="shared" si="8"/>
        <v>6.6</v>
      </c>
      <c r="P96" s="8">
        <f t="shared" si="9"/>
        <v>10.98</v>
      </c>
      <c r="Q96" s="8">
        <f t="shared" si="12"/>
        <v>1.398271770983244</v>
      </c>
      <c r="R96" s="81">
        <f t="shared" si="10"/>
        <v>0</v>
      </c>
      <c r="S96" s="113" t="str">
        <f>IF(F96="","",IF(H96="",TEXT(_xlfn.MAXIFS($I$1:I96,$F$1:F96,F96,$H$1:H96,"&gt;"&amp;0),"000.000"),F96))</f>
        <v>FZA3E94</v>
      </c>
      <c r="T96" s="81"/>
      <c r="U96" s="82"/>
      <c r="V96" s="98"/>
      <c r="W96" s="82"/>
      <c r="X96" s="98"/>
      <c r="Y96" s="82"/>
      <c r="Z96" s="98"/>
      <c r="AA96" s="82"/>
      <c r="AB96" s="98"/>
      <c r="AC96" s="82"/>
      <c r="AD96" s="98"/>
      <c r="AE96" s="117"/>
      <c r="AF96" s="98"/>
      <c r="AG96" s="98"/>
      <c r="AH96" s="98"/>
      <c r="AI96" s="82"/>
      <c r="AJ96" s="98"/>
      <c r="AK96" s="83"/>
      <c r="AL96" s="84" t="str">
        <f>IF(F96&lt;&gt;0,IF(_xlfn.MAXIFS($I$1:I96,$F$1:F96,F96,$H$1:H96,"&gt;"&amp;0)=0,"KM NÃO ENCONTRADO",IF(H96=0,CONCATENATE("SUGESTÃO DE KM PARA PLACA ",F96," *",_xlfn.MAXIFS($I$1:I96,$F$1:F96,F96,$H$1:H96,"&gt;"&amp;0),"*"),"")),"")</f>
        <v/>
      </c>
      <c r="AM96" s="85" t="str" cm="1">
        <f t="array" ref="AM96">IFERROR(IF(M96&lt;&gt;"","",CONCATENATE("https://btx.brasiltrack.com/logistica/trajeto.php?idveiculo=",VLOOKUP(F96,DATAS!$A$221:$B$250,2,FALSE),"&amp;lat=-22.204247","&amp;data_ini=",TEXT(IF(E96&lt;&gt;"",IF(COUNTIF($F$2:$F96,F96)&gt;1,MAX(IF($F$1:$F95=F96,$E$1:$E95)),""),""),"DD/MM/AAAA"),"&amp;data_fim=",TEXT(E96,"DD/MM/AAAA"),"&amp;hora_inicial=",HOUR(IF(E96&lt;&gt;"",IF(COUNTIF($F$2:$F96,F96)&gt;1,MAX(IF($F$1:$F95=F96,$E$1:$E95)),""),"")),"&amp;minuto_inicial=",MINUTE(IF(E96&lt;&gt;"",IF(COUNTIF($F$2:$F96,F96)&gt;1,MAX(IF($F$1:$F95=F96,$E$1:$E95)),""),"")),"&amp;hora_final=",HOUR(E96),"&amp;minuto_final=",MINUTE(E96),"&amp;periodo=6&amp;tipo=por_data&amp;upos=false&amp;outequip=0")),"")</f>
        <v>https://btx.brasiltrack.com/logistica/trajeto.php?idveiculo=4DFC6CC2-BC04-4FE8-81DF-C3A3882D850D&amp;lat=-22.204247&amp;data_ini=10/11/2022&amp;data_fim=16/11/2022&amp;hora_inicial=12&amp;minuto_inicial=1&amp;hora_final=22&amp;minuto_final=13&amp;periodo=6&amp;tipo=por_data&amp;upos=false&amp;outequip=0</v>
      </c>
      <c r="AN96" s="100" t="str">
        <f t="shared" si="11"/>
        <v xml:space="preserve">               </v>
      </c>
    </row>
    <row r="97" spans="1:40" x14ac:dyDescent="0.25">
      <c r="A97" s="81"/>
      <c r="B97" s="81"/>
      <c r="C97" s="81"/>
      <c r="D97" s="144">
        <v>44866</v>
      </c>
      <c r="E97" s="76">
        <v>44881.939583333333</v>
      </c>
      <c r="F97" s="6" t="s">
        <v>33</v>
      </c>
      <c r="G97" s="5" t="str">
        <f>IFERROR(VLOOKUP(SUMIFS(MSOLICITADA!$I:$I,MSOLICITADA!$B:$B,D97,MSOLICITADA!$F:$F,F97),CODIGOSPLACAS!$A$64:$B$89,2,FALSE),"")</f>
        <v>JULIO</v>
      </c>
      <c r="H97" s="77">
        <v>156416</v>
      </c>
      <c r="I97" s="77">
        <v>157021</v>
      </c>
      <c r="J97" s="7">
        <v>367.572</v>
      </c>
      <c r="K97" s="78">
        <v>2444.35</v>
      </c>
      <c r="L97" s="79" t="s">
        <v>111</v>
      </c>
      <c r="M97" s="6"/>
      <c r="N97" s="5">
        <f t="shared" si="7"/>
        <v>605</v>
      </c>
      <c r="O97" s="80">
        <f t="shared" si="8"/>
        <v>6.6499896618893715</v>
      </c>
      <c r="P97" s="8">
        <f t="shared" si="9"/>
        <v>1.6459360343007627</v>
      </c>
      <c r="Q97" s="8">
        <f t="shared" si="12"/>
        <v>1.7415645068481733</v>
      </c>
      <c r="R97" s="81">
        <f t="shared" si="10"/>
        <v>0</v>
      </c>
      <c r="S97" s="113" t="str">
        <f>IF(F97="","",IF(H97="",TEXT(_xlfn.MAXIFS($I$1:I97,$F$1:F97,F97,$H$1:H97,"&gt;"&amp;0),"000.000"),F97))</f>
        <v>GGF7G26</v>
      </c>
      <c r="T97" s="81"/>
      <c r="U97" s="82"/>
      <c r="V97" s="98"/>
      <c r="W97" s="82"/>
      <c r="X97" s="98"/>
      <c r="Y97" s="82"/>
      <c r="Z97" s="98"/>
      <c r="AA97" s="82"/>
      <c r="AB97" s="98"/>
      <c r="AC97" s="82"/>
      <c r="AD97" s="98"/>
      <c r="AE97" s="117"/>
      <c r="AF97" s="98"/>
      <c r="AG97" s="98"/>
      <c r="AH97" s="98"/>
      <c r="AI97" s="82"/>
      <c r="AJ97" s="98"/>
      <c r="AK97" s="83"/>
      <c r="AL97" s="84" t="str">
        <f>IF(F97&lt;&gt;0,IF(_xlfn.MAXIFS($I$1:I97,$F$1:F97,F97,$H$1:H97,"&gt;"&amp;0)=0,"KM NÃO ENCONTRADO",IF(H97=0,CONCATENATE("SUGESTÃO DE KM PARA PLACA ",F97," *",_xlfn.MAXIFS($I$1:I97,$F$1:F97,F97,$H$1:H97,"&gt;"&amp;0),"*"),"")),"")</f>
        <v/>
      </c>
      <c r="AM97" s="85" t="str" cm="1">
        <f t="array" ref="AM97">IFERROR(IF(M97&lt;&gt;"","",CONCATENATE("https://btx.brasiltrack.com/logistica/trajeto.php?idveiculo=",VLOOKUP(F97,DATAS!$A$221:$B$250,2,FALSE),"&amp;lat=-22.204247","&amp;data_ini=",TEXT(IF(E97&lt;&gt;"",IF(COUNTIF($F$2:$F97,F97)&gt;1,MAX(IF($F$1:$F96=F97,$E$1:$E96)),""),""),"DD/MM/AAAA"),"&amp;data_fim=",TEXT(E97,"DD/MM/AAAA"),"&amp;hora_inicial=",HOUR(IF(E97&lt;&gt;"",IF(COUNTIF($F$2:$F97,F97)&gt;1,MAX(IF($F$1:$F96=F97,$E$1:$E96)),""),"")),"&amp;minuto_inicial=",MINUTE(IF(E97&lt;&gt;"",IF(COUNTIF($F$2:$F97,F97)&gt;1,MAX(IF($F$1:$F96=F97,$E$1:$E96)),""),"")),"&amp;hora_final=",HOUR(E97),"&amp;minuto_final=",MINUTE(E97),"&amp;periodo=6&amp;tipo=por_data&amp;upos=false&amp;outequip=0")),"")</f>
        <v>https://btx.brasiltrack.com/logistica/trajeto.php?idveiculo=4F0C2317-958D-4267-BAF8-BC4F7B6B12A1&amp;lat=-22.204247&amp;data_ini=11/11/2022&amp;data_fim=16/11/2022&amp;hora_inicial=4&amp;minuto_inicial=29&amp;hora_final=22&amp;minuto_final=33&amp;periodo=6&amp;tipo=por_data&amp;upos=false&amp;outequip=0</v>
      </c>
      <c r="AN97" s="100" t="str">
        <f t="shared" si="11"/>
        <v xml:space="preserve">               </v>
      </c>
    </row>
    <row r="98" spans="1:40" x14ac:dyDescent="0.25">
      <c r="A98" s="81"/>
      <c r="B98" s="81"/>
      <c r="C98" s="81"/>
      <c r="D98" s="144">
        <v>44866</v>
      </c>
      <c r="E98" s="76">
        <v>44881.94027777778</v>
      </c>
      <c r="F98" s="6" t="s">
        <v>128</v>
      </c>
      <c r="G98" s="5" t="str">
        <f>IFERROR(VLOOKUP(SUMIFS(MSOLICITADA!$I:$I,MSOLICITADA!$B:$B,D98,MSOLICITADA!$F:$F,F98),CODIGOSPLACAS!$A$64:$B$89,2,FALSE),"")</f>
        <v>ELI RICARDO</v>
      </c>
      <c r="H98" s="77">
        <v>81042</v>
      </c>
      <c r="I98" s="77">
        <v>81643</v>
      </c>
      <c r="J98" s="7">
        <v>368</v>
      </c>
      <c r="K98" s="78">
        <v>2447.1999999999998</v>
      </c>
      <c r="L98" s="79" t="s">
        <v>111</v>
      </c>
      <c r="M98" s="6"/>
      <c r="N98" s="5">
        <f t="shared" si="7"/>
        <v>601</v>
      </c>
      <c r="O98" s="80">
        <f t="shared" si="8"/>
        <v>6.6499999999999995</v>
      </c>
      <c r="P98" s="8">
        <f t="shared" si="9"/>
        <v>1.6331521739130435</v>
      </c>
      <c r="Q98" s="8">
        <f t="shared" si="12"/>
        <v>1.6394783012697074</v>
      </c>
      <c r="R98" s="81">
        <f t="shared" si="10"/>
        <v>0</v>
      </c>
      <c r="S98" s="113" t="str">
        <f>IF(F98="","",IF(H98="",TEXT(_xlfn.MAXIFS($I$1:I98,$F$1:F98,F98,$H$1:H98,"&gt;"&amp;0),"000.000"),F98))</f>
        <v>GFR0D47</v>
      </c>
      <c r="T98" s="81"/>
      <c r="U98" s="82"/>
      <c r="V98" s="98"/>
      <c r="W98" s="82"/>
      <c r="X98" s="98"/>
      <c r="Y98" s="82"/>
      <c r="Z98" s="98"/>
      <c r="AA98" s="82"/>
      <c r="AB98" s="98"/>
      <c r="AC98" s="82"/>
      <c r="AD98" s="98"/>
      <c r="AE98" s="117"/>
      <c r="AF98" s="98"/>
      <c r="AG98" s="98"/>
      <c r="AH98" s="98"/>
      <c r="AI98" s="82"/>
      <c r="AJ98" s="98"/>
      <c r="AK98" s="83"/>
      <c r="AL98" s="84" t="str">
        <f>IF(F98&lt;&gt;0,IF(_xlfn.MAXIFS($I$1:I98,$F$1:F98,F98,$H$1:H98,"&gt;"&amp;0)=0,"KM NÃO ENCONTRADO",IF(H98=0,CONCATENATE("SUGESTÃO DE KM PARA PLACA ",F98," *",_xlfn.MAXIFS($I$1:I98,$F$1:F98,F98,$H$1:H98,"&gt;"&amp;0),"*"),"")),"")</f>
        <v/>
      </c>
      <c r="AM98" s="85" t="str" cm="1">
        <f t="array" ref="AM98">IFERROR(IF(M98&lt;&gt;"","",CONCATENATE("https://btx.brasiltrack.com/logistica/trajeto.php?idveiculo=",VLOOKUP(F98,DATAS!$A$221:$B$250,2,FALSE),"&amp;lat=-22.204247","&amp;data_ini=",TEXT(IF(E98&lt;&gt;"",IF(COUNTIF($F$2:$F98,F98)&gt;1,MAX(IF($F$1:$F97=F98,$E$1:$E97)),""),""),"DD/MM/AAAA"),"&amp;data_fim=",TEXT(E98,"DD/MM/AAAA"),"&amp;hora_inicial=",HOUR(IF(E98&lt;&gt;"",IF(COUNTIF($F$2:$F98,F98)&gt;1,MAX(IF($F$1:$F97=F98,$E$1:$E97)),""),"")),"&amp;minuto_inicial=",MINUTE(IF(E98&lt;&gt;"",IF(COUNTIF($F$2:$F98,F98)&gt;1,MAX(IF($F$1:$F97=F98,$E$1:$E97)),""),"")),"&amp;hora_final=",HOUR(E98),"&amp;minuto_final=",MINUTE(E98),"&amp;periodo=6&amp;tipo=por_data&amp;upos=false&amp;outequip=0")),"")</f>
        <v>https://btx.brasiltrack.com/logistica/trajeto.php?idveiculo=D171D77B-7EEE-4B8A-AB93-163C02819566&amp;lat=-22.204247&amp;data_ini=11/11/2022&amp;data_fim=16/11/2022&amp;hora_inicial=4&amp;minuto_inicial=40&amp;hora_final=22&amp;minuto_final=34&amp;periodo=6&amp;tipo=por_data&amp;upos=false&amp;outequip=0</v>
      </c>
      <c r="AN98" s="100" t="str">
        <f t="shared" si="11"/>
        <v xml:space="preserve">               </v>
      </c>
    </row>
    <row r="99" spans="1:40" x14ac:dyDescent="0.25">
      <c r="A99" s="81"/>
      <c r="B99" s="81"/>
      <c r="C99" s="81"/>
      <c r="D99" s="144">
        <v>44866</v>
      </c>
      <c r="E99" s="76">
        <v>44881.95208333333</v>
      </c>
      <c r="F99" s="6" t="s">
        <v>124</v>
      </c>
      <c r="G99" s="5" t="str">
        <f>IFERROR(VLOOKUP(SUMIFS(MSOLICITADA!$I:$I,MSOLICITADA!$B:$B,D99,MSOLICITADA!$F:$F,F99),CODIGOSPLACAS!$A$64:$B$89,2,FALSE),"")</f>
        <v>ISRAEL</v>
      </c>
      <c r="H99" s="77">
        <v>127790</v>
      </c>
      <c r="I99" s="77">
        <v>128557</v>
      </c>
      <c r="J99" s="7">
        <v>461</v>
      </c>
      <c r="K99" s="78">
        <v>3070.26</v>
      </c>
      <c r="L99" s="79" t="s">
        <v>111</v>
      </c>
      <c r="M99" s="6"/>
      <c r="N99" s="5">
        <f t="shared" si="7"/>
        <v>767</v>
      </c>
      <c r="O99" s="80">
        <f t="shared" si="8"/>
        <v>6.66</v>
      </c>
      <c r="P99" s="8">
        <f t="shared" si="9"/>
        <v>1.6637744034707158</v>
      </c>
      <c r="Q99" s="8">
        <f t="shared" si="12"/>
        <v>1.5512732562038034</v>
      </c>
      <c r="R99" s="81">
        <f t="shared" si="10"/>
        <v>0</v>
      </c>
      <c r="S99" s="113" t="str">
        <f>IF(F99="","",IF(H99="",TEXT(_xlfn.MAXIFS($I$1:I99,$F$1:F99,F99,$H$1:H99,"&gt;"&amp;0),"000.000"),F99))</f>
        <v>GHH9B64</v>
      </c>
      <c r="T99" s="81"/>
      <c r="U99" s="82"/>
      <c r="V99" s="98"/>
      <c r="W99" s="82"/>
      <c r="X99" s="98"/>
      <c r="Y99" s="82"/>
      <c r="Z99" s="98"/>
      <c r="AA99" s="82"/>
      <c r="AB99" s="98"/>
      <c r="AC99" s="82"/>
      <c r="AD99" s="98"/>
      <c r="AE99" s="117"/>
      <c r="AF99" s="98"/>
      <c r="AG99" s="98"/>
      <c r="AH99" s="98"/>
      <c r="AI99" s="82"/>
      <c r="AJ99" s="98"/>
      <c r="AK99" s="83"/>
      <c r="AL99" s="84" t="str">
        <f>IF(F99&lt;&gt;0,IF(_xlfn.MAXIFS($I$1:I99,$F$1:F99,F99,$H$1:H99,"&gt;"&amp;0)=0,"KM NÃO ENCONTRADO",IF(H99=0,CONCATENATE("SUGESTÃO DE KM PARA PLACA ",F99," *",_xlfn.MAXIFS($I$1:I99,$F$1:F99,F99,$H$1:H99,"&gt;"&amp;0),"*"),"")),"")</f>
        <v/>
      </c>
      <c r="AM99" s="85" t="str" cm="1">
        <f t="array" ref="AM99">IFERROR(IF(M99&lt;&gt;"","",CONCATENATE("https://btx.brasiltrack.com/logistica/trajeto.php?idveiculo=",VLOOKUP(F99,DATAS!$A$221:$B$250,2,FALSE),"&amp;lat=-22.204247","&amp;data_ini=",TEXT(IF(E99&lt;&gt;"",IF(COUNTIF($F$2:$F99,F99)&gt;1,MAX(IF($F$1:$F98=F99,$E$1:$E98)),""),""),"DD/MM/AAAA"),"&amp;data_fim=",TEXT(E99,"DD/MM/AAAA"),"&amp;hora_inicial=",HOUR(IF(E99&lt;&gt;"",IF(COUNTIF($F$2:$F99,F99)&gt;1,MAX(IF($F$1:$F98=F99,$E$1:$E98)),""),"")),"&amp;minuto_inicial=",MINUTE(IF(E99&lt;&gt;"",IF(COUNTIF($F$2:$F99,F99)&gt;1,MAX(IF($F$1:$F98=F99,$E$1:$E98)),""),"")),"&amp;hora_final=",HOUR(E99),"&amp;minuto_final=",MINUTE(E99),"&amp;periodo=6&amp;tipo=por_data&amp;upos=false&amp;outequip=0")),"")</f>
        <v>https://btx.brasiltrack.com/logistica/trajeto.php?idveiculo=82801E41-A001-436F-A743-F071900B878A&amp;lat=-22.204247&amp;data_ini=11/11/2022&amp;data_fim=16/11/2022&amp;hora_inicial=4&amp;minuto_inicial=7&amp;hora_final=22&amp;minuto_final=51&amp;periodo=6&amp;tipo=por_data&amp;upos=false&amp;outequip=0</v>
      </c>
      <c r="AN99" s="100" t="str">
        <f t="shared" si="11"/>
        <v xml:space="preserve">               </v>
      </c>
    </row>
    <row r="100" spans="1:40" x14ac:dyDescent="0.25">
      <c r="A100" s="81"/>
      <c r="B100" s="81"/>
      <c r="C100" s="81"/>
      <c r="D100" s="144">
        <v>44866</v>
      </c>
      <c r="E100" s="76">
        <v>44881.953472222223</v>
      </c>
      <c r="F100" s="6" t="s">
        <v>29</v>
      </c>
      <c r="G100" s="5" t="str">
        <f>IFERROR(VLOOKUP(SUMIFS(MSOLICITADA!$I:$I,MSOLICITADA!$B:$B,D100,MSOLICITADA!$F:$F,F100),CODIGOSPLACAS!$A$64:$B$89,2,FALSE),"")</f>
        <v>EDNILSON</v>
      </c>
      <c r="H100" s="77">
        <v>226082</v>
      </c>
      <c r="I100" s="77">
        <v>226623</v>
      </c>
      <c r="J100" s="7">
        <v>312.01</v>
      </c>
      <c r="K100" s="78">
        <v>2077.9899999999998</v>
      </c>
      <c r="L100" s="79" t="s">
        <v>111</v>
      </c>
      <c r="M100" s="6"/>
      <c r="N100" s="5">
        <f t="shared" si="7"/>
        <v>541</v>
      </c>
      <c r="O100" s="80">
        <f t="shared" si="8"/>
        <v>6.6600108970866314</v>
      </c>
      <c r="P100" s="8">
        <f t="shared" si="9"/>
        <v>1.733918784654338</v>
      </c>
      <c r="Q100" s="8">
        <f t="shared" si="12"/>
        <v>1.5506852118293495</v>
      </c>
      <c r="R100" s="81">
        <f t="shared" si="10"/>
        <v>0</v>
      </c>
      <c r="S100" s="113" t="str">
        <f>IF(F100="","",IF(H100="",TEXT(_xlfn.MAXIFS($I$1:I100,$F$1:F100,F100,$H$1:H100,"&gt;"&amp;0),"000.000"),F100))</f>
        <v>GKA2J56</v>
      </c>
      <c r="T100" s="81"/>
      <c r="U100" s="82"/>
      <c r="V100" s="98"/>
      <c r="W100" s="82"/>
      <c r="X100" s="98"/>
      <c r="Y100" s="82"/>
      <c r="Z100" s="98"/>
      <c r="AA100" s="82"/>
      <c r="AB100" s="98"/>
      <c r="AC100" s="82"/>
      <c r="AD100" s="98"/>
      <c r="AE100" s="117"/>
      <c r="AF100" s="98"/>
      <c r="AG100" s="98"/>
      <c r="AH100" s="98"/>
      <c r="AI100" s="82"/>
      <c r="AJ100" s="98"/>
      <c r="AK100" s="83"/>
      <c r="AL100" s="84" t="str">
        <f>IF(F100&lt;&gt;0,IF(_xlfn.MAXIFS($I$1:I100,$F$1:F100,F100,$H$1:H100,"&gt;"&amp;0)=0,"KM NÃO ENCONTRADO",IF(H100=0,CONCATENATE("SUGESTÃO DE KM PARA PLACA ",F100," *",_xlfn.MAXIFS($I$1:I100,$F$1:F100,F100,$H$1:H100,"&gt;"&amp;0),"*"),"")),"")</f>
        <v/>
      </c>
      <c r="AM100" s="85" t="str" cm="1">
        <f t="array" ref="AM100">IFERROR(IF(M100&lt;&gt;"","",CONCATENATE("https://btx.brasiltrack.com/logistica/trajeto.php?idveiculo=",VLOOKUP(F100,DATAS!$A$221:$B$250,2,FALSE),"&amp;lat=-22.204247","&amp;data_ini=",TEXT(IF(E100&lt;&gt;"",IF(COUNTIF($F$2:$F100,F100)&gt;1,MAX(IF($F$1:$F99=F100,$E$1:$E99)),""),""),"DD/MM/AAAA"),"&amp;data_fim=",TEXT(E100,"DD/MM/AAAA"),"&amp;hora_inicial=",HOUR(IF(E100&lt;&gt;"",IF(COUNTIF($F$2:$F100,F100)&gt;1,MAX(IF($F$1:$F99=F100,$E$1:$E99)),""),"")),"&amp;minuto_inicial=",MINUTE(IF(E100&lt;&gt;"",IF(COUNTIF($F$2:$F100,F100)&gt;1,MAX(IF($F$1:$F99=F100,$E$1:$E99)),""),"")),"&amp;hora_final=",HOUR(E100),"&amp;minuto_final=",MINUTE(E100),"&amp;periodo=6&amp;tipo=por_data&amp;upos=false&amp;outequip=0")),"")</f>
        <v>https://btx.brasiltrack.com/logistica/trajeto.php?idveiculo=75A3D88C-4B99-481A-ACC8-34008151E92D&amp;lat=-22.204247&amp;data_ini=16/11/2022&amp;data_fim=16/11/2022&amp;hora_inicial=1&amp;minuto_inicial=25&amp;hora_final=22&amp;minuto_final=53&amp;periodo=6&amp;tipo=por_data&amp;upos=false&amp;outequip=0</v>
      </c>
      <c r="AN100" s="100" t="str">
        <f t="shared" si="11"/>
        <v xml:space="preserve">               </v>
      </c>
    </row>
    <row r="101" spans="1:40" x14ac:dyDescent="0.25">
      <c r="A101" s="81"/>
      <c r="B101" s="81"/>
      <c r="C101" s="81"/>
      <c r="D101" s="144">
        <v>44866</v>
      </c>
      <c r="E101" s="76">
        <v>44881.988194444442</v>
      </c>
      <c r="F101" s="6" t="s">
        <v>31</v>
      </c>
      <c r="G101" s="5" t="str">
        <f>IFERROR(VLOOKUP(SUMIFS(MSOLICITADA!$I:$I,MSOLICITADA!$B:$B,D101,MSOLICITADA!$F:$F,F101),CODIGOSPLACAS!$A$64:$B$89,2,FALSE),"")</f>
        <v>CELIO</v>
      </c>
      <c r="H101" s="77">
        <v>202985</v>
      </c>
      <c r="I101" s="77">
        <v>203565</v>
      </c>
      <c r="J101" s="7">
        <v>365</v>
      </c>
      <c r="K101" s="78">
        <v>2427.25</v>
      </c>
      <c r="L101" s="79" t="s">
        <v>111</v>
      </c>
      <c r="M101" s="6"/>
      <c r="N101" s="5">
        <f t="shared" si="7"/>
        <v>580</v>
      </c>
      <c r="O101" s="80">
        <f t="shared" si="8"/>
        <v>6.65</v>
      </c>
      <c r="P101" s="8">
        <f t="shared" si="9"/>
        <v>1.5890410958904109</v>
      </c>
      <c r="Q101" s="8">
        <f t="shared" si="12"/>
        <v>1.5697196307565964</v>
      </c>
      <c r="R101" s="81">
        <f t="shared" si="10"/>
        <v>0</v>
      </c>
      <c r="S101" s="113" t="str">
        <f>IF(F101="","",IF(H101="",TEXT(_xlfn.MAXIFS($I$1:I101,$F$1:F101,F101,$H$1:H101,"&gt;"&amp;0),"000.000"),F101))</f>
        <v>GGZ3G38</v>
      </c>
      <c r="T101" s="81"/>
      <c r="U101" s="82"/>
      <c r="V101" s="98"/>
      <c r="W101" s="82"/>
      <c r="X101" s="98"/>
      <c r="Y101" s="82"/>
      <c r="Z101" s="98"/>
      <c r="AA101" s="82"/>
      <c r="AB101" s="98"/>
      <c r="AC101" s="82"/>
      <c r="AD101" s="98"/>
      <c r="AE101" s="117"/>
      <c r="AF101" s="98"/>
      <c r="AG101" s="98"/>
      <c r="AH101" s="98"/>
      <c r="AI101" s="82"/>
      <c r="AJ101" s="98"/>
      <c r="AK101" s="83"/>
      <c r="AL101" s="84" t="str">
        <f>IF(F101&lt;&gt;0,IF(_xlfn.MAXIFS($I$1:I101,$F$1:F101,F101,$H$1:H101,"&gt;"&amp;0)=0,"KM NÃO ENCONTRADO",IF(H101=0,CONCATENATE("SUGESTÃO DE KM PARA PLACA ",F101," *",_xlfn.MAXIFS($I$1:I101,$F$1:F101,F101,$H$1:H101,"&gt;"&amp;0),"*"),"")),"")</f>
        <v/>
      </c>
      <c r="AM101" s="85" t="str" cm="1">
        <f t="array" ref="AM101">IFERROR(IF(M101&lt;&gt;"","",CONCATENATE("https://btx.brasiltrack.com/logistica/trajeto.php?idveiculo=",VLOOKUP(F101,DATAS!$A$221:$B$250,2,FALSE),"&amp;lat=-22.204247","&amp;data_ini=",TEXT(IF(E101&lt;&gt;"",IF(COUNTIF($F$2:$F101,F101)&gt;1,MAX(IF($F$1:$F100=F101,$E$1:$E100)),""),""),"DD/MM/AAAA"),"&amp;data_fim=",TEXT(E101,"DD/MM/AAAA"),"&amp;hora_inicial=",HOUR(IF(E101&lt;&gt;"",IF(COUNTIF($F$2:$F101,F101)&gt;1,MAX(IF($F$1:$F100=F101,$E$1:$E100)),""),"")),"&amp;minuto_inicial=",MINUTE(IF(E101&lt;&gt;"",IF(COUNTIF($F$2:$F101,F101)&gt;1,MAX(IF($F$1:$F100=F101,$E$1:$E100)),""),"")),"&amp;hora_final=",HOUR(E101),"&amp;minuto_final=",MINUTE(E101),"&amp;periodo=6&amp;tipo=por_data&amp;upos=false&amp;outequip=0")),"")</f>
        <v>https://btx.brasiltrack.com/logistica/trajeto.php?idveiculo=28D74B0F-5C0F-4A59-86EB-697E3711F324&amp;lat=-22.204247&amp;data_ini=11/11/2022&amp;data_fim=16/11/2022&amp;hora_inicial=4&amp;minuto_inicial=46&amp;hora_final=23&amp;minuto_final=43&amp;periodo=6&amp;tipo=por_data&amp;upos=false&amp;outequip=0</v>
      </c>
      <c r="AN101" s="100" t="str">
        <f t="shared" si="11"/>
        <v xml:space="preserve">               </v>
      </c>
    </row>
    <row r="102" spans="1:40" x14ac:dyDescent="0.25">
      <c r="A102" s="81"/>
      <c r="B102" s="81"/>
      <c r="C102" s="81"/>
      <c r="D102" s="144">
        <v>44866</v>
      </c>
      <c r="E102" s="76">
        <v>44882.034722222219</v>
      </c>
      <c r="F102" s="6" t="s">
        <v>126</v>
      </c>
      <c r="G102" s="5" t="str">
        <f>IFERROR(VLOOKUP(SUMIFS(MSOLICITADA!$I:$I,MSOLICITADA!$B:$B,D102,MSOLICITADA!$F:$F,F102),CODIGOSPLACAS!$A$64:$B$89,2,FALSE),"")</f>
        <v>IZAIAS</v>
      </c>
      <c r="H102" s="77">
        <v>478247</v>
      </c>
      <c r="I102" s="77">
        <v>478845</v>
      </c>
      <c r="J102" s="7">
        <v>430</v>
      </c>
      <c r="K102" s="78">
        <v>2859.5</v>
      </c>
      <c r="L102" s="79" t="s">
        <v>111</v>
      </c>
      <c r="M102" s="6"/>
      <c r="N102" s="5">
        <f t="shared" si="7"/>
        <v>598</v>
      </c>
      <c r="O102" s="80">
        <f t="shared" si="8"/>
        <v>6.65</v>
      </c>
      <c r="P102" s="8">
        <f t="shared" si="9"/>
        <v>1.3906976744186046</v>
      </c>
      <c r="Q102" s="8">
        <f t="shared" si="12"/>
        <v>1.4310423058843909</v>
      </c>
      <c r="R102" s="81">
        <f t="shared" si="10"/>
        <v>0</v>
      </c>
      <c r="S102" s="113" t="str">
        <f>IF(F102="","",IF(H102="",TEXT(_xlfn.MAXIFS($I$1:I102,$F$1:F102,F102,$H$1:H102,"&gt;"&amp;0),"000.000"),F102))</f>
        <v>GHX4D71</v>
      </c>
      <c r="T102" s="81"/>
      <c r="U102" s="82"/>
      <c r="V102" s="98"/>
      <c r="W102" s="82"/>
      <c r="X102" s="98"/>
      <c r="Y102" s="82"/>
      <c r="Z102" s="98"/>
      <c r="AA102" s="82"/>
      <c r="AB102" s="98"/>
      <c r="AC102" s="82"/>
      <c r="AD102" s="98"/>
      <c r="AE102" s="117"/>
      <c r="AF102" s="98"/>
      <c r="AG102" s="98"/>
      <c r="AH102" s="98"/>
      <c r="AI102" s="82"/>
      <c r="AJ102" s="98"/>
      <c r="AK102" s="83"/>
      <c r="AL102" s="84" t="str">
        <f>IF(F102&lt;&gt;0,IF(_xlfn.MAXIFS($I$1:I102,$F$1:F102,F102,$H$1:H102,"&gt;"&amp;0)=0,"KM NÃO ENCONTRADO",IF(H102=0,CONCATENATE("SUGESTÃO DE KM PARA PLACA ",F102," *",_xlfn.MAXIFS($I$1:I102,$F$1:F102,F102,$H$1:H102,"&gt;"&amp;0),"*"),"")),"")</f>
        <v/>
      </c>
      <c r="AM102" s="85" t="str" cm="1">
        <f t="array" ref="AM102">IFERROR(IF(M102&lt;&gt;"","",CONCATENATE("https://btx.brasiltrack.com/logistica/trajeto.php?idveiculo=",VLOOKUP(F102,DATAS!$A$221:$B$250,2,FALSE),"&amp;lat=-22.204247","&amp;data_ini=",TEXT(IF(E102&lt;&gt;"",IF(COUNTIF($F$2:$F102,F102)&gt;1,MAX(IF($F$1:$F101=F102,$E$1:$E101)),""),""),"DD/MM/AAAA"),"&amp;data_fim=",TEXT(E102,"DD/MM/AAAA"),"&amp;hora_inicial=",HOUR(IF(E102&lt;&gt;"",IF(COUNTIF($F$2:$F102,F102)&gt;1,MAX(IF($F$1:$F101=F102,$E$1:$E101)),""),"")),"&amp;minuto_inicial=",MINUTE(IF(E102&lt;&gt;"",IF(COUNTIF($F$2:$F102,F102)&gt;1,MAX(IF($F$1:$F101=F102,$E$1:$E101)),""),"")),"&amp;hora_final=",HOUR(E102),"&amp;minuto_final=",MINUTE(E102),"&amp;periodo=6&amp;tipo=por_data&amp;upos=false&amp;outequip=0")),"")</f>
        <v>https://btx.brasiltrack.com/logistica/trajeto.php?idveiculo=6B5F18E0-6EAE-404A-AE41-39E549361094&amp;lat=-22.204247&amp;data_ini=11/11/2022&amp;data_fim=17/11/2022&amp;hora_inicial=13&amp;minuto_inicial=13&amp;hora_final=0&amp;minuto_final=50&amp;periodo=6&amp;tipo=por_data&amp;upos=false&amp;outequip=0</v>
      </c>
      <c r="AN102" s="100" t="str">
        <f t="shared" si="11"/>
        <v xml:space="preserve">               </v>
      </c>
    </row>
    <row r="103" spans="1:40" x14ac:dyDescent="0.25">
      <c r="A103" s="81"/>
      <c r="B103" s="81"/>
      <c r="C103" s="81"/>
      <c r="D103" s="144">
        <v>44866</v>
      </c>
      <c r="E103" s="76">
        <v>44882.087500000001</v>
      </c>
      <c r="F103" s="6" t="s">
        <v>27</v>
      </c>
      <c r="G103" s="5" t="str">
        <f>IFERROR(VLOOKUP(SUMIFS(MSOLICITADA!$I:$I,MSOLICITADA!$B:$B,D103,MSOLICITADA!$F:$F,F103),CODIGOSPLACAS!$A$64:$B$89,2,FALSE),"")</f>
        <v>ANTONIO</v>
      </c>
      <c r="H103" s="77">
        <v>237054</v>
      </c>
      <c r="I103" s="77">
        <v>237422</v>
      </c>
      <c r="J103" s="7">
        <v>233.02</v>
      </c>
      <c r="K103" s="78">
        <v>1549.6</v>
      </c>
      <c r="L103" s="79" t="s">
        <v>111</v>
      </c>
      <c r="M103" s="6"/>
      <c r="N103" s="5">
        <f t="shared" si="7"/>
        <v>368</v>
      </c>
      <c r="O103" s="80">
        <f t="shared" si="8"/>
        <v>6.6500729551111482</v>
      </c>
      <c r="P103" s="8">
        <f t="shared" si="9"/>
        <v>1.5792635825251051</v>
      </c>
      <c r="Q103" s="8">
        <f t="shared" si="12"/>
        <v>1.4461676128873802</v>
      </c>
      <c r="R103" s="81">
        <f t="shared" si="10"/>
        <v>0</v>
      </c>
      <c r="S103" s="113" t="str">
        <f>IF(F103="","",IF(H103="",TEXT(_xlfn.MAXIFS($I$1:I103,$F$1:F103,F103,$H$1:H103,"&gt;"&amp;0),"000.000"),F103))</f>
        <v>GHS4J57</v>
      </c>
      <c r="T103" s="81"/>
      <c r="U103" s="82"/>
      <c r="V103" s="98"/>
      <c r="W103" s="82"/>
      <c r="X103" s="98"/>
      <c r="Y103" s="82"/>
      <c r="Z103" s="98"/>
      <c r="AA103" s="82"/>
      <c r="AB103" s="98"/>
      <c r="AC103" s="82"/>
      <c r="AD103" s="98"/>
      <c r="AE103" s="117"/>
      <c r="AF103" s="98"/>
      <c r="AG103" s="98"/>
      <c r="AH103" s="98"/>
      <c r="AI103" s="82"/>
      <c r="AJ103" s="98"/>
      <c r="AK103" s="83"/>
      <c r="AL103" s="84" t="str">
        <f>IF(F103&lt;&gt;0,IF(_xlfn.MAXIFS($I$1:I103,$F$1:F103,F103,$H$1:H103,"&gt;"&amp;0)=0,"KM NÃO ENCONTRADO",IF(H103=0,CONCATENATE("SUGESTÃO DE KM PARA PLACA ",F103," *",_xlfn.MAXIFS($I$1:I103,$F$1:F103,F103,$H$1:H103,"&gt;"&amp;0),"*"),"")),"")</f>
        <v/>
      </c>
      <c r="AM103" s="85" t="str" cm="1">
        <f t="array" ref="AM103">IFERROR(IF(M103&lt;&gt;"","",CONCATENATE("https://btx.brasiltrack.com/logistica/trajeto.php?idveiculo=",VLOOKUP(F103,DATAS!$A$221:$B$250,2,FALSE),"&amp;lat=-22.204247","&amp;data_ini=",TEXT(IF(E103&lt;&gt;"",IF(COUNTIF($F$2:$F103,F103)&gt;1,MAX(IF($F$1:$F102=F103,$E$1:$E102)),""),""),"DD/MM/AAAA"),"&amp;data_fim=",TEXT(E103,"DD/MM/AAAA"),"&amp;hora_inicial=",HOUR(IF(E103&lt;&gt;"",IF(COUNTIF($F$2:$F103,F103)&gt;1,MAX(IF($F$1:$F102=F103,$E$1:$E102)),""),"")),"&amp;minuto_inicial=",MINUTE(IF(E103&lt;&gt;"",IF(COUNTIF($F$2:$F103,F103)&gt;1,MAX(IF($F$1:$F102=F103,$E$1:$E102)),""),"")),"&amp;hora_final=",HOUR(E103),"&amp;minuto_final=",MINUTE(E103),"&amp;periodo=6&amp;tipo=por_data&amp;upos=false&amp;outequip=0")),"")</f>
        <v>https://btx.brasiltrack.com/logistica/trajeto.php?idveiculo=17ED636C-5A71-44D5-AF3C-192D3DA6CDD1&amp;lat=-22.204247&amp;data_ini=15/11/2022&amp;data_fim=17/11/2022&amp;hora_inicial=22&amp;minuto_inicial=47&amp;hora_final=2&amp;minuto_final=6&amp;periodo=6&amp;tipo=por_data&amp;upos=false&amp;outequip=0</v>
      </c>
      <c r="AN103" s="100" t="str">
        <f t="shared" si="11"/>
        <v xml:space="preserve">               </v>
      </c>
    </row>
    <row r="104" spans="1:40" x14ac:dyDescent="0.25">
      <c r="A104" s="81"/>
      <c r="B104" s="81"/>
      <c r="C104" s="81"/>
      <c r="D104" s="144">
        <v>44866</v>
      </c>
      <c r="E104" s="76">
        <v>44882.299305555556</v>
      </c>
      <c r="F104" s="6" t="s">
        <v>32</v>
      </c>
      <c r="G104" s="5" t="str">
        <f>IFERROR(VLOOKUP(SUMIFS(MSOLICITADA!$I:$I,MSOLICITADA!$B:$B,D104,MSOLICITADA!$F:$F,F104),CODIGOSPLACAS!$A$64:$B$89,2,FALSE),"")</f>
        <v>ADILSON</v>
      </c>
      <c r="H104" s="77">
        <v>192319</v>
      </c>
      <c r="I104" s="77">
        <v>192676</v>
      </c>
      <c r="J104" s="7">
        <v>646.6</v>
      </c>
      <c r="K104" s="78">
        <v>3965.8</v>
      </c>
      <c r="L104" s="79" t="s">
        <v>112</v>
      </c>
      <c r="M104" s="6"/>
      <c r="N104" s="5">
        <f t="shared" si="7"/>
        <v>357</v>
      </c>
      <c r="O104" s="80">
        <f t="shared" si="8"/>
        <v>6.1333127126507891</v>
      </c>
      <c r="P104" s="8">
        <f t="shared" si="9"/>
        <v>0.5521187751314568</v>
      </c>
      <c r="Q104" s="8">
        <f t="shared" si="12"/>
        <v>1.518200707495146</v>
      </c>
      <c r="R104" s="81">
        <f t="shared" si="10"/>
        <v>0</v>
      </c>
      <c r="S104" s="113" t="str">
        <f>IF(F104="","",IF(H104="",TEXT(_xlfn.MAXIFS($I$1:I104,$F$1:F104,F104,$H$1:H104,"&gt;"&amp;0),"000.000"),F104))</f>
        <v>GJU9A22</v>
      </c>
      <c r="T104" s="81"/>
      <c r="U104" s="82"/>
      <c r="V104" s="98"/>
      <c r="W104" s="82"/>
      <c r="X104" s="98"/>
      <c r="Y104" s="82"/>
      <c r="Z104" s="98"/>
      <c r="AA104" s="82"/>
      <c r="AB104" s="98"/>
      <c r="AC104" s="82"/>
      <c r="AD104" s="98"/>
      <c r="AE104" s="117"/>
      <c r="AF104" s="98"/>
      <c r="AG104" s="98"/>
      <c r="AH104" s="98"/>
      <c r="AI104" s="82"/>
      <c r="AJ104" s="98"/>
      <c r="AK104" s="83"/>
      <c r="AL104" s="84" t="str">
        <f>IF(F104&lt;&gt;0,IF(_xlfn.MAXIFS($I$1:I104,$F$1:F104,F104,$H$1:H104,"&gt;"&amp;0)=0,"KM NÃO ENCONTRADO",IF(H104=0,CONCATENATE("SUGESTÃO DE KM PARA PLACA ",F104," *",_xlfn.MAXIFS($I$1:I104,$F$1:F104,F104,$H$1:H104,"&gt;"&amp;0),"*"),"")),"")</f>
        <v/>
      </c>
      <c r="AM104" s="85" t="str" cm="1">
        <f t="array" ref="AM104">IFERROR(IF(M104&lt;&gt;"","",CONCATENATE("https://btx.brasiltrack.com/logistica/trajeto.php?idveiculo=",VLOOKUP(F104,DATAS!$A$221:$B$250,2,FALSE),"&amp;lat=-22.204247","&amp;data_ini=",TEXT(IF(E104&lt;&gt;"",IF(COUNTIF($F$2:$F104,F104)&gt;1,MAX(IF($F$1:$F103=F104,$E$1:$E103)),""),""),"DD/MM/AAAA"),"&amp;data_fim=",TEXT(E104,"DD/MM/AAAA"),"&amp;hora_inicial=",HOUR(IF(E104&lt;&gt;"",IF(COUNTIF($F$2:$F104,F104)&gt;1,MAX(IF($F$1:$F103=F104,$E$1:$E103)),""),"")),"&amp;minuto_inicial=",MINUTE(IF(E104&lt;&gt;"",IF(COUNTIF($F$2:$F104,F104)&gt;1,MAX(IF($F$1:$F103=F104,$E$1:$E103)),""),"")),"&amp;hora_final=",HOUR(E104),"&amp;minuto_final=",MINUTE(E104),"&amp;periodo=6&amp;tipo=por_data&amp;upos=false&amp;outequip=0")),"")</f>
        <v>https://btx.brasiltrack.com/logistica/trajeto.php?idveiculo=51FCA948-8BA9-488B-AAF2-8F2F237B75B2&amp;lat=-22.204247&amp;data_ini=15/11/2022&amp;data_fim=17/11/2022&amp;hora_inicial=15&amp;minuto_inicial=20&amp;hora_final=7&amp;minuto_final=11&amp;periodo=6&amp;tipo=por_data&amp;upos=false&amp;outequip=0</v>
      </c>
      <c r="AN104" s="100" t="str">
        <f t="shared" si="11"/>
        <v xml:space="preserve">               </v>
      </c>
    </row>
    <row r="105" spans="1:40" x14ac:dyDescent="0.25">
      <c r="A105" s="81"/>
      <c r="B105" s="81"/>
      <c r="C105" s="81"/>
      <c r="D105" s="144">
        <v>44866</v>
      </c>
      <c r="E105" s="76">
        <v>44882.302083333336</v>
      </c>
      <c r="F105" s="6" t="s">
        <v>28</v>
      </c>
      <c r="G105" s="5" t="str">
        <f>IFERROR(VLOOKUP(SUMIFS(MSOLICITADA!$I:$I,MSOLICITADA!$B:$B,D105,MSOLICITADA!$F:$F,F105),CODIGOSPLACAS!$A$64:$B$89,2,FALSE),"")</f>
        <v>RONY</v>
      </c>
      <c r="H105" s="77">
        <v>233321</v>
      </c>
      <c r="I105" s="77">
        <v>233387</v>
      </c>
      <c r="J105" s="7">
        <v>664.6</v>
      </c>
      <c r="K105" s="78">
        <v>4076.2</v>
      </c>
      <c r="L105" s="79" t="s">
        <v>112</v>
      </c>
      <c r="M105" s="6"/>
      <c r="N105" s="5">
        <f t="shared" si="7"/>
        <v>66</v>
      </c>
      <c r="O105" s="80">
        <f t="shared" si="8"/>
        <v>6.1333132711405352</v>
      </c>
      <c r="P105" s="8">
        <f t="shared" si="9"/>
        <v>9.9307854348480287E-2</v>
      </c>
      <c r="Q105" s="8">
        <f t="shared" si="12"/>
        <v>1.398271770983244</v>
      </c>
      <c r="R105" s="81">
        <f t="shared" si="10"/>
        <v>0</v>
      </c>
      <c r="S105" s="113" t="str">
        <f>IF(F105="","",IF(H105="",TEXT(_xlfn.MAXIFS($I$1:I105,$F$1:F105,F105,$H$1:H105,"&gt;"&amp;0),"000.000"),F105))</f>
        <v>FZA3E94</v>
      </c>
      <c r="T105" s="81"/>
      <c r="U105" s="82"/>
      <c r="V105" s="98"/>
      <c r="W105" s="82"/>
      <c r="X105" s="98"/>
      <c r="Y105" s="82"/>
      <c r="Z105" s="98"/>
      <c r="AA105" s="82"/>
      <c r="AB105" s="98"/>
      <c r="AC105" s="82"/>
      <c r="AD105" s="98"/>
      <c r="AE105" s="117"/>
      <c r="AF105" s="98"/>
      <c r="AG105" s="98"/>
      <c r="AH105" s="98"/>
      <c r="AI105" s="82"/>
      <c r="AJ105" s="98"/>
      <c r="AK105" s="83"/>
      <c r="AL105" s="84" t="str">
        <f>IF(F105&lt;&gt;0,IF(_xlfn.MAXIFS($I$1:I105,$F$1:F105,F105,$H$1:H105,"&gt;"&amp;0)=0,"KM NÃO ENCONTRADO",IF(H105=0,CONCATENATE("SUGESTÃO DE KM PARA PLACA ",F105," *",_xlfn.MAXIFS($I$1:I105,$F$1:F105,F105,$H$1:H105,"&gt;"&amp;0),"*"),"")),"")</f>
        <v/>
      </c>
      <c r="AM105" s="85" t="str" cm="1">
        <f t="array" ref="AM105">IFERROR(IF(M105&lt;&gt;"","",CONCATENATE("https://btx.brasiltrack.com/logistica/trajeto.php?idveiculo=",VLOOKUP(F105,DATAS!$A$221:$B$250,2,FALSE),"&amp;lat=-22.204247","&amp;data_ini=",TEXT(IF(E105&lt;&gt;"",IF(COUNTIF($F$2:$F105,F105)&gt;1,MAX(IF($F$1:$F104=F105,$E$1:$E104)),""),""),"DD/MM/AAAA"),"&amp;data_fim=",TEXT(E105,"DD/MM/AAAA"),"&amp;hora_inicial=",HOUR(IF(E105&lt;&gt;"",IF(COUNTIF($F$2:$F105,F105)&gt;1,MAX(IF($F$1:$F104=F105,$E$1:$E104)),""),"")),"&amp;minuto_inicial=",MINUTE(IF(E105&lt;&gt;"",IF(COUNTIF($F$2:$F105,F105)&gt;1,MAX(IF($F$1:$F104=F105,$E$1:$E104)),""),"")),"&amp;hora_final=",HOUR(E105),"&amp;minuto_final=",MINUTE(E105),"&amp;periodo=6&amp;tipo=por_data&amp;upos=false&amp;outequip=0")),"")</f>
        <v>https://btx.brasiltrack.com/logistica/trajeto.php?idveiculo=4DFC6CC2-BC04-4FE8-81DF-C3A3882D850D&amp;lat=-22.204247&amp;data_ini=16/11/2022&amp;data_fim=17/11/2022&amp;hora_inicial=22&amp;minuto_inicial=13&amp;hora_final=7&amp;minuto_final=15&amp;periodo=6&amp;tipo=por_data&amp;upos=false&amp;outequip=0</v>
      </c>
      <c r="AN105" s="100" t="str">
        <f t="shared" si="11"/>
        <v xml:space="preserve">               </v>
      </c>
    </row>
    <row r="106" spans="1:40" x14ac:dyDescent="0.25">
      <c r="A106" s="81"/>
      <c r="B106" s="81"/>
      <c r="C106" s="81"/>
      <c r="D106" s="144">
        <v>44866</v>
      </c>
      <c r="E106" s="76">
        <v>44882.550694444442</v>
      </c>
      <c r="F106" s="6" t="s">
        <v>22</v>
      </c>
      <c r="G106" s="5" t="str">
        <f>IFERROR(VLOOKUP(SUMIFS(MSOLICITADA!$I:$I,MSOLICITADA!$B:$B,D106,MSOLICITADA!$F:$F,F106),CODIGOSPLACAS!$A$64:$B$89,2,FALSE),"")</f>
        <v>GUILHERME</v>
      </c>
      <c r="H106" s="77">
        <v>1203481</v>
      </c>
      <c r="I106" s="77">
        <v>1204245</v>
      </c>
      <c r="J106" s="7">
        <v>360.01</v>
      </c>
      <c r="K106" s="78">
        <v>2300.46</v>
      </c>
      <c r="L106" s="79" t="s">
        <v>111</v>
      </c>
      <c r="M106" s="6"/>
      <c r="N106" s="5">
        <f t="shared" si="7"/>
        <v>764</v>
      </c>
      <c r="O106" s="80">
        <f t="shared" si="8"/>
        <v>6.3899891669675846</v>
      </c>
      <c r="P106" s="8">
        <f t="shared" si="9"/>
        <v>2.1221632732424101</v>
      </c>
      <c r="Q106" s="8">
        <f t="shared" si="12"/>
        <v>1.7591747451720028</v>
      </c>
      <c r="R106" s="81">
        <f t="shared" si="10"/>
        <v>0</v>
      </c>
      <c r="S106" s="113" t="str">
        <f>IF(F106="","",IF(H106="",TEXT(_xlfn.MAXIFS($I$1:I106,$F$1:F106,F106,$H$1:H106,"&gt;"&amp;0),"000.000"),F106))</f>
        <v>OQC0C33</v>
      </c>
      <c r="T106" s="81"/>
      <c r="U106" s="82"/>
      <c r="V106" s="98"/>
      <c r="W106" s="82"/>
      <c r="X106" s="98"/>
      <c r="Y106" s="82"/>
      <c r="Z106" s="98"/>
      <c r="AA106" s="82"/>
      <c r="AB106" s="98"/>
      <c r="AC106" s="82"/>
      <c r="AD106" s="98"/>
      <c r="AE106" s="117"/>
      <c r="AF106" s="98"/>
      <c r="AG106" s="98"/>
      <c r="AH106" s="98"/>
      <c r="AI106" s="82"/>
      <c r="AJ106" s="98"/>
      <c r="AK106" s="83"/>
      <c r="AL106" s="84" t="str">
        <f>IF(F106&lt;&gt;0,IF(_xlfn.MAXIFS($I$1:I106,$F$1:F106,F106,$H$1:H106,"&gt;"&amp;0)=0,"KM NÃO ENCONTRADO",IF(H106=0,CONCATENATE("SUGESTÃO DE KM PARA PLACA ",F106," *",_xlfn.MAXIFS($I$1:I106,$F$1:F106,F106,$H$1:H106,"&gt;"&amp;0),"*"),"")),"")</f>
        <v/>
      </c>
      <c r="AM106" s="85" t="str" cm="1">
        <f t="array" ref="AM106">IFERROR(IF(M106&lt;&gt;"","",CONCATENATE("https://btx.brasiltrack.com/logistica/trajeto.php?idveiculo=",VLOOKUP(F106,DATAS!$A$221:$B$250,2,FALSE),"&amp;lat=-22.204247","&amp;data_ini=",TEXT(IF(E106&lt;&gt;"",IF(COUNTIF($F$2:$F106,F106)&gt;1,MAX(IF($F$1:$F105=F106,$E$1:$E105)),""),""),"DD/MM/AAAA"),"&amp;data_fim=",TEXT(E106,"DD/MM/AAAA"),"&amp;hora_inicial=",HOUR(IF(E106&lt;&gt;"",IF(COUNTIF($F$2:$F106,F106)&gt;1,MAX(IF($F$1:$F105=F106,$E$1:$E105)),""),"")),"&amp;minuto_inicial=",MINUTE(IF(E106&lt;&gt;"",IF(COUNTIF($F$2:$F106,F106)&gt;1,MAX(IF($F$1:$F105=F106,$E$1:$E105)),""),"")),"&amp;hora_final=",HOUR(E106),"&amp;minuto_final=",MINUTE(E106),"&amp;periodo=6&amp;tipo=por_data&amp;upos=false&amp;outequip=0")),"")</f>
        <v>https://btx.brasiltrack.com/logistica/trajeto.php?idveiculo=0704F285-9532-44A8-B32A-C16F1E6FD89C&amp;lat=-22.204247&amp;data_ini=15/11/2022&amp;data_fim=17/11/2022&amp;hora_inicial=7&amp;minuto_inicial=16&amp;hora_final=13&amp;minuto_final=13&amp;periodo=6&amp;tipo=por_data&amp;upos=false&amp;outequip=0</v>
      </c>
      <c r="AN106" s="100" t="str">
        <f t="shared" si="11"/>
        <v xml:space="preserve">               </v>
      </c>
    </row>
    <row r="107" spans="1:40" x14ac:dyDescent="0.25">
      <c r="A107" s="81"/>
      <c r="B107" s="81"/>
      <c r="C107" s="81"/>
      <c r="D107" s="144">
        <v>44866</v>
      </c>
      <c r="E107" s="76">
        <v>44882.625</v>
      </c>
      <c r="F107" s="6" t="s">
        <v>26</v>
      </c>
      <c r="G107" s="5" t="str">
        <f>IFERROR(VLOOKUP(SUMIFS(MSOLICITADA!$I:$I,MSOLICITADA!$B:$B,D107,MSOLICITADA!$F:$F,F107),CODIGOSPLACAS!$A$64:$B$89,2,FALSE),"")</f>
        <v>DIEGO</v>
      </c>
      <c r="H107" s="77">
        <v>391416</v>
      </c>
      <c r="I107" s="77">
        <v>392266</v>
      </c>
      <c r="J107" s="7">
        <v>529.29999999999995</v>
      </c>
      <c r="K107" s="78">
        <v>3246.36</v>
      </c>
      <c r="L107" s="79" t="s">
        <v>112</v>
      </c>
      <c r="M107" s="6"/>
      <c r="N107" s="5">
        <f t="shared" si="7"/>
        <v>850</v>
      </c>
      <c r="O107" s="80">
        <f t="shared" si="8"/>
        <v>6.1333081428301535</v>
      </c>
      <c r="P107" s="8">
        <f t="shared" si="9"/>
        <v>1.6058945777441906</v>
      </c>
      <c r="Q107" s="8">
        <f t="shared" si="12"/>
        <v>1.4215213058096179</v>
      </c>
      <c r="R107" s="81">
        <f t="shared" si="10"/>
        <v>0</v>
      </c>
      <c r="S107" s="113" t="str">
        <f>IF(F107="","",IF(H107="",TEXT(_xlfn.MAXIFS($I$1:I107,$F$1:F107,F107,$H$1:H107,"&gt;"&amp;0),"000.000"),F107))</f>
        <v>BZA3587</v>
      </c>
      <c r="T107" s="81"/>
      <c r="U107" s="82"/>
      <c r="V107" s="98"/>
      <c r="W107" s="82"/>
      <c r="X107" s="98"/>
      <c r="Y107" s="82"/>
      <c r="Z107" s="98"/>
      <c r="AA107" s="82"/>
      <c r="AB107" s="98"/>
      <c r="AC107" s="82"/>
      <c r="AD107" s="98"/>
      <c r="AE107" s="117"/>
      <c r="AF107" s="98"/>
      <c r="AG107" s="98"/>
      <c r="AH107" s="98"/>
      <c r="AI107" s="82"/>
      <c r="AJ107" s="98"/>
      <c r="AK107" s="83"/>
      <c r="AL107" s="84" t="str">
        <f>IF(F107&lt;&gt;0,IF(_xlfn.MAXIFS($I$1:I107,$F$1:F107,F107,$H$1:H107,"&gt;"&amp;0)=0,"KM NÃO ENCONTRADO",IF(H107=0,CONCATENATE("SUGESTÃO DE KM PARA PLACA ",F107," *",_xlfn.MAXIFS($I$1:I107,$F$1:F107,F107,$H$1:H107,"&gt;"&amp;0),"*"),"")),"")</f>
        <v/>
      </c>
      <c r="AM107" s="85" t="str" cm="1">
        <f t="array" ref="AM107">IFERROR(IF(M107&lt;&gt;"","",CONCATENATE("https://btx.brasiltrack.com/logistica/trajeto.php?idveiculo=",VLOOKUP(F107,DATAS!$A$221:$B$250,2,FALSE),"&amp;lat=-22.204247","&amp;data_ini=",TEXT(IF(E107&lt;&gt;"",IF(COUNTIF($F$2:$F107,F107)&gt;1,MAX(IF($F$1:$F106=F107,$E$1:$E106)),""),""),"DD/MM/AAAA"),"&amp;data_fim=",TEXT(E107,"DD/MM/AAAA"),"&amp;hora_inicial=",HOUR(IF(E107&lt;&gt;"",IF(COUNTIF($F$2:$F107,F107)&gt;1,MAX(IF($F$1:$F106=F107,$E$1:$E106)),""),"")),"&amp;minuto_inicial=",MINUTE(IF(E107&lt;&gt;"",IF(COUNTIF($F$2:$F107,F107)&gt;1,MAX(IF($F$1:$F106=F107,$E$1:$E106)),""),"")),"&amp;hora_final=",HOUR(E107),"&amp;minuto_final=",MINUTE(E107),"&amp;periodo=6&amp;tipo=por_data&amp;upos=false&amp;outequip=0")),"")</f>
        <v>https://btx.brasiltrack.com/logistica/trajeto.php?idveiculo=6CC0A70E-9379-4BF7-9063-21D318A103FE&amp;lat=-22.204247&amp;data_ini=09/11/2022&amp;data_fim=17/11/2022&amp;hora_inicial=12&amp;minuto_inicial=13&amp;hora_final=15&amp;minuto_final=0&amp;periodo=6&amp;tipo=por_data&amp;upos=false&amp;outequip=0</v>
      </c>
      <c r="AN107" s="100" t="str">
        <f t="shared" si="11"/>
        <v xml:space="preserve">               </v>
      </c>
    </row>
    <row r="108" spans="1:40" x14ac:dyDescent="0.25">
      <c r="A108" s="81"/>
      <c r="B108" s="81"/>
      <c r="C108" s="81"/>
      <c r="D108" s="144">
        <v>44866</v>
      </c>
      <c r="E108" s="76">
        <v>44882.881944444445</v>
      </c>
      <c r="F108" s="6" t="s">
        <v>23</v>
      </c>
      <c r="G108" s="5" t="str">
        <f>IFERROR(VLOOKUP(SUMIFS(MSOLICITADA!$I:$I,MSOLICITADA!$B:$B,D108,MSOLICITADA!$F:$F,F108),CODIGOSPLACAS!$A$64:$B$89,2,FALSE),"")</f>
        <v>ISAC</v>
      </c>
      <c r="H108" s="77">
        <v>1195794</v>
      </c>
      <c r="I108" s="77">
        <v>1196390</v>
      </c>
      <c r="J108" s="7">
        <v>397</v>
      </c>
      <c r="K108" s="78">
        <v>2536.83</v>
      </c>
      <c r="L108" s="79" t="s">
        <v>111</v>
      </c>
      <c r="M108" s="6"/>
      <c r="N108" s="5">
        <f t="shared" si="7"/>
        <v>596</v>
      </c>
      <c r="O108" s="80">
        <f t="shared" si="8"/>
        <v>6.39</v>
      </c>
      <c r="P108" s="8">
        <f t="shared" si="9"/>
        <v>1.5012594458438286</v>
      </c>
      <c r="Q108" s="8">
        <f t="shared" si="12"/>
        <v>1.447714664858804</v>
      </c>
      <c r="R108" s="81">
        <f t="shared" si="10"/>
        <v>0</v>
      </c>
      <c r="S108" s="113" t="str">
        <f>IF(F108="","",IF(H108="",TEXT(_xlfn.MAXIFS($I$1:I108,$F$1:F108,F108,$H$1:H108,"&gt;"&amp;0),"000.000"),F108))</f>
        <v>HNC7I76</v>
      </c>
      <c r="T108" s="81"/>
      <c r="U108" s="82"/>
      <c r="V108" s="98"/>
      <c r="W108" s="82"/>
      <c r="X108" s="98"/>
      <c r="Y108" s="82"/>
      <c r="Z108" s="98"/>
      <c r="AA108" s="82"/>
      <c r="AB108" s="98"/>
      <c r="AC108" s="82"/>
      <c r="AD108" s="98"/>
      <c r="AE108" s="117"/>
      <c r="AF108" s="98"/>
      <c r="AG108" s="98"/>
      <c r="AH108" s="98"/>
      <c r="AI108" s="82"/>
      <c r="AJ108" s="98"/>
      <c r="AK108" s="83"/>
      <c r="AL108" s="84" t="str">
        <f>IF(F108&lt;&gt;0,IF(_xlfn.MAXIFS($I$1:I108,$F$1:F108,F108,$H$1:H108,"&gt;"&amp;0)=0,"KM NÃO ENCONTRADO",IF(H108=0,CONCATENATE("SUGESTÃO DE KM PARA PLACA ",F108," *",_xlfn.MAXIFS($I$1:I108,$F$1:F108,F108,$H$1:H108,"&gt;"&amp;0),"*"),"")),"")</f>
        <v/>
      </c>
      <c r="AM108" s="85" t="str" cm="1">
        <f t="array" ref="AM108">IFERROR(IF(M108&lt;&gt;"","",CONCATENATE("https://btx.brasiltrack.com/logistica/trajeto.php?idveiculo=",VLOOKUP(F108,DATAS!$A$221:$B$250,2,FALSE),"&amp;lat=-22.204247","&amp;data_ini=",TEXT(IF(E108&lt;&gt;"",IF(COUNTIF($F$2:$F108,F108)&gt;1,MAX(IF($F$1:$F107=F108,$E$1:$E107)),""),""),"DD/MM/AAAA"),"&amp;data_fim=",TEXT(E108,"DD/MM/AAAA"),"&amp;hora_inicial=",HOUR(IF(E108&lt;&gt;"",IF(COUNTIF($F$2:$F108,F108)&gt;1,MAX(IF($F$1:$F107=F108,$E$1:$E107)),""),"")),"&amp;minuto_inicial=",MINUTE(IF(E108&lt;&gt;"",IF(COUNTIF($F$2:$F108,F108)&gt;1,MAX(IF($F$1:$F107=F108,$E$1:$E107)),""),"")),"&amp;hora_final=",HOUR(E108),"&amp;minuto_final=",MINUTE(E108),"&amp;periodo=6&amp;tipo=por_data&amp;upos=false&amp;outequip=0")),"")</f>
        <v>https://btx.brasiltrack.com/logistica/trajeto.php?idveiculo=B05A8E44-5DA1-4128-83F0-8DDE6CB8291B&amp;lat=-22.204247&amp;data_ini=11/11/2022&amp;data_fim=17/11/2022&amp;hora_inicial=21&amp;minuto_inicial=24&amp;hora_final=21&amp;minuto_final=10&amp;periodo=6&amp;tipo=por_data&amp;upos=false&amp;outequip=0</v>
      </c>
      <c r="AN108" s="100" t="str">
        <f t="shared" si="11"/>
        <v xml:space="preserve">               </v>
      </c>
    </row>
    <row r="109" spans="1:40" x14ac:dyDescent="0.25">
      <c r="A109" s="81"/>
      <c r="B109" s="81"/>
      <c r="C109" s="81"/>
      <c r="D109" s="144">
        <v>44866</v>
      </c>
      <c r="E109" s="76">
        <v>44882.919444444444</v>
      </c>
      <c r="F109" s="6" t="s">
        <v>30</v>
      </c>
      <c r="G109" s="5" t="str">
        <f>IFERROR(VLOOKUP(SUMIFS(MSOLICITADA!$I:$I,MSOLICITADA!$B:$B,D109,MSOLICITADA!$F:$F,F109),CODIGOSPLACAS!$A$64:$B$89,2,FALSE),"")</f>
        <v>RONILSON</v>
      </c>
      <c r="H109" s="77">
        <v>210899</v>
      </c>
      <c r="I109" s="77">
        <v>211451</v>
      </c>
      <c r="J109" s="7">
        <v>350</v>
      </c>
      <c r="K109" s="78">
        <v>2243.5</v>
      </c>
      <c r="L109" s="79" t="s">
        <v>111</v>
      </c>
      <c r="M109" s="6"/>
      <c r="N109" s="5">
        <f t="shared" si="7"/>
        <v>552</v>
      </c>
      <c r="O109" s="80">
        <f t="shared" si="8"/>
        <v>6.41</v>
      </c>
      <c r="P109" s="8">
        <f t="shared" si="9"/>
        <v>1.5771428571428572</v>
      </c>
      <c r="Q109" s="8">
        <f t="shared" si="12"/>
        <v>1.5438598974121283</v>
      </c>
      <c r="R109" s="81">
        <f t="shared" si="10"/>
        <v>0</v>
      </c>
      <c r="S109" s="113" t="str">
        <f>IF(F109="","",IF(H109="",TEXT(_xlfn.MAXIFS($I$1:I109,$F$1:F109,F109,$H$1:H109,"&gt;"&amp;0),"000.000"),F109))</f>
        <v>GFB0I37</v>
      </c>
      <c r="T109" s="81"/>
      <c r="U109" s="82"/>
      <c r="V109" s="98"/>
      <c r="W109" s="82"/>
      <c r="X109" s="98"/>
      <c r="Y109" s="82"/>
      <c r="Z109" s="98"/>
      <c r="AA109" s="82"/>
      <c r="AB109" s="98"/>
      <c r="AC109" s="82"/>
      <c r="AD109" s="98"/>
      <c r="AE109" s="117"/>
      <c r="AF109" s="98"/>
      <c r="AG109" s="98"/>
      <c r="AH109" s="98"/>
      <c r="AI109" s="82"/>
      <c r="AJ109" s="98"/>
      <c r="AK109" s="83"/>
      <c r="AL109" s="84" t="str">
        <f>IF(F109&lt;&gt;0,IF(_xlfn.MAXIFS($I$1:I109,$F$1:F109,F109,$H$1:H109,"&gt;"&amp;0)=0,"KM NÃO ENCONTRADO",IF(H109=0,CONCATENATE("SUGESTÃO DE KM PARA PLACA ",F109," *",_xlfn.MAXIFS($I$1:I109,$F$1:F109,F109,$H$1:H109,"&gt;"&amp;0),"*"),"")),"")</f>
        <v/>
      </c>
      <c r="AM109" s="85" t="str" cm="1">
        <f t="array" ref="AM109">IFERROR(IF(M109&lt;&gt;"","",CONCATENATE("https://btx.brasiltrack.com/logistica/trajeto.php?idveiculo=",VLOOKUP(F109,DATAS!$A$221:$B$250,2,FALSE),"&amp;lat=-22.204247","&amp;data_ini=",TEXT(IF(E109&lt;&gt;"",IF(COUNTIF($F$2:$F109,F109)&gt;1,MAX(IF($F$1:$F108=F109,$E$1:$E108)),""),""),"DD/MM/AAAA"),"&amp;data_fim=",TEXT(E109,"DD/MM/AAAA"),"&amp;hora_inicial=",HOUR(IF(E109&lt;&gt;"",IF(COUNTIF($F$2:$F109,F109)&gt;1,MAX(IF($F$1:$F108=F109,$E$1:$E108)),""),"")),"&amp;minuto_inicial=",MINUTE(IF(E109&lt;&gt;"",IF(COUNTIF($F$2:$F109,F109)&gt;1,MAX(IF($F$1:$F108=F109,$E$1:$E108)),""),"")),"&amp;hora_final=",HOUR(E109),"&amp;minuto_final=",MINUTE(E109),"&amp;periodo=6&amp;tipo=por_data&amp;upos=false&amp;outequip=0")),"")</f>
        <v>https://btx.brasiltrack.com/logistica/trajeto.php?idveiculo=94099C57-E02A-40F7-B573-6368475EB0B3&amp;lat=-22.204247&amp;data_ini=15/11/2022&amp;data_fim=17/11/2022&amp;hora_inicial=23&amp;minuto_inicial=39&amp;hora_final=22&amp;minuto_final=4&amp;periodo=6&amp;tipo=por_data&amp;upos=false&amp;outequip=0</v>
      </c>
      <c r="AN109" s="100" t="str">
        <f t="shared" si="11"/>
        <v xml:space="preserve">               </v>
      </c>
    </row>
    <row r="110" spans="1:40" x14ac:dyDescent="0.25">
      <c r="A110" s="81"/>
      <c r="B110" s="81"/>
      <c r="C110" s="81"/>
      <c r="D110" s="144">
        <v>44866</v>
      </c>
      <c r="E110" s="76">
        <v>44883.02847222222</v>
      </c>
      <c r="F110" s="6" t="s">
        <v>27</v>
      </c>
      <c r="G110" s="5" t="str">
        <f>IFERROR(VLOOKUP(SUMIFS(MSOLICITADA!$I:$I,MSOLICITADA!$B:$B,D110,MSOLICITADA!$F:$F,F110),CODIGOSPLACAS!$A$64:$B$89,2,FALSE),"")</f>
        <v>ANTONIO</v>
      </c>
      <c r="H110" s="77">
        <v>237422</v>
      </c>
      <c r="I110" s="77">
        <v>238055</v>
      </c>
      <c r="J110" s="7">
        <v>412.00099999999998</v>
      </c>
      <c r="K110" s="78">
        <v>2739.8</v>
      </c>
      <c r="L110" s="79" t="s">
        <v>111</v>
      </c>
      <c r="M110" s="6"/>
      <c r="N110" s="5">
        <f t="shared" si="7"/>
        <v>633</v>
      </c>
      <c r="O110" s="80">
        <f t="shared" si="8"/>
        <v>6.6499838592624787</v>
      </c>
      <c r="P110" s="8">
        <f t="shared" si="9"/>
        <v>1.5364040378542771</v>
      </c>
      <c r="Q110" s="8">
        <f t="shared" si="12"/>
        <v>1.4461676128873802</v>
      </c>
      <c r="R110" s="81">
        <f t="shared" si="10"/>
        <v>0</v>
      </c>
      <c r="S110" s="113" t="str">
        <f>IF(F110="","",IF(H110="",TEXT(_xlfn.MAXIFS($I$1:I110,$F$1:F110,F110,$H$1:H110,"&gt;"&amp;0),"000.000"),F110))</f>
        <v>GHS4J57</v>
      </c>
      <c r="T110" s="81"/>
      <c r="U110" s="82"/>
      <c r="V110" s="98"/>
      <c r="W110" s="82"/>
      <c r="X110" s="98"/>
      <c r="Y110" s="82"/>
      <c r="Z110" s="98"/>
      <c r="AA110" s="82"/>
      <c r="AB110" s="98"/>
      <c r="AC110" s="82"/>
      <c r="AD110" s="98"/>
      <c r="AE110" s="117"/>
      <c r="AF110" s="98"/>
      <c r="AG110" s="98"/>
      <c r="AH110" s="98"/>
      <c r="AI110" s="82"/>
      <c r="AJ110" s="98"/>
      <c r="AK110" s="83"/>
      <c r="AL110" s="84" t="str">
        <f>IF(F110&lt;&gt;0,IF(_xlfn.MAXIFS($I$1:I110,$F$1:F110,F110,$H$1:H110,"&gt;"&amp;0)=0,"KM NÃO ENCONTRADO",IF(H110=0,CONCATENATE("SUGESTÃO DE KM PARA PLACA ",F110," *",_xlfn.MAXIFS($I$1:I110,$F$1:F110,F110,$H$1:H110,"&gt;"&amp;0),"*"),"")),"")</f>
        <v/>
      </c>
      <c r="AM110" s="85" t="str" cm="1">
        <f t="array" ref="AM110">IFERROR(IF(M110&lt;&gt;"","",CONCATENATE("https://btx.brasiltrack.com/logistica/trajeto.php?idveiculo=",VLOOKUP(F110,DATAS!$A$221:$B$250,2,FALSE),"&amp;lat=-22.204247","&amp;data_ini=",TEXT(IF(E110&lt;&gt;"",IF(COUNTIF($F$2:$F110,F110)&gt;1,MAX(IF($F$1:$F109=F110,$E$1:$E109)),""),""),"DD/MM/AAAA"),"&amp;data_fim=",TEXT(E110,"DD/MM/AAAA"),"&amp;hora_inicial=",HOUR(IF(E110&lt;&gt;"",IF(COUNTIF($F$2:$F110,F110)&gt;1,MAX(IF($F$1:$F109=F110,$E$1:$E109)),""),"")),"&amp;minuto_inicial=",MINUTE(IF(E110&lt;&gt;"",IF(COUNTIF($F$2:$F110,F110)&gt;1,MAX(IF($F$1:$F109=F110,$E$1:$E109)),""),"")),"&amp;hora_final=",HOUR(E110),"&amp;minuto_final=",MINUTE(E110),"&amp;periodo=6&amp;tipo=por_data&amp;upos=false&amp;outequip=0")),"")</f>
        <v>https://btx.brasiltrack.com/logistica/trajeto.php?idveiculo=17ED636C-5A71-44D5-AF3C-192D3DA6CDD1&amp;lat=-22.204247&amp;data_ini=17/11/2022&amp;data_fim=18/11/2022&amp;hora_inicial=2&amp;minuto_inicial=6&amp;hora_final=0&amp;minuto_final=41&amp;periodo=6&amp;tipo=por_data&amp;upos=false&amp;outequip=0</v>
      </c>
      <c r="AN110" s="100" t="str">
        <f t="shared" si="11"/>
        <v xml:space="preserve">               </v>
      </c>
    </row>
    <row r="111" spans="1:40" x14ac:dyDescent="0.25">
      <c r="A111" s="81"/>
      <c r="B111" s="81"/>
      <c r="C111" s="81"/>
      <c r="D111" s="144">
        <v>44866</v>
      </c>
      <c r="E111" s="76">
        <v>44883.068749999999</v>
      </c>
      <c r="F111" s="6" t="s">
        <v>31</v>
      </c>
      <c r="G111" s="5" t="str">
        <f>IFERROR(VLOOKUP(SUMIFS(MSOLICITADA!$I:$I,MSOLICITADA!$B:$B,D111,MSOLICITADA!$F:$F,F111),CODIGOSPLACAS!$A$64:$B$89,2,FALSE),"")</f>
        <v>CELIO</v>
      </c>
      <c r="H111" s="77">
        <v>203565</v>
      </c>
      <c r="I111" s="77">
        <v>204190</v>
      </c>
      <c r="J111" s="7">
        <v>366.30099999999999</v>
      </c>
      <c r="K111" s="78">
        <v>2435.89</v>
      </c>
      <c r="L111" s="79" t="s">
        <v>111</v>
      </c>
      <c r="M111" s="6"/>
      <c r="N111" s="5">
        <f t="shared" si="7"/>
        <v>625</v>
      </c>
      <c r="O111" s="80">
        <f t="shared" si="8"/>
        <v>6.6499681955550214</v>
      </c>
      <c r="P111" s="8">
        <f t="shared" si="9"/>
        <v>1.7062470481926066</v>
      </c>
      <c r="Q111" s="8">
        <f t="shared" si="12"/>
        <v>1.5697196307565964</v>
      </c>
      <c r="R111" s="81">
        <f t="shared" si="10"/>
        <v>0</v>
      </c>
      <c r="S111" s="113" t="str">
        <f>IF(F111="","",IF(H111="",TEXT(_xlfn.MAXIFS($I$1:I111,$F$1:F111,F111,$H$1:H111,"&gt;"&amp;0),"000.000"),F111))</f>
        <v>GGZ3G38</v>
      </c>
      <c r="T111" s="81"/>
      <c r="U111" s="82"/>
      <c r="V111" s="98"/>
      <c r="W111" s="82"/>
      <c r="X111" s="98"/>
      <c r="Y111" s="82"/>
      <c r="Z111" s="98"/>
      <c r="AA111" s="82"/>
      <c r="AB111" s="98"/>
      <c r="AC111" s="82"/>
      <c r="AD111" s="98"/>
      <c r="AE111" s="117"/>
      <c r="AF111" s="98"/>
      <c r="AG111" s="98"/>
      <c r="AH111" s="98"/>
      <c r="AI111" s="82"/>
      <c r="AJ111" s="98"/>
      <c r="AK111" s="83"/>
      <c r="AL111" s="5"/>
      <c r="AM111" s="85" t="str" cm="1">
        <f t="array" ref="AM111">IFERROR(IF(M111&lt;&gt;"","",CONCATENATE("https://btx.brasiltrack.com/logistica/trajeto.php?idveiculo=",VLOOKUP(F111,DATAS!$A$221:$B$250,2,FALSE),"&amp;lat=-22.204247","&amp;data_ini=",TEXT(IF(E111&lt;&gt;"",IF(COUNTIF($F$2:$F111,F111)&gt;1,MAX(IF($F$1:$F110=F111,$E$1:$E110)),""),""),"DD/MM/AAAA"),"&amp;data_fim=",TEXT(E111,"DD/MM/AAAA"),"&amp;hora_inicial=",HOUR(IF(E111&lt;&gt;"",IF(COUNTIF($F$2:$F111,F111)&gt;1,MAX(IF($F$1:$F110=F111,$E$1:$E110)),""),"")),"&amp;minuto_inicial=",MINUTE(IF(E111&lt;&gt;"",IF(COUNTIF($F$2:$F111,F111)&gt;1,MAX(IF($F$1:$F110=F111,$E$1:$E110)),""),"")),"&amp;hora_final=",HOUR(E111),"&amp;minuto_final=",MINUTE(E111),"&amp;periodo=6&amp;tipo=por_data&amp;upos=false&amp;outequip=0")),"")</f>
        <v>https://btx.brasiltrack.com/logistica/trajeto.php?idveiculo=28D74B0F-5C0F-4A59-86EB-697E3711F324&amp;lat=-22.204247&amp;data_ini=16/11/2022&amp;data_fim=18/11/2022&amp;hora_inicial=23&amp;minuto_inicial=43&amp;hora_final=1&amp;minuto_final=39&amp;periodo=6&amp;tipo=por_data&amp;upos=false&amp;outequip=0</v>
      </c>
      <c r="AN111" s="100" t="str">
        <f t="shared" si="11"/>
        <v xml:space="preserve">               </v>
      </c>
    </row>
    <row r="112" spans="1:40" x14ac:dyDescent="0.25">
      <c r="A112" s="81"/>
      <c r="B112" s="81"/>
      <c r="C112" s="81"/>
      <c r="D112" s="144">
        <v>44866</v>
      </c>
      <c r="E112" s="76">
        <v>44883.354166666664</v>
      </c>
      <c r="F112" s="6" t="s">
        <v>25</v>
      </c>
      <c r="G112" s="5" t="str">
        <f>IFERROR(VLOOKUP(SUMIFS(MSOLICITADA!$I:$I,MSOLICITADA!$B:$B,D112,MSOLICITADA!$F:$F,F112),CODIGOSPLACAS!$A$64:$B$89,2,FALSE),"")</f>
        <v>EDUALDO</v>
      </c>
      <c r="H112" s="77">
        <v>1002110</v>
      </c>
      <c r="I112" s="77">
        <v>1002804</v>
      </c>
      <c r="J112" s="7">
        <v>100</v>
      </c>
      <c r="K112" s="78">
        <v>615.99</v>
      </c>
      <c r="L112" s="79" t="s">
        <v>112</v>
      </c>
      <c r="M112" s="6"/>
      <c r="N112" s="5">
        <f t="shared" si="7"/>
        <v>694</v>
      </c>
      <c r="O112" s="80">
        <f t="shared" si="8"/>
        <v>6.1599000000000004</v>
      </c>
      <c r="P112" s="8">
        <f t="shared" si="9"/>
        <v>6.94</v>
      </c>
      <c r="Q112" s="8">
        <f t="shared" si="12"/>
        <v>1.3451195863175471</v>
      </c>
      <c r="R112" s="81">
        <f t="shared" si="10"/>
        <v>0</v>
      </c>
      <c r="S112" s="113" t="str">
        <f>IF(F112="","",IF(H112="",TEXT(_xlfn.MAXIFS($I$1:I112,$F$1:F112,F112,$H$1:H112,"&gt;"&amp;0),"000.000"),F112))</f>
        <v>QHE9735</v>
      </c>
      <c r="T112" s="81"/>
      <c r="U112" s="82"/>
      <c r="V112" s="98"/>
      <c r="W112" s="82"/>
      <c r="X112" s="98"/>
      <c r="Y112" s="82"/>
      <c r="Z112" s="98"/>
      <c r="AA112" s="82"/>
      <c r="AB112" s="98"/>
      <c r="AC112" s="82"/>
      <c r="AD112" s="98"/>
      <c r="AE112" s="117"/>
      <c r="AF112" s="98"/>
      <c r="AG112" s="98"/>
      <c r="AH112" s="98"/>
      <c r="AI112" s="82"/>
      <c r="AJ112" s="98"/>
      <c r="AK112" s="83"/>
      <c r="AL112" s="84" t="str">
        <f>IF(F112&lt;&gt;0,IF(_xlfn.MAXIFS($I$1:I112,$F$1:F112,F112,$H$1:H112,"&gt;"&amp;0)=0,"KM NÃO ENCONTRADO",IF(H112=0,CONCATENATE("SUGESTÃO DE KM PARA PLACA ",F112," *",_xlfn.MAXIFS($I$1:I112,$F$1:F112,F112,$H$1:H112,"&gt;"&amp;0),"*"),"")),"")</f>
        <v/>
      </c>
      <c r="AM112" s="85" t="str" cm="1">
        <f t="array" ref="AM112">IFERROR(IF(M112&lt;&gt;"","",CONCATENATE("https://btx.brasiltrack.com/logistica/trajeto.php?idveiculo=",VLOOKUP(F112,DATAS!$A$221:$B$250,2,FALSE),"&amp;lat=-22.204247","&amp;data_ini=",TEXT(IF(E112&lt;&gt;"",IF(COUNTIF($F$2:$F112,F112)&gt;1,MAX(IF($F$1:$F111=F112,$E$1:$E111)),""),""),"DD/MM/AAAA"),"&amp;data_fim=",TEXT(E112,"DD/MM/AAAA"),"&amp;hora_inicial=",HOUR(IF(E112&lt;&gt;"",IF(COUNTIF($F$2:$F112,F112)&gt;1,MAX(IF($F$1:$F111=F112,$E$1:$E111)),""),"")),"&amp;minuto_inicial=",MINUTE(IF(E112&lt;&gt;"",IF(COUNTIF($F$2:$F112,F112)&gt;1,MAX(IF($F$1:$F111=F112,$E$1:$E111)),""),"")),"&amp;hora_final=",HOUR(E112),"&amp;minuto_final=",MINUTE(E112),"&amp;periodo=6&amp;tipo=por_data&amp;upos=false&amp;outequip=0")),"")</f>
        <v/>
      </c>
      <c r="AN112" s="100" t="str">
        <f t="shared" si="11"/>
        <v xml:space="preserve">               </v>
      </c>
    </row>
    <row r="113" spans="1:40" x14ac:dyDescent="0.25">
      <c r="A113" s="81"/>
      <c r="B113" s="81"/>
      <c r="C113" s="81"/>
      <c r="D113" s="144">
        <v>44866</v>
      </c>
      <c r="E113" s="76">
        <v>44883.44027777778</v>
      </c>
      <c r="F113" s="6" t="s">
        <v>128</v>
      </c>
      <c r="G113" s="5" t="str">
        <f>IFERROR(VLOOKUP(SUMIFS(MSOLICITADA!$I:$I,MSOLICITADA!$B:$B,D113,MSOLICITADA!$F:$F,F113),CODIGOSPLACAS!$A$64:$B$89,2,FALSE),"")</f>
        <v>ELI RICARDO</v>
      </c>
      <c r="H113" s="77">
        <v>81643</v>
      </c>
      <c r="I113" s="77">
        <v>82510</v>
      </c>
      <c r="J113" s="7">
        <v>511.01799999999997</v>
      </c>
      <c r="K113" s="78">
        <v>3296.06</v>
      </c>
      <c r="L113" s="79" t="s">
        <v>111</v>
      </c>
      <c r="M113" s="6"/>
      <c r="N113" s="5">
        <f t="shared" si="7"/>
        <v>867</v>
      </c>
      <c r="O113" s="80">
        <f t="shared" si="8"/>
        <v>6.449988063042789</v>
      </c>
      <c r="P113" s="8">
        <f t="shared" si="9"/>
        <v>1.6966134265329207</v>
      </c>
      <c r="Q113" s="8">
        <f t="shared" si="12"/>
        <v>1.6394783012697074</v>
      </c>
      <c r="R113" s="81">
        <f t="shared" si="10"/>
        <v>0</v>
      </c>
      <c r="S113" s="113" t="str">
        <f>IF(F113="","",IF(H113="",TEXT(_xlfn.MAXIFS($I$1:I113,$F$1:F113,F113,$H$1:H113,"&gt;"&amp;0),"000.000"),F113))</f>
        <v>GFR0D47</v>
      </c>
      <c r="T113" s="81"/>
      <c r="U113" s="82"/>
      <c r="V113" s="98"/>
      <c r="W113" s="82"/>
      <c r="X113" s="98"/>
      <c r="Y113" s="82"/>
      <c r="Z113" s="98"/>
      <c r="AA113" s="82"/>
      <c r="AB113" s="98"/>
      <c r="AC113" s="82"/>
      <c r="AD113" s="98"/>
      <c r="AE113" s="117"/>
      <c r="AF113" s="98"/>
      <c r="AG113" s="98"/>
      <c r="AH113" s="98"/>
      <c r="AI113" s="82"/>
      <c r="AJ113" s="98"/>
      <c r="AK113" s="83"/>
      <c r="AL113" s="84" t="str">
        <f>IF(F113&lt;&gt;0,IF(_xlfn.MAXIFS($I$1:I113,$F$1:F113,F113,$H$1:H113,"&gt;"&amp;0)=0,"KM NÃO ENCONTRADO",IF(H113=0,CONCATENATE("SUGESTÃO DE KM PARA PLACA ",F113," *",_xlfn.MAXIFS($I$1:I113,$F$1:F113,F113,$H$1:H113,"&gt;"&amp;0),"*"),"")),"")</f>
        <v/>
      </c>
      <c r="AM113" s="85" t="str" cm="1">
        <f t="array" ref="AM113">IFERROR(IF(M113&lt;&gt;"","",CONCATENATE("https://btx.brasiltrack.com/logistica/trajeto.php?idveiculo=",VLOOKUP(F113,DATAS!$A$221:$B$250,2,FALSE),"&amp;lat=-22.204247","&amp;data_ini=",TEXT(IF(E113&lt;&gt;"",IF(COUNTIF($F$2:$F113,F113)&gt;1,MAX(IF($F$1:$F112=F113,$E$1:$E112)),""),""),"DD/MM/AAAA"),"&amp;data_fim=",TEXT(E113,"DD/MM/AAAA"),"&amp;hora_inicial=",HOUR(IF(E113&lt;&gt;"",IF(COUNTIF($F$2:$F113,F113)&gt;1,MAX(IF($F$1:$F112=F113,$E$1:$E112)),""),"")),"&amp;minuto_inicial=",MINUTE(IF(E113&lt;&gt;"",IF(COUNTIF($F$2:$F113,F113)&gt;1,MAX(IF($F$1:$F112=F113,$E$1:$E112)),""),"")),"&amp;hora_final=",HOUR(E113),"&amp;minuto_final=",MINUTE(E113),"&amp;periodo=6&amp;tipo=por_data&amp;upos=false&amp;outequip=0")),"")</f>
        <v>https://btx.brasiltrack.com/logistica/trajeto.php?idveiculo=D171D77B-7EEE-4B8A-AB93-163C02819566&amp;lat=-22.204247&amp;data_ini=16/11/2022&amp;data_fim=18/11/2022&amp;hora_inicial=22&amp;minuto_inicial=34&amp;hora_final=10&amp;minuto_final=34&amp;periodo=6&amp;tipo=por_data&amp;upos=false&amp;outequip=0</v>
      </c>
      <c r="AN113" s="100" t="str">
        <f t="shared" si="11"/>
        <v xml:space="preserve">               </v>
      </c>
    </row>
    <row r="114" spans="1:40" x14ac:dyDescent="0.25">
      <c r="A114" s="81"/>
      <c r="B114" s="81"/>
      <c r="C114" s="81"/>
      <c r="D114" s="144">
        <v>44866</v>
      </c>
      <c r="E114" s="76">
        <v>44883.488194444442</v>
      </c>
      <c r="F114" s="6" t="s">
        <v>33</v>
      </c>
      <c r="G114" s="5" t="str">
        <f>IFERROR(VLOOKUP(SUMIFS(MSOLICITADA!$I:$I,MSOLICITADA!$B:$B,D114,MSOLICITADA!$F:$F,F114),CODIGOSPLACAS!$A$64:$B$89,2,FALSE),"")</f>
        <v>JULIO</v>
      </c>
      <c r="H114" s="77">
        <v>157021</v>
      </c>
      <c r="I114" s="77">
        <v>157941</v>
      </c>
      <c r="J114" s="7">
        <v>560</v>
      </c>
      <c r="K114" s="78">
        <v>3589.66</v>
      </c>
      <c r="L114" s="79" t="s">
        <v>111</v>
      </c>
      <c r="M114" s="6"/>
      <c r="N114" s="5">
        <f t="shared" si="7"/>
        <v>920</v>
      </c>
      <c r="O114" s="80">
        <f t="shared" si="8"/>
        <v>6.410107142857143</v>
      </c>
      <c r="P114" s="8">
        <f t="shared" si="9"/>
        <v>1.6428571428571428</v>
      </c>
      <c r="Q114" s="8">
        <f t="shared" si="12"/>
        <v>1.7415645068481733</v>
      </c>
      <c r="R114" s="81">
        <f t="shared" si="10"/>
        <v>0</v>
      </c>
      <c r="S114" s="113" t="str">
        <f>IF(F114="","",IF(H114="",TEXT(_xlfn.MAXIFS($I$1:I114,$F$1:F114,F114,$H$1:H114,"&gt;"&amp;0),"000.000"),F114))</f>
        <v>GGF7G26</v>
      </c>
      <c r="T114" s="81"/>
      <c r="U114" s="82"/>
      <c r="V114" s="98"/>
      <c r="W114" s="82"/>
      <c r="X114" s="98"/>
      <c r="Y114" s="82"/>
      <c r="Z114" s="98"/>
      <c r="AA114" s="82"/>
      <c r="AB114" s="98"/>
      <c r="AC114" s="82"/>
      <c r="AD114" s="98"/>
      <c r="AE114" s="117"/>
      <c r="AF114" s="98"/>
      <c r="AG114" s="98"/>
      <c r="AH114" s="98"/>
      <c r="AI114" s="82"/>
      <c r="AJ114" s="98"/>
      <c r="AK114" s="83"/>
      <c r="AL114" s="84" t="str">
        <f>IF(F114&lt;&gt;0,IF(_xlfn.MAXIFS($I$1:I114,$F$1:F114,F114,$H$1:H114,"&gt;"&amp;0)=0,"KM NÃO ENCONTRADO",IF(H114=0,CONCATENATE("SUGESTÃO DE KM PARA PLACA ",F114," *",_xlfn.MAXIFS($I$1:I114,$F$1:F114,F114,$H$1:H114,"&gt;"&amp;0),"*"),"")),"")</f>
        <v/>
      </c>
      <c r="AM114" s="85" t="str" cm="1">
        <f t="array" ref="AM114">IFERROR(IF(M114&lt;&gt;"","",CONCATENATE("https://btx.brasiltrack.com/logistica/trajeto.php?idveiculo=",VLOOKUP(F114,DATAS!$A$221:$B$250,2,FALSE),"&amp;lat=-22.204247","&amp;data_ini=",TEXT(IF(E114&lt;&gt;"",IF(COUNTIF($F$2:$F114,F114)&gt;1,MAX(IF($F$1:$F113=F114,$E$1:$E113)),""),""),"DD/MM/AAAA"),"&amp;data_fim=",TEXT(E114,"DD/MM/AAAA"),"&amp;hora_inicial=",HOUR(IF(E114&lt;&gt;"",IF(COUNTIF($F$2:$F114,F114)&gt;1,MAX(IF($F$1:$F113=F114,$E$1:$E113)),""),"")),"&amp;minuto_inicial=",MINUTE(IF(E114&lt;&gt;"",IF(COUNTIF($F$2:$F114,F114)&gt;1,MAX(IF($F$1:$F113=F114,$E$1:$E113)),""),"")),"&amp;hora_final=",HOUR(E114),"&amp;minuto_final=",MINUTE(E114),"&amp;periodo=6&amp;tipo=por_data&amp;upos=false&amp;outequip=0")),"")</f>
        <v>https://btx.brasiltrack.com/logistica/trajeto.php?idveiculo=4F0C2317-958D-4267-BAF8-BC4F7B6B12A1&amp;lat=-22.204247&amp;data_ini=16/11/2022&amp;data_fim=18/11/2022&amp;hora_inicial=22&amp;minuto_inicial=33&amp;hora_final=11&amp;minuto_final=43&amp;periodo=6&amp;tipo=por_data&amp;upos=false&amp;outequip=0</v>
      </c>
      <c r="AN114" s="100" t="str">
        <f t="shared" si="11"/>
        <v xml:space="preserve">               </v>
      </c>
    </row>
    <row r="115" spans="1:40" x14ac:dyDescent="0.25">
      <c r="A115" s="81"/>
      <c r="B115" s="81"/>
      <c r="C115" s="81"/>
      <c r="D115" s="144">
        <v>44866</v>
      </c>
      <c r="E115" s="76">
        <v>44883.548611111109</v>
      </c>
      <c r="F115" s="6" t="s">
        <v>25</v>
      </c>
      <c r="G115" s="5" t="str">
        <f>IFERROR(VLOOKUP(SUMIFS(MSOLICITADA!$I:$I,MSOLICITADA!$B:$B,D115,MSOLICITADA!$F:$F,F115),CODIGOSPLACAS!$A$64:$B$89,2,FALSE),"")</f>
        <v>EDUALDO</v>
      </c>
      <c r="H115" s="77">
        <v>1002804</v>
      </c>
      <c r="I115" s="77">
        <v>1002922</v>
      </c>
      <c r="J115" s="7">
        <v>449.7</v>
      </c>
      <c r="K115" s="78">
        <v>2770.13</v>
      </c>
      <c r="L115" s="79" t="s">
        <v>112</v>
      </c>
      <c r="M115" s="6"/>
      <c r="N115" s="5">
        <f t="shared" si="7"/>
        <v>118</v>
      </c>
      <c r="O115" s="80">
        <f t="shared" si="8"/>
        <v>6.1599510784967757</v>
      </c>
      <c r="P115" s="8">
        <f t="shared" si="9"/>
        <v>0.26239715365799421</v>
      </c>
      <c r="Q115" s="8">
        <f t="shared" si="12"/>
        <v>1.3451195863175471</v>
      </c>
      <c r="R115" s="81">
        <f t="shared" si="10"/>
        <v>0</v>
      </c>
      <c r="S115" s="113" t="str">
        <f>IF(F115="","",IF(H115="",TEXT(_xlfn.MAXIFS($I$1:I115,$F$1:F115,F115,$H$1:H115,"&gt;"&amp;0),"000.000"),F115))</f>
        <v>QHE9735</v>
      </c>
      <c r="T115" s="81"/>
      <c r="U115" s="82"/>
      <c r="V115" s="98"/>
      <c r="W115" s="82"/>
      <c r="X115" s="98"/>
      <c r="Y115" s="82"/>
      <c r="Z115" s="98"/>
      <c r="AA115" s="82"/>
      <c r="AB115" s="98"/>
      <c r="AC115" s="82"/>
      <c r="AD115" s="98"/>
      <c r="AE115" s="117"/>
      <c r="AF115" s="98"/>
      <c r="AG115" s="98"/>
      <c r="AH115" s="98"/>
      <c r="AI115" s="82"/>
      <c r="AJ115" s="98"/>
      <c r="AK115" s="83"/>
      <c r="AL115" s="84" t="str">
        <f>IF(F115&lt;&gt;0,IF(_xlfn.MAXIFS($I$1:I115,$F$1:F115,F115,$H$1:H115,"&gt;"&amp;0)=0,"KM NÃO ENCONTRADO",IF(H115=0,CONCATENATE("SUGESTÃO DE KM PARA PLACA ",F115," *",_xlfn.MAXIFS($I$1:I115,$F$1:F115,F115,$H$1:H115,"&gt;"&amp;0),"*"),"")),"")</f>
        <v/>
      </c>
      <c r="AM115" s="85" t="str" cm="1">
        <f t="array" ref="AM115">IFERROR(IF(M115&lt;&gt;"","",CONCATENATE("https://btx.brasiltrack.com/logistica/trajeto.php?idveiculo=",VLOOKUP(F115,DATAS!$A$221:$B$250,2,FALSE),"&amp;lat=-22.204247","&amp;data_ini=",TEXT(IF(E115&lt;&gt;"",IF(COUNTIF($F$2:$F115,F115)&gt;1,MAX(IF($F$1:$F114=F115,$E$1:$E114)),""),""),"DD/MM/AAAA"),"&amp;data_fim=",TEXT(E115,"DD/MM/AAAA"),"&amp;hora_inicial=",HOUR(IF(E115&lt;&gt;"",IF(COUNTIF($F$2:$F115,F115)&gt;1,MAX(IF($F$1:$F114=F115,$E$1:$E114)),""),"")),"&amp;minuto_inicial=",MINUTE(IF(E115&lt;&gt;"",IF(COUNTIF($F$2:$F115,F115)&gt;1,MAX(IF($F$1:$F114=F115,$E$1:$E114)),""),"")),"&amp;hora_final=",HOUR(E115),"&amp;minuto_final=",MINUTE(E115),"&amp;periodo=6&amp;tipo=por_data&amp;upos=false&amp;outequip=0")),"")</f>
        <v>https://btx.brasiltrack.com/logistica/trajeto.php?idveiculo=0FD3629E-8FA4-4575-81E5-E460A4EFD545&amp;lat=-22.204247&amp;data_ini=18/11/2022&amp;data_fim=18/11/2022&amp;hora_inicial=8&amp;minuto_inicial=30&amp;hora_final=13&amp;minuto_final=10&amp;periodo=6&amp;tipo=por_data&amp;upos=false&amp;outequip=0</v>
      </c>
      <c r="AN115" s="100" t="str">
        <f t="shared" si="11"/>
        <v xml:space="preserve">               </v>
      </c>
    </row>
    <row r="116" spans="1:40" x14ac:dyDescent="0.25">
      <c r="A116" s="81"/>
      <c r="B116" s="81"/>
      <c r="C116" s="81"/>
      <c r="D116" s="144">
        <v>44866</v>
      </c>
      <c r="E116" s="76">
        <v>44883.644444444442</v>
      </c>
      <c r="F116" s="6" t="s">
        <v>29</v>
      </c>
      <c r="G116" s="5" t="str">
        <f>IFERROR(VLOOKUP(SUMIFS(MSOLICITADA!$I:$I,MSOLICITADA!$B:$B,D116,MSOLICITADA!$F:$F,F116),CODIGOSPLACAS!$A$64:$B$89,2,FALSE),"")</f>
        <v>EDNILSON</v>
      </c>
      <c r="H116" s="77">
        <v>226623</v>
      </c>
      <c r="I116" s="77">
        <v>227613</v>
      </c>
      <c r="J116" s="7">
        <v>379.37099999999998</v>
      </c>
      <c r="K116" s="78">
        <v>2500</v>
      </c>
      <c r="L116" s="79" t="s">
        <v>111</v>
      </c>
      <c r="M116" s="6"/>
      <c r="N116" s="5">
        <f t="shared" si="7"/>
        <v>990</v>
      </c>
      <c r="O116" s="80">
        <f t="shared" si="8"/>
        <v>6.589855313136745</v>
      </c>
      <c r="P116" s="8">
        <f t="shared" si="9"/>
        <v>2.6095827040021509</v>
      </c>
      <c r="Q116" s="8">
        <f t="shared" si="12"/>
        <v>1.5506852118293495</v>
      </c>
      <c r="R116" s="81">
        <f t="shared" si="10"/>
        <v>0</v>
      </c>
      <c r="S116" s="113" t="str">
        <f>IF(F116="","",IF(H116="",TEXT(_xlfn.MAXIFS($I$1:I116,$F$1:F116,F116,$H$1:H116,"&gt;"&amp;0),"000.000"),F116))</f>
        <v>GKA2J56</v>
      </c>
      <c r="T116" s="81"/>
      <c r="U116" s="82"/>
      <c r="V116" s="98"/>
      <c r="W116" s="82"/>
      <c r="X116" s="98"/>
      <c r="Y116" s="82"/>
      <c r="Z116" s="98"/>
      <c r="AA116" s="82"/>
      <c r="AB116" s="98"/>
      <c r="AC116" s="82"/>
      <c r="AD116" s="98"/>
      <c r="AE116" s="117"/>
      <c r="AF116" s="98"/>
      <c r="AG116" s="98"/>
      <c r="AH116" s="98"/>
      <c r="AI116" s="82"/>
      <c r="AJ116" s="98"/>
      <c r="AK116" s="83"/>
      <c r="AL116" s="84" t="str">
        <f>IF(F116&lt;&gt;0,IF(_xlfn.MAXIFS($I$1:I116,$F$1:F116,F116,$H$1:H116,"&gt;"&amp;0)=0,"KM NÃO ENCONTRADO",IF(H116=0,CONCATENATE("SUGESTÃO DE KM PARA PLACA ",F116," *",_xlfn.MAXIFS($I$1:I116,$F$1:F116,F116,$H$1:H116,"&gt;"&amp;0),"*"),"")),"")</f>
        <v/>
      </c>
      <c r="AM116" s="85" t="str" cm="1">
        <f t="array" ref="AM116">IFERROR(IF(M116&lt;&gt;"","",CONCATENATE("https://btx.brasiltrack.com/logistica/trajeto.php?idveiculo=",VLOOKUP(F116,DATAS!$A$221:$B$250,2,FALSE),"&amp;lat=-22.204247","&amp;data_ini=",TEXT(IF(E116&lt;&gt;"",IF(COUNTIF($F$2:$F116,F116)&gt;1,MAX(IF($F$1:$F115=F116,$E$1:$E115)),""),""),"DD/MM/AAAA"),"&amp;data_fim=",TEXT(E116,"DD/MM/AAAA"),"&amp;hora_inicial=",HOUR(IF(E116&lt;&gt;"",IF(COUNTIF($F$2:$F116,F116)&gt;1,MAX(IF($F$1:$F115=F116,$E$1:$E115)),""),"")),"&amp;minuto_inicial=",MINUTE(IF(E116&lt;&gt;"",IF(COUNTIF($F$2:$F116,F116)&gt;1,MAX(IF($F$1:$F115=F116,$E$1:$E115)),""),"")),"&amp;hora_final=",HOUR(E116),"&amp;minuto_final=",MINUTE(E116),"&amp;periodo=6&amp;tipo=por_data&amp;upos=false&amp;outequip=0")),"")</f>
        <v>https://btx.brasiltrack.com/logistica/trajeto.php?idveiculo=75A3D88C-4B99-481A-ACC8-34008151E92D&amp;lat=-22.204247&amp;data_ini=16/11/2022&amp;data_fim=18/11/2022&amp;hora_inicial=22&amp;minuto_inicial=53&amp;hora_final=15&amp;minuto_final=28&amp;periodo=6&amp;tipo=por_data&amp;upos=false&amp;outequip=0</v>
      </c>
      <c r="AN116" s="100" t="str">
        <f t="shared" si="11"/>
        <v xml:space="preserve">               </v>
      </c>
    </row>
    <row r="117" spans="1:40" x14ac:dyDescent="0.25">
      <c r="A117" s="81"/>
      <c r="B117" s="81"/>
      <c r="C117" s="81"/>
      <c r="D117" s="144">
        <v>44866</v>
      </c>
      <c r="E117" s="76">
        <v>44883.646527777775</v>
      </c>
      <c r="F117" s="6" t="s">
        <v>124</v>
      </c>
      <c r="G117" s="5" t="str">
        <f>IFERROR(VLOOKUP(SUMIFS(MSOLICITADA!$I:$I,MSOLICITADA!$B:$B,D117,MSOLICITADA!$F:$F,F117),CODIGOSPLACAS!$A$64:$B$89,2,FALSE),"")</f>
        <v>ISRAEL</v>
      </c>
      <c r="H117" s="77">
        <v>128557</v>
      </c>
      <c r="I117" s="77">
        <v>129554</v>
      </c>
      <c r="J117" s="7">
        <v>379.36099999999999</v>
      </c>
      <c r="K117" s="78">
        <v>2499.9899999999998</v>
      </c>
      <c r="L117" s="79" t="s">
        <v>111</v>
      </c>
      <c r="M117" s="6"/>
      <c r="N117" s="5">
        <f t="shared" si="7"/>
        <v>997</v>
      </c>
      <c r="O117" s="80">
        <f t="shared" si="8"/>
        <v>6.5900026623717247</v>
      </c>
      <c r="P117" s="8">
        <f t="shared" si="9"/>
        <v>2.6281035741681409</v>
      </c>
      <c r="Q117" s="8">
        <f t="shared" si="12"/>
        <v>1.5512732562038034</v>
      </c>
      <c r="R117" s="81">
        <f t="shared" si="10"/>
        <v>0</v>
      </c>
      <c r="S117" s="113" t="str">
        <f>IF(F117="","",IF(H117="",TEXT(_xlfn.MAXIFS($I$1:I117,$F$1:F117,F117,$H$1:H117,"&gt;"&amp;0),"000.000"),F117))</f>
        <v>GHH9B64</v>
      </c>
      <c r="T117" s="81"/>
      <c r="U117" s="82"/>
      <c r="V117" s="98"/>
      <c r="W117" s="82"/>
      <c r="X117" s="98"/>
      <c r="Y117" s="82"/>
      <c r="Z117" s="98"/>
      <c r="AA117" s="82"/>
      <c r="AB117" s="98"/>
      <c r="AC117" s="82"/>
      <c r="AD117" s="98"/>
      <c r="AE117" s="117"/>
      <c r="AF117" s="98"/>
      <c r="AG117" s="98"/>
      <c r="AH117" s="98"/>
      <c r="AI117" s="82"/>
      <c r="AJ117" s="98"/>
      <c r="AK117" s="83"/>
      <c r="AL117" s="84" t="str">
        <f>IF(F117&lt;&gt;0,IF(_xlfn.MAXIFS($I$1:I117,$F$1:F117,F117,$H$1:H117,"&gt;"&amp;0)=0,"KM NÃO ENCONTRADO",IF(H117=0,CONCATENATE("SUGESTÃO DE KM PARA PLACA ",F117," *",_xlfn.MAXIFS($I$1:I117,$F$1:F117,F117,$H$1:H117,"&gt;"&amp;0),"*"),"")),"")</f>
        <v/>
      </c>
      <c r="AM117" s="85" t="str" cm="1">
        <f t="array" ref="AM117">IFERROR(IF(M117&lt;&gt;"","",CONCATENATE("https://btx.brasiltrack.com/logistica/trajeto.php?idveiculo=",VLOOKUP(F117,DATAS!$A$221:$B$250,2,FALSE),"&amp;lat=-22.204247","&amp;data_ini=",TEXT(IF(E117&lt;&gt;"",IF(COUNTIF($F$2:$F117,F117)&gt;1,MAX(IF($F$1:$F116=F117,$E$1:$E116)),""),""),"DD/MM/AAAA"),"&amp;data_fim=",TEXT(E117,"DD/MM/AAAA"),"&amp;hora_inicial=",HOUR(IF(E117&lt;&gt;"",IF(COUNTIF($F$2:$F117,F117)&gt;1,MAX(IF($F$1:$F116=F117,$E$1:$E116)),""),"")),"&amp;minuto_inicial=",MINUTE(IF(E117&lt;&gt;"",IF(COUNTIF($F$2:$F117,F117)&gt;1,MAX(IF($F$1:$F116=F117,$E$1:$E116)),""),"")),"&amp;hora_final=",HOUR(E117),"&amp;minuto_final=",MINUTE(E117),"&amp;periodo=6&amp;tipo=por_data&amp;upos=false&amp;outequip=0")),"")</f>
        <v>https://btx.brasiltrack.com/logistica/trajeto.php?idveiculo=82801E41-A001-436F-A743-F071900B878A&amp;lat=-22.204247&amp;data_ini=16/11/2022&amp;data_fim=18/11/2022&amp;hora_inicial=22&amp;minuto_inicial=51&amp;hora_final=15&amp;minuto_final=31&amp;periodo=6&amp;tipo=por_data&amp;upos=false&amp;outequip=0</v>
      </c>
      <c r="AN117" s="100" t="str">
        <f t="shared" si="11"/>
        <v xml:space="preserve">               </v>
      </c>
    </row>
    <row r="118" spans="1:40" x14ac:dyDescent="0.25">
      <c r="A118" s="81"/>
      <c r="B118" s="81"/>
      <c r="C118" s="81"/>
      <c r="D118" s="144">
        <v>44866</v>
      </c>
      <c r="E118" s="76">
        <v>44883.673611111109</v>
      </c>
      <c r="F118" s="6" t="s">
        <v>23</v>
      </c>
      <c r="G118" s="5" t="str">
        <f>IFERROR(VLOOKUP(SUMIFS(MSOLICITADA!$I:$I,MSOLICITADA!$B:$B,D118,MSOLICITADA!$F:$F,F118),CODIGOSPLACAS!$A$64:$B$89,2,FALSE),"")</f>
        <v>ISAC</v>
      </c>
      <c r="H118" s="77">
        <v>1196390</v>
      </c>
      <c r="I118" s="77">
        <v>1196803</v>
      </c>
      <c r="J118" s="7">
        <v>268.8</v>
      </c>
      <c r="K118" s="78">
        <v>1655.79</v>
      </c>
      <c r="L118" s="79" t="s">
        <v>112</v>
      </c>
      <c r="M118" s="6"/>
      <c r="N118" s="5">
        <f t="shared" si="7"/>
        <v>413</v>
      </c>
      <c r="O118" s="80">
        <f t="shared" si="8"/>
        <v>6.1599330357142854</v>
      </c>
      <c r="P118" s="8">
        <f t="shared" si="9"/>
        <v>1.5364583333333333</v>
      </c>
      <c r="Q118" s="8">
        <f t="shared" si="12"/>
        <v>1.447714664858804</v>
      </c>
      <c r="R118" s="81">
        <f t="shared" si="10"/>
        <v>0</v>
      </c>
      <c r="S118" s="113" t="str">
        <f>IF(F118="","",IF(H118="",TEXT(_xlfn.MAXIFS($I$1:I118,$F$1:F118,F118,$H$1:H118,"&gt;"&amp;0),"000.000"),F118))</f>
        <v>HNC7I76</v>
      </c>
      <c r="T118" s="81"/>
      <c r="U118" s="82"/>
      <c r="V118" s="98"/>
      <c r="W118" s="82"/>
      <c r="X118" s="98"/>
      <c r="Y118" s="82"/>
      <c r="Z118" s="98"/>
      <c r="AA118" s="82"/>
      <c r="AB118" s="98"/>
      <c r="AC118" s="82"/>
      <c r="AD118" s="98"/>
      <c r="AE118" s="117"/>
      <c r="AF118" s="98"/>
      <c r="AG118" s="98"/>
      <c r="AH118" s="98"/>
      <c r="AI118" s="82"/>
      <c r="AJ118" s="98"/>
      <c r="AK118" s="83"/>
      <c r="AL118" s="84" t="str">
        <f>IF(F118&lt;&gt;0,IF(_xlfn.MAXIFS($I$1:I118,$F$1:F118,F118,$H$1:H118,"&gt;"&amp;0)=0,"KM NÃO ENCONTRADO",IF(H118=0,CONCATENATE("SUGESTÃO DE KM PARA PLACA ",F118," *",_xlfn.MAXIFS($I$1:I118,$F$1:F118,F118,$H$1:H118,"&gt;"&amp;0),"*"),"")),"")</f>
        <v/>
      </c>
      <c r="AM118" s="85" t="str" cm="1">
        <f t="array" ref="AM118">IFERROR(IF(M118&lt;&gt;"","",CONCATENATE("https://btx.brasiltrack.com/logistica/trajeto.php?idveiculo=",VLOOKUP(F118,DATAS!$A$221:$B$250,2,FALSE),"&amp;lat=-22.204247","&amp;data_ini=",TEXT(IF(E118&lt;&gt;"",IF(COUNTIF($F$2:$F118,F118)&gt;1,MAX(IF($F$1:$F117=F118,$E$1:$E117)),""),""),"DD/MM/AAAA"),"&amp;data_fim=",TEXT(E118,"DD/MM/AAAA"),"&amp;hora_inicial=",HOUR(IF(E118&lt;&gt;"",IF(COUNTIF($F$2:$F118,F118)&gt;1,MAX(IF($F$1:$F117=F118,$E$1:$E117)),""),"")),"&amp;minuto_inicial=",MINUTE(IF(E118&lt;&gt;"",IF(COUNTIF($F$2:$F118,F118)&gt;1,MAX(IF($F$1:$F117=F118,$E$1:$E117)),""),"")),"&amp;hora_final=",HOUR(E118),"&amp;minuto_final=",MINUTE(E118),"&amp;periodo=6&amp;tipo=por_data&amp;upos=false&amp;outequip=0")),"")</f>
        <v>https://btx.brasiltrack.com/logistica/trajeto.php?idveiculo=B05A8E44-5DA1-4128-83F0-8DDE6CB8291B&amp;lat=-22.204247&amp;data_ini=17/11/2022&amp;data_fim=18/11/2022&amp;hora_inicial=21&amp;minuto_inicial=10&amp;hora_final=16&amp;minuto_final=10&amp;periodo=6&amp;tipo=por_data&amp;upos=false&amp;outequip=0</v>
      </c>
      <c r="AN118" s="100" t="str">
        <f t="shared" si="11"/>
        <v xml:space="preserve">               </v>
      </c>
    </row>
    <row r="119" spans="1:40" x14ac:dyDescent="0.25">
      <c r="A119" s="81"/>
      <c r="B119" s="81"/>
      <c r="C119" s="81"/>
      <c r="D119" s="144">
        <v>44866</v>
      </c>
      <c r="E119" s="76">
        <v>44883.811111111114</v>
      </c>
      <c r="F119" s="6" t="s">
        <v>126</v>
      </c>
      <c r="G119" s="5" t="str">
        <f>IFERROR(VLOOKUP(SUMIFS(MSOLICITADA!$I:$I,MSOLICITADA!$B:$B,D119,MSOLICITADA!$F:$F,F119),CODIGOSPLACAS!$A$64:$B$89,2,FALSE),"")</f>
        <v>IZAIAS</v>
      </c>
      <c r="H119" s="77">
        <v>478845</v>
      </c>
      <c r="I119" s="77">
        <v>479525</v>
      </c>
      <c r="J119" s="7">
        <v>440</v>
      </c>
      <c r="K119" s="78">
        <v>2926</v>
      </c>
      <c r="L119" s="79" t="s">
        <v>111</v>
      </c>
      <c r="M119" s="6"/>
      <c r="N119" s="5">
        <f t="shared" si="7"/>
        <v>680</v>
      </c>
      <c r="O119" s="80">
        <f t="shared" si="8"/>
        <v>6.65</v>
      </c>
      <c r="P119" s="8">
        <f t="shared" si="9"/>
        <v>1.5454545454545454</v>
      </c>
      <c r="Q119" s="8">
        <f t="shared" si="12"/>
        <v>1.4310423058843909</v>
      </c>
      <c r="R119" s="81">
        <f t="shared" si="10"/>
        <v>0</v>
      </c>
      <c r="S119" s="113" t="str">
        <f>IF(F119="","",IF(H119="",TEXT(_xlfn.MAXIFS($I$1:I119,$F$1:F119,F119,$H$1:H119,"&gt;"&amp;0),"000.000"),F119))</f>
        <v>GHX4D71</v>
      </c>
      <c r="T119" s="81"/>
      <c r="U119" s="82"/>
      <c r="V119" s="98"/>
      <c r="W119" s="82"/>
      <c r="X119" s="98"/>
      <c r="Y119" s="82"/>
      <c r="Z119" s="98"/>
      <c r="AA119" s="82"/>
      <c r="AB119" s="98"/>
      <c r="AC119" s="82"/>
      <c r="AD119" s="98"/>
      <c r="AE119" s="117"/>
      <c r="AF119" s="98"/>
      <c r="AG119" s="98"/>
      <c r="AH119" s="98"/>
      <c r="AI119" s="82"/>
      <c r="AJ119" s="98"/>
      <c r="AK119" s="83"/>
      <c r="AL119" s="5"/>
      <c r="AM119" s="85" t="str" cm="1">
        <f t="array" ref="AM119">IFERROR(IF(M119&lt;&gt;"","",CONCATENATE("https://btx.brasiltrack.com/logistica/trajeto.php?idveiculo=",VLOOKUP(F119,DATAS!$A$221:$B$250,2,FALSE),"&amp;lat=-22.204247","&amp;data_ini=",TEXT(IF(E119&lt;&gt;"",IF(COUNTIF($F$2:$F119,F119)&gt;1,MAX(IF($F$1:$F118=F119,$E$1:$E118)),""),""),"DD/MM/AAAA"),"&amp;data_fim=",TEXT(E119,"DD/MM/AAAA"),"&amp;hora_inicial=",HOUR(IF(E119&lt;&gt;"",IF(COUNTIF($F$2:$F119,F119)&gt;1,MAX(IF($F$1:$F118=F119,$E$1:$E118)),""),"")),"&amp;minuto_inicial=",MINUTE(IF(E119&lt;&gt;"",IF(COUNTIF($F$2:$F119,F119)&gt;1,MAX(IF($F$1:$F118=F119,$E$1:$E118)),""),"")),"&amp;hora_final=",HOUR(E119),"&amp;minuto_final=",MINUTE(E119),"&amp;periodo=6&amp;tipo=por_data&amp;upos=false&amp;outequip=0")),"")</f>
        <v>https://btx.brasiltrack.com/logistica/trajeto.php?idveiculo=6B5F18E0-6EAE-404A-AE41-39E549361094&amp;lat=-22.204247&amp;data_ini=17/11/2022&amp;data_fim=18/11/2022&amp;hora_inicial=0&amp;minuto_inicial=50&amp;hora_final=19&amp;minuto_final=28&amp;periodo=6&amp;tipo=por_data&amp;upos=false&amp;outequip=0</v>
      </c>
      <c r="AN119" s="100" t="str">
        <f t="shared" si="11"/>
        <v xml:space="preserve">               </v>
      </c>
    </row>
    <row r="120" spans="1:40" x14ac:dyDescent="0.25">
      <c r="A120" s="81"/>
      <c r="B120" s="81"/>
      <c r="C120" s="81"/>
      <c r="D120" s="144">
        <v>44866</v>
      </c>
      <c r="E120" s="76">
        <v>44883.8125</v>
      </c>
      <c r="F120" s="6" t="s">
        <v>124</v>
      </c>
      <c r="G120" s="5" t="str">
        <f>IFERROR(VLOOKUP(SUMIFS(MSOLICITADA!$I:$I,MSOLICITADA!$B:$B,D120,MSOLICITADA!$F:$F,F120),CODIGOSPLACAS!$A$64:$B$89,2,FALSE),"")</f>
        <v>ISRAEL</v>
      </c>
      <c r="H120" s="77">
        <v>129554</v>
      </c>
      <c r="I120" s="77">
        <v>129792</v>
      </c>
      <c r="J120" s="7">
        <v>493.3</v>
      </c>
      <c r="K120" s="78">
        <v>3038.7</v>
      </c>
      <c r="L120" s="79" t="s">
        <v>112</v>
      </c>
      <c r="M120" s="6"/>
      <c r="N120" s="5">
        <f t="shared" si="7"/>
        <v>238</v>
      </c>
      <c r="O120" s="80">
        <f t="shared" si="8"/>
        <v>6.1599432394080678</v>
      </c>
      <c r="P120" s="8">
        <f t="shared" si="9"/>
        <v>0.48246503142104197</v>
      </c>
      <c r="Q120" s="8">
        <f t="shared" si="12"/>
        <v>1.5512732562038034</v>
      </c>
      <c r="R120" s="81">
        <f t="shared" si="10"/>
        <v>0</v>
      </c>
      <c r="S120" s="113" t="str">
        <f>IF(F120="","",IF(H120="",TEXT(_xlfn.MAXIFS($I$1:I120,$F$1:F120,F120,$H$1:H120,"&gt;"&amp;0),"000.000"),F120))</f>
        <v>GHH9B64</v>
      </c>
      <c r="T120" s="81"/>
      <c r="U120" s="82"/>
      <c r="V120" s="98"/>
      <c r="W120" s="82"/>
      <c r="X120" s="98"/>
      <c r="Y120" s="82"/>
      <c r="Z120" s="98"/>
      <c r="AA120" s="82"/>
      <c r="AB120" s="98"/>
      <c r="AC120" s="82"/>
      <c r="AD120" s="98"/>
      <c r="AE120" s="117"/>
      <c r="AF120" s="98"/>
      <c r="AG120" s="98"/>
      <c r="AH120" s="98"/>
      <c r="AI120" s="82"/>
      <c r="AJ120" s="98"/>
      <c r="AK120" s="83"/>
      <c r="AL120" s="84" t="str">
        <f>IF(F120&lt;&gt;0,IF(_xlfn.MAXIFS($I$1:I120,$F$1:F120,F120,$H$1:H120,"&gt;"&amp;0)=0,"KM NÃO ENCONTRADO",IF(H120=0,CONCATENATE("SUGESTÃO DE KM PARA PLACA ",F120," *",_xlfn.MAXIFS($I$1:I120,$F$1:F120,F120,$H$1:H120,"&gt;"&amp;0),"*"),"")),"")</f>
        <v/>
      </c>
      <c r="AM120" s="85" t="str" cm="1">
        <f t="array" ref="AM120">IFERROR(IF(M120&lt;&gt;"","",CONCATENATE("https://btx.brasiltrack.com/logistica/trajeto.php?idveiculo=",VLOOKUP(F120,DATAS!$A$221:$B$250,2,FALSE),"&amp;lat=-22.204247","&amp;data_ini=",TEXT(IF(E120&lt;&gt;"",IF(COUNTIF($F$2:$F120,F120)&gt;1,MAX(IF($F$1:$F119=F120,$E$1:$E119)),""),""),"DD/MM/AAAA"),"&amp;data_fim=",TEXT(E120,"DD/MM/AAAA"),"&amp;hora_inicial=",HOUR(IF(E120&lt;&gt;"",IF(COUNTIF($F$2:$F120,F120)&gt;1,MAX(IF($F$1:$F119=F120,$E$1:$E119)),""),"")),"&amp;minuto_inicial=",MINUTE(IF(E120&lt;&gt;"",IF(COUNTIF($F$2:$F120,F120)&gt;1,MAX(IF($F$1:$F119=F120,$E$1:$E119)),""),"")),"&amp;hora_final=",HOUR(E120),"&amp;minuto_final=",MINUTE(E120),"&amp;periodo=6&amp;tipo=por_data&amp;upos=false&amp;outequip=0")),"")</f>
        <v>https://btx.brasiltrack.com/logistica/trajeto.php?idveiculo=82801E41-A001-436F-A743-F071900B878A&amp;lat=-22.204247&amp;data_ini=18/11/2022&amp;data_fim=18/11/2022&amp;hora_inicial=15&amp;minuto_inicial=31&amp;hora_final=19&amp;minuto_final=30&amp;periodo=6&amp;tipo=por_data&amp;upos=false&amp;outequip=0</v>
      </c>
      <c r="AN120" s="100" t="str">
        <f t="shared" si="11"/>
        <v xml:space="preserve">               </v>
      </c>
    </row>
    <row r="121" spans="1:40" x14ac:dyDescent="0.25">
      <c r="A121" s="81"/>
      <c r="B121" s="81"/>
      <c r="C121" s="81"/>
      <c r="D121" s="144">
        <v>44866</v>
      </c>
      <c r="E121" s="76">
        <v>44883.84375</v>
      </c>
      <c r="F121" s="6" t="s">
        <v>29</v>
      </c>
      <c r="G121" s="5" t="str">
        <f>IFERROR(VLOOKUP(SUMIFS(MSOLICITADA!$I:$I,MSOLICITADA!$B:$B,D121,MSOLICITADA!$F:$F,F121),CODIGOSPLACAS!$A$64:$B$89,2,FALSE),"")</f>
        <v>EDNILSON</v>
      </c>
      <c r="H121" s="77">
        <v>227613</v>
      </c>
      <c r="I121" s="77">
        <v>227849</v>
      </c>
      <c r="J121" s="7">
        <v>512.4</v>
      </c>
      <c r="K121" s="78">
        <v>3156.35</v>
      </c>
      <c r="L121" s="79" t="s">
        <v>112</v>
      </c>
      <c r="M121" s="6"/>
      <c r="N121" s="5">
        <f t="shared" si="7"/>
        <v>236</v>
      </c>
      <c r="O121" s="80">
        <f t="shared" si="8"/>
        <v>6.1599336455893834</v>
      </c>
      <c r="P121" s="8">
        <f t="shared" si="9"/>
        <v>0.4605776736924278</v>
      </c>
      <c r="Q121" s="8">
        <f t="shared" si="12"/>
        <v>1.5506852118293495</v>
      </c>
      <c r="R121" s="81">
        <f t="shared" si="10"/>
        <v>0</v>
      </c>
      <c r="S121" s="113" t="str">
        <f>IF(F121="","",IF(H121="",TEXT(_xlfn.MAXIFS($I$1:I121,$F$1:F121,F121,$H$1:H121,"&gt;"&amp;0),"000.000"),F121))</f>
        <v>GKA2J56</v>
      </c>
      <c r="T121" s="81"/>
      <c r="U121" s="82"/>
      <c r="V121" s="98"/>
      <c r="W121" s="82"/>
      <c r="X121" s="98"/>
      <c r="Y121" s="82"/>
      <c r="Z121" s="98"/>
      <c r="AA121" s="82"/>
      <c r="AB121" s="98"/>
      <c r="AC121" s="82"/>
      <c r="AD121" s="98"/>
      <c r="AE121" s="117"/>
      <c r="AF121" s="98"/>
      <c r="AG121" s="98"/>
      <c r="AH121" s="98"/>
      <c r="AI121" s="82"/>
      <c r="AJ121" s="98"/>
      <c r="AK121" s="83"/>
      <c r="AL121" s="84" t="str">
        <f>IF(F121&lt;&gt;0,IF(_xlfn.MAXIFS($I$1:I121,$F$1:F121,F121,$H$1:H121,"&gt;"&amp;0)=0,"KM NÃO ENCONTRADO",IF(H121=0,CONCATENATE("SUGESTÃO DE KM PARA PLACA ",F121," *",_xlfn.MAXIFS($I$1:I121,$F$1:F121,F121,$H$1:H121,"&gt;"&amp;0),"*"),"")),"")</f>
        <v/>
      </c>
      <c r="AM121" s="85" t="str" cm="1">
        <f t="array" ref="AM121">IFERROR(IF(M121&lt;&gt;"","",CONCATENATE("https://btx.brasiltrack.com/logistica/trajeto.php?idveiculo=",VLOOKUP(F121,DATAS!$A$221:$B$250,2,FALSE),"&amp;lat=-22.204247","&amp;data_ini=",TEXT(IF(E121&lt;&gt;"",IF(COUNTIF($F$2:$F121,F121)&gt;1,MAX(IF($F$1:$F120=F121,$E$1:$E120)),""),""),"DD/MM/AAAA"),"&amp;data_fim=",TEXT(E121,"DD/MM/AAAA"),"&amp;hora_inicial=",HOUR(IF(E121&lt;&gt;"",IF(COUNTIF($F$2:$F121,F121)&gt;1,MAX(IF($F$1:$F120=F121,$E$1:$E120)),""),"")),"&amp;minuto_inicial=",MINUTE(IF(E121&lt;&gt;"",IF(COUNTIF($F$2:$F121,F121)&gt;1,MAX(IF($F$1:$F120=F121,$E$1:$E120)),""),"")),"&amp;hora_final=",HOUR(E121),"&amp;minuto_final=",MINUTE(E121),"&amp;periodo=6&amp;tipo=por_data&amp;upos=false&amp;outequip=0")),"")</f>
        <v>https://btx.brasiltrack.com/logistica/trajeto.php?idveiculo=75A3D88C-4B99-481A-ACC8-34008151E92D&amp;lat=-22.204247&amp;data_ini=18/11/2022&amp;data_fim=18/11/2022&amp;hora_inicial=15&amp;minuto_inicial=28&amp;hora_final=20&amp;minuto_final=15&amp;periodo=6&amp;tipo=por_data&amp;upos=false&amp;outequip=0</v>
      </c>
      <c r="AN121" s="100" t="str">
        <f t="shared" si="11"/>
        <v xml:space="preserve">               </v>
      </c>
    </row>
    <row r="122" spans="1:40" x14ac:dyDescent="0.25">
      <c r="A122" s="81"/>
      <c r="B122" s="81"/>
      <c r="C122" s="81"/>
      <c r="D122" s="144">
        <v>44866</v>
      </c>
      <c r="E122" s="76">
        <v>44884.018750000003</v>
      </c>
      <c r="F122" s="6" t="s">
        <v>32</v>
      </c>
      <c r="G122" s="5" t="str">
        <f>IFERROR(VLOOKUP(SUMIFS(MSOLICITADA!$I:$I,MSOLICITADA!$B:$B,D122,MSOLICITADA!$F:$F,F122),CODIGOSPLACAS!$A$64:$B$89,2,FALSE),"")</f>
        <v>ADILSON</v>
      </c>
      <c r="H122" s="77">
        <v>192676</v>
      </c>
      <c r="I122" s="77">
        <v>193533</v>
      </c>
      <c r="J122" s="7">
        <v>586.01</v>
      </c>
      <c r="K122" s="78">
        <v>3744.6</v>
      </c>
      <c r="L122" s="79" t="s">
        <v>111</v>
      </c>
      <c r="M122" s="6"/>
      <c r="N122" s="5">
        <f t="shared" si="7"/>
        <v>857</v>
      </c>
      <c r="O122" s="80">
        <f t="shared" si="8"/>
        <v>6.3899933448234671</v>
      </c>
      <c r="P122" s="8">
        <f t="shared" si="9"/>
        <v>1.4624323816999709</v>
      </c>
      <c r="Q122" s="8">
        <f t="shared" si="12"/>
        <v>1.518200707495146</v>
      </c>
      <c r="R122" s="81">
        <f t="shared" si="10"/>
        <v>0</v>
      </c>
      <c r="S122" s="113" t="str">
        <f>IF(F122="","",IF(H122="",TEXT(_xlfn.MAXIFS($I$1:I122,$F$1:F122,F122,$H$1:H122,"&gt;"&amp;0),"000.000"),F122))</f>
        <v>GJU9A22</v>
      </c>
      <c r="T122" s="81"/>
      <c r="U122" s="82"/>
      <c r="V122" s="98"/>
      <c r="W122" s="82"/>
      <c r="X122" s="98"/>
      <c r="Y122" s="82"/>
      <c r="Z122" s="98"/>
      <c r="AA122" s="82"/>
      <c r="AB122" s="98"/>
      <c r="AC122" s="82"/>
      <c r="AD122" s="98"/>
      <c r="AE122" s="117"/>
      <c r="AF122" s="98"/>
      <c r="AG122" s="98"/>
      <c r="AH122" s="98"/>
      <c r="AI122" s="82"/>
      <c r="AJ122" s="98"/>
      <c r="AK122" s="83"/>
      <c r="AL122" s="84" t="str">
        <f>IF(F122&lt;&gt;0,IF(_xlfn.MAXIFS($I$1:I122,$F$1:F122,F122,$H$1:H122,"&gt;"&amp;0)=0,"KM NÃO ENCONTRADO",IF(H122=0,CONCATENATE("SUGESTÃO DE KM PARA PLACA ",F122," *",_xlfn.MAXIFS($I$1:I122,$F$1:F122,F122,$H$1:H122,"&gt;"&amp;0),"*"),"")),"")</f>
        <v/>
      </c>
      <c r="AM122" s="85" t="str" cm="1">
        <f t="array" ref="AM122">IFERROR(IF(M122&lt;&gt;"","",CONCATENATE("https://btx.brasiltrack.com/logistica/trajeto.php?idveiculo=",VLOOKUP(F122,DATAS!$A$221:$B$250,2,FALSE),"&amp;lat=-22.204247","&amp;data_ini=",TEXT(IF(E122&lt;&gt;"",IF(COUNTIF($F$2:$F122,F122)&gt;1,MAX(IF($F$1:$F121=F122,$E$1:$E121)),""),""),"DD/MM/AAAA"),"&amp;data_fim=",TEXT(E122,"DD/MM/AAAA"),"&amp;hora_inicial=",HOUR(IF(E122&lt;&gt;"",IF(COUNTIF($F$2:$F122,F122)&gt;1,MAX(IF($F$1:$F121=F122,$E$1:$E121)),""),"")),"&amp;minuto_inicial=",MINUTE(IF(E122&lt;&gt;"",IF(COUNTIF($F$2:$F122,F122)&gt;1,MAX(IF($F$1:$F121=F122,$E$1:$E121)),""),"")),"&amp;hora_final=",HOUR(E122),"&amp;minuto_final=",MINUTE(E122),"&amp;periodo=6&amp;tipo=por_data&amp;upos=false&amp;outequip=0")),"")</f>
        <v>https://btx.brasiltrack.com/logistica/trajeto.php?idveiculo=51FCA948-8BA9-488B-AAF2-8F2F237B75B2&amp;lat=-22.204247&amp;data_ini=17/11/2022&amp;data_fim=19/11/2022&amp;hora_inicial=7&amp;minuto_inicial=11&amp;hora_final=0&amp;minuto_final=27&amp;periodo=6&amp;tipo=por_data&amp;upos=false&amp;outequip=0</v>
      </c>
      <c r="AN122" s="100" t="str">
        <f t="shared" si="11"/>
        <v xml:space="preserve">               </v>
      </c>
    </row>
    <row r="123" spans="1:40" x14ac:dyDescent="0.25">
      <c r="A123" s="81"/>
      <c r="B123" s="81"/>
      <c r="C123" s="81"/>
      <c r="D123" s="144">
        <v>44866</v>
      </c>
      <c r="E123" s="76">
        <v>44884.023611111108</v>
      </c>
      <c r="F123" s="6" t="s">
        <v>28</v>
      </c>
      <c r="G123" s="5" t="str">
        <f>IFERROR(VLOOKUP(SUMIFS(MSOLICITADA!$I:$I,MSOLICITADA!$B:$B,D123,MSOLICITADA!$F:$F,F123),CODIGOSPLACAS!$A$64:$B$89,2,FALSE),"")</f>
        <v>RONY</v>
      </c>
      <c r="H123" s="77">
        <v>233387</v>
      </c>
      <c r="I123" s="77">
        <v>234188</v>
      </c>
      <c r="J123" s="7">
        <v>584</v>
      </c>
      <c r="K123" s="78">
        <v>3883.6</v>
      </c>
      <c r="L123" s="79" t="s">
        <v>111</v>
      </c>
      <c r="M123" s="6"/>
      <c r="N123" s="5">
        <f t="shared" si="7"/>
        <v>801</v>
      </c>
      <c r="O123" s="80">
        <f t="shared" si="8"/>
        <v>6.6499999999999995</v>
      </c>
      <c r="P123" s="8">
        <f t="shared" si="9"/>
        <v>1.3715753424657535</v>
      </c>
      <c r="Q123" s="8">
        <f t="shared" si="12"/>
        <v>1.398271770983244</v>
      </c>
      <c r="R123" s="81">
        <f t="shared" si="10"/>
        <v>0</v>
      </c>
      <c r="S123" s="113" t="str">
        <f>IF(F123="","",IF(H123="",TEXT(_xlfn.MAXIFS($I$1:I123,$F$1:F123,F123,$H$1:H123,"&gt;"&amp;0),"000.000"),F123))</f>
        <v>FZA3E94</v>
      </c>
      <c r="T123" s="81"/>
      <c r="U123" s="82"/>
      <c r="V123" s="98"/>
      <c r="W123" s="82"/>
      <c r="X123" s="98"/>
      <c r="Y123" s="82"/>
      <c r="Z123" s="98"/>
      <c r="AA123" s="82"/>
      <c r="AB123" s="98"/>
      <c r="AC123" s="82"/>
      <c r="AD123" s="98"/>
      <c r="AE123" s="117"/>
      <c r="AF123" s="98"/>
      <c r="AG123" s="98"/>
      <c r="AH123" s="98"/>
      <c r="AI123" s="82"/>
      <c r="AJ123" s="98"/>
      <c r="AK123" s="83"/>
      <c r="AL123" s="84" t="str">
        <f>IF(F123&lt;&gt;0,IF(_xlfn.MAXIFS($I$1:I123,$F$1:F123,F123,$H$1:H123,"&gt;"&amp;0)=0,"KM NÃO ENCONTRADO",IF(H123=0,CONCATENATE("SUGESTÃO DE KM PARA PLACA ",F123," *",_xlfn.MAXIFS($I$1:I123,$F$1:F123,F123,$H$1:H123,"&gt;"&amp;0),"*"),"")),"")</f>
        <v/>
      </c>
      <c r="AM123" s="85" t="str" cm="1">
        <f t="array" ref="AM123">IFERROR(IF(M123&lt;&gt;"","",CONCATENATE("https://btx.brasiltrack.com/logistica/trajeto.php?idveiculo=",VLOOKUP(F123,DATAS!$A$221:$B$250,2,FALSE),"&amp;lat=-22.204247","&amp;data_ini=",TEXT(IF(E123&lt;&gt;"",IF(COUNTIF($F$2:$F123,F123)&gt;1,MAX(IF($F$1:$F122=F123,$E$1:$E122)),""),""),"DD/MM/AAAA"),"&amp;data_fim=",TEXT(E123,"DD/MM/AAAA"),"&amp;hora_inicial=",HOUR(IF(E123&lt;&gt;"",IF(COUNTIF($F$2:$F123,F123)&gt;1,MAX(IF($F$1:$F122=F123,$E$1:$E122)),""),"")),"&amp;minuto_inicial=",MINUTE(IF(E123&lt;&gt;"",IF(COUNTIF($F$2:$F123,F123)&gt;1,MAX(IF($F$1:$F122=F123,$E$1:$E122)),""),"")),"&amp;hora_final=",HOUR(E123),"&amp;minuto_final=",MINUTE(E123),"&amp;periodo=6&amp;tipo=por_data&amp;upos=false&amp;outequip=0")),"")</f>
        <v>https://btx.brasiltrack.com/logistica/trajeto.php?idveiculo=4DFC6CC2-BC04-4FE8-81DF-C3A3882D850D&amp;lat=-22.204247&amp;data_ini=17/11/2022&amp;data_fim=19/11/2022&amp;hora_inicial=7&amp;minuto_inicial=15&amp;hora_final=0&amp;minuto_final=34&amp;periodo=6&amp;tipo=por_data&amp;upos=false&amp;outequip=0</v>
      </c>
      <c r="AN123" s="100" t="str">
        <f t="shared" si="11"/>
        <v xml:space="preserve">               </v>
      </c>
    </row>
    <row r="124" spans="1:40" x14ac:dyDescent="0.25">
      <c r="A124" s="81"/>
      <c r="B124" s="81"/>
      <c r="C124" s="81"/>
      <c r="D124" s="144">
        <v>44866</v>
      </c>
      <c r="E124" s="76">
        <v>44884.375</v>
      </c>
      <c r="F124" s="6" t="s">
        <v>28</v>
      </c>
      <c r="G124" s="5" t="str">
        <f>IFERROR(VLOOKUP(SUMIFS(MSOLICITADA!$I:$I,MSOLICITADA!$B:$B,D124,MSOLICITADA!$F:$F,F124),CODIGOSPLACAS!$A$64:$B$89,2,FALSE),"")</f>
        <v>RONY</v>
      </c>
      <c r="H124" s="77">
        <v>234188</v>
      </c>
      <c r="I124" s="77">
        <v>234561</v>
      </c>
      <c r="J124" s="7">
        <v>256.2</v>
      </c>
      <c r="K124" s="78">
        <v>1578.18</v>
      </c>
      <c r="L124" s="79" t="s">
        <v>112</v>
      </c>
      <c r="M124" s="6"/>
      <c r="N124" s="5">
        <f t="shared" si="7"/>
        <v>373</v>
      </c>
      <c r="O124" s="80">
        <f t="shared" si="8"/>
        <v>6.1599531615925063</v>
      </c>
      <c r="P124" s="8">
        <f t="shared" si="9"/>
        <v>1.4558938329430133</v>
      </c>
      <c r="Q124" s="8">
        <f t="shared" si="12"/>
        <v>1.398271770983244</v>
      </c>
      <c r="R124" s="81">
        <f t="shared" si="10"/>
        <v>0</v>
      </c>
      <c r="S124" s="113" t="str">
        <f>IF(F124="","",IF(H124="",TEXT(_xlfn.MAXIFS($I$1:I124,$F$1:F124,F124,$H$1:H124,"&gt;"&amp;0),"000.000"),F124))</f>
        <v>FZA3E94</v>
      </c>
      <c r="T124" s="81"/>
      <c r="U124" s="82"/>
      <c r="V124" s="98"/>
      <c r="W124" s="82"/>
      <c r="X124" s="98"/>
      <c r="Y124" s="82"/>
      <c r="Z124" s="98"/>
      <c r="AA124" s="82"/>
      <c r="AB124" s="98"/>
      <c r="AC124" s="82"/>
      <c r="AD124" s="98"/>
      <c r="AE124" s="117"/>
      <c r="AF124" s="98"/>
      <c r="AG124" s="98"/>
      <c r="AH124" s="98"/>
      <c r="AI124" s="82"/>
      <c r="AJ124" s="98"/>
      <c r="AK124" s="83"/>
      <c r="AL124" s="84" t="str">
        <f>IF(F124&lt;&gt;0,IF(_xlfn.MAXIFS($I$1:I124,$F$1:F124,F124,$H$1:H124,"&gt;"&amp;0)=0,"KM NÃO ENCONTRADO",IF(H124=0,CONCATENATE("SUGESTÃO DE KM PARA PLACA ",F124," *",_xlfn.MAXIFS($I$1:I124,$F$1:F124,F124,$H$1:H124,"&gt;"&amp;0),"*"),"")),"")</f>
        <v/>
      </c>
      <c r="AM124" s="85" t="str" cm="1">
        <f t="array" ref="AM124">IFERROR(IF(M124&lt;&gt;"","",CONCATENATE("https://btx.brasiltrack.com/logistica/trajeto.php?idveiculo=",VLOOKUP(F124,DATAS!$A$221:$B$250,2,FALSE),"&amp;lat=-22.204247","&amp;data_ini=",TEXT(IF(E124&lt;&gt;"",IF(COUNTIF($F$2:$F124,F124)&gt;1,MAX(IF($F$1:$F123=F124,$E$1:$E123)),""),""),"DD/MM/AAAA"),"&amp;data_fim=",TEXT(E124,"DD/MM/AAAA"),"&amp;hora_inicial=",HOUR(IF(E124&lt;&gt;"",IF(COUNTIF($F$2:$F124,F124)&gt;1,MAX(IF($F$1:$F123=F124,$E$1:$E123)),""),"")),"&amp;minuto_inicial=",MINUTE(IF(E124&lt;&gt;"",IF(COUNTIF($F$2:$F124,F124)&gt;1,MAX(IF($F$1:$F123=F124,$E$1:$E123)),""),"")),"&amp;hora_final=",HOUR(E124),"&amp;minuto_final=",MINUTE(E124),"&amp;periodo=6&amp;tipo=por_data&amp;upos=false&amp;outequip=0")),"")</f>
        <v>https://btx.brasiltrack.com/logistica/trajeto.php?idveiculo=4DFC6CC2-BC04-4FE8-81DF-C3A3882D850D&amp;lat=-22.204247&amp;data_ini=19/11/2022&amp;data_fim=19/11/2022&amp;hora_inicial=0&amp;minuto_inicial=34&amp;hora_final=9&amp;minuto_final=0&amp;periodo=6&amp;tipo=por_data&amp;upos=false&amp;outequip=0</v>
      </c>
      <c r="AN124" s="100" t="str">
        <f t="shared" si="11"/>
        <v xml:space="preserve">               </v>
      </c>
    </row>
    <row r="125" spans="1:40" x14ac:dyDescent="0.25">
      <c r="A125" s="81"/>
      <c r="B125" s="81"/>
      <c r="C125" s="81"/>
      <c r="D125" s="144">
        <v>44866</v>
      </c>
      <c r="E125" s="76">
        <v>44884.4375</v>
      </c>
      <c r="F125" s="6" t="s">
        <v>130</v>
      </c>
      <c r="G125" s="5" t="str">
        <f>IFERROR(VLOOKUP(SUMIFS(MSOLICITADA!$I:$I,MSOLICITADA!$B:$B,D125,MSOLICITADA!$F:$F,F125),CODIGOSPLACAS!$A$64:$B$89,2,FALSE),"")</f>
        <v>ERNESTINO</v>
      </c>
      <c r="H125" s="77">
        <v>1226298</v>
      </c>
      <c r="I125" s="77">
        <v>1227349</v>
      </c>
      <c r="J125" s="7">
        <v>592.20000000000005</v>
      </c>
      <c r="K125" s="78">
        <v>3647.92</v>
      </c>
      <c r="L125" s="79" t="s">
        <v>112</v>
      </c>
      <c r="M125" s="6"/>
      <c r="N125" s="5">
        <f t="shared" si="7"/>
        <v>1051</v>
      </c>
      <c r="O125" s="80">
        <f t="shared" si="8"/>
        <v>6.1599459642012828</v>
      </c>
      <c r="P125" s="8">
        <f t="shared" si="9"/>
        <v>1.774738264099966</v>
      </c>
      <c r="Q125" s="8">
        <f t="shared" si="12"/>
        <v>1.5084119948669905</v>
      </c>
      <c r="R125" s="81">
        <f t="shared" si="10"/>
        <v>0</v>
      </c>
      <c r="S125" s="113" t="str">
        <f>IF(F125="","",IF(H125="",TEXT(_xlfn.MAXIFS($I$1:I125,$F$1:F125,F125,$H$1:H125,"&gt;"&amp;0),"000.000"),F125))</f>
        <v>HBJ2I55</v>
      </c>
      <c r="T125" s="81"/>
      <c r="U125" s="82"/>
      <c r="V125" s="98"/>
      <c r="W125" s="82"/>
      <c r="X125" s="98"/>
      <c r="Y125" s="82"/>
      <c r="Z125" s="98"/>
      <c r="AA125" s="82"/>
      <c r="AB125" s="98"/>
      <c r="AC125" s="82"/>
      <c r="AD125" s="98"/>
      <c r="AE125" s="117"/>
      <c r="AF125" s="98"/>
      <c r="AG125" s="98"/>
      <c r="AH125" s="98"/>
      <c r="AI125" s="82"/>
      <c r="AJ125" s="98"/>
      <c r="AK125" s="83"/>
      <c r="AL125" s="84" t="str">
        <f>IF(F125&lt;&gt;0,IF(_xlfn.MAXIFS($I$1:I125,$F$1:F125,F125,$H$1:H125,"&gt;"&amp;0)=0,"KM NÃO ENCONTRADO",IF(H125=0,CONCATENATE("SUGESTÃO DE KM PARA PLACA ",F125," *",_xlfn.MAXIFS($I$1:I125,$F$1:F125,F125,$H$1:H125,"&gt;"&amp;0),"*"),"")),"")</f>
        <v/>
      </c>
      <c r="AM125" s="85" t="str" cm="1">
        <f t="array" ref="AM125">IFERROR(IF(M125&lt;&gt;"","",CONCATENATE("https://btx.brasiltrack.com/logistica/trajeto.php?idveiculo=",VLOOKUP(F125,DATAS!$A$221:$B$250,2,FALSE),"&amp;lat=-22.204247","&amp;data_ini=",TEXT(IF(E125&lt;&gt;"",IF(COUNTIF($F$2:$F125,F125)&gt;1,MAX(IF($F$1:$F124=F125,$E$1:$E124)),""),""),"DD/MM/AAAA"),"&amp;data_fim=",TEXT(E125,"DD/MM/AAAA"),"&amp;hora_inicial=",HOUR(IF(E125&lt;&gt;"",IF(COUNTIF($F$2:$F125,F125)&gt;1,MAX(IF($F$1:$F124=F125,$E$1:$E124)),""),"")),"&amp;minuto_inicial=",MINUTE(IF(E125&lt;&gt;"",IF(COUNTIF($F$2:$F125,F125)&gt;1,MAX(IF($F$1:$F124=F125,$E$1:$E124)),""),"")),"&amp;hora_final=",HOUR(E125),"&amp;minuto_final=",MINUTE(E125),"&amp;periodo=6&amp;tipo=por_data&amp;upos=false&amp;outequip=0")),"")</f>
        <v/>
      </c>
      <c r="AN125" s="100" t="str">
        <f t="shared" si="11"/>
        <v xml:space="preserve">               </v>
      </c>
    </row>
    <row r="126" spans="1:40" x14ac:dyDescent="0.25">
      <c r="A126" s="81"/>
      <c r="B126" s="81"/>
      <c r="C126" s="81"/>
      <c r="D126" s="144">
        <v>44866</v>
      </c>
      <c r="E126" s="76">
        <v>44885.501388888886</v>
      </c>
      <c r="F126" s="6" t="s">
        <v>130</v>
      </c>
      <c r="G126" s="5" t="str">
        <f>IFERROR(VLOOKUP(SUMIFS(MSOLICITADA!$I:$I,MSOLICITADA!$B:$B,D126,MSOLICITADA!$F:$F,F126),CODIGOSPLACAS!$A$64:$B$89,2,FALSE),"")</f>
        <v>ERNESTINO</v>
      </c>
      <c r="H126" s="77">
        <v>1227349</v>
      </c>
      <c r="I126" s="77">
        <v>1227600</v>
      </c>
      <c r="J126" s="7">
        <v>188.01</v>
      </c>
      <c r="K126" s="78">
        <v>1205.1400000000001</v>
      </c>
      <c r="L126" s="79" t="s">
        <v>111</v>
      </c>
      <c r="M126" s="6"/>
      <c r="N126" s="5">
        <f t="shared" si="7"/>
        <v>251</v>
      </c>
      <c r="O126" s="80">
        <f t="shared" si="8"/>
        <v>6.4099781926493282</v>
      </c>
      <c r="P126" s="8">
        <f t="shared" si="9"/>
        <v>1.3350353704590181</v>
      </c>
      <c r="Q126" s="8">
        <f t="shared" si="12"/>
        <v>1.5084119948669905</v>
      </c>
      <c r="R126" s="81">
        <f t="shared" si="10"/>
        <v>0</v>
      </c>
      <c r="S126" s="113" t="str">
        <f>IF(F126="","",IF(H126="",TEXT(_xlfn.MAXIFS($I$1:I126,$F$1:F126,F126,$H$1:H126,"&gt;"&amp;0),"000.000"),F126))</f>
        <v>HBJ2I55</v>
      </c>
      <c r="T126" s="81"/>
      <c r="U126" s="82"/>
      <c r="V126" s="98"/>
      <c r="W126" s="82"/>
      <c r="X126" s="98"/>
      <c r="Y126" s="82"/>
      <c r="Z126" s="98"/>
      <c r="AA126" s="82"/>
      <c r="AB126" s="98"/>
      <c r="AC126" s="82"/>
      <c r="AD126" s="98"/>
      <c r="AE126" s="117"/>
      <c r="AF126" s="98"/>
      <c r="AG126" s="98"/>
      <c r="AH126" s="98"/>
      <c r="AI126" s="82"/>
      <c r="AJ126" s="98"/>
      <c r="AK126" s="83"/>
      <c r="AL126" s="84" t="str">
        <f>IF(F126&lt;&gt;0,IF(_xlfn.MAXIFS($I$1:I126,$F$1:F126,F126,$H$1:H126,"&gt;"&amp;0)=0,"KM NÃO ENCONTRADO",IF(H126=0,CONCATENATE("SUGESTÃO DE KM PARA PLACA ",F126," *",_xlfn.MAXIFS($I$1:I126,$F$1:F126,F126,$H$1:H126,"&gt;"&amp;0),"*"),"")),"")</f>
        <v/>
      </c>
      <c r="AM126" s="85" t="str" cm="1">
        <f t="array" ref="AM126">IFERROR(IF(M126&lt;&gt;"","",CONCATENATE("https://btx.brasiltrack.com/logistica/trajeto.php?idveiculo=",VLOOKUP(F126,DATAS!$A$221:$B$250,2,FALSE),"&amp;lat=-22.204247","&amp;data_ini=",TEXT(IF(E126&lt;&gt;"",IF(COUNTIF($F$2:$F126,F126)&gt;1,MAX(IF($F$1:$F125=F126,$E$1:$E125)),""),""),"DD/MM/AAAA"),"&amp;data_fim=",TEXT(E126,"DD/MM/AAAA"),"&amp;hora_inicial=",HOUR(IF(E126&lt;&gt;"",IF(COUNTIF($F$2:$F126,F126)&gt;1,MAX(IF($F$1:$F125=F126,$E$1:$E125)),""),"")),"&amp;minuto_inicial=",MINUTE(IF(E126&lt;&gt;"",IF(COUNTIF($F$2:$F126,F126)&gt;1,MAX(IF($F$1:$F125=F126,$E$1:$E125)),""),"")),"&amp;hora_final=",HOUR(E126),"&amp;minuto_final=",MINUTE(E126),"&amp;periodo=6&amp;tipo=por_data&amp;upos=false&amp;outequip=0")),"")</f>
        <v>https://btx.brasiltrack.com/logistica/trajeto.php?idveiculo=35D3CEA7-74ED-464A-8235-A4C22DB796DA&amp;lat=-22.204247&amp;data_ini=19/11/2022&amp;data_fim=20/11/2022&amp;hora_inicial=10&amp;minuto_inicial=30&amp;hora_final=12&amp;minuto_final=2&amp;periodo=6&amp;tipo=por_data&amp;upos=false&amp;outequip=0</v>
      </c>
      <c r="AN126" s="100" t="str">
        <f t="shared" si="11"/>
        <v xml:space="preserve">               </v>
      </c>
    </row>
    <row r="127" spans="1:40" x14ac:dyDescent="0.25">
      <c r="A127" s="81"/>
      <c r="B127" s="81"/>
      <c r="C127" s="81"/>
      <c r="D127" s="144">
        <v>44866</v>
      </c>
      <c r="E127" s="76">
        <v>44885.544444444444</v>
      </c>
      <c r="F127" s="6" t="s">
        <v>24</v>
      </c>
      <c r="G127" s="5" t="str">
        <f>IFERROR(VLOOKUP(SUMIFS(MSOLICITADA!$I:$I,MSOLICITADA!$B:$B,D127,MSOLICITADA!$F:$F,F127),CODIGOSPLACAS!$A$64:$B$89,2,FALSE),"")</f>
        <v>PAULO HENR.</v>
      </c>
      <c r="H127" s="77">
        <v>939280</v>
      </c>
      <c r="I127" s="77">
        <v>940172</v>
      </c>
      <c r="J127" s="7">
        <v>583.04</v>
      </c>
      <c r="K127" s="78">
        <v>3737.29</v>
      </c>
      <c r="L127" s="79" t="s">
        <v>111</v>
      </c>
      <c r="M127" s="6"/>
      <c r="N127" s="5">
        <f t="shared" si="7"/>
        <v>892</v>
      </c>
      <c r="O127" s="80">
        <f t="shared" si="8"/>
        <v>6.4100061745334802</v>
      </c>
      <c r="P127" s="8">
        <f t="shared" si="9"/>
        <v>1.5299121844127332</v>
      </c>
      <c r="Q127" s="8">
        <f t="shared" si="12"/>
        <v>1.4770603223392504</v>
      </c>
      <c r="R127" s="81">
        <f t="shared" si="10"/>
        <v>0</v>
      </c>
      <c r="S127" s="113" t="str">
        <f>IF(F127="","",IF(H127="",TEXT(_xlfn.MAXIFS($I$1:I127,$F$1:F127,F127,$H$1:H127,"&gt;"&amp;0),"000.000"),F127))</f>
        <v>FKS0J24</v>
      </c>
      <c r="T127" s="81"/>
      <c r="U127" s="82"/>
      <c r="V127" s="98"/>
      <c r="W127" s="82"/>
      <c r="X127" s="98"/>
      <c r="Y127" s="82"/>
      <c r="Z127" s="98"/>
      <c r="AA127" s="82"/>
      <c r="AB127" s="98"/>
      <c r="AC127" s="82"/>
      <c r="AD127" s="98"/>
      <c r="AE127" s="117"/>
      <c r="AF127" s="98"/>
      <c r="AG127" s="98"/>
      <c r="AH127" s="98"/>
      <c r="AI127" s="82"/>
      <c r="AJ127" s="98"/>
      <c r="AK127" s="83"/>
      <c r="AL127" s="84" t="str">
        <f>IF(F127&lt;&gt;0,IF(_xlfn.MAXIFS($I$1:I127,$F$1:F127,F127,$H$1:H127,"&gt;"&amp;0)=0,"KM NÃO ENCONTRADO",IF(H127=0,CONCATENATE("SUGESTÃO DE KM PARA PLACA ",F127," *",_xlfn.MAXIFS($I$1:I127,$F$1:F127,F127,$H$1:H127,"&gt;"&amp;0),"*"),"")),"")</f>
        <v/>
      </c>
      <c r="AM127" s="85" t="str" cm="1">
        <f t="array" ref="AM127">IFERROR(IF(M127&lt;&gt;"","",CONCATENATE("https://btx.brasiltrack.com/logistica/trajeto.php?idveiculo=",VLOOKUP(F127,DATAS!$A$221:$B$250,2,FALSE),"&amp;lat=-22.204247","&amp;data_ini=",TEXT(IF(E127&lt;&gt;"",IF(COUNTIF($F$2:$F127,F127)&gt;1,MAX(IF($F$1:$F126=F127,$E$1:$E126)),""),""),"DD/MM/AAAA"),"&amp;data_fim=",TEXT(E127,"DD/MM/AAAA"),"&amp;hora_inicial=",HOUR(IF(E127&lt;&gt;"",IF(COUNTIF($F$2:$F127,F127)&gt;1,MAX(IF($F$1:$F126=F127,$E$1:$E126)),""),"")),"&amp;minuto_inicial=",MINUTE(IF(E127&lt;&gt;"",IF(COUNTIF($F$2:$F127,F127)&gt;1,MAX(IF($F$1:$F126=F127,$E$1:$E126)),""),"")),"&amp;hora_final=",HOUR(E127),"&amp;minuto_final=",MINUTE(E127),"&amp;periodo=6&amp;tipo=por_data&amp;upos=false&amp;outequip=0")),"")</f>
        <v>https://btx.brasiltrack.com/logistica/trajeto.php?idveiculo=F4FE5996-DC74-4D0B-AEF1-D6ADE020157C&amp;lat=-22.204247&amp;data_ini=12/11/2022&amp;data_fim=20/11/2022&amp;hora_inicial=11&amp;minuto_inicial=37&amp;hora_final=13&amp;minuto_final=4&amp;periodo=6&amp;tipo=por_data&amp;upos=false&amp;outequip=0</v>
      </c>
      <c r="AN127" s="100" t="str">
        <f t="shared" si="11"/>
        <v xml:space="preserve">               </v>
      </c>
    </row>
    <row r="128" spans="1:40" x14ac:dyDescent="0.25">
      <c r="A128" s="81"/>
      <c r="B128" s="81"/>
      <c r="C128" s="81"/>
      <c r="D128" s="144">
        <v>44866</v>
      </c>
      <c r="E128" s="76">
        <v>44885.865277777775</v>
      </c>
      <c r="F128" s="6" t="s">
        <v>23</v>
      </c>
      <c r="G128" s="5" t="str">
        <f>IFERROR(VLOOKUP(SUMIFS(MSOLICITADA!$I:$I,MSOLICITADA!$B:$B,D128,MSOLICITADA!$F:$F,F128),CODIGOSPLACAS!$A$64:$B$89,2,FALSE),"")</f>
        <v>ISAC</v>
      </c>
      <c r="H128" s="77">
        <v>1196803</v>
      </c>
      <c r="I128" s="77">
        <v>1197061</v>
      </c>
      <c r="J128" s="7">
        <v>174</v>
      </c>
      <c r="K128" s="78">
        <v>1115.3399999999999</v>
      </c>
      <c r="L128" s="79" t="s">
        <v>111</v>
      </c>
      <c r="M128" s="6"/>
      <c r="N128" s="5">
        <f t="shared" si="7"/>
        <v>258</v>
      </c>
      <c r="O128" s="80">
        <f t="shared" si="8"/>
        <v>6.4099999999999993</v>
      </c>
      <c r="P128" s="8">
        <f t="shared" si="9"/>
        <v>1.4827586206896552</v>
      </c>
      <c r="Q128" s="8">
        <f t="shared" si="12"/>
        <v>1.447714664858804</v>
      </c>
      <c r="R128" s="81">
        <f t="shared" si="10"/>
        <v>0</v>
      </c>
      <c r="S128" s="113" t="str">
        <f>IF(F128="","",IF(H128="",TEXT(_xlfn.MAXIFS($I$1:I128,$F$1:F128,F128,$H$1:H128,"&gt;"&amp;0),"000.000"),F128))</f>
        <v>HNC7I76</v>
      </c>
      <c r="T128" s="81"/>
      <c r="U128" s="82"/>
      <c r="V128" s="98"/>
      <c r="W128" s="82"/>
      <c r="X128" s="98"/>
      <c r="Y128" s="82"/>
      <c r="Z128" s="98"/>
      <c r="AA128" s="82"/>
      <c r="AB128" s="98"/>
      <c r="AC128" s="82"/>
      <c r="AD128" s="98"/>
      <c r="AE128" s="117"/>
      <c r="AF128" s="98"/>
      <c r="AG128" s="98"/>
      <c r="AH128" s="98"/>
      <c r="AI128" s="82"/>
      <c r="AJ128" s="98"/>
      <c r="AK128" s="83"/>
      <c r="AL128" s="84" t="str">
        <f>IF(F128&lt;&gt;0,IF(_xlfn.MAXIFS($I$1:I128,$F$1:F128,F128,$H$1:H128,"&gt;"&amp;0)=0,"KM NÃO ENCONTRADO",IF(H128=0,CONCATENATE("SUGESTÃO DE KM PARA PLACA ",F128," *",_xlfn.MAXIFS($I$1:I128,$F$1:F128,F128,$H$1:H128,"&gt;"&amp;0),"*"),"")),"")</f>
        <v/>
      </c>
      <c r="AM128" s="85" t="str" cm="1">
        <f t="array" ref="AM128">IFERROR(IF(M128&lt;&gt;"","",CONCATENATE("https://btx.brasiltrack.com/logistica/trajeto.php?idveiculo=",VLOOKUP(F128,DATAS!$A$221:$B$250,2,FALSE),"&amp;lat=-22.204247","&amp;data_ini=",TEXT(IF(E128&lt;&gt;"",IF(COUNTIF($F$2:$F128,F128)&gt;1,MAX(IF($F$1:$F127=F128,$E$1:$E127)),""),""),"DD/MM/AAAA"),"&amp;data_fim=",TEXT(E128,"DD/MM/AAAA"),"&amp;hora_inicial=",HOUR(IF(E128&lt;&gt;"",IF(COUNTIF($F$2:$F128,F128)&gt;1,MAX(IF($F$1:$F127=F128,$E$1:$E127)),""),"")),"&amp;minuto_inicial=",MINUTE(IF(E128&lt;&gt;"",IF(COUNTIF($F$2:$F128,F128)&gt;1,MAX(IF($F$1:$F127=F128,$E$1:$E127)),""),"")),"&amp;hora_final=",HOUR(E128),"&amp;minuto_final=",MINUTE(E128),"&amp;periodo=6&amp;tipo=por_data&amp;upos=false&amp;outequip=0")),"")</f>
        <v>https://btx.brasiltrack.com/logistica/trajeto.php?idveiculo=B05A8E44-5DA1-4128-83F0-8DDE6CB8291B&amp;lat=-22.204247&amp;data_ini=18/11/2022&amp;data_fim=20/11/2022&amp;hora_inicial=16&amp;minuto_inicial=10&amp;hora_final=20&amp;minuto_final=46&amp;periodo=6&amp;tipo=por_data&amp;upos=false&amp;outequip=0</v>
      </c>
      <c r="AN128" s="100" t="str">
        <f t="shared" si="11"/>
        <v xml:space="preserve">               </v>
      </c>
    </row>
    <row r="129" spans="1:40" x14ac:dyDescent="0.25">
      <c r="A129" s="81"/>
      <c r="B129" s="81"/>
      <c r="C129" s="81"/>
      <c r="D129" s="144">
        <v>44866</v>
      </c>
      <c r="E129" s="76">
        <v>44885.869444444441</v>
      </c>
      <c r="F129" s="6" t="s">
        <v>30</v>
      </c>
      <c r="G129" s="5" t="str">
        <f>IFERROR(VLOOKUP(SUMIFS(MSOLICITADA!$I:$I,MSOLICITADA!$B:$B,D129,MSOLICITADA!$F:$F,F129),CODIGOSPLACAS!$A$64:$B$89,2,FALSE),"")</f>
        <v>RONILSON</v>
      </c>
      <c r="H129" s="77">
        <v>211451</v>
      </c>
      <c r="I129" s="77">
        <v>212058</v>
      </c>
      <c r="J129" s="7">
        <v>385</v>
      </c>
      <c r="K129" s="78">
        <v>2467.85</v>
      </c>
      <c r="L129" s="79" t="s">
        <v>111</v>
      </c>
      <c r="M129" s="6"/>
      <c r="N129" s="5">
        <f t="shared" si="7"/>
        <v>607</v>
      </c>
      <c r="O129" s="80">
        <f t="shared" si="8"/>
        <v>6.41</v>
      </c>
      <c r="P129" s="8">
        <f t="shared" si="9"/>
        <v>1.5766233766233766</v>
      </c>
      <c r="Q129" s="8">
        <f t="shared" si="12"/>
        <v>1.5438598974121283</v>
      </c>
      <c r="R129" s="81">
        <f t="shared" si="10"/>
        <v>0</v>
      </c>
      <c r="S129" s="113" t="str">
        <f>IF(F129="","",IF(H129="",TEXT(_xlfn.MAXIFS($I$1:I129,$F$1:F129,F129,$H$1:H129,"&gt;"&amp;0),"000.000"),F129))</f>
        <v>GFB0I37</v>
      </c>
      <c r="T129" s="81"/>
      <c r="U129" s="82"/>
      <c r="V129" s="98"/>
      <c r="W129" s="82"/>
      <c r="X129" s="98"/>
      <c r="Y129" s="82"/>
      <c r="Z129" s="98"/>
      <c r="AA129" s="82"/>
      <c r="AB129" s="98"/>
      <c r="AC129" s="82"/>
      <c r="AD129" s="98"/>
      <c r="AE129" s="117"/>
      <c r="AF129" s="98"/>
      <c r="AG129" s="98"/>
      <c r="AH129" s="98"/>
      <c r="AI129" s="82"/>
      <c r="AJ129" s="98"/>
      <c r="AK129" s="83"/>
      <c r="AL129" s="84" t="str">
        <f>IF(F129&lt;&gt;0,IF(_xlfn.MAXIFS($I$1:I129,$F$1:F129,F129,$H$1:H129,"&gt;"&amp;0)=0,"KM NÃO ENCONTRADO",IF(H129=0,CONCATENATE("SUGESTÃO DE KM PARA PLACA ",F129," *",_xlfn.MAXIFS($I$1:I129,$F$1:F129,F129,$H$1:H129,"&gt;"&amp;0),"*"),"")),"")</f>
        <v/>
      </c>
      <c r="AM129" s="85" t="str" cm="1">
        <f t="array" ref="AM129">IFERROR(IF(M129&lt;&gt;"","",CONCATENATE("https://btx.brasiltrack.com/logistica/trajeto.php?idveiculo=",VLOOKUP(F129,DATAS!$A$221:$B$250,2,FALSE),"&amp;lat=-22.204247","&amp;data_ini=",TEXT(IF(E129&lt;&gt;"",IF(COUNTIF($F$2:$F129,F129)&gt;1,MAX(IF($F$1:$F128=F129,$E$1:$E128)),""),""),"DD/MM/AAAA"),"&amp;data_fim=",TEXT(E129,"DD/MM/AAAA"),"&amp;hora_inicial=",HOUR(IF(E129&lt;&gt;"",IF(COUNTIF($F$2:$F129,F129)&gt;1,MAX(IF($F$1:$F128=F129,$E$1:$E128)),""),"")),"&amp;minuto_inicial=",MINUTE(IF(E129&lt;&gt;"",IF(COUNTIF($F$2:$F129,F129)&gt;1,MAX(IF($F$1:$F128=F129,$E$1:$E128)),""),"")),"&amp;hora_final=",HOUR(E129),"&amp;minuto_final=",MINUTE(E129),"&amp;periodo=6&amp;tipo=por_data&amp;upos=false&amp;outequip=0")),"")</f>
        <v>https://btx.brasiltrack.com/logistica/trajeto.php?idveiculo=94099C57-E02A-40F7-B573-6368475EB0B3&amp;lat=-22.204247&amp;data_ini=17/11/2022&amp;data_fim=20/11/2022&amp;hora_inicial=22&amp;minuto_inicial=4&amp;hora_final=20&amp;minuto_final=52&amp;periodo=6&amp;tipo=por_data&amp;upos=false&amp;outequip=0</v>
      </c>
      <c r="AN129" s="100" t="str">
        <f t="shared" si="11"/>
        <v xml:space="preserve">               </v>
      </c>
    </row>
    <row r="130" spans="1:40" x14ac:dyDescent="0.25">
      <c r="A130" s="81"/>
      <c r="B130" s="81"/>
      <c r="C130" s="81"/>
      <c r="D130" s="144">
        <v>44866</v>
      </c>
      <c r="E130" s="76">
        <v>44886.305555555555</v>
      </c>
      <c r="F130" s="6" t="s">
        <v>35</v>
      </c>
      <c r="G130" s="5" t="str">
        <f>IFERROR(VLOOKUP(SUMIFS(MSOLICITADA!$I:$I,MSOLICITADA!$B:$B,D130,MSOLICITADA!$F:$F,F130),CODIGOSPLACAS!$A$64:$B$89,2,FALSE),"")</f>
        <v>JOEL</v>
      </c>
      <c r="H130" s="77">
        <v>226547</v>
      </c>
      <c r="I130" s="77">
        <v>226762</v>
      </c>
      <c r="J130" s="7">
        <v>157</v>
      </c>
      <c r="K130" s="78">
        <v>967.11</v>
      </c>
      <c r="L130" s="79" t="s">
        <v>112</v>
      </c>
      <c r="M130" s="6"/>
      <c r="N130" s="5">
        <f t="shared" si="7"/>
        <v>215</v>
      </c>
      <c r="O130" s="80">
        <f t="shared" si="8"/>
        <v>6.1599363057324839</v>
      </c>
      <c r="P130" s="8">
        <f t="shared" si="9"/>
        <v>1.3694267515923566</v>
      </c>
      <c r="Q130" s="8">
        <f t="shared" si="12"/>
        <v>2.367571672678944</v>
      </c>
      <c r="R130" s="81">
        <f t="shared" si="10"/>
        <v>0</v>
      </c>
      <c r="S130" s="113" t="str">
        <f>IF(F130="","",IF(H130="",TEXT(_xlfn.MAXIFS($I$1:I130,$F$1:F130,F130,$H$1:H130,"&gt;"&amp;0),"000.000"),F130))</f>
        <v>QNP3A97</v>
      </c>
      <c r="T130" s="81"/>
      <c r="U130" s="82"/>
      <c r="V130" s="98"/>
      <c r="W130" s="82"/>
      <c r="X130" s="98"/>
      <c r="Y130" s="82"/>
      <c r="Z130" s="98"/>
      <c r="AA130" s="82"/>
      <c r="AB130" s="98"/>
      <c r="AC130" s="82"/>
      <c r="AD130" s="98"/>
      <c r="AE130" s="117"/>
      <c r="AF130" s="98"/>
      <c r="AG130" s="98"/>
      <c r="AH130" s="98"/>
      <c r="AI130" s="82"/>
      <c r="AJ130" s="98"/>
      <c r="AK130" s="83"/>
      <c r="AL130" s="84" t="str">
        <f>IF(F130&lt;&gt;0,IF(_xlfn.MAXIFS($I$1:I130,$F$1:F130,F130,$H$1:H130,"&gt;"&amp;0)=0,"KM NÃO ENCONTRADO",IF(H130=0,CONCATENATE("SUGESTÃO DE KM PARA PLACA ",F130," *",_xlfn.MAXIFS($I$1:I130,$F$1:F130,F130,$H$1:H130,"&gt;"&amp;0),"*"),"")),"")</f>
        <v/>
      </c>
      <c r="AM130" s="85" t="str" cm="1">
        <f t="array" ref="AM130">IFERROR(IF(M130&lt;&gt;"","",CONCATENATE("https://btx.brasiltrack.com/logistica/trajeto.php?idveiculo=",VLOOKUP(F130,DATAS!$A$221:$B$250,2,FALSE),"&amp;lat=-22.204247","&amp;data_ini=",TEXT(IF(E130&lt;&gt;"",IF(COUNTIF($F$2:$F130,F130)&gt;1,MAX(IF($F$1:$F129=F130,$E$1:$E129)),""),""),"DD/MM/AAAA"),"&amp;data_fim=",TEXT(E130,"DD/MM/AAAA"),"&amp;hora_inicial=",HOUR(IF(E130&lt;&gt;"",IF(COUNTIF($F$2:$F130,F130)&gt;1,MAX(IF($F$1:$F129=F130,$E$1:$E129)),""),"")),"&amp;minuto_inicial=",MINUTE(IF(E130&lt;&gt;"",IF(COUNTIF($F$2:$F130,F130)&gt;1,MAX(IF($F$1:$F129=F130,$E$1:$E129)),""),"")),"&amp;hora_final=",HOUR(E130),"&amp;minuto_final=",MINUTE(E130),"&amp;periodo=6&amp;tipo=por_data&amp;upos=false&amp;outequip=0")),"")</f>
        <v>https://btx.brasiltrack.com/logistica/trajeto.php?idveiculo=E2142D75-BC20-47B9-8225-FC4ED3D279CF&amp;lat=-22.204247&amp;data_ini=10/11/2022&amp;data_fim=21/11/2022&amp;hora_inicial=18&amp;minuto_inicial=0&amp;hora_final=7&amp;minuto_final=20&amp;periodo=6&amp;tipo=por_data&amp;upos=false&amp;outequip=0</v>
      </c>
      <c r="AN130" s="100" t="str">
        <f t="shared" si="11"/>
        <v xml:space="preserve">               </v>
      </c>
    </row>
    <row r="131" spans="1:40" x14ac:dyDescent="0.25">
      <c r="A131" s="81"/>
      <c r="B131" s="81"/>
      <c r="C131" s="81"/>
      <c r="D131" s="144">
        <v>44866</v>
      </c>
      <c r="E131" s="76">
        <v>44886.364583333336</v>
      </c>
      <c r="F131" s="6" t="s">
        <v>34</v>
      </c>
      <c r="G131" s="5" t="str">
        <f>IFERROR(VLOOKUP(SUMIFS(MSOLICITADA!$I:$I,MSOLICITADA!$B:$B,D131,MSOLICITADA!$F:$F,F131),CODIGOSPLACAS!$A$64:$B$89,2,FALSE),"")</f>
        <v>TOINZINHO</v>
      </c>
      <c r="H131" s="77">
        <v>109783</v>
      </c>
      <c r="I131" s="77">
        <v>110163</v>
      </c>
      <c r="J131" s="7">
        <v>205</v>
      </c>
      <c r="K131" s="78">
        <v>1262.79</v>
      </c>
      <c r="L131" s="79" t="s">
        <v>112</v>
      </c>
      <c r="M131" s="6"/>
      <c r="N131" s="5">
        <f t="shared" ref="N131:N194" si="13">IF(IF((I131-H131-M131)&lt;0,"ERRO",I131-H131-M131)=0,"",IF((I131-H131-M131)&lt;0,"ERRO",I131-H131-M131))</f>
        <v>380</v>
      </c>
      <c r="O131" s="80">
        <f t="shared" ref="O131:O194" si="14">IFERROR(K131/J131,"")</f>
        <v>6.1599512195121946</v>
      </c>
      <c r="P131" s="8">
        <f t="shared" ref="P131:P194" si="15">IF(F131&lt;&gt;"",(SUM(M131:N131)-AK131)/(J131-(AK131/5)),0)</f>
        <v>1.8536585365853659</v>
      </c>
      <c r="Q131" s="8">
        <f t="shared" si="12"/>
        <v>1.928921568627451</v>
      </c>
      <c r="R131" s="81">
        <f t="shared" ref="R131:R194" si="16">IFERROR(IF(M131/(I131-H131)=0,0,M131/(I131-H131)),0)</f>
        <v>0</v>
      </c>
      <c r="S131" s="113" t="str">
        <f>IF(F131="","",IF(H131="",TEXT(_xlfn.MAXIFS($I$1:I131,$F$1:F131,F131,$H$1:H131,"&gt;"&amp;0),"000.000"),F131))</f>
        <v>QXI8065</v>
      </c>
      <c r="T131" s="81"/>
      <c r="U131" s="82"/>
      <c r="V131" s="98"/>
      <c r="W131" s="82"/>
      <c r="X131" s="98"/>
      <c r="Y131" s="82"/>
      <c r="Z131" s="98"/>
      <c r="AA131" s="82"/>
      <c r="AB131" s="98"/>
      <c r="AC131" s="82"/>
      <c r="AD131" s="98"/>
      <c r="AE131" s="117"/>
      <c r="AF131" s="98"/>
      <c r="AG131" s="98"/>
      <c r="AH131" s="98"/>
      <c r="AI131" s="82"/>
      <c r="AJ131" s="98"/>
      <c r="AK131" s="83"/>
      <c r="AL131" s="84" t="str">
        <f>IF(F131&lt;&gt;0,IF(_xlfn.MAXIFS($I$1:I131,$F$1:F131,F131,$H$1:H131,"&gt;"&amp;0)=0,"KM NÃO ENCONTRADO",IF(H131=0,CONCATENATE("SUGESTÃO DE KM PARA PLACA ",F131," *",_xlfn.MAXIFS($I$1:I131,$F$1:F131,F131,$H$1:H131,"&gt;"&amp;0),"*"),"")),"")</f>
        <v/>
      </c>
      <c r="AM131" s="85" t="str" cm="1">
        <f t="array" ref="AM131">IFERROR(IF(M131&lt;&gt;"","",CONCATENATE("https://btx.brasiltrack.com/logistica/trajeto.php?idveiculo=",VLOOKUP(F131,DATAS!$A$221:$B$250,2,FALSE),"&amp;lat=-22.204247","&amp;data_ini=",TEXT(IF(E131&lt;&gt;"",IF(COUNTIF($F$2:$F131,F131)&gt;1,MAX(IF($F$1:$F130=F131,$E$1:$E130)),""),""),"DD/MM/AAAA"),"&amp;data_fim=",TEXT(E131,"DD/MM/AAAA"),"&amp;hora_inicial=",HOUR(IF(E131&lt;&gt;"",IF(COUNTIF($F$2:$F131,F131)&gt;1,MAX(IF($F$1:$F130=F131,$E$1:$E130)),""),"")),"&amp;minuto_inicial=",MINUTE(IF(E131&lt;&gt;"",IF(COUNTIF($F$2:$F131,F131)&gt;1,MAX(IF($F$1:$F130=F131,$E$1:$E130)),""),"")),"&amp;hora_final=",HOUR(E131),"&amp;minuto_final=",MINUTE(E131),"&amp;periodo=6&amp;tipo=por_data&amp;upos=false&amp;outequip=0")),"")</f>
        <v>https://btx.brasiltrack.com/logistica/trajeto.php?idveiculo=97D798AC-9C50-4B40-BD06-86A89CAFCF44&amp;lat=-22.204247&amp;data_ini=01/11/2022&amp;data_fim=21/11/2022&amp;hora_inicial=18&amp;minuto_inicial=0&amp;hora_final=8&amp;minuto_final=45&amp;periodo=6&amp;tipo=por_data&amp;upos=false&amp;outequip=0</v>
      </c>
      <c r="AN131" s="100" t="str">
        <f t="shared" ref="AN131:AN194" si="17">CONCATENATE(U131," ",V131," ",W131," ",X131," ",Y131," ",Z131," ",AA131," ",AB131," ",AC131," ",AD131," ",AE131," ",AF131," ",AG131," ",AH131," ",AI131," ",AJ131)</f>
        <v xml:space="preserve">               </v>
      </c>
    </row>
    <row r="132" spans="1:40" x14ac:dyDescent="0.25">
      <c r="A132" s="81"/>
      <c r="B132" s="81"/>
      <c r="C132" s="81"/>
      <c r="D132" s="144">
        <v>44866</v>
      </c>
      <c r="E132" s="76">
        <v>44886.810416666667</v>
      </c>
      <c r="F132" s="6" t="s">
        <v>30</v>
      </c>
      <c r="G132" s="5" t="str">
        <f>IFERROR(VLOOKUP(SUMIFS(MSOLICITADA!$I:$I,MSOLICITADA!$B:$B,D132,MSOLICITADA!$F:$F,F132),CODIGOSPLACAS!$A$64:$B$89,2,FALSE),"")</f>
        <v>RONILSON</v>
      </c>
      <c r="H132" s="77">
        <v>212058</v>
      </c>
      <c r="I132" s="77">
        <v>212510</v>
      </c>
      <c r="J132" s="7">
        <v>322.74099999999999</v>
      </c>
      <c r="K132" s="78">
        <v>2146.2199999999998</v>
      </c>
      <c r="L132" s="79" t="s">
        <v>111</v>
      </c>
      <c r="M132" s="6"/>
      <c r="N132" s="5">
        <f t="shared" si="13"/>
        <v>452</v>
      </c>
      <c r="O132" s="80">
        <f t="shared" si="14"/>
        <v>6.6499762967828691</v>
      </c>
      <c r="P132" s="8">
        <f t="shared" si="15"/>
        <v>1.4005038095562696</v>
      </c>
      <c r="Q132" s="8">
        <f t="shared" si="12"/>
        <v>1.5438598974121283</v>
      </c>
      <c r="R132" s="81">
        <f t="shared" si="16"/>
        <v>0</v>
      </c>
      <c r="S132" s="113" t="str">
        <f>IF(F132="","",IF(H132="",TEXT(_xlfn.MAXIFS($I$1:I132,$F$1:F132,F132,$H$1:H132,"&gt;"&amp;0),"000.000"),F132))</f>
        <v>GFB0I37</v>
      </c>
      <c r="T132" s="81"/>
      <c r="U132" s="82"/>
      <c r="V132" s="98"/>
      <c r="W132" s="82"/>
      <c r="X132" s="98"/>
      <c r="Y132" s="82"/>
      <c r="Z132" s="98"/>
      <c r="AA132" s="82"/>
      <c r="AB132" s="98"/>
      <c r="AC132" s="82"/>
      <c r="AD132" s="98"/>
      <c r="AE132" s="117"/>
      <c r="AF132" s="98"/>
      <c r="AG132" s="98"/>
      <c r="AH132" s="98"/>
      <c r="AI132" s="82"/>
      <c r="AJ132" s="98"/>
      <c r="AK132" s="83"/>
      <c r="AL132" s="84" t="str">
        <f>IF(F132&lt;&gt;0,IF(_xlfn.MAXIFS($I$1:I132,$F$1:F132,F132,$H$1:H132,"&gt;"&amp;0)=0,"KM NÃO ENCONTRADO",IF(H132=0,CONCATENATE("SUGESTÃO DE KM PARA PLACA ",F132," *",_xlfn.MAXIFS($I$1:I132,$F$1:F132,F132,$H$1:H132,"&gt;"&amp;0),"*"),"")),"")</f>
        <v/>
      </c>
      <c r="AM132" s="85" t="str" cm="1">
        <f t="array" ref="AM132">IFERROR(IF(M132&lt;&gt;"","",CONCATENATE("https://btx.brasiltrack.com/logistica/trajeto.php?idveiculo=",VLOOKUP(F132,DATAS!$A$221:$B$250,2,FALSE),"&amp;lat=-22.204247","&amp;data_ini=",TEXT(IF(E132&lt;&gt;"",IF(COUNTIF($F$2:$F132,F132)&gt;1,MAX(IF($F$1:$F131=F132,$E$1:$E131)),""),""),"DD/MM/AAAA"),"&amp;data_fim=",TEXT(E132,"DD/MM/AAAA"),"&amp;hora_inicial=",HOUR(IF(E132&lt;&gt;"",IF(COUNTIF($F$2:$F132,F132)&gt;1,MAX(IF($F$1:$F131=F132,$E$1:$E131)),""),"")),"&amp;minuto_inicial=",MINUTE(IF(E132&lt;&gt;"",IF(COUNTIF($F$2:$F132,F132)&gt;1,MAX(IF($F$1:$F131=F132,$E$1:$E131)),""),"")),"&amp;hora_final=",HOUR(E132),"&amp;minuto_final=",MINUTE(E132),"&amp;periodo=6&amp;tipo=por_data&amp;upos=false&amp;outequip=0")),"")</f>
        <v>https://btx.brasiltrack.com/logistica/trajeto.php?idveiculo=94099C57-E02A-40F7-B573-6368475EB0B3&amp;lat=-22.204247&amp;data_ini=20/11/2022&amp;data_fim=21/11/2022&amp;hora_inicial=20&amp;minuto_inicial=52&amp;hora_final=19&amp;minuto_final=27&amp;periodo=6&amp;tipo=por_data&amp;upos=false&amp;outequip=0</v>
      </c>
      <c r="AN132" s="100" t="str">
        <f t="shared" si="17"/>
        <v xml:space="preserve">               </v>
      </c>
    </row>
    <row r="133" spans="1:40" x14ac:dyDescent="0.25">
      <c r="A133" s="81"/>
      <c r="B133" s="81"/>
      <c r="C133" s="81"/>
      <c r="D133" s="144">
        <v>44866</v>
      </c>
      <c r="E133" s="76">
        <v>44886.820138888892</v>
      </c>
      <c r="F133" s="6" t="s">
        <v>27</v>
      </c>
      <c r="G133" s="5" t="str">
        <f>IFERROR(VLOOKUP(SUMIFS(MSOLICITADA!$I:$I,MSOLICITADA!$B:$B,D133,MSOLICITADA!$F:$F,F133),CODIGOSPLACAS!$A$64:$B$89,2,FALSE),"")</f>
        <v>ANTONIO</v>
      </c>
      <c r="H133" s="77">
        <v>238055</v>
      </c>
      <c r="I133" s="77">
        <v>238680</v>
      </c>
      <c r="J133" s="7">
        <v>400</v>
      </c>
      <c r="K133" s="78">
        <v>2660</v>
      </c>
      <c r="L133" s="79" t="s">
        <v>111</v>
      </c>
      <c r="M133" s="6"/>
      <c r="N133" s="5">
        <f t="shared" si="13"/>
        <v>625</v>
      </c>
      <c r="O133" s="80">
        <f t="shared" si="14"/>
        <v>6.65</v>
      </c>
      <c r="P133" s="8">
        <f t="shared" si="15"/>
        <v>1.5625</v>
      </c>
      <c r="Q133" s="8">
        <f t="shared" si="12"/>
        <v>1.4461676128873802</v>
      </c>
      <c r="R133" s="81">
        <f t="shared" si="16"/>
        <v>0</v>
      </c>
      <c r="S133" s="113" t="str">
        <f>IF(F133="","",IF(H133="",TEXT(_xlfn.MAXIFS($I$1:I133,$F$1:F133,F133,$H$1:H133,"&gt;"&amp;0),"000.000"),F133))</f>
        <v>GHS4J57</v>
      </c>
      <c r="T133" s="81"/>
      <c r="U133" s="82"/>
      <c r="V133" s="98"/>
      <c r="W133" s="82"/>
      <c r="X133" s="98"/>
      <c r="Y133" s="82"/>
      <c r="Z133" s="98"/>
      <c r="AA133" s="82"/>
      <c r="AB133" s="98"/>
      <c r="AC133" s="82"/>
      <c r="AD133" s="98"/>
      <c r="AE133" s="117"/>
      <c r="AF133" s="98"/>
      <c r="AG133" s="98"/>
      <c r="AH133" s="98"/>
      <c r="AI133" s="82"/>
      <c r="AJ133" s="98"/>
      <c r="AK133" s="83"/>
      <c r="AL133" s="84" t="str">
        <f>IF(F133&lt;&gt;0,IF(_xlfn.MAXIFS($I$1:I133,$F$1:F133,F133,$H$1:H133,"&gt;"&amp;0)=0,"KM NÃO ENCONTRADO",IF(H133=0,CONCATENATE("SUGESTÃO DE KM PARA PLACA ",F133," *",_xlfn.MAXIFS($I$1:I133,$F$1:F133,F133,$H$1:H133,"&gt;"&amp;0),"*"),"")),"")</f>
        <v/>
      </c>
      <c r="AM133" s="85" t="str" cm="1">
        <f t="array" ref="AM133">IFERROR(IF(M133&lt;&gt;"","",CONCATENATE("https://btx.brasiltrack.com/logistica/trajeto.php?idveiculo=",VLOOKUP(F133,DATAS!$A$221:$B$250,2,FALSE),"&amp;lat=-22.204247","&amp;data_ini=",TEXT(IF(E133&lt;&gt;"",IF(COUNTIF($F$2:$F133,F133)&gt;1,MAX(IF($F$1:$F132=F133,$E$1:$E132)),""),""),"DD/MM/AAAA"),"&amp;data_fim=",TEXT(E133,"DD/MM/AAAA"),"&amp;hora_inicial=",HOUR(IF(E133&lt;&gt;"",IF(COUNTIF($F$2:$F133,F133)&gt;1,MAX(IF($F$1:$F132=F133,$E$1:$E132)),""),"")),"&amp;minuto_inicial=",MINUTE(IF(E133&lt;&gt;"",IF(COUNTIF($F$2:$F133,F133)&gt;1,MAX(IF($F$1:$F132=F133,$E$1:$E132)),""),"")),"&amp;hora_final=",HOUR(E133),"&amp;minuto_final=",MINUTE(E133),"&amp;periodo=6&amp;tipo=por_data&amp;upos=false&amp;outequip=0")),"")</f>
        <v>https://btx.brasiltrack.com/logistica/trajeto.php?idveiculo=17ED636C-5A71-44D5-AF3C-192D3DA6CDD1&amp;lat=-22.204247&amp;data_ini=18/11/2022&amp;data_fim=21/11/2022&amp;hora_inicial=0&amp;minuto_inicial=41&amp;hora_final=19&amp;minuto_final=41&amp;periodo=6&amp;tipo=por_data&amp;upos=false&amp;outequip=0</v>
      </c>
      <c r="AN133" s="100" t="str">
        <f t="shared" si="17"/>
        <v xml:space="preserve">               </v>
      </c>
    </row>
    <row r="134" spans="1:40" x14ac:dyDescent="0.25">
      <c r="A134" s="81"/>
      <c r="B134" s="81"/>
      <c r="C134" s="81"/>
      <c r="D134" s="144">
        <v>44866</v>
      </c>
      <c r="E134" s="76">
        <v>44886.82708333333</v>
      </c>
      <c r="F134" s="6" t="s">
        <v>25</v>
      </c>
      <c r="G134" s="5" t="str">
        <f>IFERROR(VLOOKUP(SUMIFS(MSOLICITADA!$I:$I,MSOLICITADA!$B:$B,D134,MSOLICITADA!$F:$F,F134),CODIGOSPLACAS!$A$64:$B$89,2,FALSE),"")</f>
        <v>EDUALDO</v>
      </c>
      <c r="H134" s="77">
        <v>1002922</v>
      </c>
      <c r="I134" s="77">
        <v>1003670</v>
      </c>
      <c r="J134" s="7">
        <v>533</v>
      </c>
      <c r="K134" s="78">
        <v>3533.67</v>
      </c>
      <c r="L134" s="79" t="s">
        <v>111</v>
      </c>
      <c r="M134" s="6"/>
      <c r="N134" s="5">
        <f t="shared" si="13"/>
        <v>748</v>
      </c>
      <c r="O134" s="80">
        <f t="shared" si="14"/>
        <v>6.6297748592870542</v>
      </c>
      <c r="P134" s="8">
        <f t="shared" si="15"/>
        <v>1.4033771106941839</v>
      </c>
      <c r="Q134" s="8">
        <f t="shared" si="12"/>
        <v>1.3451195863175471</v>
      </c>
      <c r="R134" s="81">
        <f t="shared" si="16"/>
        <v>0</v>
      </c>
      <c r="S134" s="113" t="str">
        <f>IF(F134="","",IF(H134="",TEXT(_xlfn.MAXIFS($I$1:I134,$F$1:F134,F134,$H$1:H134,"&gt;"&amp;0),"000.000"),F134))</f>
        <v>QHE9735</v>
      </c>
      <c r="T134" s="81"/>
      <c r="U134" s="82"/>
      <c r="V134" s="98"/>
      <c r="W134" s="82"/>
      <c r="X134" s="98"/>
      <c r="Y134" s="82"/>
      <c r="Z134" s="98"/>
      <c r="AA134" s="82"/>
      <c r="AB134" s="98"/>
      <c r="AC134" s="82"/>
      <c r="AD134" s="98"/>
      <c r="AE134" s="117"/>
      <c r="AF134" s="98"/>
      <c r="AG134" s="98"/>
      <c r="AH134" s="98"/>
      <c r="AI134" s="82"/>
      <c r="AJ134" s="98"/>
      <c r="AK134" s="83"/>
      <c r="AL134" s="84" t="str">
        <f>IF(F134&lt;&gt;0,IF(_xlfn.MAXIFS($I$1:I134,$F$1:F134,F134,$H$1:H134,"&gt;"&amp;0)=0,"KM NÃO ENCONTRADO",IF(H134=0,CONCATENATE("SUGESTÃO DE KM PARA PLACA ",F134," *",_xlfn.MAXIFS($I$1:I134,$F$1:F134,F134,$H$1:H134,"&gt;"&amp;0),"*"),"")),"")</f>
        <v/>
      </c>
      <c r="AM134" s="85" t="str" cm="1">
        <f t="array" ref="AM134">IFERROR(IF(M134&lt;&gt;"","",CONCATENATE("https://btx.brasiltrack.com/logistica/trajeto.php?idveiculo=",VLOOKUP(F134,DATAS!$A$221:$B$250,2,FALSE),"&amp;lat=-22.204247","&amp;data_ini=",TEXT(IF(E134&lt;&gt;"",IF(COUNTIF($F$2:$F134,F134)&gt;1,MAX(IF($F$1:$F133=F134,$E$1:$E133)),""),""),"DD/MM/AAAA"),"&amp;data_fim=",TEXT(E134,"DD/MM/AAAA"),"&amp;hora_inicial=",HOUR(IF(E134&lt;&gt;"",IF(COUNTIF($F$2:$F134,F134)&gt;1,MAX(IF($F$1:$F133=F134,$E$1:$E133)),""),"")),"&amp;minuto_inicial=",MINUTE(IF(E134&lt;&gt;"",IF(COUNTIF($F$2:$F134,F134)&gt;1,MAX(IF($F$1:$F133=F134,$E$1:$E133)),""),"")),"&amp;hora_final=",HOUR(E134),"&amp;minuto_final=",MINUTE(E134),"&amp;periodo=6&amp;tipo=por_data&amp;upos=false&amp;outequip=0")),"")</f>
        <v>https://btx.brasiltrack.com/logistica/trajeto.php?idveiculo=0FD3629E-8FA4-4575-81E5-E460A4EFD545&amp;lat=-22.204247&amp;data_ini=18/11/2022&amp;data_fim=21/11/2022&amp;hora_inicial=13&amp;minuto_inicial=10&amp;hora_final=19&amp;minuto_final=51&amp;periodo=6&amp;tipo=por_data&amp;upos=false&amp;outequip=0</v>
      </c>
      <c r="AN134" s="100" t="str">
        <f t="shared" si="17"/>
        <v xml:space="preserve">               </v>
      </c>
    </row>
    <row r="135" spans="1:40" x14ac:dyDescent="0.25">
      <c r="A135" s="81"/>
      <c r="B135" s="81"/>
      <c r="C135" s="81"/>
      <c r="D135" s="144">
        <v>44866</v>
      </c>
      <c r="E135" s="76">
        <v>44886.99722222222</v>
      </c>
      <c r="F135" s="6" t="s">
        <v>130</v>
      </c>
      <c r="G135" s="5" t="str">
        <f>IFERROR(VLOOKUP(SUMIFS(MSOLICITADA!$I:$I,MSOLICITADA!$B:$B,D135,MSOLICITADA!$F:$F,F135),CODIGOSPLACAS!$A$64:$B$89,2,FALSE),"")</f>
        <v>ERNESTINO</v>
      </c>
      <c r="H135" s="77">
        <v>1227600</v>
      </c>
      <c r="I135" s="77">
        <v>1228214</v>
      </c>
      <c r="J135" s="7">
        <v>490</v>
      </c>
      <c r="K135" s="78">
        <v>3141.03</v>
      </c>
      <c r="L135" s="79" t="s">
        <v>111</v>
      </c>
      <c r="M135" s="6"/>
      <c r="N135" s="5">
        <f t="shared" si="13"/>
        <v>614</v>
      </c>
      <c r="O135" s="80">
        <f t="shared" si="14"/>
        <v>6.410265306122449</v>
      </c>
      <c r="P135" s="8">
        <f t="shared" si="15"/>
        <v>1.2530612244897958</v>
      </c>
      <c r="Q135" s="8">
        <f t="shared" si="12"/>
        <v>1.5084119948669905</v>
      </c>
      <c r="R135" s="81">
        <f t="shared" si="16"/>
        <v>0</v>
      </c>
      <c r="S135" s="113" t="str">
        <f>IF(F135="","",IF(H135="",TEXT(_xlfn.MAXIFS($I$1:I135,$F$1:F135,F135,$H$1:H135,"&gt;"&amp;0),"000.000"),F135))</f>
        <v>HBJ2I55</v>
      </c>
      <c r="T135" s="81"/>
      <c r="U135" s="82"/>
      <c r="V135" s="98"/>
      <c r="W135" s="82"/>
      <c r="X135" s="98"/>
      <c r="Y135" s="82"/>
      <c r="Z135" s="98"/>
      <c r="AA135" s="82"/>
      <c r="AB135" s="98"/>
      <c r="AC135" s="82"/>
      <c r="AD135" s="98"/>
      <c r="AE135" s="117"/>
      <c r="AF135" s="98"/>
      <c r="AG135" s="98"/>
      <c r="AH135" s="98"/>
      <c r="AI135" s="82"/>
      <c r="AJ135" s="98"/>
      <c r="AK135" s="83"/>
      <c r="AL135" s="84" t="str">
        <f>IF(F135&lt;&gt;0,IF(_xlfn.MAXIFS($I$1:I135,$F$1:F135,F135,$H$1:H135,"&gt;"&amp;0)=0,"KM NÃO ENCONTRADO",IF(H135=0,CONCATENATE("SUGESTÃO DE KM PARA PLACA ",F135," *",_xlfn.MAXIFS($I$1:I135,$F$1:F135,F135,$H$1:H135,"&gt;"&amp;0),"*"),"")),"")</f>
        <v/>
      </c>
      <c r="AM135" s="85" t="str" cm="1">
        <f t="array" ref="AM135">IFERROR(IF(M135&lt;&gt;"","",CONCATENATE("https://btx.brasiltrack.com/logistica/trajeto.php?idveiculo=",VLOOKUP(F135,DATAS!$A$221:$B$250,2,FALSE),"&amp;lat=-22.204247","&amp;data_ini=",TEXT(IF(E135&lt;&gt;"",IF(COUNTIF($F$2:$F135,F135)&gt;1,MAX(IF($F$1:$F134=F135,$E$1:$E134)),""),""),"DD/MM/AAAA"),"&amp;data_fim=",TEXT(E135,"DD/MM/AAAA"),"&amp;hora_inicial=",HOUR(IF(E135&lt;&gt;"",IF(COUNTIF($F$2:$F135,F135)&gt;1,MAX(IF($F$1:$F134=F135,$E$1:$E134)),""),"")),"&amp;minuto_inicial=",MINUTE(IF(E135&lt;&gt;"",IF(COUNTIF($F$2:$F135,F135)&gt;1,MAX(IF($F$1:$F134=F135,$E$1:$E134)),""),"")),"&amp;hora_final=",HOUR(E135),"&amp;minuto_final=",MINUTE(E135),"&amp;periodo=6&amp;tipo=por_data&amp;upos=false&amp;outequip=0")),"")</f>
        <v>https://btx.brasiltrack.com/logistica/trajeto.php?idveiculo=35D3CEA7-74ED-464A-8235-A4C22DB796DA&amp;lat=-22.204247&amp;data_ini=20/11/2022&amp;data_fim=21/11/2022&amp;hora_inicial=12&amp;minuto_inicial=2&amp;hora_final=23&amp;minuto_final=56&amp;periodo=6&amp;tipo=por_data&amp;upos=false&amp;outequip=0</v>
      </c>
      <c r="AN135" s="100" t="str">
        <f t="shared" si="17"/>
        <v xml:space="preserve">               </v>
      </c>
    </row>
    <row r="136" spans="1:40" x14ac:dyDescent="0.25">
      <c r="A136" s="81"/>
      <c r="B136" s="81"/>
      <c r="C136" s="81"/>
      <c r="D136" s="144">
        <v>44866</v>
      </c>
      <c r="E136" s="76">
        <v>44887.284722222219</v>
      </c>
      <c r="F136" s="6" t="s">
        <v>28</v>
      </c>
      <c r="G136" s="5" t="str">
        <f>IFERROR(VLOOKUP(SUMIFS(MSOLICITADA!$I:$I,MSOLICITADA!$B:$B,D136,MSOLICITADA!$F:$F,F136),CODIGOSPLACAS!$A$64:$B$89,2,FALSE),"")</f>
        <v>RONY</v>
      </c>
      <c r="H136" s="77">
        <v>234561</v>
      </c>
      <c r="I136" s="77">
        <v>234921</v>
      </c>
      <c r="J136" s="7">
        <v>280.3</v>
      </c>
      <c r="K136" s="78">
        <v>1726.63</v>
      </c>
      <c r="L136" s="79" t="s">
        <v>112</v>
      </c>
      <c r="M136" s="6"/>
      <c r="N136" s="5">
        <f t="shared" si="13"/>
        <v>360</v>
      </c>
      <c r="O136" s="80">
        <f t="shared" si="14"/>
        <v>6.1599357830895469</v>
      </c>
      <c r="P136" s="8">
        <f t="shared" si="15"/>
        <v>1.2843382090617195</v>
      </c>
      <c r="Q136" s="8">
        <f t="shared" si="12"/>
        <v>1.398271770983244</v>
      </c>
      <c r="R136" s="81">
        <f t="shared" si="16"/>
        <v>0</v>
      </c>
      <c r="S136" s="113" t="str">
        <f>IF(F136="","",IF(H136="",TEXT(_xlfn.MAXIFS($I$1:I136,$F$1:F136,F136,$H$1:H136,"&gt;"&amp;0),"000.000"),F136))</f>
        <v>FZA3E94</v>
      </c>
      <c r="T136" s="81"/>
      <c r="U136" s="82"/>
      <c r="V136" s="98"/>
      <c r="W136" s="82"/>
      <c r="X136" s="98"/>
      <c r="Y136" s="82"/>
      <c r="Z136" s="98"/>
      <c r="AA136" s="82"/>
      <c r="AB136" s="98"/>
      <c r="AC136" s="82"/>
      <c r="AD136" s="98"/>
      <c r="AE136" s="117"/>
      <c r="AF136" s="98"/>
      <c r="AG136" s="98"/>
      <c r="AH136" s="98"/>
      <c r="AI136" s="82"/>
      <c r="AJ136" s="98"/>
      <c r="AK136" s="83"/>
      <c r="AL136" s="84" t="str">
        <f>IF(F136&lt;&gt;0,IF(_xlfn.MAXIFS($I$1:I136,$F$1:F136,F136,$H$1:H136,"&gt;"&amp;0)=0,"KM NÃO ENCONTRADO",IF(H136=0,CONCATENATE("SUGESTÃO DE KM PARA PLACA ",F136," *",_xlfn.MAXIFS($I$1:I136,$F$1:F136,F136,$H$1:H136,"&gt;"&amp;0),"*"),"")),"")</f>
        <v/>
      </c>
      <c r="AM136" s="85" t="str" cm="1">
        <f t="array" ref="AM136">IFERROR(IF(M136&lt;&gt;"","",CONCATENATE("https://btx.brasiltrack.com/logistica/trajeto.php?idveiculo=",VLOOKUP(F136,DATAS!$A$221:$B$250,2,FALSE),"&amp;lat=-22.204247","&amp;data_ini=",TEXT(IF(E136&lt;&gt;"",IF(COUNTIF($F$2:$F136,F136)&gt;1,MAX(IF($F$1:$F135=F136,$E$1:$E135)),""),""),"DD/MM/AAAA"),"&amp;data_fim=",TEXT(E136,"DD/MM/AAAA"),"&amp;hora_inicial=",HOUR(IF(E136&lt;&gt;"",IF(COUNTIF($F$2:$F136,F136)&gt;1,MAX(IF($F$1:$F135=F136,$E$1:$E135)),""),"")),"&amp;minuto_inicial=",MINUTE(IF(E136&lt;&gt;"",IF(COUNTIF($F$2:$F136,F136)&gt;1,MAX(IF($F$1:$F135=F136,$E$1:$E135)),""),"")),"&amp;hora_final=",HOUR(E136),"&amp;minuto_final=",MINUTE(E136),"&amp;periodo=6&amp;tipo=por_data&amp;upos=false&amp;outequip=0")),"")</f>
        <v>https://btx.brasiltrack.com/logistica/trajeto.php?idveiculo=4DFC6CC2-BC04-4FE8-81DF-C3A3882D850D&amp;lat=-22.204247&amp;data_ini=19/11/2022&amp;data_fim=22/11/2022&amp;hora_inicial=9&amp;minuto_inicial=0&amp;hora_final=6&amp;minuto_final=50&amp;periodo=6&amp;tipo=por_data&amp;upos=false&amp;outequip=0</v>
      </c>
      <c r="AN136" s="100" t="str">
        <f t="shared" si="17"/>
        <v xml:space="preserve">               </v>
      </c>
    </row>
    <row r="137" spans="1:40" x14ac:dyDescent="0.25">
      <c r="A137" s="81"/>
      <c r="B137" s="81"/>
      <c r="C137" s="81"/>
      <c r="D137" s="144">
        <v>44866</v>
      </c>
      <c r="E137" s="76">
        <v>44887.557638888888</v>
      </c>
      <c r="F137" s="6" t="s">
        <v>131</v>
      </c>
      <c r="G137" s="5" t="str">
        <f>IFERROR(VLOOKUP(SUMIFS(MSOLICITADA!$I:$I,MSOLICITADA!$B:$B,D137,MSOLICITADA!$F:$F,F137),CODIGOSPLACAS!$A$64:$B$89,2,FALSE),"")</f>
        <v>ALTIELIS</v>
      </c>
      <c r="H137" s="77">
        <v>35860</v>
      </c>
      <c r="I137" s="77">
        <v>36605</v>
      </c>
      <c r="J137" s="7">
        <v>444.05</v>
      </c>
      <c r="K137" s="78">
        <v>2846.36</v>
      </c>
      <c r="L137" s="79" t="s">
        <v>111</v>
      </c>
      <c r="M137" s="6"/>
      <c r="N137" s="5">
        <f t="shared" si="13"/>
        <v>745</v>
      </c>
      <c r="O137" s="80">
        <f t="shared" si="14"/>
        <v>6.4099988740006761</v>
      </c>
      <c r="P137" s="8">
        <f t="shared" si="15"/>
        <v>1.677738993356604</v>
      </c>
      <c r="Q137" s="8">
        <f t="shared" si="12"/>
        <v>1.4985018243623649</v>
      </c>
      <c r="R137" s="81">
        <f t="shared" si="16"/>
        <v>0</v>
      </c>
      <c r="S137" s="113" t="str">
        <f>IF(F137="","",IF(H137="",TEXT(_xlfn.MAXIFS($I$1:I137,$F$1:F137,F137,$H$1:H137,"&gt;"&amp;0),"000.000"),F137))</f>
        <v>GGN4J86</v>
      </c>
      <c r="T137" s="81"/>
      <c r="U137" s="82"/>
      <c r="V137" s="98"/>
      <c r="W137" s="82"/>
      <c r="X137" s="98"/>
      <c r="Y137" s="82"/>
      <c r="Z137" s="98"/>
      <c r="AA137" s="82"/>
      <c r="AB137" s="98"/>
      <c r="AC137" s="82"/>
      <c r="AD137" s="98"/>
      <c r="AE137" s="117"/>
      <c r="AF137" s="98"/>
      <c r="AG137" s="98"/>
      <c r="AH137" s="98"/>
      <c r="AI137" s="82"/>
      <c r="AJ137" s="98"/>
      <c r="AK137" s="83"/>
      <c r="AL137" s="84" t="str">
        <f>IF(F137&lt;&gt;0,IF(_xlfn.MAXIFS($I$1:I137,$F$1:F137,F137,$H$1:H137,"&gt;"&amp;0)=0,"KM NÃO ENCONTRADO",IF(H137=0,CONCATENATE("SUGESTÃO DE KM PARA PLACA ",F137," *",_xlfn.MAXIFS($I$1:I137,$F$1:F137,F137,$H$1:H137,"&gt;"&amp;0),"*"),"")),"")</f>
        <v/>
      </c>
      <c r="AM137" s="85" t="str" cm="1">
        <f t="array" ref="AM137">IFERROR(IF(M137&lt;&gt;"","",CONCATENATE("https://btx.brasiltrack.com/logistica/trajeto.php?idveiculo=",VLOOKUP(F137,DATAS!$A$221:$B$250,2,FALSE),"&amp;lat=-22.204247","&amp;data_ini=",TEXT(IF(E137&lt;&gt;"",IF(COUNTIF($F$2:$F137,F137)&gt;1,MAX(IF($F$1:$F136=F137,$E$1:$E136)),""),""),"DD/MM/AAAA"),"&amp;data_fim=",TEXT(E137,"DD/MM/AAAA"),"&amp;hora_inicial=",HOUR(IF(E137&lt;&gt;"",IF(COUNTIF($F$2:$F137,F137)&gt;1,MAX(IF($F$1:$F136=F137,$E$1:$E136)),""),"")),"&amp;minuto_inicial=",MINUTE(IF(E137&lt;&gt;"",IF(COUNTIF($F$2:$F137,F137)&gt;1,MAX(IF($F$1:$F136=F137,$E$1:$E136)),""),"")),"&amp;hora_final=",HOUR(E137),"&amp;minuto_final=",MINUTE(E137),"&amp;periodo=6&amp;tipo=por_data&amp;upos=false&amp;outequip=0")),"")</f>
        <v>https://btx.brasiltrack.com/logistica/trajeto.php?idveiculo=0C13AEC3-426E-4E1A-A62E-C4BA625F41E7&amp;lat=-22.204247&amp;data_ini=09/11/2022&amp;data_fim=22/11/2022&amp;hora_inicial=17&amp;minuto_inicial=54&amp;hora_final=13&amp;minuto_final=23&amp;periodo=6&amp;tipo=por_data&amp;upos=false&amp;outequip=0</v>
      </c>
      <c r="AN137" s="100" t="str">
        <f t="shared" si="17"/>
        <v xml:space="preserve">               </v>
      </c>
    </row>
    <row r="138" spans="1:40" x14ac:dyDescent="0.25">
      <c r="A138" s="81"/>
      <c r="B138" s="81"/>
      <c r="C138" s="81"/>
      <c r="D138" s="144">
        <v>44866</v>
      </c>
      <c r="E138" s="76">
        <v>44887.613888888889</v>
      </c>
      <c r="F138" s="6" t="s">
        <v>127</v>
      </c>
      <c r="G138" s="5" t="str">
        <f>IFERROR(VLOOKUP(SUMIFS(MSOLICITADA!$I:$I,MSOLICITADA!$B:$B,D138,MSOLICITADA!$F:$F,F138),CODIGOSPLACAS!$A$64:$B$89,2,FALSE),"")</f>
        <v>EVERTON</v>
      </c>
      <c r="H138" s="77">
        <v>1221833</v>
      </c>
      <c r="I138" s="77">
        <v>1222505</v>
      </c>
      <c r="J138" s="7">
        <v>412.1</v>
      </c>
      <c r="K138" s="78">
        <v>2641.56</v>
      </c>
      <c r="L138" s="79" t="s">
        <v>111</v>
      </c>
      <c r="M138" s="6"/>
      <c r="N138" s="5">
        <f t="shared" si="13"/>
        <v>672</v>
      </c>
      <c r="O138" s="80">
        <f t="shared" si="14"/>
        <v>6.4099975734045129</v>
      </c>
      <c r="P138" s="8">
        <f t="shared" si="15"/>
        <v>1.6306721669497695</v>
      </c>
      <c r="Q138" s="8">
        <f t="shared" si="12"/>
        <v>1.8434307437405129</v>
      </c>
      <c r="R138" s="81">
        <f t="shared" si="16"/>
        <v>0</v>
      </c>
      <c r="S138" s="113" t="str">
        <f>IF(F138="","",IF(H138="",TEXT(_xlfn.MAXIFS($I$1:I138,$F$1:F138,F138,$H$1:H138,"&gt;"&amp;0),"000.000"),F138))</f>
        <v>OPM8J51</v>
      </c>
      <c r="T138" s="81"/>
      <c r="U138" s="82"/>
      <c r="V138" s="98"/>
      <c r="W138" s="82"/>
      <c r="X138" s="98"/>
      <c r="Y138" s="82"/>
      <c r="Z138" s="98"/>
      <c r="AA138" s="82"/>
      <c r="AB138" s="98"/>
      <c r="AC138" s="82"/>
      <c r="AD138" s="98"/>
      <c r="AE138" s="117"/>
      <c r="AF138" s="98"/>
      <c r="AG138" s="98"/>
      <c r="AH138" s="98"/>
      <c r="AI138" s="82"/>
      <c r="AJ138" s="98"/>
      <c r="AK138" s="83"/>
      <c r="AL138" s="84" t="str">
        <f>IF(F138&lt;&gt;0,IF(_xlfn.MAXIFS($I$1:I138,$F$1:F138,F138,$H$1:H138,"&gt;"&amp;0)=0,"KM NÃO ENCONTRADO",IF(H138=0,CONCATENATE("SUGESTÃO DE KM PARA PLACA ",F138," *",_xlfn.MAXIFS($I$1:I138,$F$1:F138,F138,$H$1:H138,"&gt;"&amp;0),"*"),"")),"")</f>
        <v/>
      </c>
      <c r="AM138" s="85" t="str" cm="1">
        <f t="array" ref="AM138">IFERROR(IF(M138&lt;&gt;"","",CONCATENATE("https://btx.brasiltrack.com/logistica/trajeto.php?idveiculo=",VLOOKUP(F138,DATAS!$A$221:$B$250,2,FALSE),"&amp;lat=-22.204247","&amp;data_ini=",TEXT(IF(E138&lt;&gt;"",IF(COUNTIF($F$2:$F138,F138)&gt;1,MAX(IF($F$1:$F137=F138,$E$1:$E137)),""),""),"DD/MM/AAAA"),"&amp;data_fim=",TEXT(E138,"DD/MM/AAAA"),"&amp;hora_inicial=",HOUR(IF(E138&lt;&gt;"",IF(COUNTIF($F$2:$F138,F138)&gt;1,MAX(IF($F$1:$F137=F138,$E$1:$E137)),""),"")),"&amp;minuto_inicial=",MINUTE(IF(E138&lt;&gt;"",IF(COUNTIF($F$2:$F138,F138)&gt;1,MAX(IF($F$1:$F137=F138,$E$1:$E137)),""),"")),"&amp;hora_final=",HOUR(E138),"&amp;minuto_final=",MINUTE(E138),"&amp;periodo=6&amp;tipo=por_data&amp;upos=false&amp;outequip=0")),"")</f>
        <v>https://btx.brasiltrack.com/logistica/trajeto.php?idveiculo=6B275FDC-A2AC-4272-8CE2-C39701ECE18D&amp;lat=-22.204247&amp;data_ini=03/11/2022&amp;data_fim=22/11/2022&amp;hora_inicial=4&amp;minuto_inicial=24&amp;hora_final=14&amp;minuto_final=44&amp;periodo=6&amp;tipo=por_data&amp;upos=false&amp;outequip=0</v>
      </c>
      <c r="AN138" s="100" t="str">
        <f t="shared" si="17"/>
        <v xml:space="preserve">               </v>
      </c>
    </row>
    <row r="139" spans="1:40" x14ac:dyDescent="0.25">
      <c r="A139" s="81"/>
      <c r="B139" s="81"/>
      <c r="C139" s="81"/>
      <c r="D139" s="144">
        <v>44866</v>
      </c>
      <c r="E139" s="76">
        <v>44887.760416666664</v>
      </c>
      <c r="F139" s="6" t="s">
        <v>35</v>
      </c>
      <c r="G139" s="5" t="str">
        <f>IFERROR(VLOOKUP(SUMIFS(MSOLICITADA!$I:$I,MSOLICITADA!$B:$B,D139,MSOLICITADA!$F:$F,F139),CODIGOSPLACAS!$A$64:$B$89,2,FALSE),"")</f>
        <v>JOEL</v>
      </c>
      <c r="H139" s="77">
        <v>226762</v>
      </c>
      <c r="I139" s="77">
        <v>227229</v>
      </c>
      <c r="J139" s="7">
        <v>174</v>
      </c>
      <c r="K139" s="78">
        <v>1071.83</v>
      </c>
      <c r="L139" s="79" t="s">
        <v>112</v>
      </c>
      <c r="M139" s="6"/>
      <c r="N139" s="5">
        <f t="shared" si="13"/>
        <v>467</v>
      </c>
      <c r="O139" s="80">
        <f t="shared" si="14"/>
        <v>6.1599425287356322</v>
      </c>
      <c r="P139" s="8">
        <f t="shared" si="15"/>
        <v>2.6839080459770117</v>
      </c>
      <c r="Q139" s="8">
        <f t="shared" si="12"/>
        <v>2.367571672678944</v>
      </c>
      <c r="R139" s="81">
        <f t="shared" si="16"/>
        <v>0</v>
      </c>
      <c r="S139" s="113" t="str">
        <f>IF(F139="","",IF(H139="",TEXT(_xlfn.MAXIFS($I$1:I139,$F$1:F139,F139,$H$1:H139,"&gt;"&amp;0),"000.000"),F139))</f>
        <v>QNP3A97</v>
      </c>
      <c r="T139" s="81"/>
      <c r="U139" s="82"/>
      <c r="V139" s="98"/>
      <c r="W139" s="82"/>
      <c r="X139" s="98"/>
      <c r="Y139" s="82"/>
      <c r="Z139" s="98"/>
      <c r="AA139" s="82"/>
      <c r="AB139" s="98"/>
      <c r="AC139" s="82"/>
      <c r="AD139" s="98"/>
      <c r="AE139" s="117"/>
      <c r="AF139" s="98"/>
      <c r="AG139" s="98"/>
      <c r="AH139" s="98"/>
      <c r="AI139" s="82"/>
      <c r="AJ139" s="98"/>
      <c r="AK139" s="83"/>
      <c r="AL139" s="84" t="str">
        <f>IF(F139&lt;&gt;0,IF(_xlfn.MAXIFS($I$1:I139,$F$1:F139,F139,$H$1:H139,"&gt;"&amp;0)=0,"KM NÃO ENCONTRADO",IF(H139=0,CONCATENATE("SUGESTÃO DE KM PARA PLACA ",F139," *",_xlfn.MAXIFS($I$1:I139,$F$1:F139,F139,$H$1:H139,"&gt;"&amp;0),"*"),"")),"")</f>
        <v/>
      </c>
      <c r="AM139" s="85" t="str" cm="1">
        <f t="array" ref="AM139">IFERROR(IF(M139&lt;&gt;"","",CONCATENATE("https://btx.brasiltrack.com/logistica/trajeto.php?idveiculo=",VLOOKUP(F139,DATAS!$A$221:$B$250,2,FALSE),"&amp;lat=-22.204247","&amp;data_ini=",TEXT(IF(E139&lt;&gt;"",IF(COUNTIF($F$2:$F139,F139)&gt;1,MAX(IF($F$1:$F138=F139,$E$1:$E138)),""),""),"DD/MM/AAAA"),"&amp;data_fim=",TEXT(E139,"DD/MM/AAAA"),"&amp;hora_inicial=",HOUR(IF(E139&lt;&gt;"",IF(COUNTIF($F$2:$F139,F139)&gt;1,MAX(IF($F$1:$F138=F139,$E$1:$E138)),""),"")),"&amp;minuto_inicial=",MINUTE(IF(E139&lt;&gt;"",IF(COUNTIF($F$2:$F139,F139)&gt;1,MAX(IF($F$1:$F138=F139,$E$1:$E138)),""),"")),"&amp;hora_final=",HOUR(E139),"&amp;minuto_final=",MINUTE(E139),"&amp;periodo=6&amp;tipo=por_data&amp;upos=false&amp;outequip=0")),"")</f>
        <v>https://btx.brasiltrack.com/logistica/trajeto.php?idveiculo=E2142D75-BC20-47B9-8225-FC4ED3D279CF&amp;lat=-22.204247&amp;data_ini=21/11/2022&amp;data_fim=22/11/2022&amp;hora_inicial=7&amp;minuto_inicial=20&amp;hora_final=18&amp;minuto_final=15&amp;periodo=6&amp;tipo=por_data&amp;upos=false&amp;outequip=0</v>
      </c>
      <c r="AN139" s="100" t="str">
        <f t="shared" si="17"/>
        <v xml:space="preserve">               </v>
      </c>
    </row>
    <row r="140" spans="1:40" x14ac:dyDescent="0.25">
      <c r="A140" s="81"/>
      <c r="B140" s="81"/>
      <c r="C140" s="81"/>
      <c r="D140" s="144">
        <v>44866</v>
      </c>
      <c r="E140" s="76">
        <v>44887.95208333333</v>
      </c>
      <c r="F140" s="6" t="s">
        <v>23</v>
      </c>
      <c r="G140" s="5" t="str">
        <f>IFERROR(VLOOKUP(SUMIFS(MSOLICITADA!$I:$I,MSOLICITADA!$B:$B,D140,MSOLICITADA!$F:$F,F140),CODIGOSPLACAS!$A$64:$B$89,2,FALSE),"")</f>
        <v>ISAC</v>
      </c>
      <c r="H140" s="77">
        <v>1197061</v>
      </c>
      <c r="I140" s="77">
        <v>1197502</v>
      </c>
      <c r="J140" s="7">
        <v>357.00099999999998</v>
      </c>
      <c r="K140" s="78">
        <v>2374.0500000000002</v>
      </c>
      <c r="L140" s="79" t="s">
        <v>111</v>
      </c>
      <c r="M140" s="6"/>
      <c r="N140" s="5">
        <f t="shared" si="13"/>
        <v>441</v>
      </c>
      <c r="O140" s="80">
        <f t="shared" si="14"/>
        <v>6.6499813726011983</v>
      </c>
      <c r="P140" s="8">
        <f t="shared" si="15"/>
        <v>1.2352906574491389</v>
      </c>
      <c r="Q140" s="8">
        <f t="shared" si="12"/>
        <v>1.447714664858804</v>
      </c>
      <c r="R140" s="81">
        <f t="shared" si="16"/>
        <v>0</v>
      </c>
      <c r="S140" s="113" t="str">
        <f>IF(F140="","",IF(H140="",TEXT(_xlfn.MAXIFS($I$1:I140,$F$1:F140,F140,$H$1:H140,"&gt;"&amp;0),"000.000"),F140))</f>
        <v>HNC7I76</v>
      </c>
      <c r="T140" s="81"/>
      <c r="U140" s="82"/>
      <c r="V140" s="98"/>
      <c r="W140" s="82"/>
      <c r="X140" s="98"/>
      <c r="Y140" s="82"/>
      <c r="Z140" s="98"/>
      <c r="AA140" s="82"/>
      <c r="AB140" s="98"/>
      <c r="AC140" s="82"/>
      <c r="AD140" s="98"/>
      <c r="AE140" s="117"/>
      <c r="AF140" s="98"/>
      <c r="AG140" s="98"/>
      <c r="AH140" s="98"/>
      <c r="AI140" s="82"/>
      <c r="AJ140" s="98"/>
      <c r="AK140" s="83"/>
      <c r="AL140" s="84" t="str">
        <f>IF(F140&lt;&gt;0,IF(_xlfn.MAXIFS($I$1:I140,$F$1:F140,F140,$H$1:H140,"&gt;"&amp;0)=0,"KM NÃO ENCONTRADO",IF(H140=0,CONCATENATE("SUGESTÃO DE KM PARA PLACA ",F140," *",_xlfn.MAXIFS($I$1:I140,$F$1:F140,F140,$H$1:H140,"&gt;"&amp;0),"*"),"")),"")</f>
        <v/>
      </c>
      <c r="AM140" s="85" t="str" cm="1">
        <f t="array" ref="AM140">IFERROR(IF(M140&lt;&gt;"","",CONCATENATE("https://btx.brasiltrack.com/logistica/trajeto.php?idveiculo=",VLOOKUP(F140,DATAS!$A$221:$B$250,2,FALSE),"&amp;lat=-22.204247","&amp;data_ini=",TEXT(IF(E140&lt;&gt;"",IF(COUNTIF($F$2:$F140,F140)&gt;1,MAX(IF($F$1:$F139=F140,$E$1:$E139)),""),""),"DD/MM/AAAA"),"&amp;data_fim=",TEXT(E140,"DD/MM/AAAA"),"&amp;hora_inicial=",HOUR(IF(E140&lt;&gt;"",IF(COUNTIF($F$2:$F140,F140)&gt;1,MAX(IF($F$1:$F139=F140,$E$1:$E139)),""),"")),"&amp;minuto_inicial=",MINUTE(IF(E140&lt;&gt;"",IF(COUNTIF($F$2:$F140,F140)&gt;1,MAX(IF($F$1:$F139=F140,$E$1:$E139)),""),"")),"&amp;hora_final=",HOUR(E140),"&amp;minuto_final=",MINUTE(E140),"&amp;periodo=6&amp;tipo=por_data&amp;upos=false&amp;outequip=0")),"")</f>
        <v>https://btx.brasiltrack.com/logistica/trajeto.php?idveiculo=B05A8E44-5DA1-4128-83F0-8DDE6CB8291B&amp;lat=-22.204247&amp;data_ini=20/11/2022&amp;data_fim=22/11/2022&amp;hora_inicial=20&amp;minuto_inicial=46&amp;hora_final=22&amp;minuto_final=51&amp;periodo=6&amp;tipo=por_data&amp;upos=false&amp;outequip=0</v>
      </c>
      <c r="AN140" s="100" t="str">
        <f t="shared" si="17"/>
        <v xml:space="preserve">               </v>
      </c>
    </row>
    <row r="141" spans="1:40" x14ac:dyDescent="0.25">
      <c r="A141" s="81"/>
      <c r="B141" s="81"/>
      <c r="C141" s="81"/>
      <c r="D141" s="144">
        <v>44866</v>
      </c>
      <c r="E141" s="76">
        <v>44888</v>
      </c>
      <c r="F141" s="6" t="s">
        <v>26</v>
      </c>
      <c r="G141" s="5" t="str">
        <f>IFERROR(VLOOKUP(SUMIFS(MSOLICITADA!$I:$I,MSOLICITADA!$B:$B,D141,MSOLICITADA!$F:$F,F141),CODIGOSPLACAS!$A$64:$B$89,2,FALSE),"")</f>
        <v>DIEGO</v>
      </c>
      <c r="H141" s="77">
        <v>392266</v>
      </c>
      <c r="I141" s="77">
        <v>393023</v>
      </c>
      <c r="J141" s="7">
        <v>594.33100000000002</v>
      </c>
      <c r="K141" s="78">
        <v>4279.18</v>
      </c>
      <c r="L141" s="79" t="s">
        <v>111</v>
      </c>
      <c r="M141" s="6"/>
      <c r="N141" s="5">
        <f t="shared" si="13"/>
        <v>757</v>
      </c>
      <c r="O141" s="80">
        <f t="shared" si="14"/>
        <v>7.1999946157949024</v>
      </c>
      <c r="P141" s="8">
        <f t="shared" si="15"/>
        <v>1.2737010184560456</v>
      </c>
      <c r="Q141" s="8">
        <f t="shared" si="12"/>
        <v>1.4215213058096179</v>
      </c>
      <c r="R141" s="81">
        <f t="shared" si="16"/>
        <v>0</v>
      </c>
      <c r="S141" s="113" t="str">
        <f>IF(F141="","",IF(H141="",TEXT(_xlfn.MAXIFS($I$1:I141,$F$1:F141,F141,$H$1:H141,"&gt;"&amp;0),"000.000"),F141))</f>
        <v>BZA3587</v>
      </c>
      <c r="T141" s="81"/>
      <c r="U141" s="82"/>
      <c r="V141" s="98"/>
      <c r="W141" s="82"/>
      <c r="X141" s="98"/>
      <c r="Y141" s="82"/>
      <c r="Z141" s="98"/>
      <c r="AA141" s="82"/>
      <c r="AB141" s="98"/>
      <c r="AC141" s="82"/>
      <c r="AD141" s="98"/>
      <c r="AE141" s="117"/>
      <c r="AF141" s="98"/>
      <c r="AG141" s="98"/>
      <c r="AH141" s="98"/>
      <c r="AI141" s="82"/>
      <c r="AJ141" s="98"/>
      <c r="AK141" s="83"/>
      <c r="AL141" s="84" t="str">
        <f>IF(F141&lt;&gt;0,IF(_xlfn.MAXIFS($I$1:I141,$F$1:F141,F141,$H$1:H141,"&gt;"&amp;0)=0,"KM NÃO ENCONTRADO",IF(H141=0,CONCATENATE("SUGESTÃO DE KM PARA PLACA ",F141," *",_xlfn.MAXIFS($I$1:I141,$F$1:F141,F141,$H$1:H141,"&gt;"&amp;0),"*"),"")),"")</f>
        <v/>
      </c>
      <c r="AM141" s="85" t="str" cm="1">
        <f t="array" ref="AM141">IFERROR(IF(M141&lt;&gt;"","",CONCATENATE("https://btx.brasiltrack.com/logistica/trajeto.php?idveiculo=",VLOOKUP(F141,DATAS!$A$221:$B$250,2,FALSE),"&amp;lat=-22.204247","&amp;data_ini=",TEXT(IF(E141&lt;&gt;"",IF(COUNTIF($F$2:$F141,F141)&gt;1,MAX(IF($F$1:$F140=F141,$E$1:$E140)),""),""),"DD/MM/AAAA"),"&amp;data_fim=",TEXT(E141,"DD/MM/AAAA"),"&amp;hora_inicial=",HOUR(IF(E141&lt;&gt;"",IF(COUNTIF($F$2:$F141,F141)&gt;1,MAX(IF($F$1:$F140=F141,$E$1:$E140)),""),"")),"&amp;minuto_inicial=",MINUTE(IF(E141&lt;&gt;"",IF(COUNTIF($F$2:$F141,F141)&gt;1,MAX(IF($F$1:$F140=F141,$E$1:$E140)),""),"")),"&amp;hora_final=",HOUR(E141),"&amp;minuto_final=",MINUTE(E141),"&amp;periodo=6&amp;tipo=por_data&amp;upos=false&amp;outequip=0")),"")</f>
        <v>https://btx.brasiltrack.com/logistica/trajeto.php?idveiculo=6CC0A70E-9379-4BF7-9063-21D318A103FE&amp;lat=-22.204247&amp;data_ini=17/11/2022&amp;data_fim=23/11/2022&amp;hora_inicial=15&amp;minuto_inicial=0&amp;hora_final=0&amp;minuto_final=0&amp;periodo=6&amp;tipo=por_data&amp;upos=false&amp;outequip=0</v>
      </c>
      <c r="AN141" s="100" t="str">
        <f t="shared" si="17"/>
        <v xml:space="preserve">               </v>
      </c>
    </row>
    <row r="142" spans="1:40" x14ac:dyDescent="0.25">
      <c r="A142" s="81"/>
      <c r="B142" s="81"/>
      <c r="C142" s="81"/>
      <c r="D142" s="144">
        <v>44866</v>
      </c>
      <c r="E142" s="76">
        <v>44888</v>
      </c>
      <c r="F142" s="6" t="s">
        <v>30</v>
      </c>
      <c r="G142" s="5" t="str">
        <f>IFERROR(VLOOKUP(SUMIFS(MSOLICITADA!$I:$I,MSOLICITADA!$B:$B,D142,MSOLICITADA!$F:$F,F142),CODIGOSPLACAS!$A$64:$B$89,2,FALSE),"")</f>
        <v>RONILSON</v>
      </c>
      <c r="H142" s="77">
        <v>212510</v>
      </c>
      <c r="I142" s="77">
        <v>213298</v>
      </c>
      <c r="J142" s="7">
        <v>625.52099999999996</v>
      </c>
      <c r="K142" s="78">
        <v>3965.8</v>
      </c>
      <c r="L142" s="79" t="s">
        <v>111</v>
      </c>
      <c r="M142" s="6"/>
      <c r="N142" s="5">
        <f t="shared" si="13"/>
        <v>788</v>
      </c>
      <c r="O142" s="80">
        <f t="shared" si="14"/>
        <v>6.3399949801845192</v>
      </c>
      <c r="P142" s="8">
        <f t="shared" si="15"/>
        <v>1.2597498725062788</v>
      </c>
      <c r="Q142" s="8">
        <f t="shared" si="12"/>
        <v>1.5438598974121283</v>
      </c>
      <c r="R142" s="81">
        <f t="shared" si="16"/>
        <v>0</v>
      </c>
      <c r="S142" s="113" t="str">
        <f>IF(F142="","",IF(H142="",TEXT(_xlfn.MAXIFS($I$1:I142,$F$1:F142,F142,$H$1:H142,"&gt;"&amp;0),"000.000"),F142))</f>
        <v>GFB0I37</v>
      </c>
      <c r="T142" s="81"/>
      <c r="U142" s="82"/>
      <c r="V142" s="98"/>
      <c r="W142" s="82"/>
      <c r="X142" s="98"/>
      <c r="Y142" s="82"/>
      <c r="Z142" s="98"/>
      <c r="AA142" s="82"/>
      <c r="AB142" s="98"/>
      <c r="AC142" s="82"/>
      <c r="AD142" s="98"/>
      <c r="AE142" s="117"/>
      <c r="AF142" s="98"/>
      <c r="AG142" s="98"/>
      <c r="AH142" s="98"/>
      <c r="AI142" s="82"/>
      <c r="AJ142" s="98"/>
      <c r="AK142" s="83"/>
      <c r="AL142" s="84" t="str">
        <f>IF(F142&lt;&gt;0,IF(_xlfn.MAXIFS($I$1:I142,$F$1:F142,F142,$H$1:H142,"&gt;"&amp;0)=0,"KM NÃO ENCONTRADO",IF(H142=0,CONCATENATE("SUGESTÃO DE KM PARA PLACA ",F142," *",_xlfn.MAXIFS($I$1:I142,$F$1:F142,F142,$H$1:H142,"&gt;"&amp;0),"*"),"")),"")</f>
        <v/>
      </c>
      <c r="AM142" s="85" t="str" cm="1">
        <f t="array" ref="AM142">IFERROR(IF(M142&lt;&gt;"","",CONCATENATE("https://btx.brasiltrack.com/logistica/trajeto.php?idveiculo=",VLOOKUP(F142,DATAS!$A$221:$B$250,2,FALSE),"&amp;lat=-22.204247","&amp;data_ini=",TEXT(IF(E142&lt;&gt;"",IF(COUNTIF($F$2:$F142,F142)&gt;1,MAX(IF($F$1:$F141=F142,$E$1:$E141)),""),""),"DD/MM/AAAA"),"&amp;data_fim=",TEXT(E142,"DD/MM/AAAA"),"&amp;hora_inicial=",HOUR(IF(E142&lt;&gt;"",IF(COUNTIF($F$2:$F142,F142)&gt;1,MAX(IF($F$1:$F141=F142,$E$1:$E141)),""),"")),"&amp;minuto_inicial=",MINUTE(IF(E142&lt;&gt;"",IF(COUNTIF($F$2:$F142,F142)&gt;1,MAX(IF($F$1:$F141=F142,$E$1:$E141)),""),"")),"&amp;hora_final=",HOUR(E142),"&amp;minuto_final=",MINUTE(E142),"&amp;periodo=6&amp;tipo=por_data&amp;upos=false&amp;outequip=0")),"")</f>
        <v>https://btx.brasiltrack.com/logistica/trajeto.php?idveiculo=94099C57-E02A-40F7-B573-6368475EB0B3&amp;lat=-22.204247&amp;data_ini=21/11/2022&amp;data_fim=23/11/2022&amp;hora_inicial=19&amp;minuto_inicial=27&amp;hora_final=0&amp;minuto_final=0&amp;periodo=6&amp;tipo=por_data&amp;upos=false&amp;outequip=0</v>
      </c>
      <c r="AN142" s="100" t="str">
        <f t="shared" si="17"/>
        <v xml:space="preserve">               </v>
      </c>
    </row>
    <row r="143" spans="1:40" x14ac:dyDescent="0.25">
      <c r="A143" s="81"/>
      <c r="B143" s="81"/>
      <c r="C143" s="81"/>
      <c r="D143" s="144">
        <v>44866</v>
      </c>
      <c r="E143" s="76">
        <v>44888.042361111111</v>
      </c>
      <c r="F143" s="6" t="s">
        <v>128</v>
      </c>
      <c r="G143" s="5" t="str">
        <f>IFERROR(VLOOKUP(SUMIFS(MSOLICITADA!$I:$I,MSOLICITADA!$B:$B,D143,MSOLICITADA!$F:$F,F143),CODIGOSPLACAS!$A$64:$B$89,2,FALSE),"")</f>
        <v>ELI RICARDO</v>
      </c>
      <c r="H143" s="77">
        <v>82510</v>
      </c>
      <c r="I143" s="77">
        <v>83191</v>
      </c>
      <c r="J143" s="7">
        <v>370</v>
      </c>
      <c r="K143" s="78">
        <v>2371.6999999999998</v>
      </c>
      <c r="L143" s="79" t="s">
        <v>111</v>
      </c>
      <c r="M143" s="6"/>
      <c r="N143" s="5">
        <f t="shared" si="13"/>
        <v>681</v>
      </c>
      <c r="O143" s="80">
        <f t="shared" si="14"/>
        <v>6.4099999999999993</v>
      </c>
      <c r="P143" s="8">
        <f t="shared" si="15"/>
        <v>1.8405405405405406</v>
      </c>
      <c r="Q143" s="8">
        <f t="shared" si="12"/>
        <v>1.6394783012697074</v>
      </c>
      <c r="R143" s="81">
        <f t="shared" si="16"/>
        <v>0</v>
      </c>
      <c r="S143" s="113" t="str">
        <f>IF(F143="","",IF(H143="",TEXT(_xlfn.MAXIFS($I$1:I143,$F$1:F143,F143,$H$1:H143,"&gt;"&amp;0),"000.000"),F143))</f>
        <v>GFR0D47</v>
      </c>
      <c r="T143" s="81"/>
      <c r="U143" s="82"/>
      <c r="V143" s="98"/>
      <c r="W143" s="82"/>
      <c r="X143" s="98"/>
      <c r="Y143" s="82"/>
      <c r="Z143" s="98"/>
      <c r="AA143" s="82"/>
      <c r="AB143" s="98"/>
      <c r="AC143" s="82"/>
      <c r="AD143" s="98"/>
      <c r="AE143" s="117"/>
      <c r="AF143" s="98"/>
      <c r="AG143" s="98"/>
      <c r="AH143" s="98"/>
      <c r="AI143" s="82"/>
      <c r="AJ143" s="98"/>
      <c r="AK143" s="83"/>
      <c r="AL143" s="84" t="str">
        <f>IF(F143&lt;&gt;0,IF(_xlfn.MAXIFS($I$1:I143,$F$1:F143,F143,$H$1:H143,"&gt;"&amp;0)=0,"KM NÃO ENCONTRADO",IF(H143=0,CONCATENATE("SUGESTÃO DE KM PARA PLACA ",F143," *",_xlfn.MAXIFS($I$1:I143,$F$1:F143,F143,$H$1:H143,"&gt;"&amp;0),"*"),"")),"")</f>
        <v/>
      </c>
      <c r="AM143" s="85" t="str" cm="1">
        <f t="array" ref="AM143">IFERROR(IF(M143&lt;&gt;"","",CONCATENATE("https://btx.brasiltrack.com/logistica/trajeto.php?idveiculo=",VLOOKUP(F143,DATAS!$A$221:$B$250,2,FALSE),"&amp;lat=-22.204247","&amp;data_ini=",TEXT(IF(E143&lt;&gt;"",IF(COUNTIF($F$2:$F143,F143)&gt;1,MAX(IF($F$1:$F142=F143,$E$1:$E142)),""),""),"DD/MM/AAAA"),"&amp;data_fim=",TEXT(E143,"DD/MM/AAAA"),"&amp;hora_inicial=",HOUR(IF(E143&lt;&gt;"",IF(COUNTIF($F$2:$F143,F143)&gt;1,MAX(IF($F$1:$F142=F143,$E$1:$E142)),""),"")),"&amp;minuto_inicial=",MINUTE(IF(E143&lt;&gt;"",IF(COUNTIF($F$2:$F143,F143)&gt;1,MAX(IF($F$1:$F142=F143,$E$1:$E142)),""),"")),"&amp;hora_final=",HOUR(E143),"&amp;minuto_final=",MINUTE(E143),"&amp;periodo=6&amp;tipo=por_data&amp;upos=false&amp;outequip=0")),"")</f>
        <v>https://btx.brasiltrack.com/logistica/trajeto.php?idveiculo=D171D77B-7EEE-4B8A-AB93-163C02819566&amp;lat=-22.204247&amp;data_ini=18/11/2022&amp;data_fim=23/11/2022&amp;hora_inicial=10&amp;minuto_inicial=34&amp;hora_final=1&amp;minuto_final=1&amp;periodo=6&amp;tipo=por_data&amp;upos=false&amp;outequip=0</v>
      </c>
      <c r="AN143" s="100" t="str">
        <f t="shared" si="17"/>
        <v xml:space="preserve">               </v>
      </c>
    </row>
    <row r="144" spans="1:40" x14ac:dyDescent="0.25">
      <c r="A144" s="81"/>
      <c r="B144" s="81"/>
      <c r="C144" s="81"/>
      <c r="D144" s="144">
        <v>44866</v>
      </c>
      <c r="E144" s="76">
        <v>44888.088194444441</v>
      </c>
      <c r="F144" s="6" t="s">
        <v>31</v>
      </c>
      <c r="G144" s="5" t="str">
        <f>IFERROR(VLOOKUP(SUMIFS(MSOLICITADA!$I:$I,MSOLICITADA!$B:$B,D144,MSOLICITADA!$F:$F,F144),CODIGOSPLACAS!$A$64:$B$89,2,FALSE),"")</f>
        <v>CELIO</v>
      </c>
      <c r="H144" s="77">
        <v>204190</v>
      </c>
      <c r="I144" s="77">
        <v>204784</v>
      </c>
      <c r="J144" s="7">
        <v>365.42099999999999</v>
      </c>
      <c r="K144" s="78">
        <v>2430.0300000000002</v>
      </c>
      <c r="L144" s="79" t="s">
        <v>111</v>
      </c>
      <c r="M144" s="6"/>
      <c r="N144" s="5">
        <f t="shared" si="13"/>
        <v>594</v>
      </c>
      <c r="O144" s="80">
        <f t="shared" si="14"/>
        <v>6.6499462264073497</v>
      </c>
      <c r="P144" s="8">
        <f t="shared" si="15"/>
        <v>1.6255223427225036</v>
      </c>
      <c r="Q144" s="8">
        <f t="shared" si="12"/>
        <v>1.5697196307565964</v>
      </c>
      <c r="R144" s="81">
        <f t="shared" si="16"/>
        <v>0</v>
      </c>
      <c r="S144" s="113" t="str">
        <f>IF(F144="","",IF(H144="",TEXT(_xlfn.MAXIFS($I$1:I144,$F$1:F144,F144,$H$1:H144,"&gt;"&amp;0),"000.000"),F144))</f>
        <v>GGZ3G38</v>
      </c>
      <c r="T144" s="81"/>
      <c r="U144" s="82"/>
      <c r="V144" s="98"/>
      <c r="W144" s="82"/>
      <c r="X144" s="98"/>
      <c r="Y144" s="82"/>
      <c r="Z144" s="98"/>
      <c r="AA144" s="82"/>
      <c r="AB144" s="98"/>
      <c r="AC144" s="82"/>
      <c r="AD144" s="98"/>
      <c r="AE144" s="117"/>
      <c r="AF144" s="98"/>
      <c r="AG144" s="98"/>
      <c r="AH144" s="98"/>
      <c r="AI144" s="82"/>
      <c r="AJ144" s="98"/>
      <c r="AK144" s="83"/>
      <c r="AL144" s="84" t="str">
        <f>IF(F144&lt;&gt;0,IF(_xlfn.MAXIFS($I$1:I144,$F$1:F144,F144,$H$1:H144,"&gt;"&amp;0)=0,"KM NÃO ENCONTRADO",IF(H144=0,CONCATENATE("SUGESTÃO DE KM PARA PLACA ",F144," *",_xlfn.MAXIFS($I$1:I144,$F$1:F144,F144,$H$1:H144,"&gt;"&amp;0),"*"),"")),"")</f>
        <v/>
      </c>
      <c r="AM144" s="85" t="str" cm="1">
        <f t="array" ref="AM144">IFERROR(IF(M144&lt;&gt;"","",CONCATENATE("https://btx.brasiltrack.com/logistica/trajeto.php?idveiculo=",VLOOKUP(F144,DATAS!$A$221:$B$250,2,FALSE),"&amp;lat=-22.204247","&amp;data_ini=",TEXT(IF(E144&lt;&gt;"",IF(COUNTIF($F$2:$F144,F144)&gt;1,MAX(IF($F$1:$F143=F144,$E$1:$E143)),""),""),"DD/MM/AAAA"),"&amp;data_fim=",TEXT(E144,"DD/MM/AAAA"),"&amp;hora_inicial=",HOUR(IF(E144&lt;&gt;"",IF(COUNTIF($F$2:$F144,F144)&gt;1,MAX(IF($F$1:$F143=F144,$E$1:$E143)),""),"")),"&amp;minuto_inicial=",MINUTE(IF(E144&lt;&gt;"",IF(COUNTIF($F$2:$F144,F144)&gt;1,MAX(IF($F$1:$F143=F144,$E$1:$E143)),""),"")),"&amp;hora_final=",HOUR(E144),"&amp;minuto_final=",MINUTE(E144),"&amp;periodo=6&amp;tipo=por_data&amp;upos=false&amp;outequip=0")),"")</f>
        <v>https://btx.brasiltrack.com/logistica/trajeto.php?idveiculo=28D74B0F-5C0F-4A59-86EB-697E3711F324&amp;lat=-22.204247&amp;data_ini=18/11/2022&amp;data_fim=23/11/2022&amp;hora_inicial=1&amp;minuto_inicial=39&amp;hora_final=2&amp;minuto_final=7&amp;periodo=6&amp;tipo=por_data&amp;upos=false&amp;outequip=0</v>
      </c>
      <c r="AN144" s="100" t="str">
        <f t="shared" si="17"/>
        <v xml:space="preserve">               </v>
      </c>
    </row>
    <row r="145" spans="1:40" x14ac:dyDescent="0.25">
      <c r="A145" s="81"/>
      <c r="B145" s="81"/>
      <c r="C145" s="81"/>
      <c r="D145" s="144">
        <v>44866</v>
      </c>
      <c r="E145" s="76">
        <v>44888.231249999997</v>
      </c>
      <c r="F145" s="6" t="s">
        <v>126</v>
      </c>
      <c r="G145" s="5" t="str">
        <f>IFERROR(VLOOKUP(SUMIFS(MSOLICITADA!$I:$I,MSOLICITADA!$B:$B,D145,MSOLICITADA!$F:$F,F145),CODIGOSPLACAS!$A$64:$B$89,2,FALSE),"")</f>
        <v>IZAIAS</v>
      </c>
      <c r="H145" s="77">
        <v>479525</v>
      </c>
      <c r="I145" s="77">
        <v>480675</v>
      </c>
      <c r="J145" s="7">
        <v>819.00099999999998</v>
      </c>
      <c r="K145" s="78">
        <v>5446.35</v>
      </c>
      <c r="L145" s="79" t="s">
        <v>111</v>
      </c>
      <c r="M145" s="6"/>
      <c r="N145" s="5">
        <f t="shared" si="13"/>
        <v>1150</v>
      </c>
      <c r="O145" s="80">
        <f t="shared" si="14"/>
        <v>6.649991880351795</v>
      </c>
      <c r="P145" s="8">
        <f t="shared" si="15"/>
        <v>1.4041496896829186</v>
      </c>
      <c r="Q145" s="8">
        <f t="shared" si="12"/>
        <v>1.4310423058843909</v>
      </c>
      <c r="R145" s="81">
        <f t="shared" si="16"/>
        <v>0</v>
      </c>
      <c r="S145" s="113" t="str">
        <f>IF(F145="","",IF(H145="",TEXT(_xlfn.MAXIFS($I$1:I145,$F$1:F145,F145,$H$1:H145,"&gt;"&amp;0),"000.000"),F145))</f>
        <v>GHX4D71</v>
      </c>
      <c r="T145" s="81"/>
      <c r="U145" s="82"/>
      <c r="V145" s="98"/>
      <c r="W145" s="82"/>
      <c r="X145" s="98"/>
      <c r="Y145" s="82"/>
      <c r="Z145" s="98"/>
      <c r="AA145" s="82"/>
      <c r="AB145" s="98"/>
      <c r="AC145" s="82"/>
      <c r="AD145" s="98"/>
      <c r="AE145" s="117"/>
      <c r="AF145" s="98"/>
      <c r="AG145" s="98"/>
      <c r="AH145" s="98"/>
      <c r="AI145" s="82"/>
      <c r="AJ145" s="98"/>
      <c r="AK145" s="83"/>
      <c r="AL145" s="84" t="str">
        <f>IF(F145&lt;&gt;0,IF(_xlfn.MAXIFS($I$1:I145,$F$1:F145,F145,$H$1:H145,"&gt;"&amp;0)=0,"KM NÃO ENCONTRADO",IF(H145=0,CONCATENATE("SUGESTÃO DE KM PARA PLACA ",F145," *",_xlfn.MAXIFS($I$1:I145,$F$1:F145,F145,$H$1:H145,"&gt;"&amp;0),"*"),"")),"")</f>
        <v/>
      </c>
      <c r="AM145" s="85" t="str" cm="1">
        <f t="array" ref="AM145">IFERROR(IF(M145&lt;&gt;"","",CONCATENATE("https://btx.brasiltrack.com/logistica/trajeto.php?idveiculo=",VLOOKUP(F145,DATAS!$A$221:$B$250,2,FALSE),"&amp;lat=-22.204247","&amp;data_ini=",TEXT(IF(E145&lt;&gt;"",IF(COUNTIF($F$2:$F145,F145)&gt;1,MAX(IF($F$1:$F144=F145,$E$1:$E144)),""),""),"DD/MM/AAAA"),"&amp;data_fim=",TEXT(E145,"DD/MM/AAAA"),"&amp;hora_inicial=",HOUR(IF(E145&lt;&gt;"",IF(COUNTIF($F$2:$F145,F145)&gt;1,MAX(IF($F$1:$F144=F145,$E$1:$E144)),""),"")),"&amp;minuto_inicial=",MINUTE(IF(E145&lt;&gt;"",IF(COUNTIF($F$2:$F145,F145)&gt;1,MAX(IF($F$1:$F144=F145,$E$1:$E144)),""),"")),"&amp;hora_final=",HOUR(E145),"&amp;minuto_final=",MINUTE(E145),"&amp;periodo=6&amp;tipo=por_data&amp;upos=false&amp;outequip=0")),"")</f>
        <v>https://btx.brasiltrack.com/logistica/trajeto.php?idveiculo=6B5F18E0-6EAE-404A-AE41-39E549361094&amp;lat=-22.204247&amp;data_ini=18/11/2022&amp;data_fim=23/11/2022&amp;hora_inicial=19&amp;minuto_inicial=28&amp;hora_final=5&amp;minuto_final=33&amp;periodo=6&amp;tipo=por_data&amp;upos=false&amp;outequip=0</v>
      </c>
      <c r="AN145" s="100" t="str">
        <f t="shared" si="17"/>
        <v xml:space="preserve">               </v>
      </c>
    </row>
    <row r="146" spans="1:40" x14ac:dyDescent="0.25">
      <c r="A146" s="81"/>
      <c r="B146" s="81"/>
      <c r="C146" s="81"/>
      <c r="D146" s="144">
        <v>44866</v>
      </c>
      <c r="E146" s="76">
        <v>44888.481249999997</v>
      </c>
      <c r="F146" s="6" t="s">
        <v>25</v>
      </c>
      <c r="G146" s="5" t="str">
        <f>IFERROR(VLOOKUP(SUMIFS(MSOLICITADA!$I:$I,MSOLICITADA!$B:$B,D146,MSOLICITADA!$F:$F,F146),CODIGOSPLACAS!$A$64:$B$89,2,FALSE),"")</f>
        <v>EDUALDO</v>
      </c>
      <c r="H146" s="77">
        <v>1003670</v>
      </c>
      <c r="I146" s="77">
        <v>1004374</v>
      </c>
      <c r="J146" s="7">
        <v>200</v>
      </c>
      <c r="K146" s="78">
        <v>1318</v>
      </c>
      <c r="L146" s="79" t="s">
        <v>111</v>
      </c>
      <c r="M146" s="6"/>
      <c r="N146" s="5">
        <f t="shared" si="13"/>
        <v>704</v>
      </c>
      <c r="O146" s="80">
        <f t="shared" si="14"/>
        <v>6.59</v>
      </c>
      <c r="P146" s="8">
        <f t="shared" si="15"/>
        <v>3.52</v>
      </c>
      <c r="Q146" s="8">
        <f t="shared" si="12"/>
        <v>1.3451195863175471</v>
      </c>
      <c r="R146" s="81">
        <f t="shared" si="16"/>
        <v>0</v>
      </c>
      <c r="S146" s="113" t="str">
        <f>IF(F146="","",IF(H146="",TEXT(_xlfn.MAXIFS($I$1:I146,$F$1:F146,F146,$H$1:H146,"&gt;"&amp;0),"000.000"),F146))</f>
        <v>QHE9735</v>
      </c>
      <c r="T146" s="81"/>
      <c r="U146" s="82"/>
      <c r="V146" s="98"/>
      <c r="W146" s="82"/>
      <c r="X146" s="98"/>
      <c r="Y146" s="82"/>
      <c r="Z146" s="98"/>
      <c r="AA146" s="82"/>
      <c r="AB146" s="98"/>
      <c r="AC146" s="82"/>
      <c r="AD146" s="98"/>
      <c r="AE146" s="117"/>
      <c r="AF146" s="98"/>
      <c r="AG146" s="98"/>
      <c r="AH146" s="98"/>
      <c r="AI146" s="82"/>
      <c r="AJ146" s="98"/>
      <c r="AK146" s="83"/>
      <c r="AL146" s="84" t="str">
        <f>IF(F146&lt;&gt;0,IF(_xlfn.MAXIFS($I$1:I146,$F$1:F146,F146,$H$1:H146,"&gt;"&amp;0)=0,"KM NÃO ENCONTRADO",IF(H146=0,CONCATENATE("SUGESTÃO DE KM PARA PLACA ",F146," *",_xlfn.MAXIFS($I$1:I146,$F$1:F146,F146,$H$1:H146,"&gt;"&amp;0),"*"),"")),"")</f>
        <v/>
      </c>
      <c r="AM146" s="85" t="str" cm="1">
        <f t="array" ref="AM146">IFERROR(IF(M146&lt;&gt;"","",CONCATENATE("https://btx.brasiltrack.com/logistica/trajeto.php?idveiculo=",VLOOKUP(F146,DATAS!$A$221:$B$250,2,FALSE),"&amp;lat=-22.204247","&amp;data_ini=",TEXT(IF(E146&lt;&gt;"",IF(COUNTIF($F$2:$F146,F146)&gt;1,MAX(IF($F$1:$F145=F146,$E$1:$E145)),""),""),"DD/MM/AAAA"),"&amp;data_fim=",TEXT(E146,"DD/MM/AAAA"),"&amp;hora_inicial=",HOUR(IF(E146&lt;&gt;"",IF(COUNTIF($F$2:$F146,F146)&gt;1,MAX(IF($F$1:$F145=F146,$E$1:$E145)),""),"")),"&amp;minuto_inicial=",MINUTE(IF(E146&lt;&gt;"",IF(COUNTIF($F$2:$F146,F146)&gt;1,MAX(IF($F$1:$F145=F146,$E$1:$E145)),""),"")),"&amp;hora_final=",HOUR(E146),"&amp;minuto_final=",MINUTE(E146),"&amp;periodo=6&amp;tipo=por_data&amp;upos=false&amp;outequip=0")),"")</f>
        <v>https://btx.brasiltrack.com/logistica/trajeto.php?idveiculo=0FD3629E-8FA4-4575-81E5-E460A4EFD545&amp;lat=-22.204247&amp;data_ini=21/11/2022&amp;data_fim=23/11/2022&amp;hora_inicial=19&amp;minuto_inicial=51&amp;hora_final=11&amp;minuto_final=33&amp;periodo=6&amp;tipo=por_data&amp;upos=false&amp;outequip=0</v>
      </c>
      <c r="AN146" s="100" t="str">
        <f t="shared" si="17"/>
        <v xml:space="preserve">               </v>
      </c>
    </row>
    <row r="147" spans="1:40" x14ac:dyDescent="0.25">
      <c r="A147" s="81"/>
      <c r="B147" s="81"/>
      <c r="C147" s="81"/>
      <c r="D147" s="144">
        <v>44866</v>
      </c>
      <c r="E147" s="76">
        <v>44888.527083333334</v>
      </c>
      <c r="F147" s="6" t="s">
        <v>33</v>
      </c>
      <c r="G147" s="5" t="str">
        <f>IFERROR(VLOOKUP(SUMIFS(MSOLICITADA!$I:$I,MSOLICITADA!$B:$B,D147,MSOLICITADA!$F:$F,F147),CODIGOSPLACAS!$A$64:$B$89,2,FALSE),"")</f>
        <v>JULIO</v>
      </c>
      <c r="H147" s="77">
        <v>157941</v>
      </c>
      <c r="I147" s="77">
        <v>158465</v>
      </c>
      <c r="J147" s="7">
        <v>243.6</v>
      </c>
      <c r="K147" s="78">
        <v>1500.56</v>
      </c>
      <c r="L147" s="79" t="s">
        <v>112</v>
      </c>
      <c r="M147" s="6"/>
      <c r="N147" s="5">
        <f t="shared" si="13"/>
        <v>524</v>
      </c>
      <c r="O147" s="80">
        <f t="shared" si="14"/>
        <v>6.1599343185550079</v>
      </c>
      <c r="P147" s="8">
        <f t="shared" si="15"/>
        <v>2.1510673234811168</v>
      </c>
      <c r="Q147" s="8">
        <f t="shared" si="12"/>
        <v>1.7415645068481733</v>
      </c>
      <c r="R147" s="81">
        <f t="shared" si="16"/>
        <v>0</v>
      </c>
      <c r="S147" s="113" t="str">
        <f>IF(F147="","",IF(H147="",TEXT(_xlfn.MAXIFS($I$1:I147,$F$1:F147,F147,$H$1:H147,"&gt;"&amp;0),"000.000"),F147))</f>
        <v>GGF7G26</v>
      </c>
      <c r="T147" s="81"/>
      <c r="U147" s="82"/>
      <c r="V147" s="98"/>
      <c r="W147" s="82"/>
      <c r="X147" s="98"/>
      <c r="Y147" s="82"/>
      <c r="Z147" s="98"/>
      <c r="AA147" s="82"/>
      <c r="AB147" s="98"/>
      <c r="AC147" s="82"/>
      <c r="AD147" s="98"/>
      <c r="AE147" s="117"/>
      <c r="AF147" s="98"/>
      <c r="AG147" s="98"/>
      <c r="AH147" s="98"/>
      <c r="AI147" s="82"/>
      <c r="AJ147" s="98"/>
      <c r="AK147" s="83"/>
      <c r="AL147" s="84" t="str">
        <f>IF(F147&lt;&gt;0,IF(_xlfn.MAXIFS($I$1:I147,$F$1:F147,F147,$H$1:H147,"&gt;"&amp;0)=0,"KM NÃO ENCONTRADO",IF(H147=0,CONCATENATE("SUGESTÃO DE KM PARA PLACA ",F147," *",_xlfn.MAXIFS($I$1:I147,$F$1:F147,F147,$H$1:H147,"&gt;"&amp;0),"*"),"")),"")</f>
        <v/>
      </c>
      <c r="AM147" s="85" t="str" cm="1">
        <f t="array" ref="AM147">IFERROR(IF(M147&lt;&gt;"","",CONCATENATE("https://btx.brasiltrack.com/logistica/trajeto.php?idveiculo=",VLOOKUP(F147,DATAS!$A$221:$B$250,2,FALSE),"&amp;lat=-22.204247","&amp;data_ini=",TEXT(IF(E147&lt;&gt;"",IF(COUNTIF($F$2:$F147,F147)&gt;1,MAX(IF($F$1:$F146=F147,$E$1:$E146)),""),""),"DD/MM/AAAA"),"&amp;data_fim=",TEXT(E147,"DD/MM/AAAA"),"&amp;hora_inicial=",HOUR(IF(E147&lt;&gt;"",IF(COUNTIF($F$2:$F147,F147)&gt;1,MAX(IF($F$1:$F146=F147,$E$1:$E146)),""),"")),"&amp;minuto_inicial=",MINUTE(IF(E147&lt;&gt;"",IF(COUNTIF($F$2:$F147,F147)&gt;1,MAX(IF($F$1:$F146=F147,$E$1:$E146)),""),"")),"&amp;hora_final=",HOUR(E147),"&amp;minuto_final=",MINUTE(E147),"&amp;periodo=6&amp;tipo=por_data&amp;upos=false&amp;outequip=0")),"")</f>
        <v>https://btx.brasiltrack.com/logistica/trajeto.php?idveiculo=4F0C2317-958D-4267-BAF8-BC4F7B6B12A1&amp;lat=-22.204247&amp;data_ini=18/11/2022&amp;data_fim=23/11/2022&amp;hora_inicial=11&amp;minuto_inicial=43&amp;hora_final=12&amp;minuto_final=39&amp;periodo=6&amp;tipo=por_data&amp;upos=false&amp;outequip=0</v>
      </c>
      <c r="AN147" s="100" t="str">
        <f t="shared" si="17"/>
        <v xml:space="preserve">               </v>
      </c>
    </row>
    <row r="148" spans="1:40" x14ac:dyDescent="0.25">
      <c r="A148" s="81"/>
      <c r="B148" s="81"/>
      <c r="C148" s="81"/>
      <c r="D148" s="144">
        <v>44866</v>
      </c>
      <c r="E148" s="76">
        <v>44888.625</v>
      </c>
      <c r="F148" s="6" t="s">
        <v>23</v>
      </c>
      <c r="G148" s="5" t="str">
        <f>IFERROR(VLOOKUP(SUMIFS(MSOLICITADA!$I:$I,MSOLICITADA!$B:$B,D148,MSOLICITADA!$F:$F,F148),CODIGOSPLACAS!$A$64:$B$89,2,FALSE),"")</f>
        <v>ISAC</v>
      </c>
      <c r="H148" s="77">
        <v>1197502</v>
      </c>
      <c r="I148" s="77">
        <v>1197925</v>
      </c>
      <c r="J148" s="7">
        <v>286.89999999999998</v>
      </c>
      <c r="K148" s="78">
        <v>1767.29</v>
      </c>
      <c r="L148" s="79" t="s">
        <v>112</v>
      </c>
      <c r="M148" s="6"/>
      <c r="N148" s="5">
        <f t="shared" si="13"/>
        <v>423</v>
      </c>
      <c r="O148" s="80">
        <f t="shared" si="14"/>
        <v>6.1599512025095855</v>
      </c>
      <c r="P148" s="8">
        <f t="shared" si="15"/>
        <v>1.4743813175322413</v>
      </c>
      <c r="Q148" s="8">
        <f t="shared" ref="Q148:Q211" si="18">IFERROR((SUMIFS(M:M,D:D,D148,F:F,F148)+SUMIFS(N:N,D:D,D148,F:F,F148)-SUMIFS(AK:AK,D:D,D148,F:F,F148))/(SUMIFS(J:J,D:D,D148,F:F,F148)-(SUMIFS(AK:AK,D:D,D148,F:F,F148)/5)),0)</f>
        <v>1.447714664858804</v>
      </c>
      <c r="R148" s="81">
        <f t="shared" si="16"/>
        <v>0</v>
      </c>
      <c r="S148" s="113" t="str">
        <f>IF(F148="","",IF(H148="",TEXT(_xlfn.MAXIFS($I$1:I148,$F$1:F148,F148,$H$1:H148,"&gt;"&amp;0),"000.000"),F148))</f>
        <v>HNC7I76</v>
      </c>
      <c r="T148" s="81"/>
      <c r="U148" s="82"/>
      <c r="V148" s="98"/>
      <c r="W148" s="82"/>
      <c r="X148" s="98"/>
      <c r="Y148" s="82"/>
      <c r="Z148" s="98"/>
      <c r="AA148" s="82"/>
      <c r="AB148" s="98"/>
      <c r="AC148" s="82"/>
      <c r="AD148" s="98"/>
      <c r="AE148" s="117"/>
      <c r="AF148" s="98"/>
      <c r="AG148" s="98"/>
      <c r="AH148" s="98"/>
      <c r="AI148" s="82"/>
      <c r="AJ148" s="98"/>
      <c r="AK148" s="83"/>
      <c r="AL148" s="84" t="str">
        <f>IF(F148&lt;&gt;0,IF(_xlfn.MAXIFS($I$1:I148,$F$1:F148,F148,$H$1:H148,"&gt;"&amp;0)=0,"KM NÃO ENCONTRADO",IF(H148=0,CONCATENATE("SUGESTÃO DE KM PARA PLACA ",F148," *",_xlfn.MAXIFS($I$1:I148,$F$1:F148,F148,$H$1:H148,"&gt;"&amp;0),"*"),"")),"")</f>
        <v/>
      </c>
      <c r="AM148" s="85" t="str" cm="1">
        <f t="array" ref="AM148">IFERROR(IF(M148&lt;&gt;"","",CONCATENATE("https://btx.brasiltrack.com/logistica/trajeto.php?idveiculo=",VLOOKUP(F148,DATAS!$A$221:$B$250,2,FALSE),"&amp;lat=-22.204247","&amp;data_ini=",TEXT(IF(E148&lt;&gt;"",IF(COUNTIF($F$2:$F148,F148)&gt;1,MAX(IF($F$1:$F147=F148,$E$1:$E147)),""),""),"DD/MM/AAAA"),"&amp;data_fim=",TEXT(E148,"DD/MM/AAAA"),"&amp;hora_inicial=",HOUR(IF(E148&lt;&gt;"",IF(COUNTIF($F$2:$F148,F148)&gt;1,MAX(IF($F$1:$F147=F148,$E$1:$E147)),""),"")),"&amp;minuto_inicial=",MINUTE(IF(E148&lt;&gt;"",IF(COUNTIF($F$2:$F148,F148)&gt;1,MAX(IF($F$1:$F147=F148,$E$1:$E147)),""),"")),"&amp;hora_final=",HOUR(E148),"&amp;minuto_final=",MINUTE(E148),"&amp;periodo=6&amp;tipo=por_data&amp;upos=false&amp;outequip=0")),"")</f>
        <v>https://btx.brasiltrack.com/logistica/trajeto.php?idveiculo=B05A8E44-5DA1-4128-83F0-8DDE6CB8291B&amp;lat=-22.204247&amp;data_ini=22/11/2022&amp;data_fim=23/11/2022&amp;hora_inicial=22&amp;minuto_inicial=51&amp;hora_final=15&amp;minuto_final=0&amp;periodo=6&amp;tipo=por_data&amp;upos=false&amp;outequip=0</v>
      </c>
      <c r="AN148" s="100" t="str">
        <f t="shared" si="17"/>
        <v xml:space="preserve">               </v>
      </c>
    </row>
    <row r="149" spans="1:40" x14ac:dyDescent="0.25">
      <c r="A149" s="81"/>
      <c r="B149" s="81"/>
      <c r="C149" s="81"/>
      <c r="D149" s="144">
        <v>44866</v>
      </c>
      <c r="E149" s="76">
        <v>44888.6875</v>
      </c>
      <c r="F149" s="6" t="s">
        <v>27</v>
      </c>
      <c r="G149" s="5" t="str">
        <f>IFERROR(VLOOKUP(SUMIFS(MSOLICITADA!$I:$I,MSOLICITADA!$B:$B,D149,MSOLICITADA!$F:$F,F149),CODIGOSPLACAS!$A$64:$B$89,2,FALSE),"")</f>
        <v>ANTONIO</v>
      </c>
      <c r="H149" s="77">
        <v>238680</v>
      </c>
      <c r="I149" s="77">
        <v>239208</v>
      </c>
      <c r="J149" s="7">
        <v>367.8</v>
      </c>
      <c r="K149" s="78">
        <v>2265.63</v>
      </c>
      <c r="L149" s="79" t="s">
        <v>112</v>
      </c>
      <c r="M149" s="6"/>
      <c r="N149" s="5">
        <f t="shared" si="13"/>
        <v>528</v>
      </c>
      <c r="O149" s="80">
        <f t="shared" si="14"/>
        <v>6.1599510603588907</v>
      </c>
      <c r="P149" s="8">
        <f t="shared" si="15"/>
        <v>1.435562805872757</v>
      </c>
      <c r="Q149" s="8">
        <f t="shared" si="18"/>
        <v>1.4461676128873802</v>
      </c>
      <c r="R149" s="81">
        <f t="shared" si="16"/>
        <v>0</v>
      </c>
      <c r="S149" s="113" t="str">
        <f>IF(F149="","",IF(H149="",TEXT(_xlfn.MAXIFS($I$1:I149,$F$1:F149,F149,$H$1:H149,"&gt;"&amp;0),"000.000"),F149))</f>
        <v>GHS4J57</v>
      </c>
      <c r="T149" s="81"/>
      <c r="U149" s="82"/>
      <c r="V149" s="98"/>
      <c r="W149" s="82"/>
      <c r="X149" s="98"/>
      <c r="Y149" s="82"/>
      <c r="Z149" s="98"/>
      <c r="AA149" s="82"/>
      <c r="AB149" s="98"/>
      <c r="AC149" s="82"/>
      <c r="AD149" s="98"/>
      <c r="AE149" s="117"/>
      <c r="AF149" s="98"/>
      <c r="AG149" s="98"/>
      <c r="AH149" s="98"/>
      <c r="AI149" s="82"/>
      <c r="AJ149" s="98"/>
      <c r="AK149" s="83"/>
      <c r="AL149" s="84" t="str">
        <f>IF(F149&lt;&gt;0,IF(_xlfn.MAXIFS($I$1:I149,$F$1:F149,F149,$H$1:H149,"&gt;"&amp;0)=0,"KM NÃO ENCONTRADO",IF(H149=0,CONCATENATE("SUGESTÃO DE KM PARA PLACA ",F149," *",_xlfn.MAXIFS($I$1:I149,$F$1:F149,F149,$H$1:H149,"&gt;"&amp;0),"*"),"")),"")</f>
        <v/>
      </c>
      <c r="AM149" s="85" t="str" cm="1">
        <f t="array" ref="AM149">IFERROR(IF(M149&lt;&gt;"","",CONCATENATE("https://btx.brasiltrack.com/logistica/trajeto.php?idveiculo=",VLOOKUP(F149,DATAS!$A$221:$B$250,2,FALSE),"&amp;lat=-22.204247","&amp;data_ini=",TEXT(IF(E149&lt;&gt;"",IF(COUNTIF($F$2:$F149,F149)&gt;1,MAX(IF($F$1:$F148=F149,$E$1:$E148)),""),""),"DD/MM/AAAA"),"&amp;data_fim=",TEXT(E149,"DD/MM/AAAA"),"&amp;hora_inicial=",HOUR(IF(E149&lt;&gt;"",IF(COUNTIF($F$2:$F149,F149)&gt;1,MAX(IF($F$1:$F148=F149,$E$1:$E148)),""),"")),"&amp;minuto_inicial=",MINUTE(IF(E149&lt;&gt;"",IF(COUNTIF($F$2:$F149,F149)&gt;1,MAX(IF($F$1:$F148=F149,$E$1:$E148)),""),"")),"&amp;hora_final=",HOUR(E149),"&amp;minuto_final=",MINUTE(E149),"&amp;periodo=6&amp;tipo=por_data&amp;upos=false&amp;outequip=0")),"")</f>
        <v>https://btx.brasiltrack.com/logistica/trajeto.php?idveiculo=17ED636C-5A71-44D5-AF3C-192D3DA6CDD1&amp;lat=-22.204247&amp;data_ini=21/11/2022&amp;data_fim=23/11/2022&amp;hora_inicial=19&amp;minuto_inicial=41&amp;hora_final=16&amp;minuto_final=30&amp;periodo=6&amp;tipo=por_data&amp;upos=false&amp;outequip=0</v>
      </c>
      <c r="AN149" s="100" t="str">
        <f t="shared" si="17"/>
        <v xml:space="preserve">               </v>
      </c>
    </row>
    <row r="150" spans="1:40" x14ac:dyDescent="0.25">
      <c r="A150" s="81"/>
      <c r="B150" s="81"/>
      <c r="C150" s="81"/>
      <c r="D150" s="144">
        <v>44866</v>
      </c>
      <c r="E150" s="76">
        <v>44888.773611111108</v>
      </c>
      <c r="F150" s="6" t="s">
        <v>131</v>
      </c>
      <c r="G150" s="5" t="str">
        <f>IFERROR(VLOOKUP(SUMIFS(MSOLICITADA!$I:$I,MSOLICITADA!$B:$B,D150,MSOLICITADA!$F:$F,F150),CODIGOSPLACAS!$A$64:$B$89,2,FALSE),"")</f>
        <v>ALTIELIS</v>
      </c>
      <c r="H150" s="77">
        <v>36605</v>
      </c>
      <c r="I150" s="77">
        <v>37112</v>
      </c>
      <c r="J150" s="7">
        <v>374.69</v>
      </c>
      <c r="K150" s="78">
        <v>2491.6799999999998</v>
      </c>
      <c r="L150" s="79" t="s">
        <v>111</v>
      </c>
      <c r="M150" s="6"/>
      <c r="N150" s="5">
        <f t="shared" si="13"/>
        <v>507</v>
      </c>
      <c r="O150" s="80">
        <f t="shared" si="14"/>
        <v>6.6499773145800525</v>
      </c>
      <c r="P150" s="8">
        <f t="shared" si="15"/>
        <v>1.3531185780245003</v>
      </c>
      <c r="Q150" s="8">
        <f t="shared" si="18"/>
        <v>1.4985018243623649</v>
      </c>
      <c r="R150" s="81">
        <f t="shared" si="16"/>
        <v>0</v>
      </c>
      <c r="S150" s="113" t="str">
        <f>IF(F150="","",IF(H150="",TEXT(_xlfn.MAXIFS($I$1:I150,$F$1:F150,F150,$H$1:H150,"&gt;"&amp;0),"000.000"),F150))</f>
        <v>GGN4J86</v>
      </c>
      <c r="T150" s="81"/>
      <c r="U150" s="82"/>
      <c r="V150" s="98"/>
      <c r="W150" s="82"/>
      <c r="X150" s="98"/>
      <c r="Y150" s="82"/>
      <c r="Z150" s="98"/>
      <c r="AA150" s="82"/>
      <c r="AB150" s="98"/>
      <c r="AC150" s="82"/>
      <c r="AD150" s="98"/>
      <c r="AE150" s="117"/>
      <c r="AF150" s="98"/>
      <c r="AG150" s="98"/>
      <c r="AH150" s="98"/>
      <c r="AI150" s="82"/>
      <c r="AJ150" s="98"/>
      <c r="AK150" s="83"/>
      <c r="AL150" s="84" t="str">
        <f>IF(F150&lt;&gt;0,IF(_xlfn.MAXIFS($I$1:I150,$F$1:F150,F150,$H$1:H150,"&gt;"&amp;0)=0,"KM NÃO ENCONTRADO",IF(H150=0,CONCATENATE("SUGESTÃO DE KM PARA PLACA ",F150," *",_xlfn.MAXIFS($I$1:I150,$F$1:F150,F150,$H$1:H150,"&gt;"&amp;0),"*"),"")),"")</f>
        <v/>
      </c>
      <c r="AM150" s="85" t="str" cm="1">
        <f t="array" ref="AM150">IFERROR(IF(M150&lt;&gt;"","",CONCATENATE("https://btx.brasiltrack.com/logistica/trajeto.php?idveiculo=",VLOOKUP(F150,DATAS!$A$221:$B$250,2,FALSE),"&amp;lat=-22.204247","&amp;data_ini=",TEXT(IF(E150&lt;&gt;"",IF(COUNTIF($F$2:$F150,F150)&gt;1,MAX(IF($F$1:$F149=F150,$E$1:$E149)),""),""),"DD/MM/AAAA"),"&amp;data_fim=",TEXT(E150,"DD/MM/AAAA"),"&amp;hora_inicial=",HOUR(IF(E150&lt;&gt;"",IF(COUNTIF($F$2:$F150,F150)&gt;1,MAX(IF($F$1:$F149=F150,$E$1:$E149)),""),"")),"&amp;minuto_inicial=",MINUTE(IF(E150&lt;&gt;"",IF(COUNTIF($F$2:$F150,F150)&gt;1,MAX(IF($F$1:$F149=F150,$E$1:$E149)),""),"")),"&amp;hora_final=",HOUR(E150),"&amp;minuto_final=",MINUTE(E150),"&amp;periodo=6&amp;tipo=por_data&amp;upos=false&amp;outequip=0")),"")</f>
        <v>https://btx.brasiltrack.com/logistica/trajeto.php?idveiculo=0C13AEC3-426E-4E1A-A62E-C4BA625F41E7&amp;lat=-22.204247&amp;data_ini=22/11/2022&amp;data_fim=23/11/2022&amp;hora_inicial=13&amp;minuto_inicial=23&amp;hora_final=18&amp;minuto_final=34&amp;periodo=6&amp;tipo=por_data&amp;upos=false&amp;outequip=0</v>
      </c>
      <c r="AN150" s="100" t="str">
        <f t="shared" si="17"/>
        <v xml:space="preserve">               </v>
      </c>
    </row>
    <row r="151" spans="1:40" x14ac:dyDescent="0.25">
      <c r="A151" s="81"/>
      <c r="B151" s="81"/>
      <c r="C151" s="81"/>
      <c r="D151" s="144">
        <v>44866</v>
      </c>
      <c r="E151" s="76">
        <v>44888.799305555556</v>
      </c>
      <c r="F151" s="6" t="s">
        <v>128</v>
      </c>
      <c r="G151" s="5" t="str">
        <f>IFERROR(VLOOKUP(SUMIFS(MSOLICITADA!$I:$I,MSOLICITADA!$B:$B,D151,MSOLICITADA!$F:$F,F151),CODIGOSPLACAS!$A$64:$B$89,2,FALSE),"")</f>
        <v>ELI RICARDO</v>
      </c>
      <c r="H151" s="77">
        <v>83191</v>
      </c>
      <c r="I151" s="77">
        <v>83729</v>
      </c>
      <c r="J151" s="7">
        <v>333</v>
      </c>
      <c r="K151" s="78">
        <v>2134.5300000000002</v>
      </c>
      <c r="L151" s="79" t="s">
        <v>111</v>
      </c>
      <c r="M151" s="6"/>
      <c r="N151" s="5">
        <f t="shared" si="13"/>
        <v>538</v>
      </c>
      <c r="O151" s="80">
        <f t="shared" si="14"/>
        <v>6.410000000000001</v>
      </c>
      <c r="P151" s="8">
        <f t="shared" si="15"/>
        <v>1.6156156156156156</v>
      </c>
      <c r="Q151" s="8">
        <f t="shared" si="18"/>
        <v>1.6394783012697074</v>
      </c>
      <c r="R151" s="81">
        <f t="shared" si="16"/>
        <v>0</v>
      </c>
      <c r="S151" s="113" t="str">
        <f>IF(F151="","",IF(H151="",TEXT(_xlfn.MAXIFS($I$1:I151,$F$1:F151,F151,$H$1:H151,"&gt;"&amp;0),"000.000"),F151))</f>
        <v>GFR0D47</v>
      </c>
      <c r="T151" s="81"/>
      <c r="U151" s="82"/>
      <c r="V151" s="98"/>
      <c r="W151" s="82"/>
      <c r="X151" s="98"/>
      <c r="Y151" s="82"/>
      <c r="Z151" s="98"/>
      <c r="AA151" s="82"/>
      <c r="AB151" s="98"/>
      <c r="AC151" s="82"/>
      <c r="AD151" s="98"/>
      <c r="AE151" s="117"/>
      <c r="AF151" s="98"/>
      <c r="AG151" s="98"/>
      <c r="AH151" s="98"/>
      <c r="AI151" s="82"/>
      <c r="AJ151" s="98"/>
      <c r="AK151" s="83"/>
      <c r="AL151" s="84" t="str">
        <f>IF(F151&lt;&gt;0,IF(_xlfn.MAXIFS($I$1:I151,$F$1:F151,F151,$H$1:H151,"&gt;"&amp;0)=0,"KM NÃO ENCONTRADO",IF(H151=0,CONCATENATE("SUGESTÃO DE KM PARA PLACA ",F151," *",_xlfn.MAXIFS($I$1:I151,$F$1:F151,F151,$H$1:H151,"&gt;"&amp;0),"*"),"")),"")</f>
        <v/>
      </c>
      <c r="AM151" s="85" t="str" cm="1">
        <f t="array" ref="AM151">IFERROR(IF(M151&lt;&gt;"","",CONCATENATE("https://btx.brasiltrack.com/logistica/trajeto.php?idveiculo=",VLOOKUP(F151,DATAS!$A$221:$B$250,2,FALSE),"&amp;lat=-22.204247","&amp;data_ini=",TEXT(IF(E151&lt;&gt;"",IF(COUNTIF($F$2:$F151,F151)&gt;1,MAX(IF($F$1:$F150=F151,$E$1:$E150)),""),""),"DD/MM/AAAA"),"&amp;data_fim=",TEXT(E151,"DD/MM/AAAA"),"&amp;hora_inicial=",HOUR(IF(E151&lt;&gt;"",IF(COUNTIF($F$2:$F151,F151)&gt;1,MAX(IF($F$1:$F150=F151,$E$1:$E150)),""),"")),"&amp;minuto_inicial=",MINUTE(IF(E151&lt;&gt;"",IF(COUNTIF($F$2:$F151,F151)&gt;1,MAX(IF($F$1:$F150=F151,$E$1:$E150)),""),"")),"&amp;hora_final=",HOUR(E151),"&amp;minuto_final=",MINUTE(E151),"&amp;periodo=6&amp;tipo=por_data&amp;upos=false&amp;outequip=0")),"")</f>
        <v>https://btx.brasiltrack.com/logistica/trajeto.php?idveiculo=D171D77B-7EEE-4B8A-AB93-163C02819566&amp;lat=-22.204247&amp;data_ini=23/11/2022&amp;data_fim=23/11/2022&amp;hora_inicial=1&amp;minuto_inicial=1&amp;hora_final=19&amp;minuto_final=11&amp;periodo=6&amp;tipo=por_data&amp;upos=false&amp;outequip=0</v>
      </c>
      <c r="AN151" s="100" t="str">
        <f t="shared" si="17"/>
        <v xml:space="preserve">               </v>
      </c>
    </row>
    <row r="152" spans="1:40" x14ac:dyDescent="0.25">
      <c r="A152" s="81"/>
      <c r="B152" s="81"/>
      <c r="C152" s="81"/>
      <c r="D152" s="144">
        <v>44866</v>
      </c>
      <c r="E152" s="76">
        <v>44888.840277777781</v>
      </c>
      <c r="F152" s="6" t="s">
        <v>28</v>
      </c>
      <c r="G152" s="5" t="str">
        <f>IFERROR(VLOOKUP(SUMIFS(MSOLICITADA!$I:$I,MSOLICITADA!$B:$B,D152,MSOLICITADA!$F:$F,F152),CODIGOSPLACAS!$A$64:$B$89,2,FALSE),"")</f>
        <v>RONY</v>
      </c>
      <c r="H152" s="77">
        <v>234921</v>
      </c>
      <c r="I152" s="77">
        <v>235784</v>
      </c>
      <c r="J152" s="7">
        <v>645</v>
      </c>
      <c r="K152" s="78">
        <v>4134.45</v>
      </c>
      <c r="L152" s="79" t="s">
        <v>111</v>
      </c>
      <c r="M152" s="6"/>
      <c r="N152" s="5">
        <f t="shared" si="13"/>
        <v>863</v>
      </c>
      <c r="O152" s="80">
        <f t="shared" si="14"/>
        <v>6.41</v>
      </c>
      <c r="P152" s="8">
        <f t="shared" si="15"/>
        <v>1.337984496124031</v>
      </c>
      <c r="Q152" s="8">
        <f t="shared" si="18"/>
        <v>1.398271770983244</v>
      </c>
      <c r="R152" s="81">
        <f t="shared" si="16"/>
        <v>0</v>
      </c>
      <c r="S152" s="113" t="str">
        <f>IF(F152="","",IF(H152="",TEXT(_xlfn.MAXIFS($I$1:I152,$F$1:F152,F152,$H$1:H152,"&gt;"&amp;0),"000.000"),F152))</f>
        <v>FZA3E94</v>
      </c>
      <c r="T152" s="81"/>
      <c r="U152" s="82"/>
      <c r="V152" s="98"/>
      <c r="W152" s="82"/>
      <c r="X152" s="98"/>
      <c r="Y152" s="82"/>
      <c r="Z152" s="98"/>
      <c r="AA152" s="82"/>
      <c r="AB152" s="98"/>
      <c r="AC152" s="82"/>
      <c r="AD152" s="98"/>
      <c r="AE152" s="117"/>
      <c r="AF152" s="98"/>
      <c r="AG152" s="98"/>
      <c r="AH152" s="98"/>
      <c r="AI152" s="82"/>
      <c r="AJ152" s="98"/>
      <c r="AK152" s="83"/>
      <c r="AL152" s="84" t="str">
        <f>IF(F152&lt;&gt;0,IF(_xlfn.MAXIFS($I$1:I152,$F$1:F152,F152,$H$1:H152,"&gt;"&amp;0)=0,"KM NÃO ENCONTRADO",IF(H152=0,CONCATENATE("SUGESTÃO DE KM PARA PLACA ",F152," *",_xlfn.MAXIFS($I$1:I152,$F$1:F152,F152,$H$1:H152,"&gt;"&amp;0),"*"),"")),"")</f>
        <v/>
      </c>
      <c r="AM152" s="85" t="str" cm="1">
        <f t="array" ref="AM152">IFERROR(IF(M152&lt;&gt;"","",CONCATENATE("https://btx.brasiltrack.com/logistica/trajeto.php?idveiculo=",VLOOKUP(F152,DATAS!$A$221:$B$250,2,FALSE),"&amp;lat=-22.204247","&amp;data_ini=",TEXT(IF(E152&lt;&gt;"",IF(COUNTIF($F$2:$F152,F152)&gt;1,MAX(IF($F$1:$F151=F152,$E$1:$E151)),""),""),"DD/MM/AAAA"),"&amp;data_fim=",TEXT(E152,"DD/MM/AAAA"),"&amp;hora_inicial=",HOUR(IF(E152&lt;&gt;"",IF(COUNTIF($F$2:$F152,F152)&gt;1,MAX(IF($F$1:$F151=F152,$E$1:$E151)),""),"")),"&amp;minuto_inicial=",MINUTE(IF(E152&lt;&gt;"",IF(COUNTIF($F$2:$F152,F152)&gt;1,MAX(IF($F$1:$F151=F152,$E$1:$E151)),""),"")),"&amp;hora_final=",HOUR(E152),"&amp;minuto_final=",MINUTE(E152),"&amp;periodo=6&amp;tipo=por_data&amp;upos=false&amp;outequip=0")),"")</f>
        <v>https://btx.brasiltrack.com/logistica/trajeto.php?idveiculo=4DFC6CC2-BC04-4FE8-81DF-C3A3882D850D&amp;lat=-22.204247&amp;data_ini=22/11/2022&amp;data_fim=23/11/2022&amp;hora_inicial=6&amp;minuto_inicial=50&amp;hora_final=20&amp;minuto_final=10&amp;periodo=6&amp;tipo=por_data&amp;upos=false&amp;outequip=0</v>
      </c>
      <c r="AN152" s="100" t="str">
        <f t="shared" si="17"/>
        <v xml:space="preserve">               </v>
      </c>
    </row>
    <row r="153" spans="1:40" x14ac:dyDescent="0.25">
      <c r="A153" s="81"/>
      <c r="B153" s="81"/>
      <c r="C153" s="81"/>
      <c r="D153" s="144">
        <v>44866</v>
      </c>
      <c r="E153" s="76">
        <v>44888.883333333331</v>
      </c>
      <c r="F153" s="6" t="s">
        <v>25</v>
      </c>
      <c r="G153" s="5" t="str">
        <f>IFERROR(VLOOKUP(SUMIFS(MSOLICITADA!$I:$I,MSOLICITADA!$B:$B,D153,MSOLICITADA!$F:$F,F153),CODIGOSPLACAS!$A$64:$B$89,2,FALSE),"")</f>
        <v>EDUALDO</v>
      </c>
      <c r="H153" s="77">
        <v>1004374</v>
      </c>
      <c r="I153" s="77">
        <v>1004472</v>
      </c>
      <c r="J153" s="7">
        <v>455.01</v>
      </c>
      <c r="K153" s="78">
        <v>2884.76</v>
      </c>
      <c r="L153" s="79" t="s">
        <v>111</v>
      </c>
      <c r="M153" s="6"/>
      <c r="N153" s="5">
        <f t="shared" si="13"/>
        <v>98</v>
      </c>
      <c r="O153" s="80">
        <f t="shared" si="14"/>
        <v>6.3399925276367561</v>
      </c>
      <c r="P153" s="8">
        <f t="shared" si="15"/>
        <v>0.21537988176084041</v>
      </c>
      <c r="Q153" s="8">
        <f t="shared" si="18"/>
        <v>1.3451195863175471</v>
      </c>
      <c r="R153" s="81">
        <f t="shared" si="16"/>
        <v>0</v>
      </c>
      <c r="S153" s="113" t="str">
        <f>IF(F153="","",IF(H153="",TEXT(_xlfn.MAXIFS($I$1:I153,$F$1:F153,F153,$H$1:H153,"&gt;"&amp;0),"000.000"),F153))</f>
        <v>QHE9735</v>
      </c>
      <c r="T153" s="81"/>
      <c r="U153" s="82"/>
      <c r="V153" s="98"/>
      <c r="W153" s="82"/>
      <c r="X153" s="98"/>
      <c r="Y153" s="82"/>
      <c r="Z153" s="98"/>
      <c r="AA153" s="82"/>
      <c r="AB153" s="98"/>
      <c r="AC153" s="82"/>
      <c r="AD153" s="98"/>
      <c r="AE153" s="117"/>
      <c r="AF153" s="98"/>
      <c r="AG153" s="98"/>
      <c r="AH153" s="98"/>
      <c r="AI153" s="82"/>
      <c r="AJ153" s="98"/>
      <c r="AK153" s="83"/>
      <c r="AL153" s="84" t="str">
        <f>IF(F153&lt;&gt;0,IF(_xlfn.MAXIFS($I$1:I153,$F$1:F153,F153,$H$1:H153,"&gt;"&amp;0)=0,"KM NÃO ENCONTRADO",IF(H153=0,CONCATENATE("SUGESTÃO DE KM PARA PLACA ",F153," *",_xlfn.MAXIFS($I$1:I153,$F$1:F153,F153,$H$1:H153,"&gt;"&amp;0),"*"),"")),"")</f>
        <v/>
      </c>
      <c r="AM153" s="85" t="str" cm="1">
        <f t="array" ref="AM153">IFERROR(IF(M153&lt;&gt;"","",CONCATENATE("https://btx.brasiltrack.com/logistica/trajeto.php?idveiculo=",VLOOKUP(F153,DATAS!$A$221:$B$250,2,FALSE),"&amp;lat=-22.204247","&amp;data_ini=",TEXT(IF(E153&lt;&gt;"",IF(COUNTIF($F$2:$F153,F153)&gt;1,MAX(IF($F$1:$F152=F153,$E$1:$E152)),""),""),"DD/MM/AAAA"),"&amp;data_fim=",TEXT(E153,"DD/MM/AAAA"),"&amp;hora_inicial=",HOUR(IF(E153&lt;&gt;"",IF(COUNTIF($F$2:$F153,F153)&gt;1,MAX(IF($F$1:$F152=F153,$E$1:$E152)),""),"")),"&amp;minuto_inicial=",MINUTE(IF(E153&lt;&gt;"",IF(COUNTIF($F$2:$F153,F153)&gt;1,MAX(IF($F$1:$F152=F153,$E$1:$E152)),""),"")),"&amp;hora_final=",HOUR(E153),"&amp;minuto_final=",MINUTE(E153),"&amp;periodo=6&amp;tipo=por_data&amp;upos=false&amp;outequip=0")),"")</f>
        <v>https://btx.brasiltrack.com/logistica/trajeto.php?idveiculo=0FD3629E-8FA4-4575-81E5-E460A4EFD545&amp;lat=-22.204247&amp;data_ini=23/11/2022&amp;data_fim=23/11/2022&amp;hora_inicial=11&amp;minuto_inicial=33&amp;hora_final=21&amp;minuto_final=12&amp;periodo=6&amp;tipo=por_data&amp;upos=false&amp;outequip=0</v>
      </c>
      <c r="AN153" s="100" t="str">
        <f t="shared" si="17"/>
        <v xml:space="preserve">               </v>
      </c>
    </row>
    <row r="154" spans="1:40" x14ac:dyDescent="0.25">
      <c r="A154" s="81"/>
      <c r="B154" s="81"/>
      <c r="C154" s="81"/>
      <c r="D154" s="144">
        <v>44866</v>
      </c>
      <c r="E154" s="76">
        <v>44888.911111111112</v>
      </c>
      <c r="F154" s="6" t="s">
        <v>23</v>
      </c>
      <c r="G154" s="5" t="str">
        <f>IFERROR(VLOOKUP(SUMIFS(MSOLICITADA!$I:$I,MSOLICITADA!$B:$B,D154,MSOLICITADA!$F:$F,F154),CODIGOSPLACAS!$A$64:$B$89,2,FALSE),"")</f>
        <v>ISAC</v>
      </c>
      <c r="H154" s="77">
        <v>1197925</v>
      </c>
      <c r="I154" s="77">
        <v>1198176</v>
      </c>
      <c r="J154" s="7">
        <v>163</v>
      </c>
      <c r="K154" s="78">
        <v>1044.83</v>
      </c>
      <c r="L154" s="79" t="s">
        <v>111</v>
      </c>
      <c r="M154" s="6"/>
      <c r="N154" s="5">
        <f t="shared" si="13"/>
        <v>251</v>
      </c>
      <c r="O154" s="80">
        <f t="shared" si="14"/>
        <v>6.4099999999999993</v>
      </c>
      <c r="P154" s="8">
        <f t="shared" si="15"/>
        <v>1.5398773006134969</v>
      </c>
      <c r="Q154" s="8">
        <f t="shared" si="18"/>
        <v>1.447714664858804</v>
      </c>
      <c r="R154" s="81">
        <f t="shared" si="16"/>
        <v>0</v>
      </c>
      <c r="S154" s="113" t="str">
        <f>IF(F154="","",IF(H154="",TEXT(_xlfn.MAXIFS($I$1:I154,$F$1:F154,F154,$H$1:H154,"&gt;"&amp;0),"000.000"),F154))</f>
        <v>HNC7I76</v>
      </c>
      <c r="T154" s="81"/>
      <c r="U154" s="82"/>
      <c r="V154" s="98"/>
      <c r="W154" s="82"/>
      <c r="X154" s="98"/>
      <c r="Y154" s="82"/>
      <c r="Z154" s="98"/>
      <c r="AA154" s="82"/>
      <c r="AB154" s="98"/>
      <c r="AC154" s="82"/>
      <c r="AD154" s="98"/>
      <c r="AE154" s="117"/>
      <c r="AF154" s="98"/>
      <c r="AG154" s="98"/>
      <c r="AH154" s="98"/>
      <c r="AI154" s="82"/>
      <c r="AJ154" s="98"/>
      <c r="AK154" s="83"/>
      <c r="AL154" s="84" t="str">
        <f>IF(F154&lt;&gt;0,IF(_xlfn.MAXIFS($I$1:I154,$F$1:F154,F154,$H$1:H154,"&gt;"&amp;0)=0,"KM NÃO ENCONTRADO",IF(H154=0,CONCATENATE("SUGESTÃO DE KM PARA PLACA ",F154," *",_xlfn.MAXIFS($I$1:I154,$F$1:F154,F154,$H$1:H154,"&gt;"&amp;0),"*"),"")),"")</f>
        <v/>
      </c>
      <c r="AM154" s="85" t="str" cm="1">
        <f t="array" ref="AM154">IFERROR(IF(M154&lt;&gt;"","",CONCATENATE("https://btx.brasiltrack.com/logistica/trajeto.php?idveiculo=",VLOOKUP(F154,DATAS!$A$221:$B$250,2,FALSE),"&amp;lat=-22.204247","&amp;data_ini=",TEXT(IF(E154&lt;&gt;"",IF(COUNTIF($F$2:$F154,F154)&gt;1,MAX(IF($F$1:$F153=F154,$E$1:$E153)),""),""),"DD/MM/AAAA"),"&amp;data_fim=",TEXT(E154,"DD/MM/AAAA"),"&amp;hora_inicial=",HOUR(IF(E154&lt;&gt;"",IF(COUNTIF($F$2:$F154,F154)&gt;1,MAX(IF($F$1:$F153=F154,$E$1:$E153)),""),"")),"&amp;minuto_inicial=",MINUTE(IF(E154&lt;&gt;"",IF(COUNTIF($F$2:$F154,F154)&gt;1,MAX(IF($F$1:$F153=F154,$E$1:$E153)),""),"")),"&amp;hora_final=",HOUR(E154),"&amp;minuto_final=",MINUTE(E154),"&amp;periodo=6&amp;tipo=por_data&amp;upos=false&amp;outequip=0")),"")</f>
        <v>https://btx.brasiltrack.com/logistica/trajeto.php?idveiculo=B05A8E44-5DA1-4128-83F0-8DDE6CB8291B&amp;lat=-22.204247&amp;data_ini=23/11/2022&amp;data_fim=23/11/2022&amp;hora_inicial=15&amp;minuto_inicial=0&amp;hora_final=21&amp;minuto_final=52&amp;periodo=6&amp;tipo=por_data&amp;upos=false&amp;outequip=0</v>
      </c>
      <c r="AN154" s="100" t="str">
        <f t="shared" si="17"/>
        <v xml:space="preserve">               </v>
      </c>
    </row>
    <row r="155" spans="1:40" x14ac:dyDescent="0.25">
      <c r="A155" s="81"/>
      <c r="B155" s="81"/>
      <c r="C155" s="81"/>
      <c r="D155" s="144">
        <v>44866</v>
      </c>
      <c r="E155" s="76">
        <v>44888.915277777778</v>
      </c>
      <c r="F155" s="6" t="s">
        <v>24</v>
      </c>
      <c r="G155" s="5" t="str">
        <f>IFERROR(VLOOKUP(SUMIFS(MSOLICITADA!$I:$I,MSOLICITADA!$B:$B,D155,MSOLICITADA!$F:$F,F155),CODIGOSPLACAS!$A$64:$B$89,2,FALSE),"")</f>
        <v>PAULO HENR.</v>
      </c>
      <c r="H155" s="77">
        <v>940172</v>
      </c>
      <c r="I155" s="77">
        <v>940781</v>
      </c>
      <c r="J155" s="7">
        <v>500</v>
      </c>
      <c r="K155" s="78">
        <v>3205.32</v>
      </c>
      <c r="L155" s="79" t="s">
        <v>111</v>
      </c>
      <c r="M155" s="6"/>
      <c r="N155" s="5">
        <f t="shared" si="13"/>
        <v>609</v>
      </c>
      <c r="O155" s="80">
        <f t="shared" si="14"/>
        <v>6.4106399999999999</v>
      </c>
      <c r="P155" s="8">
        <f t="shared" si="15"/>
        <v>1.218</v>
      </c>
      <c r="Q155" s="8">
        <f t="shared" si="18"/>
        <v>1.4770603223392504</v>
      </c>
      <c r="R155" s="81">
        <f t="shared" si="16"/>
        <v>0</v>
      </c>
      <c r="S155" s="113" t="str">
        <f>IF(F155="","",IF(H155="",TEXT(_xlfn.MAXIFS($I$1:I155,$F$1:F155,F155,$H$1:H155,"&gt;"&amp;0),"000.000"),F155))</f>
        <v>FKS0J24</v>
      </c>
      <c r="T155" s="81"/>
      <c r="U155" s="82"/>
      <c r="V155" s="98"/>
      <c r="W155" s="82"/>
      <c r="X155" s="98"/>
      <c r="Y155" s="82"/>
      <c r="Z155" s="98"/>
      <c r="AA155" s="82"/>
      <c r="AB155" s="98"/>
      <c r="AC155" s="82"/>
      <c r="AD155" s="98"/>
      <c r="AE155" s="117"/>
      <c r="AF155" s="98"/>
      <c r="AG155" s="98"/>
      <c r="AH155" s="98"/>
      <c r="AI155" s="82"/>
      <c r="AJ155" s="98"/>
      <c r="AK155" s="83"/>
      <c r="AL155" s="84" t="str">
        <f>IF(F155&lt;&gt;0,IF(_xlfn.MAXIFS($I$1:I155,$F$1:F155,F155,$H$1:H155,"&gt;"&amp;0)=0,"KM NÃO ENCONTRADO",IF(H155=0,CONCATENATE("SUGESTÃO DE KM PARA PLACA ",F155," *",_xlfn.MAXIFS($I$1:I155,$F$1:F155,F155,$H$1:H155,"&gt;"&amp;0),"*"),"")),"")</f>
        <v/>
      </c>
      <c r="AM155" s="85" t="str" cm="1">
        <f t="array" ref="AM155">IFERROR(IF(M155&lt;&gt;"","",CONCATENATE("https://btx.brasiltrack.com/logistica/trajeto.php?idveiculo=",VLOOKUP(F155,DATAS!$A$221:$B$250,2,FALSE),"&amp;lat=-22.204247","&amp;data_ini=",TEXT(IF(E155&lt;&gt;"",IF(COUNTIF($F$2:$F155,F155)&gt;1,MAX(IF($F$1:$F154=F155,$E$1:$E154)),""),""),"DD/MM/AAAA"),"&amp;data_fim=",TEXT(E155,"DD/MM/AAAA"),"&amp;hora_inicial=",HOUR(IF(E155&lt;&gt;"",IF(COUNTIF($F$2:$F155,F155)&gt;1,MAX(IF($F$1:$F154=F155,$E$1:$E154)),""),"")),"&amp;minuto_inicial=",MINUTE(IF(E155&lt;&gt;"",IF(COUNTIF($F$2:$F155,F155)&gt;1,MAX(IF($F$1:$F154=F155,$E$1:$E154)),""),"")),"&amp;hora_final=",HOUR(E155),"&amp;minuto_final=",MINUTE(E155),"&amp;periodo=6&amp;tipo=por_data&amp;upos=false&amp;outequip=0")),"")</f>
        <v>https://btx.brasiltrack.com/logistica/trajeto.php?idveiculo=F4FE5996-DC74-4D0B-AEF1-D6ADE020157C&amp;lat=-22.204247&amp;data_ini=20/11/2022&amp;data_fim=23/11/2022&amp;hora_inicial=13&amp;minuto_inicial=4&amp;hora_final=21&amp;minuto_final=58&amp;periodo=6&amp;tipo=por_data&amp;upos=false&amp;outequip=0</v>
      </c>
      <c r="AN155" s="100" t="str">
        <f t="shared" si="17"/>
        <v xml:space="preserve">               </v>
      </c>
    </row>
    <row r="156" spans="1:40" x14ac:dyDescent="0.25">
      <c r="A156" s="81"/>
      <c r="B156" s="81"/>
      <c r="C156" s="81"/>
      <c r="D156" s="144">
        <v>44866</v>
      </c>
      <c r="E156" s="76">
        <v>44889.072916666664</v>
      </c>
      <c r="F156" s="6" t="s">
        <v>26</v>
      </c>
      <c r="G156" s="5" t="str">
        <f>IFERROR(VLOOKUP(SUMIFS(MSOLICITADA!$I:$I,MSOLICITADA!$B:$B,D156,MSOLICITADA!$F:$F,F156),CODIGOSPLACAS!$A$64:$B$89,2,FALSE),"")</f>
        <v>DIEGO</v>
      </c>
      <c r="H156" s="77">
        <v>393023</v>
      </c>
      <c r="I156" s="77">
        <v>393157</v>
      </c>
      <c r="J156" s="7">
        <v>140</v>
      </c>
      <c r="K156" s="78">
        <v>897.4</v>
      </c>
      <c r="L156" s="79" t="s">
        <v>111</v>
      </c>
      <c r="M156" s="6"/>
      <c r="N156" s="5">
        <f t="shared" si="13"/>
        <v>134</v>
      </c>
      <c r="O156" s="80">
        <f t="shared" si="14"/>
        <v>6.41</v>
      </c>
      <c r="P156" s="8">
        <f t="shared" si="15"/>
        <v>0.95714285714285718</v>
      </c>
      <c r="Q156" s="8">
        <f t="shared" si="18"/>
        <v>1.4215213058096179</v>
      </c>
      <c r="R156" s="81">
        <f t="shared" si="16"/>
        <v>0</v>
      </c>
      <c r="S156" s="113" t="str">
        <f>IF(F156="","",IF(H156="",TEXT(_xlfn.MAXIFS($I$1:I156,$F$1:F156,F156,$H$1:H156,"&gt;"&amp;0),"000.000"),F156))</f>
        <v>BZA3587</v>
      </c>
      <c r="T156" s="81"/>
      <c r="U156" s="82"/>
      <c r="V156" s="98"/>
      <c r="W156" s="82"/>
      <c r="X156" s="98"/>
      <c r="Y156" s="82"/>
      <c r="Z156" s="98"/>
      <c r="AA156" s="82"/>
      <c r="AB156" s="98"/>
      <c r="AC156" s="82"/>
      <c r="AD156" s="98"/>
      <c r="AE156" s="117"/>
      <c r="AF156" s="98"/>
      <c r="AG156" s="98"/>
      <c r="AH156" s="98"/>
      <c r="AI156" s="82"/>
      <c r="AJ156" s="98"/>
      <c r="AK156" s="83"/>
      <c r="AL156" s="84" t="str">
        <f>IF(F156&lt;&gt;0,IF(_xlfn.MAXIFS($I$1:I156,$F$1:F156,F156,$H$1:H156,"&gt;"&amp;0)=0,"KM NÃO ENCONTRADO",IF(H156=0,CONCATENATE("SUGESTÃO DE KM PARA PLACA ",F156," *",_xlfn.MAXIFS($I$1:I156,$F$1:F156,F156,$H$1:H156,"&gt;"&amp;0),"*"),"")),"")</f>
        <v/>
      </c>
      <c r="AM156" s="85" t="str" cm="1">
        <f t="array" ref="AM156">IFERROR(IF(M156&lt;&gt;"","",CONCATENATE("https://btx.brasiltrack.com/logistica/trajeto.php?idveiculo=",VLOOKUP(F156,DATAS!$A$221:$B$250,2,FALSE),"&amp;lat=-22.204247","&amp;data_ini=",TEXT(IF(E156&lt;&gt;"",IF(COUNTIF($F$2:$F156,F156)&gt;1,MAX(IF($F$1:$F155=F156,$E$1:$E155)),""),""),"DD/MM/AAAA"),"&amp;data_fim=",TEXT(E156,"DD/MM/AAAA"),"&amp;hora_inicial=",HOUR(IF(E156&lt;&gt;"",IF(COUNTIF($F$2:$F156,F156)&gt;1,MAX(IF($F$1:$F155=F156,$E$1:$E155)),""),"")),"&amp;minuto_inicial=",MINUTE(IF(E156&lt;&gt;"",IF(COUNTIF($F$2:$F156,F156)&gt;1,MAX(IF($F$1:$F155=F156,$E$1:$E155)),""),"")),"&amp;hora_final=",HOUR(E156),"&amp;minuto_final=",MINUTE(E156),"&amp;periodo=6&amp;tipo=por_data&amp;upos=false&amp;outequip=0")),"")</f>
        <v>https://btx.brasiltrack.com/logistica/trajeto.php?idveiculo=6CC0A70E-9379-4BF7-9063-21D318A103FE&amp;lat=-22.204247&amp;data_ini=23/11/2022&amp;data_fim=24/11/2022&amp;hora_inicial=0&amp;minuto_inicial=0&amp;hora_final=1&amp;minuto_final=45&amp;periodo=6&amp;tipo=por_data&amp;upos=false&amp;outequip=0</v>
      </c>
      <c r="AN156" s="100" t="str">
        <f t="shared" si="17"/>
        <v xml:space="preserve">               </v>
      </c>
    </row>
    <row r="157" spans="1:40" x14ac:dyDescent="0.25">
      <c r="A157" s="81"/>
      <c r="B157" s="81"/>
      <c r="C157" s="81"/>
      <c r="D157" s="144">
        <v>44866</v>
      </c>
      <c r="E157" s="76">
        <v>44889.224305555559</v>
      </c>
      <c r="F157" s="6" t="s">
        <v>127</v>
      </c>
      <c r="G157" s="5" t="str">
        <f>IFERROR(VLOOKUP(SUMIFS(MSOLICITADA!$I:$I,MSOLICITADA!$B:$B,D157,MSOLICITADA!$F:$F,F157),CODIGOSPLACAS!$A$64:$B$89,2,FALSE),"")</f>
        <v>EVERTON</v>
      </c>
      <c r="H157" s="77">
        <v>1222505</v>
      </c>
      <c r="I157" s="77">
        <v>1223071</v>
      </c>
      <c r="J157" s="7">
        <v>350</v>
      </c>
      <c r="K157" s="78">
        <v>2243.5</v>
      </c>
      <c r="L157" s="79" t="s">
        <v>111</v>
      </c>
      <c r="M157" s="6"/>
      <c r="N157" s="5">
        <f t="shared" si="13"/>
        <v>566</v>
      </c>
      <c r="O157" s="80">
        <f t="shared" si="14"/>
        <v>6.41</v>
      </c>
      <c r="P157" s="8">
        <f t="shared" si="15"/>
        <v>1.6171428571428572</v>
      </c>
      <c r="Q157" s="8">
        <f t="shared" si="18"/>
        <v>1.8434307437405129</v>
      </c>
      <c r="R157" s="81">
        <f t="shared" si="16"/>
        <v>0</v>
      </c>
      <c r="S157" s="113" t="str">
        <f>IF(F157="","",IF(H157="",TEXT(_xlfn.MAXIFS($I$1:I157,$F$1:F157,F157,$H$1:H157,"&gt;"&amp;0),"000.000"),F157))</f>
        <v>OPM8J51</v>
      </c>
      <c r="T157" s="81"/>
      <c r="U157" s="82"/>
      <c r="V157" s="98"/>
      <c r="W157" s="82"/>
      <c r="X157" s="98"/>
      <c r="Y157" s="82"/>
      <c r="Z157" s="98"/>
      <c r="AA157" s="82"/>
      <c r="AB157" s="98"/>
      <c r="AC157" s="82"/>
      <c r="AD157" s="98"/>
      <c r="AE157" s="117"/>
      <c r="AF157" s="98"/>
      <c r="AG157" s="98"/>
      <c r="AH157" s="98"/>
      <c r="AI157" s="82"/>
      <c r="AJ157" s="98"/>
      <c r="AK157" s="83"/>
      <c r="AL157" s="84" t="str">
        <f>IF(F157&lt;&gt;0,IF(_xlfn.MAXIFS($I$1:I157,$F$1:F157,F157,$H$1:H157,"&gt;"&amp;0)=0,"KM NÃO ENCONTRADO",IF(H157=0,CONCATENATE("SUGESTÃO DE KM PARA PLACA ",F157," *",_xlfn.MAXIFS($I$1:I157,$F$1:F157,F157,$H$1:H157,"&gt;"&amp;0),"*"),"")),"")</f>
        <v/>
      </c>
      <c r="AM157" s="85" t="str" cm="1">
        <f t="array" ref="AM157">IFERROR(IF(M157&lt;&gt;"","",CONCATENATE("https://btx.brasiltrack.com/logistica/trajeto.php?idveiculo=",VLOOKUP(F157,DATAS!$A$221:$B$250,2,FALSE),"&amp;lat=-22.204247","&amp;data_ini=",TEXT(IF(E157&lt;&gt;"",IF(COUNTIF($F$2:$F157,F157)&gt;1,MAX(IF($F$1:$F156=F157,$E$1:$E156)),""),""),"DD/MM/AAAA"),"&amp;data_fim=",TEXT(E157,"DD/MM/AAAA"),"&amp;hora_inicial=",HOUR(IF(E157&lt;&gt;"",IF(COUNTIF($F$2:$F157,F157)&gt;1,MAX(IF($F$1:$F156=F157,$E$1:$E156)),""),"")),"&amp;minuto_inicial=",MINUTE(IF(E157&lt;&gt;"",IF(COUNTIF($F$2:$F157,F157)&gt;1,MAX(IF($F$1:$F156=F157,$E$1:$E156)),""),"")),"&amp;hora_final=",HOUR(E157),"&amp;minuto_final=",MINUTE(E157),"&amp;periodo=6&amp;tipo=por_data&amp;upos=false&amp;outequip=0")),"")</f>
        <v>https://btx.brasiltrack.com/logistica/trajeto.php?idveiculo=6B275FDC-A2AC-4272-8CE2-C39701ECE18D&amp;lat=-22.204247&amp;data_ini=22/11/2022&amp;data_fim=24/11/2022&amp;hora_inicial=14&amp;minuto_inicial=44&amp;hora_final=5&amp;minuto_final=23&amp;periodo=6&amp;tipo=por_data&amp;upos=false&amp;outequip=0</v>
      </c>
      <c r="AN157" s="100" t="str">
        <f t="shared" si="17"/>
        <v xml:space="preserve">               </v>
      </c>
    </row>
    <row r="158" spans="1:40" x14ac:dyDescent="0.25">
      <c r="A158" s="81"/>
      <c r="B158" s="81"/>
      <c r="C158" s="81"/>
      <c r="D158" s="144">
        <v>44866</v>
      </c>
      <c r="E158" s="76">
        <v>44889.341666666667</v>
      </c>
      <c r="F158" s="6" t="s">
        <v>29</v>
      </c>
      <c r="G158" s="5" t="str">
        <f>IFERROR(VLOOKUP(SUMIFS(MSOLICITADA!$I:$I,MSOLICITADA!$B:$B,D158,MSOLICITADA!$F:$F,F158),CODIGOSPLACAS!$A$64:$B$89,2,FALSE),"")</f>
        <v>EDNILSON</v>
      </c>
      <c r="H158" s="77">
        <v>227849</v>
      </c>
      <c r="I158" s="77">
        <v>228643</v>
      </c>
      <c r="J158" s="7">
        <v>601</v>
      </c>
      <c r="K158" s="78">
        <v>3852.47</v>
      </c>
      <c r="L158" s="79" t="s">
        <v>111</v>
      </c>
      <c r="M158" s="6"/>
      <c r="N158" s="5">
        <f t="shared" si="13"/>
        <v>794</v>
      </c>
      <c r="O158" s="80">
        <f t="shared" si="14"/>
        <v>6.4100998336106487</v>
      </c>
      <c r="P158" s="8">
        <f t="shared" si="15"/>
        <v>1.3211314475873543</v>
      </c>
      <c r="Q158" s="8">
        <f t="shared" si="18"/>
        <v>1.5506852118293495</v>
      </c>
      <c r="R158" s="81">
        <f t="shared" si="16"/>
        <v>0</v>
      </c>
      <c r="S158" s="113" t="str">
        <f>IF(F158="","",IF(H158="",TEXT(_xlfn.MAXIFS($I$1:I158,$F$1:F158,F158,$H$1:H158,"&gt;"&amp;0),"000.000"),F158))</f>
        <v>GKA2J56</v>
      </c>
      <c r="T158" s="81"/>
      <c r="U158" s="82"/>
      <c r="V158" s="98"/>
      <c r="W158" s="82"/>
      <c r="X158" s="98"/>
      <c r="Y158" s="82"/>
      <c r="Z158" s="98"/>
      <c r="AA158" s="82"/>
      <c r="AB158" s="98"/>
      <c r="AC158" s="82"/>
      <c r="AD158" s="98"/>
      <c r="AE158" s="117"/>
      <c r="AF158" s="98"/>
      <c r="AG158" s="98"/>
      <c r="AH158" s="98"/>
      <c r="AI158" s="82"/>
      <c r="AJ158" s="98"/>
      <c r="AK158" s="83"/>
      <c r="AL158" s="84" t="str">
        <f>IF(F158&lt;&gt;0,IF(_xlfn.MAXIFS($I$1:I158,$F$1:F158,F158,$H$1:H158,"&gt;"&amp;0)=0,"KM NÃO ENCONTRADO",IF(H158=0,CONCATENATE("SUGESTÃO DE KM PARA PLACA ",F158," *",_xlfn.MAXIFS($I$1:I158,$F$1:F158,F158,$H$1:H158,"&gt;"&amp;0),"*"),"")),"")</f>
        <v/>
      </c>
      <c r="AM158" s="85" t="str" cm="1">
        <f t="array" ref="AM158">IFERROR(IF(M158&lt;&gt;"","",CONCATENATE("https://btx.brasiltrack.com/logistica/trajeto.php?idveiculo=",VLOOKUP(F158,DATAS!$A$221:$B$250,2,FALSE),"&amp;lat=-22.204247","&amp;data_ini=",TEXT(IF(E158&lt;&gt;"",IF(COUNTIF($F$2:$F158,F158)&gt;1,MAX(IF($F$1:$F157=F158,$E$1:$E157)),""),""),"DD/MM/AAAA"),"&amp;data_fim=",TEXT(E158,"DD/MM/AAAA"),"&amp;hora_inicial=",HOUR(IF(E158&lt;&gt;"",IF(COUNTIF($F$2:$F158,F158)&gt;1,MAX(IF($F$1:$F157=F158,$E$1:$E157)),""),"")),"&amp;minuto_inicial=",MINUTE(IF(E158&lt;&gt;"",IF(COUNTIF($F$2:$F158,F158)&gt;1,MAX(IF($F$1:$F157=F158,$E$1:$E157)),""),"")),"&amp;hora_final=",HOUR(E158),"&amp;minuto_final=",MINUTE(E158),"&amp;periodo=6&amp;tipo=por_data&amp;upos=false&amp;outequip=0")),"")</f>
        <v>https://btx.brasiltrack.com/logistica/trajeto.php?idveiculo=75A3D88C-4B99-481A-ACC8-34008151E92D&amp;lat=-22.204247&amp;data_ini=18/11/2022&amp;data_fim=24/11/2022&amp;hora_inicial=20&amp;minuto_inicial=15&amp;hora_final=8&amp;minuto_final=12&amp;periodo=6&amp;tipo=por_data&amp;upos=false&amp;outequip=0</v>
      </c>
      <c r="AN158" s="100" t="str">
        <f t="shared" si="17"/>
        <v xml:space="preserve">               </v>
      </c>
    </row>
    <row r="159" spans="1:40" x14ac:dyDescent="0.25">
      <c r="A159" s="81"/>
      <c r="B159" s="81"/>
      <c r="C159" s="81"/>
      <c r="D159" s="144">
        <v>44866</v>
      </c>
      <c r="E159" s="76">
        <v>44889.345138888886</v>
      </c>
      <c r="F159" s="6" t="s">
        <v>124</v>
      </c>
      <c r="G159" s="5" t="str">
        <f>IFERROR(VLOOKUP(SUMIFS(MSOLICITADA!$I:$I,MSOLICITADA!$B:$B,D159,MSOLICITADA!$F:$F,F159),CODIGOSPLACAS!$A$64:$B$89,2,FALSE),"")</f>
        <v>ISRAEL</v>
      </c>
      <c r="H159" s="77">
        <v>129792</v>
      </c>
      <c r="I159" s="77">
        <v>130682</v>
      </c>
      <c r="J159" s="7">
        <v>615</v>
      </c>
      <c r="K159" s="78">
        <v>3942.28</v>
      </c>
      <c r="L159" s="79" t="s">
        <v>111</v>
      </c>
      <c r="M159" s="6"/>
      <c r="N159" s="5">
        <f t="shared" si="13"/>
        <v>890</v>
      </c>
      <c r="O159" s="80">
        <f t="shared" si="14"/>
        <v>6.4102113821138218</v>
      </c>
      <c r="P159" s="8">
        <f t="shared" si="15"/>
        <v>1.4471544715447155</v>
      </c>
      <c r="Q159" s="8">
        <f t="shared" si="18"/>
        <v>1.5512732562038034</v>
      </c>
      <c r="R159" s="81">
        <f t="shared" si="16"/>
        <v>0</v>
      </c>
      <c r="S159" s="113" t="str">
        <f>IF(F159="","",IF(H159="",TEXT(_xlfn.MAXIFS($I$1:I159,$F$1:F159,F159,$H$1:H159,"&gt;"&amp;0),"000.000"),F159))</f>
        <v>GHH9B64</v>
      </c>
      <c r="T159" s="81"/>
      <c r="U159" s="82"/>
      <c r="V159" s="98"/>
      <c r="W159" s="82"/>
      <c r="X159" s="98"/>
      <c r="Y159" s="82"/>
      <c r="Z159" s="98"/>
      <c r="AA159" s="82"/>
      <c r="AB159" s="98"/>
      <c r="AC159" s="82"/>
      <c r="AD159" s="98"/>
      <c r="AE159" s="117"/>
      <c r="AF159" s="98"/>
      <c r="AG159" s="98"/>
      <c r="AH159" s="98"/>
      <c r="AI159" s="82"/>
      <c r="AJ159" s="98"/>
      <c r="AK159" s="83"/>
      <c r="AL159" s="84" t="str">
        <f>IF(F159&lt;&gt;0,IF(_xlfn.MAXIFS($I$1:I159,$F$1:F159,F159,$H$1:H159,"&gt;"&amp;0)=0,"KM NÃO ENCONTRADO",IF(H159=0,CONCATENATE("SUGESTÃO DE KM PARA PLACA ",F159," *",_xlfn.MAXIFS($I$1:I159,$F$1:F159,F159,$H$1:H159,"&gt;"&amp;0),"*"),"")),"")</f>
        <v/>
      </c>
      <c r="AM159" s="85" t="str" cm="1">
        <f t="array" ref="AM159">IFERROR(IF(M159&lt;&gt;"","",CONCATENATE("https://btx.brasiltrack.com/logistica/trajeto.php?idveiculo=",VLOOKUP(F159,DATAS!$A$221:$B$250,2,FALSE),"&amp;lat=-22.204247","&amp;data_ini=",TEXT(IF(E159&lt;&gt;"",IF(COUNTIF($F$2:$F159,F159)&gt;1,MAX(IF($F$1:$F158=F159,$E$1:$E158)),""),""),"DD/MM/AAAA"),"&amp;data_fim=",TEXT(E159,"DD/MM/AAAA"),"&amp;hora_inicial=",HOUR(IF(E159&lt;&gt;"",IF(COUNTIF($F$2:$F159,F159)&gt;1,MAX(IF($F$1:$F158=F159,$E$1:$E158)),""),"")),"&amp;minuto_inicial=",MINUTE(IF(E159&lt;&gt;"",IF(COUNTIF($F$2:$F159,F159)&gt;1,MAX(IF($F$1:$F158=F159,$E$1:$E158)),""),"")),"&amp;hora_final=",HOUR(E159),"&amp;minuto_final=",MINUTE(E159),"&amp;periodo=6&amp;tipo=por_data&amp;upos=false&amp;outequip=0")),"")</f>
        <v>https://btx.brasiltrack.com/logistica/trajeto.php?idveiculo=82801E41-A001-436F-A743-F071900B878A&amp;lat=-22.204247&amp;data_ini=18/11/2022&amp;data_fim=24/11/2022&amp;hora_inicial=19&amp;minuto_inicial=30&amp;hora_final=8&amp;minuto_final=17&amp;periodo=6&amp;tipo=por_data&amp;upos=false&amp;outequip=0</v>
      </c>
      <c r="AN159" s="100" t="str">
        <f t="shared" si="17"/>
        <v xml:space="preserve">               </v>
      </c>
    </row>
    <row r="160" spans="1:40" x14ac:dyDescent="0.25">
      <c r="A160" s="81"/>
      <c r="B160" s="81"/>
      <c r="C160" s="81"/>
      <c r="D160" s="144">
        <v>44866</v>
      </c>
      <c r="E160" s="76">
        <v>44889.847222222219</v>
      </c>
      <c r="F160" s="6" t="s">
        <v>27</v>
      </c>
      <c r="G160" s="5" t="str">
        <f>IFERROR(VLOOKUP(SUMIFS(MSOLICITADA!$I:$I,MSOLICITADA!$B:$B,D160,MSOLICITADA!$F:$F,F160),CODIGOSPLACAS!$A$64:$B$89,2,FALSE),"")</f>
        <v>ANTONIO</v>
      </c>
      <c r="H160" s="77">
        <v>239208</v>
      </c>
      <c r="I160" s="77">
        <v>239916</v>
      </c>
      <c r="J160" s="7">
        <v>546.02</v>
      </c>
      <c r="K160" s="78">
        <v>3631.05</v>
      </c>
      <c r="L160" s="79" t="s">
        <v>111</v>
      </c>
      <c r="M160" s="6"/>
      <c r="N160" s="5">
        <f t="shared" si="13"/>
        <v>708</v>
      </c>
      <c r="O160" s="80">
        <f t="shared" si="14"/>
        <v>6.6500311343906819</v>
      </c>
      <c r="P160" s="8">
        <f t="shared" si="15"/>
        <v>1.2966558001538406</v>
      </c>
      <c r="Q160" s="8">
        <f t="shared" si="18"/>
        <v>1.4461676128873802</v>
      </c>
      <c r="R160" s="81">
        <f t="shared" si="16"/>
        <v>0</v>
      </c>
      <c r="S160" s="113" t="str">
        <f>IF(F160="","",IF(H160="",TEXT(_xlfn.MAXIFS($I$1:I160,$F$1:F160,F160,$H$1:H160,"&gt;"&amp;0),"000.000"),F160))</f>
        <v>GHS4J57</v>
      </c>
      <c r="T160" s="81"/>
      <c r="U160" s="82"/>
      <c r="V160" s="98"/>
      <c r="W160" s="82"/>
      <c r="X160" s="98"/>
      <c r="Y160" s="82"/>
      <c r="Z160" s="98"/>
      <c r="AA160" s="82"/>
      <c r="AB160" s="98"/>
      <c r="AC160" s="82"/>
      <c r="AD160" s="98"/>
      <c r="AE160" s="117"/>
      <c r="AF160" s="98"/>
      <c r="AG160" s="98"/>
      <c r="AH160" s="98"/>
      <c r="AI160" s="82"/>
      <c r="AJ160" s="98"/>
      <c r="AK160" s="83"/>
      <c r="AL160" s="84" t="str">
        <f>IF(F160&lt;&gt;0,IF(_xlfn.MAXIFS($I$1:I160,$F$1:F160,F160,$H$1:H160,"&gt;"&amp;0)=0,"KM NÃO ENCONTRADO",IF(H160=0,CONCATENATE("SUGESTÃO DE KM PARA PLACA ",F160," *",_xlfn.MAXIFS($I$1:I160,$F$1:F160,F160,$H$1:H160,"&gt;"&amp;0),"*"),"")),"")</f>
        <v/>
      </c>
      <c r="AM160" s="85" t="str" cm="1">
        <f t="array" ref="AM160">IFERROR(IF(M160&lt;&gt;"","",CONCATENATE("https://btx.brasiltrack.com/logistica/trajeto.php?idveiculo=",VLOOKUP(F160,DATAS!$A$221:$B$250,2,FALSE),"&amp;lat=-22.204247","&amp;data_ini=",TEXT(IF(E160&lt;&gt;"",IF(COUNTIF($F$2:$F160,F160)&gt;1,MAX(IF($F$1:$F159=F160,$E$1:$E159)),""),""),"DD/MM/AAAA"),"&amp;data_fim=",TEXT(E160,"DD/MM/AAAA"),"&amp;hora_inicial=",HOUR(IF(E160&lt;&gt;"",IF(COUNTIF($F$2:$F160,F160)&gt;1,MAX(IF($F$1:$F159=F160,$E$1:$E159)),""),"")),"&amp;minuto_inicial=",MINUTE(IF(E160&lt;&gt;"",IF(COUNTIF($F$2:$F160,F160)&gt;1,MAX(IF($F$1:$F159=F160,$E$1:$E159)),""),"")),"&amp;hora_final=",HOUR(E160),"&amp;minuto_final=",MINUTE(E160),"&amp;periodo=6&amp;tipo=por_data&amp;upos=false&amp;outequip=0")),"")</f>
        <v>https://btx.brasiltrack.com/logistica/trajeto.php?idveiculo=17ED636C-5A71-44D5-AF3C-192D3DA6CDD1&amp;lat=-22.204247&amp;data_ini=23/11/2022&amp;data_fim=24/11/2022&amp;hora_inicial=16&amp;minuto_inicial=30&amp;hora_final=20&amp;minuto_final=20&amp;periodo=6&amp;tipo=por_data&amp;upos=false&amp;outequip=0</v>
      </c>
      <c r="AN160" s="100" t="str">
        <f t="shared" si="17"/>
        <v xml:space="preserve">               </v>
      </c>
    </row>
    <row r="161" spans="1:40" x14ac:dyDescent="0.25">
      <c r="A161" s="81"/>
      <c r="B161" s="81"/>
      <c r="C161" s="81"/>
      <c r="D161" s="144">
        <v>44866</v>
      </c>
      <c r="E161" s="76">
        <v>44889.85833333333</v>
      </c>
      <c r="F161" s="6" t="s">
        <v>126</v>
      </c>
      <c r="G161" s="5" t="str">
        <f>IFERROR(VLOOKUP(SUMIFS(MSOLICITADA!$I:$I,MSOLICITADA!$B:$B,D161,MSOLICITADA!$F:$F,F161),CODIGOSPLACAS!$A$64:$B$89,2,FALSE),"")</f>
        <v>IZAIAS</v>
      </c>
      <c r="H161" s="77">
        <v>480675</v>
      </c>
      <c r="I161" s="77">
        <v>481436</v>
      </c>
      <c r="J161" s="7">
        <v>616.69100000000003</v>
      </c>
      <c r="K161" s="78">
        <v>3909.81</v>
      </c>
      <c r="L161" s="79" t="s">
        <v>111</v>
      </c>
      <c r="M161" s="6"/>
      <c r="N161" s="5">
        <f t="shared" si="13"/>
        <v>761</v>
      </c>
      <c r="O161" s="80">
        <f t="shared" si="14"/>
        <v>6.3399822601594638</v>
      </c>
      <c r="P161" s="8">
        <f t="shared" si="15"/>
        <v>1.234005360869544</v>
      </c>
      <c r="Q161" s="8">
        <f t="shared" si="18"/>
        <v>1.4310423058843909</v>
      </c>
      <c r="R161" s="81">
        <f t="shared" si="16"/>
        <v>0</v>
      </c>
      <c r="S161" s="113" t="str">
        <f>IF(F161="","",IF(H161="",TEXT(_xlfn.MAXIFS($I$1:I161,$F$1:F161,F161,$H$1:H161,"&gt;"&amp;0),"000.000"),F161))</f>
        <v>GHX4D71</v>
      </c>
      <c r="T161" s="81"/>
      <c r="U161" s="82"/>
      <c r="V161" s="98"/>
      <c r="W161" s="82"/>
      <c r="X161" s="98"/>
      <c r="Y161" s="82"/>
      <c r="Z161" s="98"/>
      <c r="AA161" s="82"/>
      <c r="AB161" s="98"/>
      <c r="AC161" s="82"/>
      <c r="AD161" s="98"/>
      <c r="AE161" s="117"/>
      <c r="AF161" s="98"/>
      <c r="AG161" s="98"/>
      <c r="AH161" s="98"/>
      <c r="AI161" s="82"/>
      <c r="AJ161" s="98"/>
      <c r="AK161" s="83"/>
      <c r="AL161" s="84" t="str">
        <f>IF(F161&lt;&gt;0,IF(_xlfn.MAXIFS($I$1:I161,$F$1:F161,F161,$H$1:H161,"&gt;"&amp;0)=0,"KM NÃO ENCONTRADO",IF(H161=0,CONCATENATE("SUGESTÃO DE KM PARA PLACA ",F161," *",_xlfn.MAXIFS($I$1:I161,$F$1:F161,F161,$H$1:H161,"&gt;"&amp;0),"*"),"")),"")</f>
        <v/>
      </c>
      <c r="AM161" s="85" t="str" cm="1">
        <f t="array" ref="AM161">IFERROR(IF(M161&lt;&gt;"","",CONCATENATE("https://btx.brasiltrack.com/logistica/trajeto.php?idveiculo=",VLOOKUP(F161,DATAS!$A$221:$B$250,2,FALSE),"&amp;lat=-22.204247","&amp;data_ini=",TEXT(IF(E161&lt;&gt;"",IF(COUNTIF($F$2:$F161,F161)&gt;1,MAX(IF($F$1:$F160=F161,$E$1:$E160)),""),""),"DD/MM/AAAA"),"&amp;data_fim=",TEXT(E161,"DD/MM/AAAA"),"&amp;hora_inicial=",HOUR(IF(E161&lt;&gt;"",IF(COUNTIF($F$2:$F161,F161)&gt;1,MAX(IF($F$1:$F160=F161,$E$1:$E160)),""),"")),"&amp;minuto_inicial=",MINUTE(IF(E161&lt;&gt;"",IF(COUNTIF($F$2:$F161,F161)&gt;1,MAX(IF($F$1:$F160=F161,$E$1:$E160)),""),"")),"&amp;hora_final=",HOUR(E161),"&amp;minuto_final=",MINUTE(E161),"&amp;periodo=6&amp;tipo=por_data&amp;upos=false&amp;outequip=0")),"")</f>
        <v>https://btx.brasiltrack.com/logistica/trajeto.php?idveiculo=6B5F18E0-6EAE-404A-AE41-39E549361094&amp;lat=-22.204247&amp;data_ini=23/11/2022&amp;data_fim=24/11/2022&amp;hora_inicial=5&amp;minuto_inicial=33&amp;hora_final=20&amp;minuto_final=36&amp;periodo=6&amp;tipo=por_data&amp;upos=false&amp;outequip=0</v>
      </c>
      <c r="AN161" s="100" t="str">
        <f t="shared" si="17"/>
        <v xml:space="preserve">               </v>
      </c>
    </row>
    <row r="162" spans="1:40" x14ac:dyDescent="0.25">
      <c r="A162" s="81"/>
      <c r="B162" s="81"/>
      <c r="C162" s="81"/>
      <c r="D162" s="144">
        <v>44866</v>
      </c>
      <c r="E162" s="76">
        <v>44889.861805555556</v>
      </c>
      <c r="F162" s="6" t="s">
        <v>31</v>
      </c>
      <c r="G162" s="5" t="str">
        <f>IFERROR(VLOOKUP(SUMIFS(MSOLICITADA!$I:$I,MSOLICITADA!$B:$B,D162,MSOLICITADA!$F:$F,F162),CODIGOSPLACAS!$A$64:$B$89,2,FALSE),"")</f>
        <v>CELIO</v>
      </c>
      <c r="H162" s="77">
        <v>204784</v>
      </c>
      <c r="I162" s="77">
        <v>205566</v>
      </c>
      <c r="J162" s="7">
        <v>593.01</v>
      </c>
      <c r="K162" s="78">
        <v>3759.68</v>
      </c>
      <c r="L162" s="79" t="s">
        <v>111</v>
      </c>
      <c r="M162" s="6"/>
      <c r="N162" s="5">
        <f t="shared" si="13"/>
        <v>782</v>
      </c>
      <c r="O162" s="80">
        <f t="shared" si="14"/>
        <v>6.3399942665385067</v>
      </c>
      <c r="P162" s="8">
        <f t="shared" si="15"/>
        <v>1.3186961434039899</v>
      </c>
      <c r="Q162" s="8">
        <f t="shared" si="18"/>
        <v>1.5697196307565964</v>
      </c>
      <c r="R162" s="81">
        <f t="shared" si="16"/>
        <v>0</v>
      </c>
      <c r="S162" s="113" t="str">
        <f>IF(F162="","",IF(H162="",TEXT(_xlfn.MAXIFS($I$1:I162,$F$1:F162,F162,$H$1:H162,"&gt;"&amp;0),"000.000"),F162))</f>
        <v>GGZ3G38</v>
      </c>
      <c r="T162" s="81"/>
      <c r="U162" s="82"/>
      <c r="V162" s="98"/>
      <c r="W162" s="82"/>
      <c r="X162" s="98"/>
      <c r="Y162" s="82"/>
      <c r="Z162" s="98"/>
      <c r="AA162" s="82"/>
      <c r="AB162" s="98"/>
      <c r="AC162" s="82"/>
      <c r="AD162" s="98"/>
      <c r="AE162" s="117"/>
      <c r="AF162" s="98"/>
      <c r="AG162" s="98"/>
      <c r="AH162" s="98"/>
      <c r="AI162" s="82"/>
      <c r="AJ162" s="98"/>
      <c r="AK162" s="83"/>
      <c r="AL162" s="84" t="str">
        <f>IF(F162&lt;&gt;0,IF(_xlfn.MAXIFS($I$1:I162,$F$1:F162,F162,$H$1:H162,"&gt;"&amp;0)=0,"KM NÃO ENCONTRADO",IF(H162=0,CONCATENATE("SUGESTÃO DE KM PARA PLACA ",F162," *",_xlfn.MAXIFS($I$1:I162,$F$1:F162,F162,$H$1:H162,"&gt;"&amp;0),"*"),"")),"")</f>
        <v/>
      </c>
      <c r="AM162" s="85" t="str" cm="1">
        <f t="array" ref="AM162">IFERROR(IF(M162&lt;&gt;"","",CONCATENATE("https://btx.brasiltrack.com/logistica/trajeto.php?idveiculo=",VLOOKUP(F162,DATAS!$A$221:$B$250,2,FALSE),"&amp;lat=-22.204247","&amp;data_ini=",TEXT(IF(E162&lt;&gt;"",IF(COUNTIF($F$2:$F162,F162)&gt;1,MAX(IF($F$1:$F161=F162,$E$1:$E161)),""),""),"DD/MM/AAAA"),"&amp;data_fim=",TEXT(E162,"DD/MM/AAAA"),"&amp;hora_inicial=",HOUR(IF(E162&lt;&gt;"",IF(COUNTIF($F$2:$F162,F162)&gt;1,MAX(IF($F$1:$F161=F162,$E$1:$E161)),""),"")),"&amp;minuto_inicial=",MINUTE(IF(E162&lt;&gt;"",IF(COUNTIF($F$2:$F162,F162)&gt;1,MAX(IF($F$1:$F161=F162,$E$1:$E161)),""),"")),"&amp;hora_final=",HOUR(E162),"&amp;minuto_final=",MINUTE(E162),"&amp;periodo=6&amp;tipo=por_data&amp;upos=false&amp;outequip=0")),"")</f>
        <v>https://btx.brasiltrack.com/logistica/trajeto.php?idveiculo=28D74B0F-5C0F-4A59-86EB-697E3711F324&amp;lat=-22.204247&amp;data_ini=23/11/2022&amp;data_fim=24/11/2022&amp;hora_inicial=2&amp;minuto_inicial=7&amp;hora_final=20&amp;minuto_final=41&amp;periodo=6&amp;tipo=por_data&amp;upos=false&amp;outequip=0</v>
      </c>
      <c r="AN162" s="100" t="str">
        <f t="shared" si="17"/>
        <v xml:space="preserve">               </v>
      </c>
    </row>
    <row r="163" spans="1:40" x14ac:dyDescent="0.25">
      <c r="A163" s="81"/>
      <c r="B163" s="81"/>
      <c r="C163" s="81"/>
      <c r="D163" s="144">
        <v>44866</v>
      </c>
      <c r="E163" s="76">
        <v>44889.877083333333</v>
      </c>
      <c r="F163" s="6" t="s">
        <v>26</v>
      </c>
      <c r="G163" s="5" t="str">
        <f>IFERROR(VLOOKUP(SUMIFS(MSOLICITADA!$I:$I,MSOLICITADA!$B:$B,D163,MSOLICITADA!$F:$F,F163),CODIGOSPLACAS!$A$64:$B$89,2,FALSE),"")</f>
        <v>DIEGO</v>
      </c>
      <c r="H163" s="77">
        <v>393157</v>
      </c>
      <c r="I163" s="77">
        <v>393445</v>
      </c>
      <c r="J163" s="7">
        <v>260</v>
      </c>
      <c r="K163" s="78">
        <v>1601.58</v>
      </c>
      <c r="L163" s="79" t="s">
        <v>112</v>
      </c>
      <c r="M163" s="6"/>
      <c r="N163" s="5">
        <f t="shared" si="13"/>
        <v>288</v>
      </c>
      <c r="O163" s="80">
        <f t="shared" si="14"/>
        <v>6.1599230769230768</v>
      </c>
      <c r="P163" s="8">
        <f t="shared" si="15"/>
        <v>1.1076923076923078</v>
      </c>
      <c r="Q163" s="8">
        <f t="shared" si="18"/>
        <v>1.4215213058096179</v>
      </c>
      <c r="R163" s="81">
        <f t="shared" si="16"/>
        <v>0</v>
      </c>
      <c r="S163" s="113" t="str">
        <f>IF(F163="","",IF(H163="",TEXT(_xlfn.MAXIFS($I$1:I163,$F$1:F163,F163,$H$1:H163,"&gt;"&amp;0),"000.000"),F163))</f>
        <v>BZA3587</v>
      </c>
      <c r="T163" s="81"/>
      <c r="U163" s="82"/>
      <c r="V163" s="98"/>
      <c r="W163" s="82"/>
      <c r="X163" s="98"/>
      <c r="Y163" s="82"/>
      <c r="Z163" s="98"/>
      <c r="AA163" s="82"/>
      <c r="AB163" s="98"/>
      <c r="AC163" s="82"/>
      <c r="AD163" s="98"/>
      <c r="AE163" s="117"/>
      <c r="AF163" s="98"/>
      <c r="AG163" s="98"/>
      <c r="AH163" s="98"/>
      <c r="AI163" s="82"/>
      <c r="AJ163" s="98"/>
      <c r="AK163" s="83"/>
      <c r="AL163" s="84" t="str">
        <f>IF(F163&lt;&gt;0,IF(_xlfn.MAXIFS($I$1:I163,$F$1:F163,F163,$H$1:H163,"&gt;"&amp;0)=0,"KM NÃO ENCONTRADO",IF(H163=0,CONCATENATE("SUGESTÃO DE KM PARA PLACA ",F163," *",_xlfn.MAXIFS($I$1:I163,$F$1:F163,F163,$H$1:H163,"&gt;"&amp;0),"*"),"")),"")</f>
        <v/>
      </c>
      <c r="AM163" s="85" t="str" cm="1">
        <f t="array" ref="AM163">IFERROR(IF(M163&lt;&gt;"","",CONCATENATE("https://btx.brasiltrack.com/logistica/trajeto.php?idveiculo=",VLOOKUP(F163,DATAS!$A$221:$B$250,2,FALSE),"&amp;lat=-22.204247","&amp;data_ini=",TEXT(IF(E163&lt;&gt;"",IF(COUNTIF($F$2:$F163,F163)&gt;1,MAX(IF($F$1:$F162=F163,$E$1:$E162)),""),""),"DD/MM/AAAA"),"&amp;data_fim=",TEXT(E163,"DD/MM/AAAA"),"&amp;hora_inicial=",HOUR(IF(E163&lt;&gt;"",IF(COUNTIF($F$2:$F163,F163)&gt;1,MAX(IF($F$1:$F162=F163,$E$1:$E162)),""),"")),"&amp;minuto_inicial=",MINUTE(IF(E163&lt;&gt;"",IF(COUNTIF($F$2:$F163,F163)&gt;1,MAX(IF($F$1:$F162=F163,$E$1:$E162)),""),"")),"&amp;hora_final=",HOUR(E163),"&amp;minuto_final=",MINUTE(E163),"&amp;periodo=6&amp;tipo=por_data&amp;upos=false&amp;outequip=0")),"")</f>
        <v>https://btx.brasiltrack.com/logistica/trajeto.php?idveiculo=6CC0A70E-9379-4BF7-9063-21D318A103FE&amp;lat=-22.204247&amp;data_ini=24/11/2022&amp;data_fim=24/11/2022&amp;hora_inicial=1&amp;minuto_inicial=45&amp;hora_final=21&amp;minuto_final=3&amp;periodo=6&amp;tipo=por_data&amp;upos=false&amp;outequip=0</v>
      </c>
      <c r="AN163" s="100" t="str">
        <f t="shared" si="17"/>
        <v xml:space="preserve">               </v>
      </c>
    </row>
    <row r="164" spans="1:40" x14ac:dyDescent="0.25">
      <c r="A164" s="81"/>
      <c r="B164" s="81"/>
      <c r="C164" s="81"/>
      <c r="D164" s="144">
        <v>44866</v>
      </c>
      <c r="E164" s="76">
        <v>44889.931250000001</v>
      </c>
      <c r="F164" s="6" t="s">
        <v>128</v>
      </c>
      <c r="G164" s="5" t="str">
        <f>IFERROR(VLOOKUP(SUMIFS(MSOLICITADA!$I:$I,MSOLICITADA!$B:$B,D164,MSOLICITADA!$F:$F,F164),CODIGOSPLACAS!$A$64:$B$89,2,FALSE),"")</f>
        <v>ELI RICARDO</v>
      </c>
      <c r="H164" s="77">
        <v>83729</v>
      </c>
      <c r="I164" s="77">
        <v>84334</v>
      </c>
      <c r="J164" s="7">
        <v>486</v>
      </c>
      <c r="K164" s="78">
        <v>3115.26</v>
      </c>
      <c r="L164" s="79" t="s">
        <v>111</v>
      </c>
      <c r="M164" s="6"/>
      <c r="N164" s="5">
        <f t="shared" si="13"/>
        <v>605</v>
      </c>
      <c r="O164" s="80">
        <f t="shared" si="14"/>
        <v>6.41</v>
      </c>
      <c r="P164" s="8">
        <f t="shared" si="15"/>
        <v>1.2448559670781894</v>
      </c>
      <c r="Q164" s="8">
        <f t="shared" si="18"/>
        <v>1.6394783012697074</v>
      </c>
      <c r="R164" s="81">
        <f t="shared" si="16"/>
        <v>0</v>
      </c>
      <c r="S164" s="113" t="str">
        <f>IF(F164="","",IF(H164="",TEXT(_xlfn.MAXIFS($I$1:I164,$F$1:F164,F164,$H$1:H164,"&gt;"&amp;0),"000.000"),F164))</f>
        <v>GFR0D47</v>
      </c>
      <c r="T164" s="81"/>
      <c r="U164" s="82"/>
      <c r="V164" s="98"/>
      <c r="W164" s="82"/>
      <c r="X164" s="98"/>
      <c r="Y164" s="82"/>
      <c r="Z164" s="98"/>
      <c r="AA164" s="82"/>
      <c r="AB164" s="98"/>
      <c r="AC164" s="82"/>
      <c r="AD164" s="98"/>
      <c r="AE164" s="117"/>
      <c r="AF164" s="98"/>
      <c r="AG164" s="98"/>
      <c r="AH164" s="98"/>
      <c r="AI164" s="82"/>
      <c r="AJ164" s="98"/>
      <c r="AK164" s="83"/>
      <c r="AL164" s="84" t="str">
        <f>IF(F164&lt;&gt;0,IF(_xlfn.MAXIFS($I$1:I164,$F$1:F164,F164,$H$1:H164,"&gt;"&amp;0)=0,"KM NÃO ENCONTRADO",IF(H164=0,CONCATENATE("SUGESTÃO DE KM PARA PLACA ",F164," *",_xlfn.MAXIFS($I$1:I164,$F$1:F164,F164,$H$1:H164,"&gt;"&amp;0),"*"),"")),"")</f>
        <v/>
      </c>
      <c r="AM164" s="85" t="str" cm="1">
        <f t="array" ref="AM164">IFERROR(IF(M164&lt;&gt;"","",CONCATENATE("https://btx.brasiltrack.com/logistica/trajeto.php?idveiculo=",VLOOKUP(F164,DATAS!$A$221:$B$250,2,FALSE),"&amp;lat=-22.204247","&amp;data_ini=",TEXT(IF(E164&lt;&gt;"",IF(COUNTIF($F$2:$F164,F164)&gt;1,MAX(IF($F$1:$F163=F164,$E$1:$E163)),""),""),"DD/MM/AAAA"),"&amp;data_fim=",TEXT(E164,"DD/MM/AAAA"),"&amp;hora_inicial=",HOUR(IF(E164&lt;&gt;"",IF(COUNTIF($F$2:$F164,F164)&gt;1,MAX(IF($F$1:$F163=F164,$E$1:$E163)),""),"")),"&amp;minuto_inicial=",MINUTE(IF(E164&lt;&gt;"",IF(COUNTIF($F$2:$F164,F164)&gt;1,MAX(IF($F$1:$F163=F164,$E$1:$E163)),""),"")),"&amp;hora_final=",HOUR(E164),"&amp;minuto_final=",MINUTE(E164),"&amp;periodo=6&amp;tipo=por_data&amp;upos=false&amp;outequip=0")),"")</f>
        <v>https://btx.brasiltrack.com/logistica/trajeto.php?idveiculo=D171D77B-7EEE-4B8A-AB93-163C02819566&amp;lat=-22.204247&amp;data_ini=23/11/2022&amp;data_fim=24/11/2022&amp;hora_inicial=19&amp;minuto_inicial=11&amp;hora_final=22&amp;minuto_final=21&amp;periodo=6&amp;tipo=por_data&amp;upos=false&amp;outequip=0</v>
      </c>
      <c r="AN164" s="100" t="str">
        <f t="shared" si="17"/>
        <v xml:space="preserve">               </v>
      </c>
    </row>
    <row r="165" spans="1:40" x14ac:dyDescent="0.25">
      <c r="A165" s="81"/>
      <c r="B165" s="81"/>
      <c r="C165" s="81"/>
      <c r="D165" s="144">
        <v>44866</v>
      </c>
      <c r="E165" s="76">
        <v>44890.505555555559</v>
      </c>
      <c r="F165" s="6" t="s">
        <v>131</v>
      </c>
      <c r="G165" s="5" t="str">
        <f>IFERROR(VLOOKUP(SUMIFS(MSOLICITADA!$I:$I,MSOLICITADA!$B:$B,D165,MSOLICITADA!$F:$F,F165),CODIGOSPLACAS!$A$64:$B$89,2,FALSE),"")</f>
        <v>ALTIELIS</v>
      </c>
      <c r="H165" s="77">
        <v>37112</v>
      </c>
      <c r="I165" s="77">
        <v>37872</v>
      </c>
      <c r="J165" s="7">
        <v>558.03</v>
      </c>
      <c r="K165" s="78">
        <v>3565.81</v>
      </c>
      <c r="L165" s="79" t="s">
        <v>111</v>
      </c>
      <c r="M165" s="6"/>
      <c r="N165" s="5">
        <f t="shared" si="13"/>
        <v>760</v>
      </c>
      <c r="O165" s="80">
        <f t="shared" si="14"/>
        <v>6.3899969535688044</v>
      </c>
      <c r="P165" s="8">
        <f t="shared" si="15"/>
        <v>1.3619339462036093</v>
      </c>
      <c r="Q165" s="8">
        <f t="shared" si="18"/>
        <v>1.4985018243623649</v>
      </c>
      <c r="R165" s="81">
        <f t="shared" si="16"/>
        <v>0</v>
      </c>
      <c r="S165" s="113" t="str">
        <f>IF(F165="","",IF(H165="",TEXT(_xlfn.MAXIFS($I$1:I165,$F$1:F165,F165,$H$1:H165,"&gt;"&amp;0),"000.000"),F165))</f>
        <v>GGN4J86</v>
      </c>
      <c r="T165" s="81"/>
      <c r="U165" s="82"/>
      <c r="V165" s="98"/>
      <c r="W165" s="82"/>
      <c r="X165" s="98"/>
      <c r="Y165" s="82"/>
      <c r="Z165" s="98"/>
      <c r="AA165" s="82"/>
      <c r="AB165" s="98"/>
      <c r="AC165" s="82"/>
      <c r="AD165" s="98"/>
      <c r="AE165" s="117"/>
      <c r="AF165" s="98"/>
      <c r="AG165" s="98"/>
      <c r="AH165" s="98"/>
      <c r="AI165" s="82"/>
      <c r="AJ165" s="98"/>
      <c r="AK165" s="83"/>
      <c r="AL165" s="84" t="str">
        <f>IF(F165&lt;&gt;0,IF(_xlfn.MAXIFS($I$1:I165,$F$1:F165,F165,$H$1:H165,"&gt;"&amp;0)=0,"KM NÃO ENCONTRADO",IF(H165=0,CONCATENATE("SUGESTÃO DE KM PARA PLACA ",F165," *",_xlfn.MAXIFS($I$1:I165,$F$1:F165,F165,$H$1:H165,"&gt;"&amp;0),"*"),"")),"")</f>
        <v/>
      </c>
      <c r="AM165" s="85" t="str" cm="1">
        <f t="array" ref="AM165">IFERROR(IF(M165&lt;&gt;"","",CONCATENATE("https://btx.brasiltrack.com/logistica/trajeto.php?idveiculo=",VLOOKUP(F165,DATAS!$A$221:$B$250,2,FALSE),"&amp;lat=-22.204247","&amp;data_ini=",TEXT(IF(E165&lt;&gt;"",IF(COUNTIF($F$2:$F165,F165)&gt;1,MAX(IF($F$1:$F164=F165,$E$1:$E164)),""),""),"DD/MM/AAAA"),"&amp;data_fim=",TEXT(E165,"DD/MM/AAAA"),"&amp;hora_inicial=",HOUR(IF(E165&lt;&gt;"",IF(COUNTIF($F$2:$F165,F165)&gt;1,MAX(IF($F$1:$F164=F165,$E$1:$E164)),""),"")),"&amp;minuto_inicial=",MINUTE(IF(E165&lt;&gt;"",IF(COUNTIF($F$2:$F165,F165)&gt;1,MAX(IF($F$1:$F164=F165,$E$1:$E164)),""),"")),"&amp;hora_final=",HOUR(E165),"&amp;minuto_final=",MINUTE(E165),"&amp;periodo=6&amp;tipo=por_data&amp;upos=false&amp;outequip=0")),"")</f>
        <v>https://btx.brasiltrack.com/logistica/trajeto.php?idveiculo=0C13AEC3-426E-4E1A-A62E-C4BA625F41E7&amp;lat=-22.204247&amp;data_ini=23/11/2022&amp;data_fim=25/11/2022&amp;hora_inicial=18&amp;minuto_inicial=34&amp;hora_final=12&amp;minuto_final=8&amp;periodo=6&amp;tipo=por_data&amp;upos=false&amp;outequip=0</v>
      </c>
      <c r="AN165" s="100" t="str">
        <f t="shared" si="17"/>
        <v xml:space="preserve">               </v>
      </c>
    </row>
    <row r="166" spans="1:40" x14ac:dyDescent="0.25">
      <c r="A166" s="81"/>
      <c r="B166" s="81"/>
      <c r="C166" s="81"/>
      <c r="D166" s="144">
        <v>44866</v>
      </c>
      <c r="E166" s="76">
        <v>44890.597916666666</v>
      </c>
      <c r="F166" s="6" t="s">
        <v>35</v>
      </c>
      <c r="G166" s="5" t="str">
        <f>IFERROR(VLOOKUP(SUMIFS(MSOLICITADA!$I:$I,MSOLICITADA!$B:$B,D166,MSOLICITADA!$F:$F,F166),CODIGOSPLACAS!$A$64:$B$89,2,FALSE),"")</f>
        <v>JOEL</v>
      </c>
      <c r="H166" s="77">
        <v>227229</v>
      </c>
      <c r="I166" s="77">
        <v>227283</v>
      </c>
      <c r="J166" s="7">
        <v>59.7</v>
      </c>
      <c r="K166" s="78">
        <v>367.75</v>
      </c>
      <c r="L166" s="79" t="s">
        <v>112</v>
      </c>
      <c r="M166" s="6"/>
      <c r="N166" s="5">
        <f t="shared" si="13"/>
        <v>54</v>
      </c>
      <c r="O166" s="80">
        <f t="shared" si="14"/>
        <v>6.1599664991624792</v>
      </c>
      <c r="P166" s="8">
        <f t="shared" si="15"/>
        <v>0.90452261306532655</v>
      </c>
      <c r="Q166" s="8">
        <f t="shared" si="18"/>
        <v>2.367571672678944</v>
      </c>
      <c r="R166" s="81">
        <f t="shared" si="16"/>
        <v>0</v>
      </c>
      <c r="S166" s="113" t="str">
        <f>IF(F166="","",IF(H166="",TEXT(_xlfn.MAXIFS($I$1:I166,$F$1:F166,F166,$H$1:H166,"&gt;"&amp;0),"000.000"),F166))</f>
        <v>QNP3A97</v>
      </c>
      <c r="T166" s="81"/>
      <c r="U166" s="82"/>
      <c r="V166" s="98"/>
      <c r="W166" s="82"/>
      <c r="X166" s="98"/>
      <c r="Y166" s="82"/>
      <c r="Z166" s="98"/>
      <c r="AA166" s="82"/>
      <c r="AB166" s="98"/>
      <c r="AC166" s="82"/>
      <c r="AD166" s="98"/>
      <c r="AE166" s="117"/>
      <c r="AF166" s="98"/>
      <c r="AG166" s="98"/>
      <c r="AH166" s="98"/>
      <c r="AI166" s="82"/>
      <c r="AJ166" s="98"/>
      <c r="AK166" s="83"/>
      <c r="AL166" s="84" t="str">
        <f>IF(F166&lt;&gt;0,IF(_xlfn.MAXIFS($I$1:I166,$F$1:F166,F166,$H$1:H166,"&gt;"&amp;0)=0,"KM NÃO ENCONTRADO",IF(H166=0,CONCATENATE("SUGESTÃO DE KM PARA PLACA ",F166," *",_xlfn.MAXIFS($I$1:I166,$F$1:F166,F166,$H$1:H166,"&gt;"&amp;0),"*"),"")),"")</f>
        <v/>
      </c>
      <c r="AM166" s="85" t="str" cm="1">
        <f t="array" ref="AM166">IFERROR(IF(M166&lt;&gt;"","",CONCATENATE("https://btx.brasiltrack.com/logistica/trajeto.php?idveiculo=",VLOOKUP(F166,DATAS!$A$221:$B$250,2,FALSE),"&amp;lat=-22.204247","&amp;data_ini=",TEXT(IF(E166&lt;&gt;"",IF(COUNTIF($F$2:$F166,F166)&gt;1,MAX(IF($F$1:$F165=F166,$E$1:$E165)),""),""),"DD/MM/AAAA"),"&amp;data_fim=",TEXT(E166,"DD/MM/AAAA"),"&amp;hora_inicial=",HOUR(IF(E166&lt;&gt;"",IF(COUNTIF($F$2:$F166,F166)&gt;1,MAX(IF($F$1:$F165=F166,$E$1:$E165)),""),"")),"&amp;minuto_inicial=",MINUTE(IF(E166&lt;&gt;"",IF(COUNTIF($F$2:$F166,F166)&gt;1,MAX(IF($F$1:$F165=F166,$E$1:$E165)),""),"")),"&amp;hora_final=",HOUR(E166),"&amp;minuto_final=",MINUTE(E166),"&amp;periodo=6&amp;tipo=por_data&amp;upos=false&amp;outequip=0")),"")</f>
        <v>https://btx.brasiltrack.com/logistica/trajeto.php?idveiculo=E2142D75-BC20-47B9-8225-FC4ED3D279CF&amp;lat=-22.204247&amp;data_ini=22/11/2022&amp;data_fim=25/11/2022&amp;hora_inicial=18&amp;minuto_inicial=15&amp;hora_final=14&amp;minuto_final=21&amp;periodo=6&amp;tipo=por_data&amp;upos=false&amp;outequip=0</v>
      </c>
      <c r="AN166" s="100" t="str">
        <f t="shared" si="17"/>
        <v xml:space="preserve">               </v>
      </c>
    </row>
    <row r="167" spans="1:40" x14ac:dyDescent="0.25">
      <c r="A167" s="81"/>
      <c r="B167" s="81"/>
      <c r="C167" s="81"/>
      <c r="D167" s="144">
        <v>44866</v>
      </c>
      <c r="E167" s="76">
        <v>44890.711805555555</v>
      </c>
      <c r="F167" s="6" t="s">
        <v>29</v>
      </c>
      <c r="G167" s="5" t="str">
        <f>IFERROR(VLOOKUP(SUMIFS(MSOLICITADA!$I:$I,MSOLICITADA!$B:$B,D167,MSOLICITADA!$F:$F,F167),CODIGOSPLACAS!$A$64:$B$89,2,FALSE),"")</f>
        <v>EDNILSON</v>
      </c>
      <c r="H167" s="77">
        <v>228643</v>
      </c>
      <c r="I167" s="77">
        <v>229197</v>
      </c>
      <c r="J167" s="7">
        <v>395.32</v>
      </c>
      <c r="K167" s="78">
        <v>2534</v>
      </c>
      <c r="L167" s="79" t="s">
        <v>111</v>
      </c>
      <c r="M167" s="6"/>
      <c r="N167" s="5">
        <f t="shared" si="13"/>
        <v>554</v>
      </c>
      <c r="O167" s="80">
        <f t="shared" si="14"/>
        <v>6.4099969644844688</v>
      </c>
      <c r="P167" s="8">
        <f t="shared" si="15"/>
        <v>1.4013963371445917</v>
      </c>
      <c r="Q167" s="8">
        <f t="shared" si="18"/>
        <v>1.5506852118293495</v>
      </c>
      <c r="R167" s="81">
        <f t="shared" si="16"/>
        <v>0</v>
      </c>
      <c r="S167" s="113" t="str">
        <f>IF(F167="","",IF(H167="",TEXT(_xlfn.MAXIFS($I$1:I167,$F$1:F167,F167,$H$1:H167,"&gt;"&amp;0),"000.000"),F167))</f>
        <v>GKA2J56</v>
      </c>
      <c r="T167" s="81"/>
      <c r="U167" s="82"/>
      <c r="V167" s="98"/>
      <c r="W167" s="82"/>
      <c r="X167" s="98"/>
      <c r="Y167" s="82"/>
      <c r="Z167" s="98"/>
      <c r="AA167" s="82"/>
      <c r="AB167" s="98"/>
      <c r="AC167" s="82"/>
      <c r="AD167" s="98"/>
      <c r="AE167" s="117"/>
      <c r="AF167" s="98"/>
      <c r="AG167" s="98"/>
      <c r="AH167" s="98"/>
      <c r="AI167" s="82"/>
      <c r="AJ167" s="98"/>
      <c r="AK167" s="83"/>
      <c r="AL167" s="84" t="str">
        <f>IF(F167&lt;&gt;0,IF(_xlfn.MAXIFS($I$1:I167,$F$1:F167,F167,$H$1:H167,"&gt;"&amp;0)=0,"KM NÃO ENCONTRADO",IF(H167=0,CONCATENATE("SUGESTÃO DE KM PARA PLACA ",F167," *",_xlfn.MAXIFS($I$1:I167,$F$1:F167,F167,$H$1:H167,"&gt;"&amp;0),"*"),"")),"")</f>
        <v/>
      </c>
      <c r="AM167" s="85" t="str" cm="1">
        <f t="array" ref="AM167">IFERROR(IF(M167&lt;&gt;"","",CONCATENATE("https://btx.brasiltrack.com/logistica/trajeto.php?idveiculo=",VLOOKUP(F167,DATAS!$A$221:$B$250,2,FALSE),"&amp;lat=-22.204247","&amp;data_ini=",TEXT(IF(E167&lt;&gt;"",IF(COUNTIF($F$2:$F167,F167)&gt;1,MAX(IF($F$1:$F166=F167,$E$1:$E166)),""),""),"DD/MM/AAAA"),"&amp;data_fim=",TEXT(E167,"DD/MM/AAAA"),"&amp;hora_inicial=",HOUR(IF(E167&lt;&gt;"",IF(COUNTIF($F$2:$F167,F167)&gt;1,MAX(IF($F$1:$F166=F167,$E$1:$E166)),""),"")),"&amp;minuto_inicial=",MINUTE(IF(E167&lt;&gt;"",IF(COUNTIF($F$2:$F167,F167)&gt;1,MAX(IF($F$1:$F166=F167,$E$1:$E166)),""),"")),"&amp;hora_final=",HOUR(E167),"&amp;minuto_final=",MINUTE(E167),"&amp;periodo=6&amp;tipo=por_data&amp;upos=false&amp;outequip=0")),"")</f>
        <v>https://btx.brasiltrack.com/logistica/trajeto.php?idveiculo=75A3D88C-4B99-481A-ACC8-34008151E92D&amp;lat=-22.204247&amp;data_ini=24/11/2022&amp;data_fim=25/11/2022&amp;hora_inicial=8&amp;minuto_inicial=12&amp;hora_final=17&amp;minuto_final=5&amp;periodo=6&amp;tipo=por_data&amp;upos=false&amp;outequip=0</v>
      </c>
      <c r="AN167" s="100" t="str">
        <f t="shared" si="17"/>
        <v xml:space="preserve">               </v>
      </c>
    </row>
    <row r="168" spans="1:40" x14ac:dyDescent="0.25">
      <c r="A168" s="81"/>
      <c r="B168" s="81"/>
      <c r="C168" s="81"/>
      <c r="D168" s="144">
        <v>44866</v>
      </c>
      <c r="E168" s="76">
        <v>44890.768750000003</v>
      </c>
      <c r="F168" s="6" t="s">
        <v>124</v>
      </c>
      <c r="G168" s="5" t="str">
        <f>IFERROR(VLOOKUP(SUMIFS(MSOLICITADA!$I:$I,MSOLICITADA!$B:$B,D168,MSOLICITADA!$F:$F,F168),CODIGOSPLACAS!$A$64:$B$89,2,FALSE),"")</f>
        <v>ISRAEL</v>
      </c>
      <c r="H168" s="77">
        <v>130682</v>
      </c>
      <c r="I168" s="77">
        <v>131241</v>
      </c>
      <c r="J168" s="7">
        <v>390.01</v>
      </c>
      <c r="K168" s="78">
        <v>2499.96</v>
      </c>
      <c r="L168" s="79" t="s">
        <v>111</v>
      </c>
      <c r="M168" s="6"/>
      <c r="N168" s="5">
        <f t="shared" si="13"/>
        <v>559</v>
      </c>
      <c r="O168" s="80">
        <f t="shared" si="14"/>
        <v>6.4099894874490397</v>
      </c>
      <c r="P168" s="8">
        <f t="shared" si="15"/>
        <v>1.4332965821389196</v>
      </c>
      <c r="Q168" s="8">
        <f t="shared" si="18"/>
        <v>1.5512732562038034</v>
      </c>
      <c r="R168" s="81">
        <f t="shared" si="16"/>
        <v>0</v>
      </c>
      <c r="S168" s="113" t="str">
        <f>IF(F168="","",IF(H168="",TEXT(_xlfn.MAXIFS($I$1:I168,$F$1:F168,F168,$H$1:H168,"&gt;"&amp;0),"000.000"),F168))</f>
        <v>GHH9B64</v>
      </c>
      <c r="T168" s="81"/>
      <c r="U168" s="82"/>
      <c r="V168" s="98"/>
      <c r="W168" s="82"/>
      <c r="X168" s="98"/>
      <c r="Y168" s="82"/>
      <c r="Z168" s="98"/>
      <c r="AA168" s="82"/>
      <c r="AB168" s="98"/>
      <c r="AC168" s="82"/>
      <c r="AD168" s="98"/>
      <c r="AE168" s="117"/>
      <c r="AF168" s="98"/>
      <c r="AG168" s="98"/>
      <c r="AH168" s="98"/>
      <c r="AI168" s="82"/>
      <c r="AJ168" s="98"/>
      <c r="AK168" s="83"/>
      <c r="AL168" s="84" t="str">
        <f>IF(F168&lt;&gt;0,IF(_xlfn.MAXIFS($I$1:I168,$F$1:F168,F168,$H$1:H168,"&gt;"&amp;0)=0,"KM NÃO ENCONTRADO",IF(H168=0,CONCATENATE("SUGESTÃO DE KM PARA PLACA ",F168," *",_xlfn.MAXIFS($I$1:I168,$F$1:F168,F168,$H$1:H168,"&gt;"&amp;0),"*"),"")),"")</f>
        <v/>
      </c>
      <c r="AM168" s="85" t="str" cm="1">
        <f t="array" ref="AM168">IFERROR(IF(M168&lt;&gt;"","",CONCATENATE("https://btx.brasiltrack.com/logistica/trajeto.php?idveiculo=",VLOOKUP(F168,DATAS!$A$221:$B$250,2,FALSE),"&amp;lat=-22.204247","&amp;data_ini=",TEXT(IF(E168&lt;&gt;"",IF(COUNTIF($F$2:$F168,F168)&gt;1,MAX(IF($F$1:$F167=F168,$E$1:$E167)),""),""),"DD/MM/AAAA"),"&amp;data_fim=",TEXT(E168,"DD/MM/AAAA"),"&amp;hora_inicial=",HOUR(IF(E168&lt;&gt;"",IF(COUNTIF($F$2:$F168,F168)&gt;1,MAX(IF($F$1:$F167=F168,$E$1:$E167)),""),"")),"&amp;minuto_inicial=",MINUTE(IF(E168&lt;&gt;"",IF(COUNTIF($F$2:$F168,F168)&gt;1,MAX(IF($F$1:$F167=F168,$E$1:$E167)),""),"")),"&amp;hora_final=",HOUR(E168),"&amp;minuto_final=",MINUTE(E168),"&amp;periodo=6&amp;tipo=por_data&amp;upos=false&amp;outequip=0")),"")</f>
        <v>https://btx.brasiltrack.com/logistica/trajeto.php?idveiculo=82801E41-A001-436F-A743-F071900B878A&amp;lat=-22.204247&amp;data_ini=24/11/2022&amp;data_fim=25/11/2022&amp;hora_inicial=8&amp;minuto_inicial=17&amp;hora_final=18&amp;minuto_final=27&amp;periodo=6&amp;tipo=por_data&amp;upos=false&amp;outequip=0</v>
      </c>
      <c r="AN168" s="100" t="str">
        <f t="shared" si="17"/>
        <v xml:space="preserve">               </v>
      </c>
    </row>
    <row r="169" spans="1:40" x14ac:dyDescent="0.25">
      <c r="A169" s="81"/>
      <c r="B169" s="81"/>
      <c r="C169" s="81"/>
      <c r="D169" s="144">
        <v>44866</v>
      </c>
      <c r="E169" s="76">
        <v>44890.770833333336</v>
      </c>
      <c r="F169" s="6" t="s">
        <v>128</v>
      </c>
      <c r="G169" s="5" t="str">
        <f>IFERROR(VLOOKUP(SUMIFS(MSOLICITADA!$I:$I,MSOLICITADA!$B:$B,D169,MSOLICITADA!$F:$F,F169),CODIGOSPLACAS!$A$64:$B$89,2,FALSE),"")</f>
        <v>ELI RICARDO</v>
      </c>
      <c r="H169" s="77">
        <v>84334</v>
      </c>
      <c r="I169" s="77">
        <v>84641</v>
      </c>
      <c r="J169" s="7">
        <v>186.5</v>
      </c>
      <c r="K169" s="78">
        <v>1148.83</v>
      </c>
      <c r="L169" s="79" t="s">
        <v>112</v>
      </c>
      <c r="M169" s="6"/>
      <c r="N169" s="5">
        <f t="shared" si="13"/>
        <v>307</v>
      </c>
      <c r="O169" s="80">
        <f t="shared" si="14"/>
        <v>6.1599463806970505</v>
      </c>
      <c r="P169" s="8">
        <f t="shared" si="15"/>
        <v>1.646112600536193</v>
      </c>
      <c r="Q169" s="8">
        <f t="shared" si="18"/>
        <v>1.6394783012697074</v>
      </c>
      <c r="R169" s="81">
        <f t="shared" si="16"/>
        <v>0</v>
      </c>
      <c r="S169" s="113" t="str">
        <f>IF(F169="","",IF(H169="",TEXT(_xlfn.MAXIFS($I$1:I169,$F$1:F169,F169,$H$1:H169,"&gt;"&amp;0),"000.000"),F169))</f>
        <v>GFR0D47</v>
      </c>
      <c r="T169" s="81"/>
      <c r="U169" s="82"/>
      <c r="V169" s="98"/>
      <c r="W169" s="82"/>
      <c r="X169" s="98"/>
      <c r="Y169" s="82"/>
      <c r="Z169" s="98"/>
      <c r="AA169" s="82"/>
      <c r="AB169" s="98"/>
      <c r="AC169" s="82"/>
      <c r="AD169" s="98"/>
      <c r="AE169" s="117"/>
      <c r="AF169" s="98"/>
      <c r="AG169" s="98"/>
      <c r="AH169" s="98"/>
      <c r="AI169" s="82"/>
      <c r="AJ169" s="98"/>
      <c r="AK169" s="83"/>
      <c r="AL169" s="84" t="str">
        <f>IF(F169&lt;&gt;0,IF(_xlfn.MAXIFS($I$1:I169,$F$1:F169,F169,$H$1:H169,"&gt;"&amp;0)=0,"KM NÃO ENCONTRADO",IF(H169=0,CONCATENATE("SUGESTÃO DE KM PARA PLACA ",F169," *",_xlfn.MAXIFS($I$1:I169,$F$1:F169,F169,$H$1:H169,"&gt;"&amp;0),"*"),"")),"")</f>
        <v/>
      </c>
      <c r="AM169" s="85" t="str" cm="1">
        <f t="array" ref="AM169">IFERROR(IF(M169&lt;&gt;"","",CONCATENATE("https://btx.brasiltrack.com/logistica/trajeto.php?idveiculo=",VLOOKUP(F169,DATAS!$A$221:$B$250,2,FALSE),"&amp;lat=-22.204247","&amp;data_ini=",TEXT(IF(E169&lt;&gt;"",IF(COUNTIF($F$2:$F169,F169)&gt;1,MAX(IF($F$1:$F168=F169,$E$1:$E168)),""),""),"DD/MM/AAAA"),"&amp;data_fim=",TEXT(E169,"DD/MM/AAAA"),"&amp;hora_inicial=",HOUR(IF(E169&lt;&gt;"",IF(COUNTIF($F$2:$F169,F169)&gt;1,MAX(IF($F$1:$F168=F169,$E$1:$E168)),""),"")),"&amp;minuto_inicial=",MINUTE(IF(E169&lt;&gt;"",IF(COUNTIF($F$2:$F169,F169)&gt;1,MAX(IF($F$1:$F168=F169,$E$1:$E168)),""),"")),"&amp;hora_final=",HOUR(E169),"&amp;minuto_final=",MINUTE(E169),"&amp;periodo=6&amp;tipo=por_data&amp;upos=false&amp;outequip=0")),"")</f>
        <v>https://btx.brasiltrack.com/logistica/trajeto.php?idveiculo=D171D77B-7EEE-4B8A-AB93-163C02819566&amp;lat=-22.204247&amp;data_ini=24/11/2022&amp;data_fim=25/11/2022&amp;hora_inicial=22&amp;minuto_inicial=21&amp;hora_final=18&amp;minuto_final=30&amp;periodo=6&amp;tipo=por_data&amp;upos=false&amp;outequip=0</v>
      </c>
      <c r="AN169" s="100" t="str">
        <f t="shared" si="17"/>
        <v xml:space="preserve">               </v>
      </c>
    </row>
    <row r="170" spans="1:40" x14ac:dyDescent="0.25">
      <c r="A170" s="81"/>
      <c r="B170" s="81"/>
      <c r="C170" s="81"/>
      <c r="D170" s="144">
        <v>44866</v>
      </c>
      <c r="E170" s="76">
        <v>44890.8</v>
      </c>
      <c r="F170" s="6" t="s">
        <v>28</v>
      </c>
      <c r="G170" s="5" t="str">
        <f>IFERROR(VLOOKUP(SUMIFS(MSOLICITADA!$I:$I,MSOLICITADA!$B:$B,D170,MSOLICITADA!$F:$F,F170),CODIGOSPLACAS!$A$64:$B$89,2,FALSE),"")</f>
        <v>RONY</v>
      </c>
      <c r="H170" s="77">
        <v>235784</v>
      </c>
      <c r="I170" s="77">
        <v>236721</v>
      </c>
      <c r="J170" s="7">
        <v>400</v>
      </c>
      <c r="K170" s="78">
        <v>2803.68</v>
      </c>
      <c r="L170" s="79" t="s">
        <v>111</v>
      </c>
      <c r="M170" s="6"/>
      <c r="N170" s="5">
        <f t="shared" si="13"/>
        <v>937</v>
      </c>
      <c r="O170" s="80">
        <f t="shared" si="14"/>
        <v>7.0091999999999999</v>
      </c>
      <c r="P170" s="8">
        <f t="shared" si="15"/>
        <v>2.3424999999999998</v>
      </c>
      <c r="Q170" s="8">
        <f t="shared" si="18"/>
        <v>1.398271770983244</v>
      </c>
      <c r="R170" s="81">
        <f t="shared" si="16"/>
        <v>0</v>
      </c>
      <c r="S170" s="113" t="str">
        <f>IF(F170="","",IF(H170="",TEXT(_xlfn.MAXIFS($I$1:I170,$F$1:F170,F170,$H$1:H170,"&gt;"&amp;0),"000.000"),F170))</f>
        <v>FZA3E94</v>
      </c>
      <c r="T170" s="81"/>
      <c r="U170" s="82"/>
      <c r="V170" s="98"/>
      <c r="W170" s="82"/>
      <c r="X170" s="98"/>
      <c r="Y170" s="82"/>
      <c r="Z170" s="98"/>
      <c r="AA170" s="82"/>
      <c r="AB170" s="98"/>
      <c r="AC170" s="82"/>
      <c r="AD170" s="98"/>
      <c r="AE170" s="117"/>
      <c r="AF170" s="98"/>
      <c r="AG170" s="98"/>
      <c r="AH170" s="98"/>
      <c r="AI170" s="82"/>
      <c r="AJ170" s="98"/>
      <c r="AK170" s="83"/>
      <c r="AL170" s="84" t="str">
        <f>IF(F170&lt;&gt;0,IF(_xlfn.MAXIFS($I$1:I170,$F$1:F170,F170,$H$1:H170,"&gt;"&amp;0)=0,"KM NÃO ENCONTRADO",IF(H170=0,CONCATENATE("SUGESTÃO DE KM PARA PLACA ",F170," *",_xlfn.MAXIFS($I$1:I170,$F$1:F170,F170,$H$1:H170,"&gt;"&amp;0),"*"),"")),"")</f>
        <v/>
      </c>
      <c r="AM170" s="85" t="str" cm="1">
        <f t="array" ref="AM170">IFERROR(IF(M170&lt;&gt;"","",CONCATENATE("https://btx.brasiltrack.com/logistica/trajeto.php?idveiculo=",VLOOKUP(F170,DATAS!$A$221:$B$250,2,FALSE),"&amp;lat=-22.204247","&amp;data_ini=",TEXT(IF(E170&lt;&gt;"",IF(COUNTIF($F$2:$F170,F170)&gt;1,MAX(IF($F$1:$F169=F170,$E$1:$E169)),""),""),"DD/MM/AAAA"),"&amp;data_fim=",TEXT(E170,"DD/MM/AAAA"),"&amp;hora_inicial=",HOUR(IF(E170&lt;&gt;"",IF(COUNTIF($F$2:$F170,F170)&gt;1,MAX(IF($F$1:$F169=F170,$E$1:$E169)),""),"")),"&amp;minuto_inicial=",MINUTE(IF(E170&lt;&gt;"",IF(COUNTIF($F$2:$F170,F170)&gt;1,MAX(IF($F$1:$F169=F170,$E$1:$E169)),""),"")),"&amp;hora_final=",HOUR(E170),"&amp;minuto_final=",MINUTE(E170),"&amp;periodo=6&amp;tipo=por_data&amp;upos=false&amp;outequip=0")),"")</f>
        <v>https://btx.brasiltrack.com/logistica/trajeto.php?idveiculo=4DFC6CC2-BC04-4FE8-81DF-C3A3882D850D&amp;lat=-22.204247&amp;data_ini=23/11/2022&amp;data_fim=25/11/2022&amp;hora_inicial=20&amp;minuto_inicial=10&amp;hora_final=19&amp;minuto_final=12&amp;periodo=6&amp;tipo=por_data&amp;upos=false&amp;outequip=0</v>
      </c>
      <c r="AN170" s="100" t="str">
        <f t="shared" si="17"/>
        <v xml:space="preserve">               </v>
      </c>
    </row>
    <row r="171" spans="1:40" x14ac:dyDescent="0.25">
      <c r="A171" s="81"/>
      <c r="B171" s="81"/>
      <c r="C171" s="81"/>
      <c r="D171" s="144">
        <v>44866</v>
      </c>
      <c r="E171" s="76">
        <v>44890.809027777781</v>
      </c>
      <c r="F171" s="6" t="s">
        <v>26</v>
      </c>
      <c r="G171" s="5" t="str">
        <f>IFERROR(VLOOKUP(SUMIFS(MSOLICITADA!$I:$I,MSOLICITADA!$B:$B,D171,MSOLICITADA!$F:$F,F171),CODIGOSPLACAS!$A$64:$B$89,2,FALSE),"")</f>
        <v>DIEGO</v>
      </c>
      <c r="H171" s="77">
        <v>393445</v>
      </c>
      <c r="I171" s="77">
        <v>394127</v>
      </c>
      <c r="J171" s="7">
        <v>400</v>
      </c>
      <c r="K171" s="78">
        <v>2803.68</v>
      </c>
      <c r="L171" s="79" t="s">
        <v>111</v>
      </c>
      <c r="M171" s="6"/>
      <c r="N171" s="5">
        <f t="shared" si="13"/>
        <v>682</v>
      </c>
      <c r="O171" s="80">
        <f t="shared" si="14"/>
        <v>7.0091999999999999</v>
      </c>
      <c r="P171" s="8">
        <f t="shared" si="15"/>
        <v>1.7050000000000001</v>
      </c>
      <c r="Q171" s="8">
        <f t="shared" si="18"/>
        <v>1.4215213058096179</v>
      </c>
      <c r="R171" s="81">
        <f t="shared" si="16"/>
        <v>0</v>
      </c>
      <c r="S171" s="113" t="str">
        <f>IF(F171="","",IF(H171="",TEXT(_xlfn.MAXIFS($I$1:I171,$F$1:F171,F171,$H$1:H171,"&gt;"&amp;0),"000.000"),F171))</f>
        <v>BZA3587</v>
      </c>
      <c r="T171" s="81"/>
      <c r="U171" s="82"/>
      <c r="V171" s="98"/>
      <c r="W171" s="82"/>
      <c r="X171" s="98"/>
      <c r="Y171" s="82"/>
      <c r="Z171" s="98"/>
      <c r="AA171" s="82"/>
      <c r="AB171" s="98"/>
      <c r="AC171" s="82"/>
      <c r="AD171" s="98"/>
      <c r="AE171" s="117"/>
      <c r="AF171" s="98"/>
      <c r="AG171" s="98"/>
      <c r="AH171" s="98"/>
      <c r="AI171" s="82"/>
      <c r="AJ171" s="98"/>
      <c r="AK171" s="83"/>
      <c r="AL171" s="84" t="str">
        <f>IF(F171&lt;&gt;0,IF(_xlfn.MAXIFS($I$1:I171,$F$1:F171,F171,$H$1:H171,"&gt;"&amp;0)=0,"KM NÃO ENCONTRADO",IF(H171=0,CONCATENATE("SUGESTÃO DE KM PARA PLACA ",F171," *",_xlfn.MAXIFS($I$1:I171,$F$1:F171,F171,$H$1:H171,"&gt;"&amp;0),"*"),"")),"")</f>
        <v/>
      </c>
      <c r="AM171" s="85" t="str" cm="1">
        <f t="array" ref="AM171">IFERROR(IF(M171&lt;&gt;"","",CONCATENATE("https://btx.brasiltrack.com/logistica/trajeto.php?idveiculo=",VLOOKUP(F171,DATAS!$A$221:$B$250,2,FALSE),"&amp;lat=-22.204247","&amp;data_ini=",TEXT(IF(E171&lt;&gt;"",IF(COUNTIF($F$2:$F171,F171)&gt;1,MAX(IF($F$1:$F170=F171,$E$1:$E170)),""),""),"DD/MM/AAAA"),"&amp;data_fim=",TEXT(E171,"DD/MM/AAAA"),"&amp;hora_inicial=",HOUR(IF(E171&lt;&gt;"",IF(COUNTIF($F$2:$F171,F171)&gt;1,MAX(IF($F$1:$F170=F171,$E$1:$E170)),""),"")),"&amp;minuto_inicial=",MINUTE(IF(E171&lt;&gt;"",IF(COUNTIF($F$2:$F171,F171)&gt;1,MAX(IF($F$1:$F170=F171,$E$1:$E170)),""),"")),"&amp;hora_final=",HOUR(E171),"&amp;minuto_final=",MINUTE(E171),"&amp;periodo=6&amp;tipo=por_data&amp;upos=false&amp;outequip=0")),"")</f>
        <v>https://btx.brasiltrack.com/logistica/trajeto.php?idveiculo=6CC0A70E-9379-4BF7-9063-21D318A103FE&amp;lat=-22.204247&amp;data_ini=24/11/2022&amp;data_fim=25/11/2022&amp;hora_inicial=21&amp;minuto_inicial=3&amp;hora_final=19&amp;minuto_final=25&amp;periodo=6&amp;tipo=por_data&amp;upos=false&amp;outequip=0</v>
      </c>
      <c r="AN171" s="100" t="str">
        <f t="shared" si="17"/>
        <v xml:space="preserve">               </v>
      </c>
    </row>
    <row r="172" spans="1:40" x14ac:dyDescent="0.25">
      <c r="A172" s="81"/>
      <c r="B172" s="81"/>
      <c r="C172" s="81"/>
      <c r="D172" s="144">
        <v>44866</v>
      </c>
      <c r="E172" s="76">
        <v>44890.809027777781</v>
      </c>
      <c r="F172" s="6" t="s">
        <v>24</v>
      </c>
      <c r="G172" s="5" t="str">
        <f>IFERROR(VLOOKUP(SUMIFS(MSOLICITADA!$I:$I,MSOLICITADA!$B:$B,D172,MSOLICITADA!$F:$F,F172),CODIGOSPLACAS!$A$64:$B$89,2,FALSE),"")</f>
        <v>PAULO HENR.</v>
      </c>
      <c r="H172" s="77">
        <v>940781</v>
      </c>
      <c r="I172" s="77">
        <v>941723</v>
      </c>
      <c r="J172" s="7">
        <v>400</v>
      </c>
      <c r="K172" s="78">
        <v>2803.68</v>
      </c>
      <c r="L172" s="79" t="s">
        <v>111</v>
      </c>
      <c r="M172" s="6"/>
      <c r="N172" s="5">
        <f t="shared" si="13"/>
        <v>942</v>
      </c>
      <c r="O172" s="80">
        <f t="shared" si="14"/>
        <v>7.0091999999999999</v>
      </c>
      <c r="P172" s="8">
        <f t="shared" si="15"/>
        <v>2.355</v>
      </c>
      <c r="Q172" s="8">
        <f t="shared" si="18"/>
        <v>1.4770603223392504</v>
      </c>
      <c r="R172" s="81">
        <f t="shared" si="16"/>
        <v>0</v>
      </c>
      <c r="S172" s="113" t="str">
        <f>IF(F172="","",IF(H172="",TEXT(_xlfn.MAXIFS($I$1:I172,$F$1:F172,F172,$H$1:H172,"&gt;"&amp;0),"000.000"),F172))</f>
        <v>FKS0J24</v>
      </c>
      <c r="T172" s="81"/>
      <c r="U172" s="82"/>
      <c r="V172" s="98"/>
      <c r="W172" s="82"/>
      <c r="X172" s="98"/>
      <c r="Y172" s="82"/>
      <c r="Z172" s="98"/>
      <c r="AA172" s="82"/>
      <c r="AB172" s="98"/>
      <c r="AC172" s="82"/>
      <c r="AD172" s="98"/>
      <c r="AE172" s="117"/>
      <c r="AF172" s="98"/>
      <c r="AG172" s="98"/>
      <c r="AH172" s="98"/>
      <c r="AI172" s="82"/>
      <c r="AJ172" s="98"/>
      <c r="AK172" s="83"/>
      <c r="AL172" s="84" t="str">
        <f>IF(F172&lt;&gt;0,IF(_xlfn.MAXIFS($I$1:I172,$F$1:F172,F172,$H$1:H172,"&gt;"&amp;0)=0,"KM NÃO ENCONTRADO",IF(H172=0,CONCATENATE("SUGESTÃO DE KM PARA PLACA ",F172," *",_xlfn.MAXIFS($I$1:I172,$F$1:F172,F172,$H$1:H172,"&gt;"&amp;0),"*"),"")),"")</f>
        <v/>
      </c>
      <c r="AM172" s="85" t="str" cm="1">
        <f t="array" ref="AM172">IFERROR(IF(M172&lt;&gt;"","",CONCATENATE("https://btx.brasiltrack.com/logistica/trajeto.php?idveiculo=",VLOOKUP(F172,DATAS!$A$221:$B$250,2,FALSE),"&amp;lat=-22.204247","&amp;data_ini=",TEXT(IF(E172&lt;&gt;"",IF(COUNTIF($F$2:$F172,F172)&gt;1,MAX(IF($F$1:$F171=F172,$E$1:$E171)),""),""),"DD/MM/AAAA"),"&amp;data_fim=",TEXT(E172,"DD/MM/AAAA"),"&amp;hora_inicial=",HOUR(IF(E172&lt;&gt;"",IF(COUNTIF($F$2:$F172,F172)&gt;1,MAX(IF($F$1:$F171=F172,$E$1:$E171)),""),"")),"&amp;minuto_inicial=",MINUTE(IF(E172&lt;&gt;"",IF(COUNTIF($F$2:$F172,F172)&gt;1,MAX(IF($F$1:$F171=F172,$E$1:$E171)),""),"")),"&amp;hora_final=",HOUR(E172),"&amp;minuto_final=",MINUTE(E172),"&amp;periodo=6&amp;tipo=por_data&amp;upos=false&amp;outequip=0")),"")</f>
        <v>https://btx.brasiltrack.com/logistica/trajeto.php?idveiculo=F4FE5996-DC74-4D0B-AEF1-D6ADE020157C&amp;lat=-22.204247&amp;data_ini=23/11/2022&amp;data_fim=25/11/2022&amp;hora_inicial=21&amp;minuto_inicial=58&amp;hora_final=19&amp;minuto_final=25&amp;periodo=6&amp;tipo=por_data&amp;upos=false&amp;outequip=0</v>
      </c>
      <c r="AN172" s="100" t="str">
        <f t="shared" si="17"/>
        <v xml:space="preserve">               </v>
      </c>
    </row>
    <row r="173" spans="1:40" x14ac:dyDescent="0.25">
      <c r="A173" s="81"/>
      <c r="B173" s="81"/>
      <c r="C173" s="81"/>
      <c r="D173" s="144">
        <v>44866</v>
      </c>
      <c r="E173" s="76">
        <v>44890.824305555558</v>
      </c>
      <c r="F173" s="6" t="s">
        <v>127</v>
      </c>
      <c r="G173" s="5" t="str">
        <f>IFERROR(VLOOKUP(SUMIFS(MSOLICITADA!$I:$I,MSOLICITADA!$B:$B,D173,MSOLICITADA!$F:$F,F173),CODIGOSPLACAS!$A$64:$B$89,2,FALSE),"")</f>
        <v>EVERTON</v>
      </c>
      <c r="H173" s="77">
        <v>1223071</v>
      </c>
      <c r="I173" s="77">
        <v>1223654</v>
      </c>
      <c r="J173" s="7">
        <v>360.38</v>
      </c>
      <c r="K173" s="78">
        <v>2310.04</v>
      </c>
      <c r="L173" s="79" t="s">
        <v>111</v>
      </c>
      <c r="M173" s="6"/>
      <c r="N173" s="5">
        <f t="shared" si="13"/>
        <v>583</v>
      </c>
      <c r="O173" s="80">
        <f t="shared" si="14"/>
        <v>6.4100116543648369</v>
      </c>
      <c r="P173" s="8">
        <f t="shared" si="15"/>
        <v>1.6177368333425828</v>
      </c>
      <c r="Q173" s="8">
        <f t="shared" si="18"/>
        <v>1.8434307437405129</v>
      </c>
      <c r="R173" s="81">
        <f t="shared" si="16"/>
        <v>0</v>
      </c>
      <c r="S173" s="113" t="str">
        <f>IF(F173="","",IF(H173="",TEXT(_xlfn.MAXIFS($I$1:I173,$F$1:F173,F173,$H$1:H173,"&gt;"&amp;0),"000.000"),F173))</f>
        <v>OPM8J51</v>
      </c>
      <c r="T173" s="81"/>
      <c r="U173" s="82"/>
      <c r="V173" s="98"/>
      <c r="W173" s="82"/>
      <c r="X173" s="98"/>
      <c r="Y173" s="82"/>
      <c r="Z173" s="98"/>
      <c r="AA173" s="82"/>
      <c r="AB173" s="98"/>
      <c r="AC173" s="82"/>
      <c r="AD173" s="98"/>
      <c r="AE173" s="117"/>
      <c r="AF173" s="98"/>
      <c r="AG173" s="98"/>
      <c r="AH173" s="98"/>
      <c r="AI173" s="82"/>
      <c r="AJ173" s="98"/>
      <c r="AK173" s="83"/>
      <c r="AL173" s="84" t="str">
        <f>IF(F173&lt;&gt;0,IF(_xlfn.MAXIFS($I$1:I173,$F$1:F173,F173,$H$1:H173,"&gt;"&amp;0)=0,"KM NÃO ENCONTRADO",IF(H173=0,CONCATENATE("SUGESTÃO DE KM PARA PLACA ",F173," *",_xlfn.MAXIFS($I$1:I173,$F$1:F173,F173,$H$1:H173,"&gt;"&amp;0),"*"),"")),"")</f>
        <v/>
      </c>
      <c r="AM173" s="85" t="str" cm="1">
        <f t="array" ref="AM173">IFERROR(IF(M173&lt;&gt;"","",CONCATENATE("https://btx.brasiltrack.com/logistica/trajeto.php?idveiculo=",VLOOKUP(F173,DATAS!$A$221:$B$250,2,FALSE),"&amp;lat=-22.204247","&amp;data_ini=",TEXT(IF(E173&lt;&gt;"",IF(COUNTIF($F$2:$F173,F173)&gt;1,MAX(IF($F$1:$F172=F173,$E$1:$E172)),""),""),"DD/MM/AAAA"),"&amp;data_fim=",TEXT(E173,"DD/MM/AAAA"),"&amp;hora_inicial=",HOUR(IF(E173&lt;&gt;"",IF(COUNTIF($F$2:$F173,F173)&gt;1,MAX(IF($F$1:$F172=F173,$E$1:$E172)),""),"")),"&amp;minuto_inicial=",MINUTE(IF(E173&lt;&gt;"",IF(COUNTIF($F$2:$F173,F173)&gt;1,MAX(IF($F$1:$F172=F173,$E$1:$E172)),""),"")),"&amp;hora_final=",HOUR(E173),"&amp;minuto_final=",MINUTE(E173),"&amp;periodo=6&amp;tipo=por_data&amp;upos=false&amp;outequip=0")),"")</f>
        <v>https://btx.brasiltrack.com/logistica/trajeto.php?idveiculo=6B275FDC-A2AC-4272-8CE2-C39701ECE18D&amp;lat=-22.204247&amp;data_ini=24/11/2022&amp;data_fim=25/11/2022&amp;hora_inicial=5&amp;minuto_inicial=23&amp;hora_final=19&amp;minuto_final=47&amp;periodo=6&amp;tipo=por_data&amp;upos=false&amp;outequip=0</v>
      </c>
      <c r="AN173" s="100" t="str">
        <f t="shared" si="17"/>
        <v xml:space="preserve">               </v>
      </c>
    </row>
    <row r="174" spans="1:40" x14ac:dyDescent="0.25">
      <c r="A174" s="81"/>
      <c r="B174" s="81"/>
      <c r="C174" s="81"/>
      <c r="D174" s="144">
        <v>44866</v>
      </c>
      <c r="E174" s="76">
        <v>44891</v>
      </c>
      <c r="F174" s="6" t="s">
        <v>24</v>
      </c>
      <c r="G174" s="5" t="str">
        <f>IFERROR(VLOOKUP(SUMIFS(MSOLICITADA!$I:$I,MSOLICITADA!$B:$B,D174,MSOLICITADA!$F:$F,F174),CODIGOSPLACAS!$A$64:$B$89,2,FALSE),"")</f>
        <v>PAULO HENR.</v>
      </c>
      <c r="H174" s="77">
        <v>941723</v>
      </c>
      <c r="I174" s="77">
        <v>942061</v>
      </c>
      <c r="J174" s="7">
        <v>200</v>
      </c>
      <c r="K174" s="78">
        <v>1320</v>
      </c>
      <c r="L174" s="79" t="s">
        <v>111</v>
      </c>
      <c r="M174" s="6"/>
      <c r="N174" s="5">
        <f t="shared" si="13"/>
        <v>338</v>
      </c>
      <c r="O174" s="80">
        <f t="shared" si="14"/>
        <v>6.6</v>
      </c>
      <c r="P174" s="8">
        <f t="shared" si="15"/>
        <v>1.69</v>
      </c>
      <c r="Q174" s="8">
        <f t="shared" si="18"/>
        <v>1.4770603223392504</v>
      </c>
      <c r="R174" s="81">
        <f t="shared" si="16"/>
        <v>0</v>
      </c>
      <c r="S174" s="113" t="str">
        <f>IF(F174="","",IF(H174="",TEXT(_xlfn.MAXIFS($I$1:I174,$F$1:F174,F174,$H$1:H174,"&gt;"&amp;0),"000.000"),F174))</f>
        <v>FKS0J24</v>
      </c>
      <c r="T174" s="81"/>
      <c r="U174" s="82"/>
      <c r="V174" s="98"/>
      <c r="W174" s="82"/>
      <c r="X174" s="98"/>
      <c r="Y174" s="82"/>
      <c r="Z174" s="98"/>
      <c r="AA174" s="82"/>
      <c r="AB174" s="98"/>
      <c r="AC174" s="82"/>
      <c r="AD174" s="98"/>
      <c r="AE174" s="117"/>
      <c r="AF174" s="98"/>
      <c r="AG174" s="98"/>
      <c r="AH174" s="98"/>
      <c r="AI174" s="82"/>
      <c r="AJ174" s="98"/>
      <c r="AK174" s="83"/>
      <c r="AL174" s="84" t="str">
        <f>IF(F174&lt;&gt;0,IF(_xlfn.MAXIFS($I$1:I174,$F$1:F174,F174,$H$1:H174,"&gt;"&amp;0)=0,"KM NÃO ENCONTRADO",IF(H174=0,CONCATENATE("SUGESTÃO DE KM PARA PLACA ",F174," *",_xlfn.MAXIFS($I$1:I174,$F$1:F174,F174,$H$1:H174,"&gt;"&amp;0),"*"),"")),"")</f>
        <v/>
      </c>
      <c r="AM174" s="85" t="str" cm="1">
        <f t="array" ref="AM174">IFERROR(IF(M174&lt;&gt;"","",CONCATENATE("https://btx.brasiltrack.com/logistica/trajeto.php?idveiculo=",VLOOKUP(F174,DATAS!$A$221:$B$250,2,FALSE),"&amp;lat=-22.204247","&amp;data_ini=",TEXT(IF(E174&lt;&gt;"",IF(COUNTIF($F$2:$F174,F174)&gt;1,MAX(IF($F$1:$F173=F174,$E$1:$E173)),""),""),"DD/MM/AAAA"),"&amp;data_fim=",TEXT(E174,"DD/MM/AAAA"),"&amp;hora_inicial=",HOUR(IF(E174&lt;&gt;"",IF(COUNTIF($F$2:$F174,F174)&gt;1,MAX(IF($F$1:$F173=F174,$E$1:$E173)),""),"")),"&amp;minuto_inicial=",MINUTE(IF(E174&lt;&gt;"",IF(COUNTIF($F$2:$F174,F174)&gt;1,MAX(IF($F$1:$F173=F174,$E$1:$E173)),""),"")),"&amp;hora_final=",HOUR(E174),"&amp;minuto_final=",MINUTE(E174),"&amp;periodo=6&amp;tipo=por_data&amp;upos=false&amp;outequip=0")),"")</f>
        <v>https://btx.brasiltrack.com/logistica/trajeto.php?idveiculo=F4FE5996-DC74-4D0B-AEF1-D6ADE020157C&amp;lat=-22.204247&amp;data_ini=25/11/2022&amp;data_fim=26/11/2022&amp;hora_inicial=19&amp;minuto_inicial=25&amp;hora_final=0&amp;minuto_final=0&amp;periodo=6&amp;tipo=por_data&amp;upos=false&amp;outequip=0</v>
      </c>
      <c r="AN174" s="100" t="str">
        <f t="shared" si="17"/>
        <v xml:space="preserve">               </v>
      </c>
    </row>
    <row r="175" spans="1:40" x14ac:dyDescent="0.25">
      <c r="A175" s="81"/>
      <c r="B175" s="81"/>
      <c r="C175" s="81"/>
      <c r="D175" s="144">
        <v>44866</v>
      </c>
      <c r="E175" s="76">
        <v>44891.030555555553</v>
      </c>
      <c r="F175" s="6" t="s">
        <v>33</v>
      </c>
      <c r="G175" s="5" t="str">
        <f>IFERROR(VLOOKUP(SUMIFS(MSOLICITADA!$I:$I,MSOLICITADA!$B:$B,D175,MSOLICITADA!$F:$F,F175),CODIGOSPLACAS!$A$64:$B$89,2,FALSE),"")</f>
        <v>JULIO</v>
      </c>
      <c r="H175" s="77">
        <v>158465</v>
      </c>
      <c r="I175" s="77">
        <v>159205</v>
      </c>
      <c r="J175" s="7">
        <v>523.4</v>
      </c>
      <c r="K175" s="78">
        <v>3480.61</v>
      </c>
      <c r="L175" s="79" t="s">
        <v>111</v>
      </c>
      <c r="M175" s="6"/>
      <c r="N175" s="5">
        <f t="shared" si="13"/>
        <v>740</v>
      </c>
      <c r="O175" s="80">
        <f t="shared" si="14"/>
        <v>6.65</v>
      </c>
      <c r="P175" s="8">
        <f t="shared" si="15"/>
        <v>1.4138326327856325</v>
      </c>
      <c r="Q175" s="8">
        <f t="shared" si="18"/>
        <v>1.7415645068481733</v>
      </c>
      <c r="R175" s="81">
        <f t="shared" si="16"/>
        <v>0</v>
      </c>
      <c r="S175" s="113" t="str">
        <f>IF(F175="","",IF(H175="",TEXT(_xlfn.MAXIFS($I$1:I175,$F$1:F175,F175,$H$1:H175,"&gt;"&amp;0),"000.000"),F175))</f>
        <v>GGF7G26</v>
      </c>
      <c r="T175" s="81"/>
      <c r="U175" s="82"/>
      <c r="V175" s="98"/>
      <c r="W175" s="82"/>
      <c r="X175" s="98"/>
      <c r="Y175" s="82"/>
      <c r="Z175" s="98"/>
      <c r="AA175" s="82"/>
      <c r="AB175" s="98"/>
      <c r="AC175" s="82"/>
      <c r="AD175" s="98"/>
      <c r="AE175" s="117"/>
      <c r="AF175" s="98"/>
      <c r="AG175" s="98"/>
      <c r="AH175" s="98"/>
      <c r="AI175" s="82"/>
      <c r="AJ175" s="98"/>
      <c r="AK175" s="83"/>
      <c r="AL175" s="84" t="str">
        <f>IF(F175&lt;&gt;0,IF(_xlfn.MAXIFS($I$1:I175,$F$1:F175,F175,$H$1:H175,"&gt;"&amp;0)=0,"KM NÃO ENCONTRADO",IF(H175=0,CONCATENATE("SUGESTÃO DE KM PARA PLACA ",F175," *",_xlfn.MAXIFS($I$1:I175,$F$1:F175,F175,$H$1:H175,"&gt;"&amp;0),"*"),"")),"")</f>
        <v/>
      </c>
      <c r="AM175" s="85" t="str" cm="1">
        <f t="array" ref="AM175">IFERROR(IF(M175&lt;&gt;"","",CONCATENATE("https://btx.brasiltrack.com/logistica/trajeto.php?idveiculo=",VLOOKUP(F175,DATAS!$A$221:$B$250,2,FALSE),"&amp;lat=-22.204247","&amp;data_ini=",TEXT(IF(E175&lt;&gt;"",IF(COUNTIF($F$2:$F175,F175)&gt;1,MAX(IF($F$1:$F174=F175,$E$1:$E174)),""),""),"DD/MM/AAAA"),"&amp;data_fim=",TEXT(E175,"DD/MM/AAAA"),"&amp;hora_inicial=",HOUR(IF(E175&lt;&gt;"",IF(COUNTIF($F$2:$F175,F175)&gt;1,MAX(IF($F$1:$F174=F175,$E$1:$E174)),""),"")),"&amp;minuto_inicial=",MINUTE(IF(E175&lt;&gt;"",IF(COUNTIF($F$2:$F175,F175)&gt;1,MAX(IF($F$1:$F174=F175,$E$1:$E174)),""),"")),"&amp;hora_final=",HOUR(E175),"&amp;minuto_final=",MINUTE(E175),"&amp;periodo=6&amp;tipo=por_data&amp;upos=false&amp;outequip=0")),"")</f>
        <v>https://btx.brasiltrack.com/logistica/trajeto.php?idveiculo=4F0C2317-958D-4267-BAF8-BC4F7B6B12A1&amp;lat=-22.204247&amp;data_ini=23/11/2022&amp;data_fim=26/11/2022&amp;hora_inicial=12&amp;minuto_inicial=39&amp;hora_final=0&amp;minuto_final=44&amp;periodo=6&amp;tipo=por_data&amp;upos=false&amp;outequip=0</v>
      </c>
      <c r="AN175" s="100" t="str">
        <f t="shared" si="17"/>
        <v xml:space="preserve">               </v>
      </c>
    </row>
    <row r="176" spans="1:40" x14ac:dyDescent="0.25">
      <c r="A176" s="81"/>
      <c r="B176" s="81"/>
      <c r="C176" s="81"/>
      <c r="D176" s="144">
        <v>44866</v>
      </c>
      <c r="E176" s="76">
        <v>44891.159722222219</v>
      </c>
      <c r="F176" s="6" t="s">
        <v>26</v>
      </c>
      <c r="G176" s="5" t="str">
        <f>IFERROR(VLOOKUP(SUMIFS(MSOLICITADA!$I:$I,MSOLICITADA!$B:$B,D176,MSOLICITADA!$F:$F,F176),CODIGOSPLACAS!$A$64:$B$89,2,FALSE),"")</f>
        <v>DIEGO</v>
      </c>
      <c r="H176" s="77">
        <v>394127</v>
      </c>
      <c r="I176" s="77">
        <v>394471</v>
      </c>
      <c r="J176" s="7">
        <v>200</v>
      </c>
      <c r="K176" s="78">
        <v>1320</v>
      </c>
      <c r="L176" s="79" t="s">
        <v>111</v>
      </c>
      <c r="M176" s="6"/>
      <c r="N176" s="5">
        <f t="shared" si="13"/>
        <v>344</v>
      </c>
      <c r="O176" s="80">
        <f t="shared" si="14"/>
        <v>6.6</v>
      </c>
      <c r="P176" s="8">
        <f t="shared" si="15"/>
        <v>1.72</v>
      </c>
      <c r="Q176" s="8">
        <f t="shared" si="18"/>
        <v>1.4215213058096179</v>
      </c>
      <c r="R176" s="81">
        <f t="shared" si="16"/>
        <v>0</v>
      </c>
      <c r="S176" s="113" t="str">
        <f>IF(F176="","",IF(H176="",TEXT(_xlfn.MAXIFS($I$1:I176,$F$1:F176,F176,$H$1:H176,"&gt;"&amp;0),"000.000"),F176))</f>
        <v>BZA3587</v>
      </c>
      <c r="T176" s="81"/>
      <c r="U176" s="82"/>
      <c r="V176" s="98"/>
      <c r="W176" s="82"/>
      <c r="X176" s="98"/>
      <c r="Y176" s="82"/>
      <c r="Z176" s="98"/>
      <c r="AA176" s="82"/>
      <c r="AB176" s="98"/>
      <c r="AC176" s="82"/>
      <c r="AD176" s="98"/>
      <c r="AE176" s="117"/>
      <c r="AF176" s="98"/>
      <c r="AG176" s="98"/>
      <c r="AH176" s="98"/>
      <c r="AI176" s="82"/>
      <c r="AJ176" s="98"/>
      <c r="AK176" s="83"/>
      <c r="AL176" s="84" t="str">
        <f>IF(F176&lt;&gt;0,IF(_xlfn.MAXIFS($I$1:I176,$F$1:F176,F176,$H$1:H176,"&gt;"&amp;0)=0,"KM NÃO ENCONTRADO",IF(H176=0,CONCATENATE("SUGESTÃO DE KM PARA PLACA ",F176," *",_xlfn.MAXIFS($I$1:I176,$F$1:F176,F176,$H$1:H176,"&gt;"&amp;0),"*"),"")),"")</f>
        <v/>
      </c>
      <c r="AM176" s="85" t="str" cm="1">
        <f t="array" ref="AM176">IFERROR(IF(M176&lt;&gt;"","",CONCATENATE("https://btx.brasiltrack.com/logistica/trajeto.php?idveiculo=",VLOOKUP(F176,DATAS!$A$221:$B$250,2,FALSE),"&amp;lat=-22.204247","&amp;data_ini=",TEXT(IF(E176&lt;&gt;"",IF(COUNTIF($F$2:$F176,F176)&gt;1,MAX(IF($F$1:$F175=F176,$E$1:$E175)),""),""),"DD/MM/AAAA"),"&amp;data_fim=",TEXT(E176,"DD/MM/AAAA"),"&amp;hora_inicial=",HOUR(IF(E176&lt;&gt;"",IF(COUNTIF($F$2:$F176,F176)&gt;1,MAX(IF($F$1:$F175=F176,$E$1:$E175)),""),"")),"&amp;minuto_inicial=",MINUTE(IF(E176&lt;&gt;"",IF(COUNTIF($F$2:$F176,F176)&gt;1,MAX(IF($F$1:$F175=F176,$E$1:$E175)),""),"")),"&amp;hora_final=",HOUR(E176),"&amp;minuto_final=",MINUTE(E176),"&amp;periodo=6&amp;tipo=por_data&amp;upos=false&amp;outequip=0")),"")</f>
        <v>https://btx.brasiltrack.com/logistica/trajeto.php?idveiculo=6CC0A70E-9379-4BF7-9063-21D318A103FE&amp;lat=-22.204247&amp;data_ini=25/11/2022&amp;data_fim=26/11/2022&amp;hora_inicial=19&amp;minuto_inicial=25&amp;hora_final=3&amp;minuto_final=50&amp;periodo=6&amp;tipo=por_data&amp;upos=false&amp;outequip=0</v>
      </c>
      <c r="AN176" s="100" t="str">
        <f t="shared" si="17"/>
        <v xml:space="preserve">               </v>
      </c>
    </row>
    <row r="177" spans="1:40" x14ac:dyDescent="0.25">
      <c r="A177" s="81"/>
      <c r="B177" s="81"/>
      <c r="C177" s="81"/>
      <c r="D177" s="144">
        <v>44866</v>
      </c>
      <c r="E177" s="76">
        <v>44891.167361111111</v>
      </c>
      <c r="F177" s="6" t="s">
        <v>30</v>
      </c>
      <c r="G177" s="5" t="str">
        <f>IFERROR(VLOOKUP(SUMIFS(MSOLICITADA!$I:$I,MSOLICITADA!$B:$B,D177,MSOLICITADA!$F:$F,F177),CODIGOSPLACAS!$A$64:$B$89,2,FALSE),"")</f>
        <v>RONILSON</v>
      </c>
      <c r="H177" s="77">
        <v>213298</v>
      </c>
      <c r="I177" s="77">
        <v>213916</v>
      </c>
      <c r="J177" s="7">
        <v>457.01100000000002</v>
      </c>
      <c r="K177" s="78">
        <v>3039.11</v>
      </c>
      <c r="L177" s="79" t="s">
        <v>111</v>
      </c>
      <c r="M177" s="6"/>
      <c r="N177" s="5">
        <f t="shared" si="13"/>
        <v>618</v>
      </c>
      <c r="O177" s="80">
        <f t="shared" si="14"/>
        <v>6.6499712260755208</v>
      </c>
      <c r="P177" s="8">
        <f t="shared" si="15"/>
        <v>1.3522650439486139</v>
      </c>
      <c r="Q177" s="8">
        <f t="shared" si="18"/>
        <v>1.5438598974121283</v>
      </c>
      <c r="R177" s="81">
        <f t="shared" si="16"/>
        <v>0</v>
      </c>
      <c r="S177" s="113" t="str">
        <f>IF(F177="","",IF(H177="",TEXT(_xlfn.MAXIFS($I$1:I177,$F$1:F177,F177,$H$1:H177,"&gt;"&amp;0),"000.000"),F177))</f>
        <v>GFB0I37</v>
      </c>
      <c r="T177" s="81"/>
      <c r="U177" s="82"/>
      <c r="V177" s="98"/>
      <c r="W177" s="82"/>
      <c r="X177" s="98"/>
      <c r="Y177" s="82"/>
      <c r="Z177" s="98"/>
      <c r="AA177" s="82"/>
      <c r="AB177" s="98"/>
      <c r="AC177" s="82"/>
      <c r="AD177" s="98"/>
      <c r="AE177" s="117"/>
      <c r="AF177" s="98"/>
      <c r="AG177" s="98"/>
      <c r="AH177" s="98"/>
      <c r="AI177" s="82"/>
      <c r="AJ177" s="98"/>
      <c r="AK177" s="83"/>
      <c r="AL177" s="84" t="str">
        <f>IF(F177&lt;&gt;0,IF(_xlfn.MAXIFS($I$1:I177,$F$1:F177,F177,$H$1:H177,"&gt;"&amp;0)=0,"KM NÃO ENCONTRADO",IF(H177=0,CONCATENATE("SUGESTÃO DE KM PARA PLACA ",F177," *",_xlfn.MAXIFS($I$1:I177,$F$1:F177,F177,$H$1:H177,"&gt;"&amp;0),"*"),"")),"")</f>
        <v/>
      </c>
      <c r="AM177" s="85" t="str" cm="1">
        <f t="array" ref="AM177">IFERROR(IF(M177&lt;&gt;"","",CONCATENATE("https://btx.brasiltrack.com/logistica/trajeto.php?idveiculo=",VLOOKUP(F177,DATAS!$A$221:$B$250,2,FALSE),"&amp;lat=-22.204247","&amp;data_ini=",TEXT(IF(E177&lt;&gt;"",IF(COUNTIF($F$2:$F177,F177)&gt;1,MAX(IF($F$1:$F176=F177,$E$1:$E176)),""),""),"DD/MM/AAAA"),"&amp;data_fim=",TEXT(E177,"DD/MM/AAAA"),"&amp;hora_inicial=",HOUR(IF(E177&lt;&gt;"",IF(COUNTIF($F$2:$F177,F177)&gt;1,MAX(IF($F$1:$F176=F177,$E$1:$E176)),""),"")),"&amp;minuto_inicial=",MINUTE(IF(E177&lt;&gt;"",IF(COUNTIF($F$2:$F177,F177)&gt;1,MAX(IF($F$1:$F176=F177,$E$1:$E176)),""),"")),"&amp;hora_final=",HOUR(E177),"&amp;minuto_final=",MINUTE(E177),"&amp;periodo=6&amp;tipo=por_data&amp;upos=false&amp;outequip=0")),"")</f>
        <v>https://btx.brasiltrack.com/logistica/trajeto.php?idveiculo=94099C57-E02A-40F7-B573-6368475EB0B3&amp;lat=-22.204247&amp;data_ini=23/11/2022&amp;data_fim=26/11/2022&amp;hora_inicial=0&amp;minuto_inicial=0&amp;hora_final=4&amp;minuto_final=1&amp;periodo=6&amp;tipo=por_data&amp;upos=false&amp;outequip=0</v>
      </c>
      <c r="AN177" s="100" t="str">
        <f t="shared" si="17"/>
        <v xml:space="preserve">               </v>
      </c>
    </row>
    <row r="178" spans="1:40" x14ac:dyDescent="0.25">
      <c r="A178" s="81"/>
      <c r="B178" s="81"/>
      <c r="C178" s="81"/>
      <c r="D178" s="144">
        <v>44866</v>
      </c>
      <c r="E178" s="76">
        <v>44891.260416666664</v>
      </c>
      <c r="F178" s="6" t="s">
        <v>28</v>
      </c>
      <c r="G178" s="5" t="str">
        <f>IFERROR(VLOOKUP(SUMIFS(MSOLICITADA!$I:$I,MSOLICITADA!$B:$B,D178,MSOLICITADA!$F:$F,F178),CODIGOSPLACAS!$A$64:$B$89,2,FALSE),"")</f>
        <v>RONY</v>
      </c>
      <c r="H178" s="77">
        <v>236721</v>
      </c>
      <c r="I178" s="77">
        <v>237058</v>
      </c>
      <c r="J178" s="7">
        <v>200.00899999999999</v>
      </c>
      <c r="K178" s="78">
        <v>1320</v>
      </c>
      <c r="L178" s="79" t="s">
        <v>111</v>
      </c>
      <c r="M178" s="6"/>
      <c r="N178" s="5">
        <f t="shared" si="13"/>
        <v>337</v>
      </c>
      <c r="O178" s="80">
        <f t="shared" si="14"/>
        <v>6.5997030133643992</v>
      </c>
      <c r="P178" s="8">
        <f t="shared" si="15"/>
        <v>1.6849241784119715</v>
      </c>
      <c r="Q178" s="8">
        <f t="shared" si="18"/>
        <v>1.398271770983244</v>
      </c>
      <c r="R178" s="81">
        <f t="shared" si="16"/>
        <v>0</v>
      </c>
      <c r="S178" s="113" t="str">
        <f>IF(F178="","",IF(H178="",TEXT(_xlfn.MAXIFS($I$1:I178,$F$1:F178,F178,$H$1:H178,"&gt;"&amp;0),"000.000"),F178))</f>
        <v>FZA3E94</v>
      </c>
      <c r="T178" s="81"/>
      <c r="U178" s="82"/>
      <c r="V178" s="98"/>
      <c r="W178" s="82"/>
      <c r="X178" s="98"/>
      <c r="Y178" s="82"/>
      <c r="Z178" s="98"/>
      <c r="AA178" s="82"/>
      <c r="AB178" s="98"/>
      <c r="AC178" s="82"/>
      <c r="AD178" s="98"/>
      <c r="AE178" s="117"/>
      <c r="AF178" s="98"/>
      <c r="AG178" s="98"/>
      <c r="AH178" s="98"/>
      <c r="AI178" s="82"/>
      <c r="AJ178" s="98"/>
      <c r="AK178" s="83"/>
      <c r="AL178" s="84" t="str">
        <f>IF(F178&lt;&gt;0,IF(_xlfn.MAXIFS($I$1:I178,$F$1:F178,F178,$H$1:H178,"&gt;"&amp;0)=0,"KM NÃO ENCONTRADO",IF(H178=0,CONCATENATE("SUGESTÃO DE KM PARA PLACA ",F178," *",_xlfn.MAXIFS($I$1:I178,$F$1:F178,F178,$H$1:H178,"&gt;"&amp;0),"*"),"")),"")</f>
        <v/>
      </c>
      <c r="AM178" s="85" t="str" cm="1">
        <f t="array" ref="AM178">IFERROR(IF(M178&lt;&gt;"","",CONCATENATE("https://btx.brasiltrack.com/logistica/trajeto.php?idveiculo=",VLOOKUP(F178,DATAS!$A$221:$B$250,2,FALSE),"&amp;lat=-22.204247","&amp;data_ini=",TEXT(IF(E178&lt;&gt;"",IF(COUNTIF($F$2:$F178,F178)&gt;1,MAX(IF($F$1:$F177=F178,$E$1:$E177)),""),""),"DD/MM/AAAA"),"&amp;data_fim=",TEXT(E178,"DD/MM/AAAA"),"&amp;hora_inicial=",HOUR(IF(E178&lt;&gt;"",IF(COUNTIF($F$2:$F178,F178)&gt;1,MAX(IF($F$1:$F177=F178,$E$1:$E177)),""),"")),"&amp;minuto_inicial=",MINUTE(IF(E178&lt;&gt;"",IF(COUNTIF($F$2:$F178,F178)&gt;1,MAX(IF($F$1:$F177=F178,$E$1:$E177)),""),"")),"&amp;hora_final=",HOUR(E178),"&amp;minuto_final=",MINUTE(E178),"&amp;periodo=6&amp;tipo=por_data&amp;upos=false&amp;outequip=0")),"")</f>
        <v>https://btx.brasiltrack.com/logistica/trajeto.php?idveiculo=4DFC6CC2-BC04-4FE8-81DF-C3A3882D850D&amp;lat=-22.204247&amp;data_ini=25/11/2022&amp;data_fim=26/11/2022&amp;hora_inicial=19&amp;minuto_inicial=12&amp;hora_final=6&amp;minuto_final=15&amp;periodo=6&amp;tipo=por_data&amp;upos=false&amp;outequip=0</v>
      </c>
      <c r="AN178" s="100" t="str">
        <f t="shared" si="17"/>
        <v xml:space="preserve">               </v>
      </c>
    </row>
    <row r="179" spans="1:40" x14ac:dyDescent="0.25">
      <c r="A179" s="81"/>
      <c r="B179" s="81"/>
      <c r="C179" s="81"/>
      <c r="D179" s="144">
        <v>44866</v>
      </c>
      <c r="E179" s="76">
        <v>44891.29583333333</v>
      </c>
      <c r="F179" s="6" t="s">
        <v>26</v>
      </c>
      <c r="G179" s="5" t="str">
        <f>IFERROR(VLOOKUP(SUMIFS(MSOLICITADA!$I:$I,MSOLICITADA!$B:$B,D179,MSOLICITADA!$F:$F,F179),CODIGOSPLACAS!$A$64:$B$89,2,FALSE),"")</f>
        <v>DIEGO</v>
      </c>
      <c r="H179" s="77">
        <v>394471</v>
      </c>
      <c r="I179" s="77">
        <v>394655</v>
      </c>
      <c r="J179" s="7">
        <v>360.4</v>
      </c>
      <c r="K179" s="78">
        <v>2220.04</v>
      </c>
      <c r="L179" s="79" t="s">
        <v>112</v>
      </c>
      <c r="M179" s="6"/>
      <c r="N179" s="5">
        <f t="shared" si="13"/>
        <v>184</v>
      </c>
      <c r="O179" s="80">
        <f t="shared" si="14"/>
        <v>6.1599334073251946</v>
      </c>
      <c r="P179" s="8">
        <f t="shared" si="15"/>
        <v>0.51054384017758048</v>
      </c>
      <c r="Q179" s="8">
        <f t="shared" si="18"/>
        <v>1.4215213058096179</v>
      </c>
      <c r="R179" s="81">
        <f t="shared" si="16"/>
        <v>0</v>
      </c>
      <c r="S179" s="113" t="str">
        <f>IF(F179="","",IF(H179="",TEXT(_xlfn.MAXIFS($I$1:I179,$F$1:F179,F179,$H$1:H179,"&gt;"&amp;0),"000.000"),F179))</f>
        <v>BZA3587</v>
      </c>
      <c r="T179" s="81"/>
      <c r="U179" s="82"/>
      <c r="V179" s="98"/>
      <c r="W179" s="82"/>
      <c r="X179" s="98"/>
      <c r="Y179" s="82"/>
      <c r="Z179" s="98"/>
      <c r="AA179" s="82"/>
      <c r="AB179" s="98"/>
      <c r="AC179" s="82"/>
      <c r="AD179" s="98"/>
      <c r="AE179" s="117"/>
      <c r="AF179" s="98"/>
      <c r="AG179" s="98"/>
      <c r="AH179" s="98"/>
      <c r="AI179" s="82"/>
      <c r="AJ179" s="98"/>
      <c r="AK179" s="83"/>
      <c r="AL179" s="84" t="str">
        <f>IF(F179&lt;&gt;0,IF(_xlfn.MAXIFS($I$1:I179,$F$1:F179,F179,$H$1:H179,"&gt;"&amp;0)=0,"KM NÃO ENCONTRADO",IF(H179=0,CONCATENATE("SUGESTÃO DE KM PARA PLACA ",F179," *",_xlfn.MAXIFS($I$1:I179,$F$1:F179,F179,$H$1:H179,"&gt;"&amp;0),"*"),"")),"")</f>
        <v/>
      </c>
      <c r="AM179" s="85" t="str" cm="1">
        <f t="array" ref="AM179">IFERROR(IF(M179&lt;&gt;"","",CONCATENATE("https://btx.brasiltrack.com/logistica/trajeto.php?idveiculo=",VLOOKUP(F179,DATAS!$A$221:$B$250,2,FALSE),"&amp;lat=-22.204247","&amp;data_ini=",TEXT(IF(E179&lt;&gt;"",IF(COUNTIF($F$2:$F179,F179)&gt;1,MAX(IF($F$1:$F178=F179,$E$1:$E178)),""),""),"DD/MM/AAAA"),"&amp;data_fim=",TEXT(E179,"DD/MM/AAAA"),"&amp;hora_inicial=",HOUR(IF(E179&lt;&gt;"",IF(COUNTIF($F$2:$F179,F179)&gt;1,MAX(IF($F$1:$F178=F179,$E$1:$E178)),""),"")),"&amp;minuto_inicial=",MINUTE(IF(E179&lt;&gt;"",IF(COUNTIF($F$2:$F179,F179)&gt;1,MAX(IF($F$1:$F178=F179,$E$1:$E178)),""),"")),"&amp;hora_final=",HOUR(E179),"&amp;minuto_final=",MINUTE(E179),"&amp;periodo=6&amp;tipo=por_data&amp;upos=false&amp;outequip=0")),"")</f>
        <v>https://btx.brasiltrack.com/logistica/trajeto.php?idveiculo=6CC0A70E-9379-4BF7-9063-21D318A103FE&amp;lat=-22.204247&amp;data_ini=26/11/2022&amp;data_fim=26/11/2022&amp;hora_inicial=3&amp;minuto_inicial=50&amp;hora_final=7&amp;minuto_final=6&amp;periodo=6&amp;tipo=por_data&amp;upos=false&amp;outequip=0</v>
      </c>
      <c r="AN179" s="100" t="str">
        <f t="shared" si="17"/>
        <v xml:space="preserve">               </v>
      </c>
    </row>
    <row r="180" spans="1:40" x14ac:dyDescent="0.25">
      <c r="A180" s="81"/>
      <c r="B180" s="81"/>
      <c r="C180" s="81"/>
      <c r="D180" s="144">
        <v>44866</v>
      </c>
      <c r="E180" s="76">
        <v>44891.402777777781</v>
      </c>
      <c r="F180" s="6" t="s">
        <v>23</v>
      </c>
      <c r="G180" s="5" t="str">
        <f>IFERROR(VLOOKUP(SUMIFS(MSOLICITADA!$I:$I,MSOLICITADA!$B:$B,D180,MSOLICITADA!$F:$F,F180),CODIGOSPLACAS!$A$64:$B$89,2,FALSE),"")</f>
        <v>ISAC</v>
      </c>
      <c r="H180" s="77">
        <v>1198176</v>
      </c>
      <c r="I180" s="77">
        <v>1198693</v>
      </c>
      <c r="J180" s="7">
        <v>400.05099999999999</v>
      </c>
      <c r="K180" s="78">
        <v>2660.33</v>
      </c>
      <c r="L180" s="79" t="s">
        <v>111</v>
      </c>
      <c r="M180" s="6"/>
      <c r="N180" s="5">
        <f t="shared" si="13"/>
        <v>517</v>
      </c>
      <c r="O180" s="80">
        <f t="shared" si="14"/>
        <v>6.6499771279161903</v>
      </c>
      <c r="P180" s="8">
        <f t="shared" si="15"/>
        <v>1.2923352272585247</v>
      </c>
      <c r="Q180" s="8">
        <f t="shared" si="18"/>
        <v>1.447714664858804</v>
      </c>
      <c r="R180" s="81">
        <f t="shared" si="16"/>
        <v>0</v>
      </c>
      <c r="S180" s="113" t="str">
        <f>IF(F180="","",IF(H180="",TEXT(_xlfn.MAXIFS($I$1:I180,$F$1:F180,F180,$H$1:H180,"&gt;"&amp;0),"000.000"),F180))</f>
        <v>HNC7I76</v>
      </c>
      <c r="T180" s="81"/>
      <c r="U180" s="82"/>
      <c r="V180" s="98"/>
      <c r="W180" s="82"/>
      <c r="X180" s="98"/>
      <c r="Y180" s="82"/>
      <c r="Z180" s="98"/>
      <c r="AA180" s="82"/>
      <c r="AB180" s="98"/>
      <c r="AC180" s="82"/>
      <c r="AD180" s="98"/>
      <c r="AE180" s="117"/>
      <c r="AF180" s="98"/>
      <c r="AG180" s="98"/>
      <c r="AH180" s="98"/>
      <c r="AI180" s="82"/>
      <c r="AJ180" s="98"/>
      <c r="AK180" s="83"/>
      <c r="AL180" s="84" t="str">
        <f>IF(F180&lt;&gt;0,IF(_xlfn.MAXIFS($I$1:I180,$F$1:F180,F180,$H$1:H180,"&gt;"&amp;0)=0,"KM NÃO ENCONTRADO",IF(H180=0,CONCATENATE("SUGESTÃO DE KM PARA PLACA ",F180," *",_xlfn.MAXIFS($I$1:I180,$F$1:F180,F180,$H$1:H180,"&gt;"&amp;0),"*"),"")),"")</f>
        <v/>
      </c>
      <c r="AM180" s="85" t="str" cm="1">
        <f t="array" ref="AM180">IFERROR(IF(M180&lt;&gt;"","",CONCATENATE("https://btx.brasiltrack.com/logistica/trajeto.php?idveiculo=",VLOOKUP(F180,DATAS!$A$221:$B$250,2,FALSE),"&amp;lat=-22.204247","&amp;data_ini=",TEXT(IF(E180&lt;&gt;"",IF(COUNTIF($F$2:$F180,F180)&gt;1,MAX(IF($F$1:$F179=F180,$E$1:$E179)),""),""),"DD/MM/AAAA"),"&amp;data_fim=",TEXT(E180,"DD/MM/AAAA"),"&amp;hora_inicial=",HOUR(IF(E180&lt;&gt;"",IF(COUNTIF($F$2:$F180,F180)&gt;1,MAX(IF($F$1:$F179=F180,$E$1:$E179)),""),"")),"&amp;minuto_inicial=",MINUTE(IF(E180&lt;&gt;"",IF(COUNTIF($F$2:$F180,F180)&gt;1,MAX(IF($F$1:$F179=F180,$E$1:$E179)),""),"")),"&amp;hora_final=",HOUR(E180),"&amp;minuto_final=",MINUTE(E180),"&amp;periodo=6&amp;tipo=por_data&amp;upos=false&amp;outequip=0")),"")</f>
        <v>https://btx.brasiltrack.com/logistica/trajeto.php?idveiculo=B05A8E44-5DA1-4128-83F0-8DDE6CB8291B&amp;lat=-22.204247&amp;data_ini=23/11/2022&amp;data_fim=26/11/2022&amp;hora_inicial=21&amp;minuto_inicial=52&amp;hora_final=9&amp;minuto_final=40&amp;periodo=6&amp;tipo=por_data&amp;upos=false&amp;outequip=0</v>
      </c>
      <c r="AN180" s="100" t="str">
        <f t="shared" si="17"/>
        <v xml:space="preserve">               </v>
      </c>
    </row>
    <row r="181" spans="1:40" x14ac:dyDescent="0.25">
      <c r="A181" s="81"/>
      <c r="B181" s="81"/>
      <c r="C181" s="81"/>
      <c r="D181" s="144">
        <v>44866</v>
      </c>
      <c r="E181" s="76">
        <v>44891.415277777778</v>
      </c>
      <c r="F181" s="6" t="s">
        <v>24</v>
      </c>
      <c r="G181" s="5" t="str">
        <f>IFERROR(VLOOKUP(SUMIFS(MSOLICITADA!$I:$I,MSOLICITADA!$B:$B,D181,MSOLICITADA!$F:$F,F181),CODIGOSPLACAS!$A$64:$B$89,2,FALSE),"")</f>
        <v>PAULO HENR.</v>
      </c>
      <c r="H181" s="77">
        <v>942061</v>
      </c>
      <c r="I181" s="77">
        <v>942242</v>
      </c>
      <c r="J181" s="7">
        <v>531.79999999999995</v>
      </c>
      <c r="K181" s="78">
        <v>3275.86</v>
      </c>
      <c r="L181" s="79" t="s">
        <v>112</v>
      </c>
      <c r="M181" s="6"/>
      <c r="N181" s="5">
        <f t="shared" si="13"/>
        <v>181</v>
      </c>
      <c r="O181" s="80">
        <f t="shared" si="14"/>
        <v>6.1599473486273046</v>
      </c>
      <c r="P181" s="8">
        <f t="shared" si="15"/>
        <v>0.3403535163595337</v>
      </c>
      <c r="Q181" s="8">
        <f t="shared" si="18"/>
        <v>1.4770603223392504</v>
      </c>
      <c r="R181" s="81">
        <f t="shared" si="16"/>
        <v>0</v>
      </c>
      <c r="S181" s="113" t="str">
        <f>IF(F181="","",IF(H181="",TEXT(_xlfn.MAXIFS($I$1:I181,$F$1:F181,F181,$H$1:H181,"&gt;"&amp;0),"000.000"),F181))</f>
        <v>FKS0J24</v>
      </c>
      <c r="T181" s="81"/>
      <c r="U181" s="82"/>
      <c r="V181" s="98"/>
      <c r="W181" s="82"/>
      <c r="X181" s="98"/>
      <c r="Y181" s="82"/>
      <c r="Z181" s="98"/>
      <c r="AA181" s="82"/>
      <c r="AB181" s="98"/>
      <c r="AC181" s="82"/>
      <c r="AD181" s="98"/>
      <c r="AE181" s="117"/>
      <c r="AF181" s="98"/>
      <c r="AG181" s="98"/>
      <c r="AH181" s="98"/>
      <c r="AI181" s="82"/>
      <c r="AJ181" s="98"/>
      <c r="AK181" s="83"/>
      <c r="AL181" s="84" t="str">
        <f>IF(F181&lt;&gt;0,IF(_xlfn.MAXIFS($I$1:I181,$F$1:F181,F181,$H$1:H181,"&gt;"&amp;0)=0,"KM NÃO ENCONTRADO",IF(H181=0,CONCATENATE("SUGESTÃO DE KM PARA PLACA ",F181," *",_xlfn.MAXIFS($I$1:I181,$F$1:F181,F181,$H$1:H181,"&gt;"&amp;0),"*"),"")),"")</f>
        <v/>
      </c>
      <c r="AM181" s="85" t="str" cm="1">
        <f t="array" ref="AM181">IFERROR(IF(M181&lt;&gt;"","",CONCATENATE("https://btx.brasiltrack.com/logistica/trajeto.php?idveiculo=",VLOOKUP(F181,DATAS!$A$221:$B$250,2,FALSE),"&amp;lat=-22.204247","&amp;data_ini=",TEXT(IF(E181&lt;&gt;"",IF(COUNTIF($F$2:$F181,F181)&gt;1,MAX(IF($F$1:$F180=F181,$E$1:$E180)),""),""),"DD/MM/AAAA"),"&amp;data_fim=",TEXT(E181,"DD/MM/AAAA"),"&amp;hora_inicial=",HOUR(IF(E181&lt;&gt;"",IF(COUNTIF($F$2:$F181,F181)&gt;1,MAX(IF($F$1:$F180=F181,$E$1:$E180)),""),"")),"&amp;minuto_inicial=",MINUTE(IF(E181&lt;&gt;"",IF(COUNTIF($F$2:$F181,F181)&gt;1,MAX(IF($F$1:$F180=F181,$E$1:$E180)),""),"")),"&amp;hora_final=",HOUR(E181),"&amp;minuto_final=",MINUTE(E181),"&amp;periodo=6&amp;tipo=por_data&amp;upos=false&amp;outequip=0")),"")</f>
        <v>https://btx.brasiltrack.com/logistica/trajeto.php?idveiculo=F4FE5996-DC74-4D0B-AEF1-D6ADE020157C&amp;lat=-22.204247&amp;data_ini=26/11/2022&amp;data_fim=26/11/2022&amp;hora_inicial=0&amp;minuto_inicial=0&amp;hora_final=9&amp;minuto_final=58&amp;periodo=6&amp;tipo=por_data&amp;upos=false&amp;outequip=0</v>
      </c>
      <c r="AN181" s="100" t="str">
        <f t="shared" si="17"/>
        <v xml:space="preserve">               </v>
      </c>
    </row>
    <row r="182" spans="1:40" x14ac:dyDescent="0.25">
      <c r="A182" s="81"/>
      <c r="B182" s="81"/>
      <c r="C182" s="81"/>
      <c r="D182" s="144">
        <v>44866</v>
      </c>
      <c r="E182" s="76">
        <v>44891.42083333333</v>
      </c>
      <c r="F182" s="6" t="s">
        <v>28</v>
      </c>
      <c r="G182" s="5" t="str">
        <f>IFERROR(VLOOKUP(SUMIFS(MSOLICITADA!$I:$I,MSOLICITADA!$B:$B,D182,MSOLICITADA!$F:$F,F182),CODIGOSPLACAS!$A$64:$B$89,2,FALSE),"")</f>
        <v>RONY</v>
      </c>
      <c r="H182" s="77">
        <v>237058</v>
      </c>
      <c r="I182" s="77">
        <v>237240</v>
      </c>
      <c r="J182" s="7">
        <v>505.5</v>
      </c>
      <c r="K182" s="78">
        <v>3113.85</v>
      </c>
      <c r="L182" s="79" t="s">
        <v>112</v>
      </c>
      <c r="M182" s="6"/>
      <c r="N182" s="5">
        <f t="shared" si="13"/>
        <v>182</v>
      </c>
      <c r="O182" s="80">
        <f t="shared" si="14"/>
        <v>6.1599406528189906</v>
      </c>
      <c r="P182" s="8">
        <f t="shared" si="15"/>
        <v>0.36003956478733928</v>
      </c>
      <c r="Q182" s="8">
        <f t="shared" si="18"/>
        <v>1.398271770983244</v>
      </c>
      <c r="R182" s="81">
        <f t="shared" si="16"/>
        <v>0</v>
      </c>
      <c r="S182" s="113" t="str">
        <f>IF(F182="","",IF(H182="",TEXT(_xlfn.MAXIFS($I$1:I182,$F$1:F182,F182,$H$1:H182,"&gt;"&amp;0),"000.000"),F182))</f>
        <v>FZA3E94</v>
      </c>
      <c r="T182" s="81"/>
      <c r="U182" s="82"/>
      <c r="V182" s="98"/>
      <c r="W182" s="82"/>
      <c r="X182" s="98"/>
      <c r="Y182" s="82"/>
      <c r="Z182" s="98"/>
      <c r="AA182" s="82"/>
      <c r="AB182" s="98"/>
      <c r="AC182" s="82"/>
      <c r="AD182" s="98"/>
      <c r="AE182" s="117"/>
      <c r="AF182" s="98"/>
      <c r="AG182" s="98"/>
      <c r="AH182" s="98"/>
      <c r="AI182" s="82"/>
      <c r="AJ182" s="98"/>
      <c r="AK182" s="83"/>
      <c r="AL182" s="84" t="str">
        <f>IF(F182&lt;&gt;0,IF(_xlfn.MAXIFS($I$1:I182,$F$1:F182,F182,$H$1:H182,"&gt;"&amp;0)=0,"KM NÃO ENCONTRADO",IF(H182=0,CONCATENATE("SUGESTÃO DE KM PARA PLACA ",F182," *",_xlfn.MAXIFS($I$1:I182,$F$1:F182,F182,$H$1:H182,"&gt;"&amp;0),"*"),"")),"")</f>
        <v/>
      </c>
      <c r="AM182" s="85" t="str" cm="1">
        <f t="array" ref="AM182">IFERROR(IF(M182&lt;&gt;"","",CONCATENATE("https://btx.brasiltrack.com/logistica/trajeto.php?idveiculo=",VLOOKUP(F182,DATAS!$A$221:$B$250,2,FALSE),"&amp;lat=-22.204247","&amp;data_ini=",TEXT(IF(E182&lt;&gt;"",IF(COUNTIF($F$2:$F182,F182)&gt;1,MAX(IF($F$1:$F181=F182,$E$1:$E181)),""),""),"DD/MM/AAAA"),"&amp;data_fim=",TEXT(E182,"DD/MM/AAAA"),"&amp;hora_inicial=",HOUR(IF(E182&lt;&gt;"",IF(COUNTIF($F$2:$F182,F182)&gt;1,MAX(IF($F$1:$F181=F182,$E$1:$E181)),""),"")),"&amp;minuto_inicial=",MINUTE(IF(E182&lt;&gt;"",IF(COUNTIF($F$2:$F182,F182)&gt;1,MAX(IF($F$1:$F181=F182,$E$1:$E181)),""),"")),"&amp;hora_final=",HOUR(E182),"&amp;minuto_final=",MINUTE(E182),"&amp;periodo=6&amp;tipo=por_data&amp;upos=false&amp;outequip=0")),"")</f>
        <v>https://btx.brasiltrack.com/logistica/trajeto.php?idveiculo=4DFC6CC2-BC04-4FE8-81DF-C3A3882D850D&amp;lat=-22.204247&amp;data_ini=26/11/2022&amp;data_fim=26/11/2022&amp;hora_inicial=6&amp;minuto_inicial=15&amp;hora_final=10&amp;minuto_final=6&amp;periodo=6&amp;tipo=por_data&amp;upos=false&amp;outequip=0</v>
      </c>
      <c r="AN182" s="100" t="str">
        <f t="shared" si="17"/>
        <v xml:space="preserve">               </v>
      </c>
    </row>
    <row r="183" spans="1:40" x14ac:dyDescent="0.25">
      <c r="A183" s="81"/>
      <c r="B183" s="81"/>
      <c r="C183" s="81"/>
      <c r="D183" s="144">
        <v>44866</v>
      </c>
      <c r="E183" s="76">
        <v>44891.613888888889</v>
      </c>
      <c r="F183" s="6" t="s">
        <v>25</v>
      </c>
      <c r="G183" s="5" t="str">
        <f>IFERROR(VLOOKUP(SUMIFS(MSOLICITADA!$I:$I,MSOLICITADA!$B:$B,D183,MSOLICITADA!$F:$F,F183),CODIGOSPLACAS!$A$64:$B$89,2,FALSE),"")</f>
        <v>EDUALDO</v>
      </c>
      <c r="H183" s="77">
        <v>1004472</v>
      </c>
      <c r="I183" s="77">
        <v>1005157</v>
      </c>
      <c r="J183" s="7">
        <v>525.00099999999998</v>
      </c>
      <c r="K183" s="78">
        <v>3491.25</v>
      </c>
      <c r="L183" s="79" t="s">
        <v>111</v>
      </c>
      <c r="M183" s="6"/>
      <c r="N183" s="5">
        <f t="shared" si="13"/>
        <v>685</v>
      </c>
      <c r="O183" s="80">
        <f t="shared" si="14"/>
        <v>6.6499873333574602</v>
      </c>
      <c r="P183" s="8">
        <f t="shared" si="15"/>
        <v>1.3047594195058676</v>
      </c>
      <c r="Q183" s="8">
        <f t="shared" si="18"/>
        <v>1.3451195863175471</v>
      </c>
      <c r="R183" s="81">
        <f t="shared" si="16"/>
        <v>0</v>
      </c>
      <c r="S183" s="113" t="str">
        <f>IF(F183="","",IF(H183="",TEXT(_xlfn.MAXIFS($I$1:I183,$F$1:F183,F183,$H$1:H183,"&gt;"&amp;0),"000.000"),F183))</f>
        <v>QHE9735</v>
      </c>
      <c r="T183" s="81"/>
      <c r="U183" s="82"/>
      <c r="V183" s="98"/>
      <c r="W183" s="82"/>
      <c r="X183" s="98"/>
      <c r="Y183" s="82"/>
      <c r="Z183" s="98"/>
      <c r="AA183" s="82"/>
      <c r="AB183" s="98"/>
      <c r="AC183" s="82"/>
      <c r="AD183" s="98"/>
      <c r="AE183" s="117"/>
      <c r="AF183" s="98"/>
      <c r="AG183" s="98"/>
      <c r="AH183" s="98"/>
      <c r="AI183" s="82"/>
      <c r="AJ183" s="98"/>
      <c r="AK183" s="83"/>
      <c r="AL183" s="84" t="str">
        <f>IF(F183&lt;&gt;0,IF(_xlfn.MAXIFS($I$1:I183,$F$1:F183,F183,$H$1:H183,"&gt;"&amp;0)=0,"KM NÃO ENCONTRADO",IF(H183=0,CONCATENATE("SUGESTÃO DE KM PARA PLACA ",F183," *",_xlfn.MAXIFS($I$1:I183,$F$1:F183,F183,$H$1:H183,"&gt;"&amp;0),"*"),"")),"")</f>
        <v/>
      </c>
      <c r="AM183" s="85" t="str" cm="1">
        <f t="array" ref="AM183">IFERROR(IF(M183&lt;&gt;"","",CONCATENATE("https://btx.brasiltrack.com/logistica/trajeto.php?idveiculo=",VLOOKUP(F183,DATAS!$A$221:$B$250,2,FALSE),"&amp;lat=-22.204247","&amp;data_ini=",TEXT(IF(E183&lt;&gt;"",IF(COUNTIF($F$2:$F183,F183)&gt;1,MAX(IF($F$1:$F182=F183,$E$1:$E182)),""),""),"DD/MM/AAAA"),"&amp;data_fim=",TEXT(E183,"DD/MM/AAAA"),"&amp;hora_inicial=",HOUR(IF(E183&lt;&gt;"",IF(COUNTIF($F$2:$F183,F183)&gt;1,MAX(IF($F$1:$F182=F183,$E$1:$E182)),""),"")),"&amp;minuto_inicial=",MINUTE(IF(E183&lt;&gt;"",IF(COUNTIF($F$2:$F183,F183)&gt;1,MAX(IF($F$1:$F182=F183,$E$1:$E182)),""),"")),"&amp;hora_final=",HOUR(E183),"&amp;minuto_final=",MINUTE(E183),"&amp;periodo=6&amp;tipo=por_data&amp;upos=false&amp;outequip=0")),"")</f>
        <v>https://btx.brasiltrack.com/logistica/trajeto.php?idveiculo=0FD3629E-8FA4-4575-81E5-E460A4EFD545&amp;lat=-22.204247&amp;data_ini=23/11/2022&amp;data_fim=26/11/2022&amp;hora_inicial=21&amp;minuto_inicial=12&amp;hora_final=14&amp;minuto_final=44&amp;periodo=6&amp;tipo=por_data&amp;upos=false&amp;outequip=0</v>
      </c>
      <c r="AN183" s="100" t="str">
        <f t="shared" si="17"/>
        <v xml:space="preserve">               </v>
      </c>
    </row>
    <row r="184" spans="1:40" x14ac:dyDescent="0.25">
      <c r="A184" s="81"/>
      <c r="B184" s="81"/>
      <c r="C184" s="81"/>
      <c r="D184" s="144">
        <v>44866</v>
      </c>
      <c r="E184" s="76">
        <v>44891.615972222222</v>
      </c>
      <c r="F184" s="6" t="s">
        <v>126</v>
      </c>
      <c r="G184" s="5" t="str">
        <f>IFERROR(VLOOKUP(SUMIFS(MSOLICITADA!$I:$I,MSOLICITADA!$B:$B,D184,MSOLICITADA!$F:$F,F184),CODIGOSPLACAS!$A$64:$B$89,2,FALSE),"")</f>
        <v>IZAIAS</v>
      </c>
      <c r="H184" s="77">
        <v>481436</v>
      </c>
      <c r="I184" s="77">
        <v>482139</v>
      </c>
      <c r="J184" s="7">
        <v>548.52099999999996</v>
      </c>
      <c r="K184" s="78">
        <v>3647.66</v>
      </c>
      <c r="L184" s="79" t="s">
        <v>111</v>
      </c>
      <c r="M184" s="6"/>
      <c r="N184" s="5">
        <f t="shared" si="13"/>
        <v>703</v>
      </c>
      <c r="O184" s="80">
        <f t="shared" si="14"/>
        <v>6.6499915226582029</v>
      </c>
      <c r="P184" s="8">
        <f t="shared" si="15"/>
        <v>1.2816282330120452</v>
      </c>
      <c r="Q184" s="8">
        <f t="shared" si="18"/>
        <v>1.4310423058843909</v>
      </c>
      <c r="R184" s="81">
        <f t="shared" si="16"/>
        <v>0</v>
      </c>
      <c r="S184" s="113" t="str">
        <f>IF(F184="","",IF(H184="",TEXT(_xlfn.MAXIFS($I$1:I184,$F$1:F184,F184,$H$1:H184,"&gt;"&amp;0),"000.000"),F184))</f>
        <v>GHX4D71</v>
      </c>
      <c r="T184" s="81"/>
      <c r="U184" s="82"/>
      <c r="V184" s="98"/>
      <c r="W184" s="82"/>
      <c r="X184" s="98"/>
      <c r="Y184" s="82"/>
      <c r="Z184" s="98"/>
      <c r="AA184" s="82"/>
      <c r="AB184" s="98"/>
      <c r="AC184" s="82"/>
      <c r="AD184" s="98"/>
      <c r="AE184" s="117"/>
      <c r="AF184" s="98"/>
      <c r="AG184" s="98"/>
      <c r="AH184" s="98"/>
      <c r="AI184" s="82"/>
      <c r="AJ184" s="98"/>
      <c r="AK184" s="83"/>
      <c r="AL184" s="84" t="str">
        <f>IF(F184&lt;&gt;0,IF(_xlfn.MAXIFS($I$1:I184,$F$1:F184,F184,$H$1:H184,"&gt;"&amp;0)=0,"KM NÃO ENCONTRADO",IF(H184=0,CONCATENATE("SUGESTÃO DE KM PARA PLACA ",F184," *",_xlfn.MAXIFS($I$1:I184,$F$1:F184,F184,$H$1:H184,"&gt;"&amp;0),"*"),"")),"")</f>
        <v/>
      </c>
      <c r="AM184" s="85" t="str" cm="1">
        <f t="array" ref="AM184">IFERROR(IF(M184&lt;&gt;"","",CONCATENATE("https://btx.brasiltrack.com/logistica/trajeto.php?idveiculo=",VLOOKUP(F184,DATAS!$A$221:$B$250,2,FALSE),"&amp;lat=-22.204247","&amp;data_ini=",TEXT(IF(E184&lt;&gt;"",IF(COUNTIF($F$2:$F184,F184)&gt;1,MAX(IF($F$1:$F183=F184,$E$1:$E183)),""),""),"DD/MM/AAAA"),"&amp;data_fim=",TEXT(E184,"DD/MM/AAAA"),"&amp;hora_inicial=",HOUR(IF(E184&lt;&gt;"",IF(COUNTIF($F$2:$F184,F184)&gt;1,MAX(IF($F$1:$F183=F184,$E$1:$E183)),""),"")),"&amp;minuto_inicial=",MINUTE(IF(E184&lt;&gt;"",IF(COUNTIF($F$2:$F184,F184)&gt;1,MAX(IF($F$1:$F183=F184,$E$1:$E183)),""),"")),"&amp;hora_final=",HOUR(E184),"&amp;minuto_final=",MINUTE(E184),"&amp;periodo=6&amp;tipo=por_data&amp;upos=false&amp;outequip=0")),"")</f>
        <v>https://btx.brasiltrack.com/logistica/trajeto.php?idveiculo=6B5F18E0-6EAE-404A-AE41-39E549361094&amp;lat=-22.204247&amp;data_ini=24/11/2022&amp;data_fim=26/11/2022&amp;hora_inicial=20&amp;minuto_inicial=36&amp;hora_final=14&amp;minuto_final=47&amp;periodo=6&amp;tipo=por_data&amp;upos=false&amp;outequip=0</v>
      </c>
      <c r="AN184" s="100" t="str">
        <f t="shared" si="17"/>
        <v xml:space="preserve">               </v>
      </c>
    </row>
    <row r="185" spans="1:40" x14ac:dyDescent="0.25">
      <c r="A185" s="81"/>
      <c r="B185" s="81"/>
      <c r="C185" s="81"/>
      <c r="D185" s="144">
        <v>44866</v>
      </c>
      <c r="E185" s="76">
        <v>44891.708333333336</v>
      </c>
      <c r="F185" s="6" t="s">
        <v>23</v>
      </c>
      <c r="G185" s="5" t="str">
        <f>IFERROR(VLOOKUP(SUMIFS(MSOLICITADA!$I:$I,MSOLICITADA!$B:$B,D185,MSOLICITADA!$F:$F,F185),CODIGOSPLACAS!$A$64:$B$89,2,FALSE),"")</f>
        <v>ISAC</v>
      </c>
      <c r="H185" s="77">
        <v>1198693</v>
      </c>
      <c r="I185" s="77">
        <v>1199070</v>
      </c>
      <c r="J185" s="7">
        <v>237.1</v>
      </c>
      <c r="K185" s="78">
        <v>1460.52</v>
      </c>
      <c r="L185" s="79" t="s">
        <v>112</v>
      </c>
      <c r="M185" s="6"/>
      <c r="N185" s="5">
        <f t="shared" si="13"/>
        <v>377</v>
      </c>
      <c r="O185" s="80">
        <f t="shared" si="14"/>
        <v>6.1599325179249265</v>
      </c>
      <c r="P185" s="8">
        <f t="shared" si="15"/>
        <v>1.5900463939266132</v>
      </c>
      <c r="Q185" s="8">
        <f t="shared" si="18"/>
        <v>1.447714664858804</v>
      </c>
      <c r="R185" s="81">
        <f t="shared" si="16"/>
        <v>0</v>
      </c>
      <c r="S185" s="113" t="str">
        <f>IF(F185="","",IF(H185="",TEXT(_xlfn.MAXIFS($I$1:I185,$F$1:F185,F185,$H$1:H185,"&gt;"&amp;0),"000.000"),F185))</f>
        <v>HNC7I76</v>
      </c>
      <c r="T185" s="81"/>
      <c r="U185" s="82"/>
      <c r="V185" s="98"/>
      <c r="W185" s="82"/>
      <c r="X185" s="98"/>
      <c r="Y185" s="82"/>
      <c r="Z185" s="98"/>
      <c r="AA185" s="82"/>
      <c r="AB185" s="98"/>
      <c r="AC185" s="82"/>
      <c r="AD185" s="98"/>
      <c r="AE185" s="117"/>
      <c r="AF185" s="98"/>
      <c r="AG185" s="98"/>
      <c r="AH185" s="98"/>
      <c r="AI185" s="82"/>
      <c r="AJ185" s="98"/>
      <c r="AK185" s="83"/>
      <c r="AL185" s="84" t="str">
        <f>IF(F185&lt;&gt;0,IF(_xlfn.MAXIFS($I$1:I185,$F$1:F185,F185,$H$1:H185,"&gt;"&amp;0)=0,"KM NÃO ENCONTRADO",IF(H185=0,CONCATENATE("SUGESTÃO DE KM PARA PLACA ",F185," *",_xlfn.MAXIFS($I$1:I185,$F$1:F185,F185,$H$1:H185,"&gt;"&amp;0),"*"),"")),"")</f>
        <v/>
      </c>
      <c r="AM185" s="85" t="str" cm="1">
        <f t="array" ref="AM185">IFERROR(IF(M185&lt;&gt;"","",CONCATENATE("https://btx.brasiltrack.com/logistica/trajeto.php?idveiculo=",VLOOKUP(F185,DATAS!$A$221:$B$250,2,FALSE),"&amp;lat=-22.204247","&amp;data_ini=",TEXT(IF(E185&lt;&gt;"",IF(COUNTIF($F$2:$F185,F185)&gt;1,MAX(IF($F$1:$F184=F185,$E$1:$E184)),""),""),"DD/MM/AAAA"),"&amp;data_fim=",TEXT(E185,"DD/MM/AAAA"),"&amp;hora_inicial=",HOUR(IF(E185&lt;&gt;"",IF(COUNTIF($F$2:$F185,F185)&gt;1,MAX(IF($F$1:$F184=F185,$E$1:$E184)),""),"")),"&amp;minuto_inicial=",MINUTE(IF(E185&lt;&gt;"",IF(COUNTIF($F$2:$F185,F185)&gt;1,MAX(IF($F$1:$F184=F185,$E$1:$E184)),""),"")),"&amp;hora_final=",HOUR(E185),"&amp;minuto_final=",MINUTE(E185),"&amp;periodo=6&amp;tipo=por_data&amp;upos=false&amp;outequip=0")),"")</f>
        <v>https://btx.brasiltrack.com/logistica/trajeto.php?idveiculo=B05A8E44-5DA1-4128-83F0-8DDE6CB8291B&amp;lat=-22.204247&amp;data_ini=26/11/2022&amp;data_fim=26/11/2022&amp;hora_inicial=9&amp;minuto_inicial=40&amp;hora_final=17&amp;minuto_final=0&amp;periodo=6&amp;tipo=por_data&amp;upos=false&amp;outequip=0</v>
      </c>
      <c r="AN185" s="100" t="str">
        <f t="shared" si="17"/>
        <v xml:space="preserve">               </v>
      </c>
    </row>
    <row r="186" spans="1:40" x14ac:dyDescent="0.25">
      <c r="A186" s="81"/>
      <c r="B186" s="81"/>
      <c r="C186" s="81"/>
      <c r="D186" s="144">
        <v>44866</v>
      </c>
      <c r="E186" s="76">
        <v>44891.999305555553</v>
      </c>
      <c r="F186" s="6" t="s">
        <v>31</v>
      </c>
      <c r="G186" s="5" t="str">
        <f>IFERROR(VLOOKUP(SUMIFS(MSOLICITADA!$I:$I,MSOLICITADA!$B:$B,D186,MSOLICITADA!$F:$F,F186),CODIGOSPLACAS!$A$64:$B$89,2,FALSE),"")</f>
        <v>CELIO</v>
      </c>
      <c r="H186" s="77">
        <v>205566</v>
      </c>
      <c r="I186" s="77">
        <v>206205</v>
      </c>
      <c r="J186" s="7">
        <v>454.041</v>
      </c>
      <c r="K186" s="78">
        <v>3019.37</v>
      </c>
      <c r="L186" s="79" t="s">
        <v>111</v>
      </c>
      <c r="M186" s="6"/>
      <c r="N186" s="5">
        <f t="shared" si="13"/>
        <v>639</v>
      </c>
      <c r="O186" s="80">
        <f t="shared" si="14"/>
        <v>6.6499941635226776</v>
      </c>
      <c r="P186" s="8">
        <f t="shared" si="15"/>
        <v>1.4073618902257725</v>
      </c>
      <c r="Q186" s="8">
        <f t="shared" si="18"/>
        <v>1.5697196307565964</v>
      </c>
      <c r="R186" s="81">
        <f t="shared" si="16"/>
        <v>0</v>
      </c>
      <c r="S186" s="113" t="str">
        <f>IF(F186="","",IF(H186="",TEXT(_xlfn.MAXIFS($I$1:I186,$F$1:F186,F186,$H$1:H186,"&gt;"&amp;0),"000.000"),F186))</f>
        <v>GGZ3G38</v>
      </c>
      <c r="T186" s="81"/>
      <c r="U186" s="82"/>
      <c r="V186" s="98"/>
      <c r="W186" s="82"/>
      <c r="X186" s="98"/>
      <c r="Y186" s="82"/>
      <c r="Z186" s="98"/>
      <c r="AA186" s="82"/>
      <c r="AB186" s="98"/>
      <c r="AC186" s="82"/>
      <c r="AD186" s="98"/>
      <c r="AE186" s="117"/>
      <c r="AF186" s="98"/>
      <c r="AG186" s="98"/>
      <c r="AH186" s="98"/>
      <c r="AI186" s="82"/>
      <c r="AJ186" s="98"/>
      <c r="AK186" s="83"/>
      <c r="AL186" s="84" t="str">
        <f>IF(F186&lt;&gt;0,IF(_xlfn.MAXIFS($I$1:I186,$F$1:F186,F186,$H$1:H186,"&gt;"&amp;0)=0,"KM NÃO ENCONTRADO",IF(H186=0,CONCATENATE("SUGESTÃO DE KM PARA PLACA ",F186," *",_xlfn.MAXIFS($I$1:I186,$F$1:F186,F186,$H$1:H186,"&gt;"&amp;0),"*"),"")),"")</f>
        <v/>
      </c>
      <c r="AM186" s="85" t="str" cm="1">
        <f t="array" ref="AM186">IFERROR(IF(M186&lt;&gt;"","",CONCATENATE("https://btx.brasiltrack.com/logistica/trajeto.php?idveiculo=",VLOOKUP(F186,DATAS!$A$221:$B$250,2,FALSE),"&amp;lat=-22.204247","&amp;data_ini=",TEXT(IF(E186&lt;&gt;"",IF(COUNTIF($F$2:$F186,F186)&gt;1,MAX(IF($F$1:$F185=F186,$E$1:$E185)),""),""),"DD/MM/AAAA"),"&amp;data_fim=",TEXT(E186,"DD/MM/AAAA"),"&amp;hora_inicial=",HOUR(IF(E186&lt;&gt;"",IF(COUNTIF($F$2:$F186,F186)&gt;1,MAX(IF($F$1:$F185=F186,$E$1:$E185)),""),"")),"&amp;minuto_inicial=",MINUTE(IF(E186&lt;&gt;"",IF(COUNTIF($F$2:$F186,F186)&gt;1,MAX(IF($F$1:$F185=F186,$E$1:$E185)),""),"")),"&amp;hora_final=",HOUR(E186),"&amp;minuto_final=",MINUTE(E186),"&amp;periodo=6&amp;tipo=por_data&amp;upos=false&amp;outequip=0")),"")</f>
        <v>https://btx.brasiltrack.com/logistica/trajeto.php?idveiculo=28D74B0F-5C0F-4A59-86EB-697E3711F324&amp;lat=-22.204247&amp;data_ini=24/11/2022&amp;data_fim=26/11/2022&amp;hora_inicial=20&amp;minuto_inicial=41&amp;hora_final=23&amp;minuto_final=59&amp;periodo=6&amp;tipo=por_data&amp;upos=false&amp;outequip=0</v>
      </c>
      <c r="AN186" s="100" t="str">
        <f t="shared" si="17"/>
        <v xml:space="preserve">               </v>
      </c>
    </row>
    <row r="187" spans="1:40" x14ac:dyDescent="0.25">
      <c r="A187" s="81"/>
      <c r="B187" s="81"/>
      <c r="C187" s="81"/>
      <c r="D187" s="144">
        <v>44866</v>
      </c>
      <c r="E187" s="76">
        <v>44892.245138888888</v>
      </c>
      <c r="F187" s="6" t="s">
        <v>131</v>
      </c>
      <c r="G187" s="5" t="str">
        <f>IFERROR(VLOOKUP(SUMIFS(MSOLICITADA!$I:$I,MSOLICITADA!$B:$B,D187,MSOLICITADA!$F:$F,F187),CODIGOSPLACAS!$A$64:$B$89,2,FALSE),"")</f>
        <v>ALTIELIS</v>
      </c>
      <c r="H187" s="77">
        <v>37872</v>
      </c>
      <c r="I187" s="77">
        <v>38483</v>
      </c>
      <c r="J187" s="7">
        <v>437.00099999999998</v>
      </c>
      <c r="K187" s="78">
        <v>2906.05</v>
      </c>
      <c r="L187" s="79" t="s">
        <v>111</v>
      </c>
      <c r="M187" s="6"/>
      <c r="N187" s="5">
        <f t="shared" si="13"/>
        <v>611</v>
      </c>
      <c r="O187" s="80">
        <f t="shared" si="14"/>
        <v>6.6499847826435188</v>
      </c>
      <c r="P187" s="8">
        <f t="shared" si="15"/>
        <v>1.3981661369195952</v>
      </c>
      <c r="Q187" s="8">
        <f t="shared" si="18"/>
        <v>1.4985018243623649</v>
      </c>
      <c r="R187" s="81">
        <f t="shared" si="16"/>
        <v>0</v>
      </c>
      <c r="S187" s="113" t="str">
        <f>IF(F187="","",IF(H187="",TEXT(_xlfn.MAXIFS($I$1:I187,$F$1:F187,F187,$H$1:H187,"&gt;"&amp;0),"000.000"),F187))</f>
        <v>GGN4J86</v>
      </c>
      <c r="T187" s="81"/>
      <c r="U187" s="82"/>
      <c r="V187" s="98"/>
      <c r="W187" s="82"/>
      <c r="X187" s="98"/>
      <c r="Y187" s="82"/>
      <c r="Z187" s="98"/>
      <c r="AA187" s="82"/>
      <c r="AB187" s="98"/>
      <c r="AC187" s="82"/>
      <c r="AD187" s="98"/>
      <c r="AE187" s="117"/>
      <c r="AF187" s="98"/>
      <c r="AG187" s="98"/>
      <c r="AH187" s="98"/>
      <c r="AI187" s="82"/>
      <c r="AJ187" s="98"/>
      <c r="AK187" s="83"/>
      <c r="AL187" s="84" t="str">
        <f>IF(F187&lt;&gt;0,IF(_xlfn.MAXIFS($I$1:I187,$F$1:F187,F187,$H$1:H187,"&gt;"&amp;0)=0,"KM NÃO ENCONTRADO",IF(H187=0,CONCATENATE("SUGESTÃO DE KM PARA PLACA ",F187," *",_xlfn.MAXIFS($I$1:I187,$F$1:F187,F187,$H$1:H187,"&gt;"&amp;0),"*"),"")),"")</f>
        <v/>
      </c>
      <c r="AM187" s="85" t="str" cm="1">
        <f t="array" ref="AM187">IFERROR(IF(M187&lt;&gt;"","",CONCATENATE("https://btx.brasiltrack.com/logistica/trajeto.php?idveiculo=",VLOOKUP(F187,DATAS!$A$221:$B$250,2,FALSE),"&amp;lat=-22.204247","&amp;data_ini=",TEXT(IF(E187&lt;&gt;"",IF(COUNTIF($F$2:$F187,F187)&gt;1,MAX(IF($F$1:$F186=F187,$E$1:$E186)),""),""),"DD/MM/AAAA"),"&amp;data_fim=",TEXT(E187,"DD/MM/AAAA"),"&amp;hora_inicial=",HOUR(IF(E187&lt;&gt;"",IF(COUNTIF($F$2:$F187,F187)&gt;1,MAX(IF($F$1:$F186=F187,$E$1:$E186)),""),"")),"&amp;minuto_inicial=",MINUTE(IF(E187&lt;&gt;"",IF(COUNTIF($F$2:$F187,F187)&gt;1,MAX(IF($F$1:$F186=F187,$E$1:$E186)),""),"")),"&amp;hora_final=",HOUR(E187),"&amp;minuto_final=",MINUTE(E187),"&amp;periodo=6&amp;tipo=por_data&amp;upos=false&amp;outequip=0")),"")</f>
        <v>https://btx.brasiltrack.com/logistica/trajeto.php?idveiculo=0C13AEC3-426E-4E1A-A62E-C4BA625F41E7&amp;lat=-22.204247&amp;data_ini=25/11/2022&amp;data_fim=27/11/2022&amp;hora_inicial=12&amp;minuto_inicial=8&amp;hora_final=5&amp;minuto_final=53&amp;periodo=6&amp;tipo=por_data&amp;upos=false&amp;outequip=0</v>
      </c>
      <c r="AN187" s="100" t="str">
        <f t="shared" si="17"/>
        <v xml:space="preserve">               </v>
      </c>
    </row>
    <row r="188" spans="1:40" x14ac:dyDescent="0.25">
      <c r="A188" s="81"/>
      <c r="B188" s="81"/>
      <c r="C188" s="81"/>
      <c r="D188" s="144">
        <v>44866</v>
      </c>
      <c r="E188" s="76">
        <v>44892.291666666664</v>
      </c>
      <c r="F188" s="6" t="s">
        <v>25</v>
      </c>
      <c r="G188" s="5" t="str">
        <f>IFERROR(VLOOKUP(SUMIFS(MSOLICITADA!$I:$I,MSOLICITADA!$B:$B,D188,MSOLICITADA!$F:$F,F188),CODIGOSPLACAS!$A$64:$B$89,2,FALSE),"")</f>
        <v>EDUALDO</v>
      </c>
      <c r="H188" s="77">
        <v>1005157</v>
      </c>
      <c r="I188" s="77">
        <v>1005534</v>
      </c>
      <c r="J188" s="7">
        <v>245.3</v>
      </c>
      <c r="K188" s="78">
        <v>1511.03</v>
      </c>
      <c r="L188" s="79" t="s">
        <v>112</v>
      </c>
      <c r="M188" s="6"/>
      <c r="N188" s="5">
        <f t="shared" si="13"/>
        <v>377</v>
      </c>
      <c r="O188" s="80">
        <f t="shared" si="14"/>
        <v>6.1599266204647369</v>
      </c>
      <c r="P188" s="8">
        <f t="shared" si="15"/>
        <v>1.5368935996738686</v>
      </c>
      <c r="Q188" s="8">
        <f t="shared" si="18"/>
        <v>1.3451195863175471</v>
      </c>
      <c r="R188" s="81">
        <f t="shared" si="16"/>
        <v>0</v>
      </c>
      <c r="S188" s="113" t="str">
        <f>IF(F188="","",IF(H188="",TEXT(_xlfn.MAXIFS($I$1:I188,$F$1:F188,F188,$H$1:H188,"&gt;"&amp;0),"000.000"),F188))</f>
        <v>QHE9735</v>
      </c>
      <c r="T188" s="81"/>
      <c r="U188" s="82"/>
      <c r="V188" s="98"/>
      <c r="W188" s="82"/>
      <c r="X188" s="98"/>
      <c r="Y188" s="82"/>
      <c r="Z188" s="98"/>
      <c r="AA188" s="82"/>
      <c r="AB188" s="98"/>
      <c r="AC188" s="82"/>
      <c r="AD188" s="98"/>
      <c r="AE188" s="117"/>
      <c r="AF188" s="98"/>
      <c r="AG188" s="98"/>
      <c r="AH188" s="98"/>
      <c r="AI188" s="82"/>
      <c r="AJ188" s="98"/>
      <c r="AK188" s="83"/>
      <c r="AL188" s="84" t="str">
        <f>IF(F188&lt;&gt;0,IF(_xlfn.MAXIFS($I$1:I188,$F$1:F188,F188,$H$1:H188,"&gt;"&amp;0)=0,"KM NÃO ENCONTRADO",IF(H188=0,CONCATENATE("SUGESTÃO DE KM PARA PLACA ",F188," *",_xlfn.MAXIFS($I$1:I188,$F$1:F188,F188,$H$1:H188,"&gt;"&amp;0),"*"),"")),"")</f>
        <v/>
      </c>
      <c r="AM188" s="85" t="str" cm="1">
        <f t="array" ref="AM188">IFERROR(IF(M188&lt;&gt;"","",CONCATENATE("https://btx.brasiltrack.com/logistica/trajeto.php?idveiculo=",VLOOKUP(F188,DATAS!$A$221:$B$250,2,FALSE),"&amp;lat=-22.204247","&amp;data_ini=",TEXT(IF(E188&lt;&gt;"",IF(COUNTIF($F$2:$F188,F188)&gt;1,MAX(IF($F$1:$F187=F188,$E$1:$E187)),""),""),"DD/MM/AAAA"),"&amp;data_fim=",TEXT(E188,"DD/MM/AAAA"),"&amp;hora_inicial=",HOUR(IF(E188&lt;&gt;"",IF(COUNTIF($F$2:$F188,F188)&gt;1,MAX(IF($F$1:$F187=F188,$E$1:$E187)),""),"")),"&amp;minuto_inicial=",MINUTE(IF(E188&lt;&gt;"",IF(COUNTIF($F$2:$F188,F188)&gt;1,MAX(IF($F$1:$F187=F188,$E$1:$E187)),""),"")),"&amp;hora_final=",HOUR(E188),"&amp;minuto_final=",MINUTE(E188),"&amp;periodo=6&amp;tipo=por_data&amp;upos=false&amp;outequip=0")),"")</f>
        <v>https://btx.brasiltrack.com/logistica/trajeto.php?idveiculo=0FD3629E-8FA4-4575-81E5-E460A4EFD545&amp;lat=-22.204247&amp;data_ini=26/11/2022&amp;data_fim=27/11/2022&amp;hora_inicial=14&amp;minuto_inicial=44&amp;hora_final=7&amp;minuto_final=0&amp;periodo=6&amp;tipo=por_data&amp;upos=false&amp;outequip=0</v>
      </c>
      <c r="AN188" s="100" t="str">
        <f t="shared" si="17"/>
        <v xml:space="preserve">               </v>
      </c>
    </row>
    <row r="189" spans="1:40" x14ac:dyDescent="0.25">
      <c r="A189" s="81"/>
      <c r="B189" s="81"/>
      <c r="C189" s="81"/>
      <c r="D189" s="144">
        <v>44866</v>
      </c>
      <c r="E189" s="76">
        <v>44892.504861111112</v>
      </c>
      <c r="F189" s="6" t="s">
        <v>29</v>
      </c>
      <c r="G189" s="5" t="str">
        <f>IFERROR(VLOOKUP(SUMIFS(MSOLICITADA!$I:$I,MSOLICITADA!$B:$B,D189,MSOLICITADA!$F:$F,F189),CODIGOSPLACAS!$A$64:$B$89,2,FALSE),"")</f>
        <v>EDNILSON</v>
      </c>
      <c r="H189" s="77">
        <v>229197</v>
      </c>
      <c r="I189" s="77">
        <v>229657</v>
      </c>
      <c r="J189" s="7">
        <v>341.67099999999999</v>
      </c>
      <c r="K189" s="78">
        <v>2272.11</v>
      </c>
      <c r="L189" s="79" t="s">
        <v>111</v>
      </c>
      <c r="M189" s="6"/>
      <c r="N189" s="5">
        <f t="shared" si="13"/>
        <v>460</v>
      </c>
      <c r="O189" s="80">
        <f t="shared" si="14"/>
        <v>6.6499937073968827</v>
      </c>
      <c r="P189" s="8">
        <f t="shared" si="15"/>
        <v>1.3463243880809317</v>
      </c>
      <c r="Q189" s="8">
        <f t="shared" si="18"/>
        <v>1.5506852118293495</v>
      </c>
      <c r="R189" s="81">
        <f t="shared" si="16"/>
        <v>0</v>
      </c>
      <c r="S189" s="113" t="str">
        <f>IF(F189="","",IF(H189="",TEXT(_xlfn.MAXIFS($I$1:I189,$F$1:F189,F189,$H$1:H189,"&gt;"&amp;0),"000.000"),F189))</f>
        <v>GKA2J56</v>
      </c>
      <c r="T189" s="81"/>
      <c r="U189" s="82"/>
      <c r="V189" s="98"/>
      <c r="W189" s="82"/>
      <c r="X189" s="98"/>
      <c r="Y189" s="82"/>
      <c r="Z189" s="98"/>
      <c r="AA189" s="82"/>
      <c r="AB189" s="98"/>
      <c r="AC189" s="82"/>
      <c r="AD189" s="98"/>
      <c r="AE189" s="117"/>
      <c r="AF189" s="98"/>
      <c r="AG189" s="98"/>
      <c r="AH189" s="98"/>
      <c r="AI189" s="82"/>
      <c r="AJ189" s="98"/>
      <c r="AK189" s="83"/>
      <c r="AL189" s="84" t="str">
        <f>IF(F189&lt;&gt;0,IF(_xlfn.MAXIFS($I$1:I189,$F$1:F189,F189,$H$1:H189,"&gt;"&amp;0)=0,"KM NÃO ENCONTRADO",IF(H189=0,CONCATENATE("SUGESTÃO DE KM PARA PLACA ",F189," *",_xlfn.MAXIFS($I$1:I189,$F$1:F189,F189,$H$1:H189,"&gt;"&amp;0),"*"),"")),"")</f>
        <v/>
      </c>
      <c r="AM189" s="85" t="str" cm="1">
        <f t="array" ref="AM189">IFERROR(IF(M189&lt;&gt;"","",CONCATENATE("https://btx.brasiltrack.com/logistica/trajeto.php?idveiculo=",VLOOKUP(F189,DATAS!$A$221:$B$250,2,FALSE),"&amp;lat=-22.204247","&amp;data_ini=",TEXT(IF(E189&lt;&gt;"",IF(COUNTIF($F$2:$F189,F189)&gt;1,MAX(IF($F$1:$F188=F189,$E$1:$E188)),""),""),"DD/MM/AAAA"),"&amp;data_fim=",TEXT(E189,"DD/MM/AAAA"),"&amp;hora_inicial=",HOUR(IF(E189&lt;&gt;"",IF(COUNTIF($F$2:$F189,F189)&gt;1,MAX(IF($F$1:$F188=F189,$E$1:$E188)),""),"")),"&amp;minuto_inicial=",MINUTE(IF(E189&lt;&gt;"",IF(COUNTIF($F$2:$F189,F189)&gt;1,MAX(IF($F$1:$F188=F189,$E$1:$E188)),""),"")),"&amp;hora_final=",HOUR(E189),"&amp;minuto_final=",MINUTE(E189),"&amp;periodo=6&amp;tipo=por_data&amp;upos=false&amp;outequip=0")),"")</f>
        <v>https://btx.brasiltrack.com/logistica/trajeto.php?idveiculo=75A3D88C-4B99-481A-ACC8-34008151E92D&amp;lat=-22.204247&amp;data_ini=25/11/2022&amp;data_fim=27/11/2022&amp;hora_inicial=17&amp;minuto_inicial=5&amp;hora_final=12&amp;minuto_final=7&amp;periodo=6&amp;tipo=por_data&amp;upos=false&amp;outequip=0</v>
      </c>
      <c r="AN189" s="100" t="str">
        <f t="shared" si="17"/>
        <v xml:space="preserve">               </v>
      </c>
    </row>
    <row r="190" spans="1:40" x14ac:dyDescent="0.25">
      <c r="A190" s="81"/>
      <c r="B190" s="81"/>
      <c r="C190" s="81"/>
      <c r="D190" s="144">
        <v>44866</v>
      </c>
      <c r="E190" s="76">
        <v>44892.619444444441</v>
      </c>
      <c r="F190" s="6" t="s">
        <v>124</v>
      </c>
      <c r="G190" s="5" t="str">
        <f>IFERROR(VLOOKUP(SUMIFS(MSOLICITADA!$I:$I,MSOLICITADA!$B:$B,D190,MSOLICITADA!$F:$F,F190),CODIGOSPLACAS!$A$64:$B$89,2,FALSE),"")</f>
        <v>ISRAEL</v>
      </c>
      <c r="H190" s="77">
        <v>131241</v>
      </c>
      <c r="I190" s="77">
        <v>131752</v>
      </c>
      <c r="J190" s="7">
        <v>379.00099999999998</v>
      </c>
      <c r="K190" s="78">
        <v>2520.35</v>
      </c>
      <c r="L190" s="79" t="s">
        <v>111</v>
      </c>
      <c r="M190" s="6"/>
      <c r="N190" s="5">
        <f t="shared" si="13"/>
        <v>511</v>
      </c>
      <c r="O190" s="80">
        <f t="shared" si="14"/>
        <v>6.6499824538721537</v>
      </c>
      <c r="P190" s="8">
        <f t="shared" si="15"/>
        <v>1.3482814029514434</v>
      </c>
      <c r="Q190" s="8">
        <f t="shared" si="18"/>
        <v>1.5512732562038034</v>
      </c>
      <c r="R190" s="81">
        <f t="shared" si="16"/>
        <v>0</v>
      </c>
      <c r="S190" s="113" t="str">
        <f>IF(F190="","",IF(H190="",TEXT(_xlfn.MAXIFS($I$1:I190,$F$1:F190,F190,$H$1:H190,"&gt;"&amp;0),"000.000"),F190))</f>
        <v>GHH9B64</v>
      </c>
      <c r="T190" s="81"/>
      <c r="U190" s="82"/>
      <c r="V190" s="98"/>
      <c r="W190" s="82"/>
      <c r="X190" s="98"/>
      <c r="Y190" s="82"/>
      <c r="Z190" s="98"/>
      <c r="AA190" s="82"/>
      <c r="AB190" s="98"/>
      <c r="AC190" s="82"/>
      <c r="AD190" s="98"/>
      <c r="AE190" s="117"/>
      <c r="AF190" s="98"/>
      <c r="AG190" s="98"/>
      <c r="AH190" s="98"/>
      <c r="AI190" s="82"/>
      <c r="AJ190" s="98"/>
      <c r="AK190" s="83"/>
      <c r="AL190" s="84" t="str">
        <f>IF(F190&lt;&gt;0,IF(_xlfn.MAXIFS($I$1:I190,$F$1:F190,F190,$H$1:H190,"&gt;"&amp;0)=0,"KM NÃO ENCONTRADO",IF(H190=0,CONCATENATE("SUGESTÃO DE KM PARA PLACA ",F190," *",_xlfn.MAXIFS($I$1:I190,$F$1:F190,F190,$H$1:H190,"&gt;"&amp;0),"*"),"")),"")</f>
        <v/>
      </c>
      <c r="AM190" s="85" t="str" cm="1">
        <f t="array" ref="AM190">IFERROR(IF(M190&lt;&gt;"","",CONCATENATE("https://btx.brasiltrack.com/logistica/trajeto.php?idveiculo=",VLOOKUP(F190,DATAS!$A$221:$B$250,2,FALSE),"&amp;lat=-22.204247","&amp;data_ini=",TEXT(IF(E190&lt;&gt;"",IF(COUNTIF($F$2:$F190,F190)&gt;1,MAX(IF($F$1:$F189=F190,$E$1:$E189)),""),""),"DD/MM/AAAA"),"&amp;data_fim=",TEXT(E190,"DD/MM/AAAA"),"&amp;hora_inicial=",HOUR(IF(E190&lt;&gt;"",IF(COUNTIF($F$2:$F190,F190)&gt;1,MAX(IF($F$1:$F189=F190,$E$1:$E189)),""),"")),"&amp;minuto_inicial=",MINUTE(IF(E190&lt;&gt;"",IF(COUNTIF($F$2:$F190,F190)&gt;1,MAX(IF($F$1:$F189=F190,$E$1:$E189)),""),"")),"&amp;hora_final=",HOUR(E190),"&amp;minuto_final=",MINUTE(E190),"&amp;periodo=6&amp;tipo=por_data&amp;upos=false&amp;outequip=0")),"")</f>
        <v>https://btx.brasiltrack.com/logistica/trajeto.php?idveiculo=82801E41-A001-436F-A743-F071900B878A&amp;lat=-22.204247&amp;data_ini=25/11/2022&amp;data_fim=27/11/2022&amp;hora_inicial=18&amp;minuto_inicial=27&amp;hora_final=14&amp;minuto_final=52&amp;periodo=6&amp;tipo=por_data&amp;upos=false&amp;outequip=0</v>
      </c>
      <c r="AN190" s="100" t="str">
        <f t="shared" si="17"/>
        <v xml:space="preserve">               </v>
      </c>
    </row>
    <row r="191" spans="1:40" x14ac:dyDescent="0.25">
      <c r="A191" s="81"/>
      <c r="B191" s="81"/>
      <c r="C191" s="81"/>
      <c r="D191" s="144">
        <v>44866</v>
      </c>
      <c r="E191" s="76">
        <v>44892.722222222219</v>
      </c>
      <c r="F191" s="6" t="s">
        <v>35</v>
      </c>
      <c r="G191" s="5" t="str">
        <f>IFERROR(VLOOKUP(SUMIFS(MSOLICITADA!$I:$I,MSOLICITADA!$B:$B,D191,MSOLICITADA!$F:$F,F191),CODIGOSPLACAS!$A$64:$B$89,2,FALSE),"")</f>
        <v>JOEL</v>
      </c>
      <c r="H191" s="77">
        <v>227283</v>
      </c>
      <c r="I191" s="77">
        <v>227324</v>
      </c>
      <c r="J191" s="7">
        <v>42.2</v>
      </c>
      <c r="K191" s="78">
        <v>259.95</v>
      </c>
      <c r="L191" s="79" t="s">
        <v>112</v>
      </c>
      <c r="M191" s="6"/>
      <c r="N191" s="5">
        <f t="shared" si="13"/>
        <v>41</v>
      </c>
      <c r="O191" s="80">
        <f t="shared" si="14"/>
        <v>6.1599526066350707</v>
      </c>
      <c r="P191" s="8">
        <f t="shared" si="15"/>
        <v>0.97156398104265396</v>
      </c>
      <c r="Q191" s="8">
        <f t="shared" si="18"/>
        <v>2.367571672678944</v>
      </c>
      <c r="R191" s="81">
        <f t="shared" si="16"/>
        <v>0</v>
      </c>
      <c r="S191" s="113" t="str">
        <f>IF(F191="","",IF(H191="",TEXT(_xlfn.MAXIFS($I$1:I191,$F$1:F191,F191,$H$1:H191,"&gt;"&amp;0),"000.000"),F191))</f>
        <v>QNP3A97</v>
      </c>
      <c r="T191" s="81"/>
      <c r="U191" s="82"/>
      <c r="V191" s="98"/>
      <c r="W191" s="82"/>
      <c r="X191" s="98"/>
      <c r="Y191" s="82"/>
      <c r="Z191" s="98"/>
      <c r="AA191" s="82"/>
      <c r="AB191" s="98"/>
      <c r="AC191" s="82"/>
      <c r="AD191" s="98"/>
      <c r="AE191" s="117"/>
      <c r="AF191" s="98"/>
      <c r="AG191" s="98"/>
      <c r="AH191" s="98"/>
      <c r="AI191" s="82"/>
      <c r="AJ191" s="98"/>
      <c r="AK191" s="83"/>
      <c r="AL191" s="84" t="str">
        <f>IF(F191&lt;&gt;0,IF(_xlfn.MAXIFS($I$1:I191,$F$1:F191,F191,$H$1:H191,"&gt;"&amp;0)=0,"KM NÃO ENCONTRADO",IF(H191=0,CONCATENATE("SUGESTÃO DE KM PARA PLACA ",F191," *",_xlfn.MAXIFS($I$1:I191,$F$1:F191,F191,$H$1:H191,"&gt;"&amp;0),"*"),"")),"")</f>
        <v/>
      </c>
      <c r="AM191" s="85" t="str" cm="1">
        <f t="array" ref="AM191">IFERROR(IF(M191&lt;&gt;"","",CONCATENATE("https://btx.brasiltrack.com/logistica/trajeto.php?idveiculo=",VLOOKUP(F191,DATAS!$A$221:$B$250,2,FALSE),"&amp;lat=-22.204247","&amp;data_ini=",TEXT(IF(E191&lt;&gt;"",IF(COUNTIF($F$2:$F191,F191)&gt;1,MAX(IF($F$1:$F190=F191,$E$1:$E190)),""),""),"DD/MM/AAAA"),"&amp;data_fim=",TEXT(E191,"DD/MM/AAAA"),"&amp;hora_inicial=",HOUR(IF(E191&lt;&gt;"",IF(COUNTIF($F$2:$F191,F191)&gt;1,MAX(IF($F$1:$F190=F191,$E$1:$E190)),""),"")),"&amp;minuto_inicial=",MINUTE(IF(E191&lt;&gt;"",IF(COUNTIF($F$2:$F191,F191)&gt;1,MAX(IF($F$1:$F190=F191,$E$1:$E190)),""),"")),"&amp;hora_final=",HOUR(E191),"&amp;minuto_final=",MINUTE(E191),"&amp;periodo=6&amp;tipo=por_data&amp;upos=false&amp;outequip=0")),"")</f>
        <v>https://btx.brasiltrack.com/logistica/trajeto.php?idveiculo=E2142D75-BC20-47B9-8225-FC4ED3D279CF&amp;lat=-22.204247&amp;data_ini=25/11/2022&amp;data_fim=27/11/2022&amp;hora_inicial=14&amp;minuto_inicial=21&amp;hora_final=17&amp;minuto_final=20&amp;periodo=6&amp;tipo=por_data&amp;upos=false&amp;outequip=0</v>
      </c>
      <c r="AN191" s="100" t="str">
        <f t="shared" si="17"/>
        <v xml:space="preserve">               </v>
      </c>
    </row>
    <row r="192" spans="1:40" x14ac:dyDescent="0.25">
      <c r="A192" s="81"/>
      <c r="B192" s="81"/>
      <c r="C192" s="81"/>
      <c r="D192" s="144">
        <v>44866</v>
      </c>
      <c r="E192" s="76">
        <v>44892.765972222223</v>
      </c>
      <c r="F192" s="6" t="s">
        <v>127</v>
      </c>
      <c r="G192" s="5" t="str">
        <f>IFERROR(VLOOKUP(SUMIFS(MSOLICITADA!$I:$I,MSOLICITADA!$B:$B,D192,MSOLICITADA!$F:$F,F192),CODIGOSPLACAS!$A$64:$B$89,2,FALSE),"")</f>
        <v>EVERTON</v>
      </c>
      <c r="H192" s="77">
        <v>1223654</v>
      </c>
      <c r="I192" s="77">
        <v>1224310</v>
      </c>
      <c r="J192" s="7">
        <v>376</v>
      </c>
      <c r="K192" s="78">
        <v>2410.16</v>
      </c>
      <c r="L192" s="79" t="s">
        <v>111</v>
      </c>
      <c r="M192" s="6"/>
      <c r="N192" s="5">
        <f t="shared" si="13"/>
        <v>656</v>
      </c>
      <c r="O192" s="80">
        <f t="shared" si="14"/>
        <v>6.4099999999999993</v>
      </c>
      <c r="P192" s="8">
        <f t="shared" si="15"/>
        <v>1.7446808510638299</v>
      </c>
      <c r="Q192" s="8">
        <f t="shared" si="18"/>
        <v>1.8434307437405129</v>
      </c>
      <c r="R192" s="81">
        <f t="shared" si="16"/>
        <v>0</v>
      </c>
      <c r="S192" s="113" t="str">
        <f>IF(F192="","",IF(H192="",TEXT(_xlfn.MAXIFS($I$1:I192,$F$1:F192,F192,$H$1:H192,"&gt;"&amp;0),"000.000"),F192))</f>
        <v>OPM8J51</v>
      </c>
      <c r="T192" s="81"/>
      <c r="U192" s="82"/>
      <c r="V192" s="98"/>
      <c r="W192" s="82"/>
      <c r="X192" s="98"/>
      <c r="Y192" s="82"/>
      <c r="Z192" s="98"/>
      <c r="AA192" s="82"/>
      <c r="AB192" s="98"/>
      <c r="AC192" s="82"/>
      <c r="AD192" s="98"/>
      <c r="AE192" s="117"/>
      <c r="AF192" s="98"/>
      <c r="AG192" s="98"/>
      <c r="AH192" s="98"/>
      <c r="AI192" s="82"/>
      <c r="AJ192" s="98"/>
      <c r="AK192" s="83"/>
      <c r="AL192" s="84" t="str">
        <f>IF(F192&lt;&gt;0,IF(_xlfn.MAXIFS($I$1:I192,$F$1:F192,F192,$H$1:H192,"&gt;"&amp;0)=0,"KM NÃO ENCONTRADO",IF(H192=0,CONCATENATE("SUGESTÃO DE KM PARA PLACA ",F192," *",_xlfn.MAXIFS($I$1:I192,$F$1:F192,F192,$H$1:H192,"&gt;"&amp;0),"*"),"")),"")</f>
        <v/>
      </c>
      <c r="AM192" s="85" t="str" cm="1">
        <f t="array" ref="AM192">IFERROR(IF(M192&lt;&gt;"","",CONCATENATE("https://btx.brasiltrack.com/logistica/trajeto.php?idveiculo=",VLOOKUP(F192,DATAS!$A$221:$B$250,2,FALSE),"&amp;lat=-22.204247","&amp;data_ini=",TEXT(IF(E192&lt;&gt;"",IF(COUNTIF($F$2:$F192,F192)&gt;1,MAX(IF($F$1:$F191=F192,$E$1:$E191)),""),""),"DD/MM/AAAA"),"&amp;data_fim=",TEXT(E192,"DD/MM/AAAA"),"&amp;hora_inicial=",HOUR(IF(E192&lt;&gt;"",IF(COUNTIF($F$2:$F192,F192)&gt;1,MAX(IF($F$1:$F191=F192,$E$1:$E191)),""),"")),"&amp;minuto_inicial=",MINUTE(IF(E192&lt;&gt;"",IF(COUNTIF($F$2:$F192,F192)&gt;1,MAX(IF($F$1:$F191=F192,$E$1:$E191)),""),"")),"&amp;hora_final=",HOUR(E192),"&amp;minuto_final=",MINUTE(E192),"&amp;periodo=6&amp;tipo=por_data&amp;upos=false&amp;outequip=0")),"")</f>
        <v>https://btx.brasiltrack.com/logistica/trajeto.php?idveiculo=6B275FDC-A2AC-4272-8CE2-C39701ECE18D&amp;lat=-22.204247&amp;data_ini=25/11/2022&amp;data_fim=27/11/2022&amp;hora_inicial=19&amp;minuto_inicial=47&amp;hora_final=18&amp;minuto_final=23&amp;periodo=6&amp;tipo=por_data&amp;upos=false&amp;outequip=0</v>
      </c>
      <c r="AN192" s="100" t="str">
        <f t="shared" si="17"/>
        <v xml:space="preserve">               </v>
      </c>
    </row>
    <row r="193" spans="1:40" x14ac:dyDescent="0.25">
      <c r="A193" s="81"/>
      <c r="B193" s="81"/>
      <c r="C193" s="81"/>
      <c r="D193" s="144">
        <v>44866</v>
      </c>
      <c r="E193" s="76">
        <v>44892.790972222225</v>
      </c>
      <c r="F193" s="6" t="s">
        <v>27</v>
      </c>
      <c r="G193" s="5" t="str">
        <f>IFERROR(VLOOKUP(SUMIFS(MSOLICITADA!$I:$I,MSOLICITADA!$B:$B,D193,MSOLICITADA!$F:$F,F193),CODIGOSPLACAS!$A$64:$B$89,2,FALSE),"")</f>
        <v>ANTONIO</v>
      </c>
      <c r="H193" s="77">
        <v>239916</v>
      </c>
      <c r="I193" s="77">
        <v>240695</v>
      </c>
      <c r="J193" s="7">
        <v>512.87</v>
      </c>
      <c r="K193" s="78">
        <v>3367.51</v>
      </c>
      <c r="L193" s="79" t="s">
        <v>111</v>
      </c>
      <c r="M193" s="6"/>
      <c r="N193" s="5">
        <f t="shared" si="13"/>
        <v>779</v>
      </c>
      <c r="O193" s="80">
        <f t="shared" si="14"/>
        <v>6.5660108799500856</v>
      </c>
      <c r="P193" s="8">
        <f t="shared" si="15"/>
        <v>1.5189034258194085</v>
      </c>
      <c r="Q193" s="8">
        <f t="shared" si="18"/>
        <v>1.4461676128873802</v>
      </c>
      <c r="R193" s="81">
        <f t="shared" si="16"/>
        <v>0</v>
      </c>
      <c r="S193" s="113" t="str">
        <f>IF(F193="","",IF(H193="",TEXT(_xlfn.MAXIFS($I$1:I193,$F$1:F193,F193,$H$1:H193,"&gt;"&amp;0),"000.000"),F193))</f>
        <v>GHS4J57</v>
      </c>
      <c r="T193" s="81"/>
      <c r="U193" s="82"/>
      <c r="V193" s="98"/>
      <c r="W193" s="82"/>
      <c r="X193" s="98"/>
      <c r="Y193" s="82"/>
      <c r="Z193" s="98"/>
      <c r="AA193" s="82"/>
      <c r="AB193" s="98"/>
      <c r="AC193" s="82"/>
      <c r="AD193" s="98"/>
      <c r="AE193" s="117"/>
      <c r="AF193" s="98"/>
      <c r="AG193" s="98"/>
      <c r="AH193" s="98"/>
      <c r="AI193" s="82"/>
      <c r="AJ193" s="98"/>
      <c r="AK193" s="83"/>
      <c r="AL193" s="84" t="str">
        <f>IF(F193&lt;&gt;0,IF(_xlfn.MAXIFS($I$1:I193,$F$1:F193,F193,$H$1:H193,"&gt;"&amp;0)=0,"KM NÃO ENCONTRADO",IF(H193=0,CONCATENATE("SUGESTÃO DE KM PARA PLACA ",F193," *",_xlfn.MAXIFS($I$1:I193,$F$1:F193,F193,$H$1:H193,"&gt;"&amp;0),"*"),"")),"")</f>
        <v/>
      </c>
      <c r="AM193" s="85" t="str" cm="1">
        <f t="array" ref="AM193">IFERROR(IF(M193&lt;&gt;"","",CONCATENATE("https://btx.brasiltrack.com/logistica/trajeto.php?idveiculo=",VLOOKUP(F193,DATAS!$A$221:$B$250,2,FALSE),"&amp;lat=-22.204247","&amp;data_ini=",TEXT(IF(E193&lt;&gt;"",IF(COUNTIF($F$2:$F193,F193)&gt;1,MAX(IF($F$1:$F192=F193,$E$1:$E192)),""),""),"DD/MM/AAAA"),"&amp;data_fim=",TEXT(E193,"DD/MM/AAAA"),"&amp;hora_inicial=",HOUR(IF(E193&lt;&gt;"",IF(COUNTIF($F$2:$F193,F193)&gt;1,MAX(IF($F$1:$F192=F193,$E$1:$E192)),""),"")),"&amp;minuto_inicial=",MINUTE(IF(E193&lt;&gt;"",IF(COUNTIF($F$2:$F193,F193)&gt;1,MAX(IF($F$1:$F192=F193,$E$1:$E192)),""),"")),"&amp;hora_final=",HOUR(E193),"&amp;minuto_final=",MINUTE(E193),"&amp;periodo=6&amp;tipo=por_data&amp;upos=false&amp;outequip=0")),"")</f>
        <v>https://btx.brasiltrack.com/logistica/trajeto.php?idveiculo=17ED636C-5A71-44D5-AF3C-192D3DA6CDD1&amp;lat=-22.204247&amp;data_ini=24/11/2022&amp;data_fim=27/11/2022&amp;hora_inicial=20&amp;minuto_inicial=20&amp;hora_final=18&amp;minuto_final=59&amp;periodo=6&amp;tipo=por_data&amp;upos=false&amp;outequip=0</v>
      </c>
      <c r="AN193" s="100" t="str">
        <f t="shared" si="17"/>
        <v xml:space="preserve">               </v>
      </c>
    </row>
    <row r="194" spans="1:40" x14ac:dyDescent="0.25">
      <c r="A194" s="81"/>
      <c r="B194" s="81"/>
      <c r="C194" s="81"/>
      <c r="D194" s="144">
        <v>44866</v>
      </c>
      <c r="E194" s="76">
        <v>44893.725694444445</v>
      </c>
      <c r="F194" s="6" t="s">
        <v>27</v>
      </c>
      <c r="G194" s="5" t="str">
        <f>IFERROR(VLOOKUP(SUMIFS(MSOLICITADA!$I:$I,MSOLICITADA!$B:$B,D194,MSOLICITADA!$F:$F,F194),CODIGOSPLACAS!$A$64:$B$89,2,FALSE),"")</f>
        <v>ANTONIO</v>
      </c>
      <c r="H194" s="77">
        <v>240695</v>
      </c>
      <c r="I194" s="77">
        <v>241311</v>
      </c>
      <c r="J194" s="7">
        <v>495.81</v>
      </c>
      <c r="K194" s="78">
        <v>3302.09</v>
      </c>
      <c r="L194" s="79" t="s">
        <v>111</v>
      </c>
      <c r="M194" s="6"/>
      <c r="N194" s="5">
        <f t="shared" si="13"/>
        <v>616</v>
      </c>
      <c r="O194" s="80">
        <f t="shared" si="14"/>
        <v>6.6599907222524761</v>
      </c>
      <c r="P194" s="8">
        <f t="shared" si="15"/>
        <v>1.2424114075956516</v>
      </c>
      <c r="Q194" s="8">
        <f t="shared" si="18"/>
        <v>1.4461676128873802</v>
      </c>
      <c r="R194" s="81">
        <f t="shared" si="16"/>
        <v>0</v>
      </c>
      <c r="S194" s="113" t="str">
        <f>IF(F194="","",IF(H194="",TEXT(_xlfn.MAXIFS($I$1:I194,$F$1:F194,F194,$H$1:H194,"&gt;"&amp;0),"000.000"),F194))</f>
        <v>GHS4J57</v>
      </c>
      <c r="T194" s="81"/>
      <c r="U194" s="82"/>
      <c r="V194" s="98"/>
      <c r="W194" s="82"/>
      <c r="X194" s="98"/>
      <c r="Y194" s="82"/>
      <c r="Z194" s="98"/>
      <c r="AA194" s="82"/>
      <c r="AB194" s="98"/>
      <c r="AC194" s="82"/>
      <c r="AD194" s="98"/>
      <c r="AE194" s="117"/>
      <c r="AF194" s="98"/>
      <c r="AG194" s="98"/>
      <c r="AH194" s="98"/>
      <c r="AI194" s="82"/>
      <c r="AJ194" s="98"/>
      <c r="AK194" s="83"/>
      <c r="AL194" s="84" t="str">
        <f>IF(F194&lt;&gt;0,IF(_xlfn.MAXIFS($I$1:I194,$F$1:F194,F194,$H$1:H194,"&gt;"&amp;0)=0,"KM NÃO ENCONTRADO",IF(H194=0,CONCATENATE("SUGESTÃO DE KM PARA PLACA ",F194," *",_xlfn.MAXIFS($I$1:I194,$F$1:F194,F194,$H$1:H194,"&gt;"&amp;0),"*"),"")),"")</f>
        <v/>
      </c>
      <c r="AM194" s="85" t="str" cm="1">
        <f t="array" ref="AM194">IFERROR(IF(M194&lt;&gt;"","",CONCATENATE("https://btx.brasiltrack.com/logistica/trajeto.php?idveiculo=",VLOOKUP(F194,DATAS!$A$221:$B$250,2,FALSE),"&amp;lat=-22.204247","&amp;data_ini=",TEXT(IF(E194&lt;&gt;"",IF(COUNTIF($F$2:$F194,F194)&gt;1,MAX(IF($F$1:$F193=F194,$E$1:$E193)),""),""),"DD/MM/AAAA"),"&amp;data_fim=",TEXT(E194,"DD/MM/AAAA"),"&amp;hora_inicial=",HOUR(IF(E194&lt;&gt;"",IF(COUNTIF($F$2:$F194,F194)&gt;1,MAX(IF($F$1:$F193=F194,$E$1:$E193)),""),"")),"&amp;minuto_inicial=",MINUTE(IF(E194&lt;&gt;"",IF(COUNTIF($F$2:$F194,F194)&gt;1,MAX(IF($F$1:$F193=F194,$E$1:$E193)),""),"")),"&amp;hora_final=",HOUR(E194),"&amp;minuto_final=",MINUTE(E194),"&amp;periodo=6&amp;tipo=por_data&amp;upos=false&amp;outequip=0")),"")</f>
        <v>https://btx.brasiltrack.com/logistica/trajeto.php?idveiculo=17ED636C-5A71-44D5-AF3C-192D3DA6CDD1&amp;lat=-22.204247&amp;data_ini=27/11/2022&amp;data_fim=28/11/2022&amp;hora_inicial=18&amp;minuto_inicial=59&amp;hora_final=17&amp;minuto_final=25&amp;periodo=6&amp;tipo=por_data&amp;upos=false&amp;outequip=0</v>
      </c>
      <c r="AN194" s="100" t="str">
        <f t="shared" si="17"/>
        <v xml:space="preserve">               </v>
      </c>
    </row>
    <row r="195" spans="1:40" x14ac:dyDescent="0.25">
      <c r="A195" s="81"/>
      <c r="B195" s="81"/>
      <c r="C195" s="81"/>
      <c r="D195" s="144">
        <v>44866</v>
      </c>
      <c r="E195" s="76">
        <v>44894.625</v>
      </c>
      <c r="F195" s="6" t="s">
        <v>23</v>
      </c>
      <c r="G195" s="5" t="str">
        <f>IFERROR(VLOOKUP(SUMIFS(MSOLICITADA!$I:$I,MSOLICITADA!$B:$B,D195,MSOLICITADA!$F:$F,F195),CODIGOSPLACAS!$A$64:$B$89,2,FALSE),"")</f>
        <v>ISAC</v>
      </c>
      <c r="H195" s="77">
        <v>1199070</v>
      </c>
      <c r="I195" s="77">
        <v>1199286</v>
      </c>
      <c r="J195" s="7">
        <v>202.1</v>
      </c>
      <c r="K195" s="78">
        <v>1244.92</v>
      </c>
      <c r="L195" s="79" t="s">
        <v>112</v>
      </c>
      <c r="M195" s="6"/>
      <c r="N195" s="5">
        <f t="shared" ref="N195:N258" si="19">IF(IF((I195-H195-M195)&lt;0,"ERRO",I195-H195-M195)=0,"",IF((I195-H195-M195)&lt;0,"ERRO",I195-H195-M195))</f>
        <v>216</v>
      </c>
      <c r="O195" s="80">
        <f t="shared" ref="O195:O258" si="20">IFERROR(K195/J195,"")</f>
        <v>6.1599208312716485</v>
      </c>
      <c r="P195" s="8">
        <f t="shared" ref="P195:P258" si="21">IF(F195&lt;&gt;"",(SUM(M195:N195)-AK195)/(J195-(AK195/5)),0)</f>
        <v>1.0687778327560613</v>
      </c>
      <c r="Q195" s="8">
        <f t="shared" si="18"/>
        <v>1.447714664858804</v>
      </c>
      <c r="R195" s="81">
        <f t="shared" ref="R195:R258" si="22">IFERROR(IF(M195/(I195-H195)=0,0,M195/(I195-H195)),0)</f>
        <v>0</v>
      </c>
      <c r="S195" s="113" t="str">
        <f>IF(F195="","",IF(H195="",TEXT(_xlfn.MAXIFS($I$1:I195,$F$1:F195,F195,$H$1:H195,"&gt;"&amp;0),"000.000"),F195))</f>
        <v>HNC7I76</v>
      </c>
      <c r="T195" s="81"/>
      <c r="U195" s="82"/>
      <c r="V195" s="98"/>
      <c r="W195" s="82"/>
      <c r="X195" s="98"/>
      <c r="Y195" s="82"/>
      <c r="Z195" s="98"/>
      <c r="AA195" s="82"/>
      <c r="AB195" s="98"/>
      <c r="AC195" s="82"/>
      <c r="AD195" s="98"/>
      <c r="AE195" s="117"/>
      <c r="AF195" s="98"/>
      <c r="AG195" s="98"/>
      <c r="AH195" s="98"/>
      <c r="AI195" s="82"/>
      <c r="AJ195" s="98"/>
      <c r="AK195" s="83"/>
      <c r="AL195" s="84" t="str">
        <f>IF(F195&lt;&gt;0,IF(_xlfn.MAXIFS($I$1:I195,$F$1:F195,F195,$H$1:H195,"&gt;"&amp;0)=0,"KM NÃO ENCONTRADO",IF(H195=0,CONCATENATE("SUGESTÃO DE KM PARA PLACA ",F195," *",_xlfn.MAXIFS($I$1:I195,$F$1:F195,F195,$H$1:H195,"&gt;"&amp;0),"*"),"")),"")</f>
        <v/>
      </c>
      <c r="AM195" s="85" t="str" cm="1">
        <f t="array" ref="AM195">IFERROR(IF(M195&lt;&gt;"","",CONCATENATE("https://btx.brasiltrack.com/logistica/trajeto.php?idveiculo=",VLOOKUP(F195,DATAS!$A$221:$B$250,2,FALSE),"&amp;lat=-22.204247","&amp;data_ini=",TEXT(IF(E195&lt;&gt;"",IF(COUNTIF($F$2:$F195,F195)&gt;1,MAX(IF($F$1:$F194=F195,$E$1:$E194)),""),""),"DD/MM/AAAA"),"&amp;data_fim=",TEXT(E195,"DD/MM/AAAA"),"&amp;hora_inicial=",HOUR(IF(E195&lt;&gt;"",IF(COUNTIF($F$2:$F195,F195)&gt;1,MAX(IF($F$1:$F194=F195,$E$1:$E194)),""),"")),"&amp;minuto_inicial=",MINUTE(IF(E195&lt;&gt;"",IF(COUNTIF($F$2:$F195,F195)&gt;1,MAX(IF($F$1:$F194=F195,$E$1:$E194)),""),"")),"&amp;hora_final=",HOUR(E195),"&amp;minuto_final=",MINUTE(E195),"&amp;periodo=6&amp;tipo=por_data&amp;upos=false&amp;outequip=0")),"")</f>
        <v>https://btx.brasiltrack.com/logistica/trajeto.php?idveiculo=B05A8E44-5DA1-4128-83F0-8DDE6CB8291B&amp;lat=-22.204247&amp;data_ini=26/11/2022&amp;data_fim=29/11/2022&amp;hora_inicial=17&amp;minuto_inicial=0&amp;hora_final=15&amp;minuto_final=0&amp;periodo=6&amp;tipo=por_data&amp;upos=false&amp;outequip=0</v>
      </c>
      <c r="AN195" s="100" t="str">
        <f t="shared" ref="AN195:AN258" si="23">CONCATENATE(U195," ",V195," ",W195," ",X195," ",Y195," ",Z195," ",AA195," ",AB195," ",AC195," ",AD195," ",AE195," ",AF195," ",AG195," ",AH195," ",AI195," ",AJ195)</f>
        <v xml:space="preserve">               </v>
      </c>
    </row>
    <row r="196" spans="1:40" x14ac:dyDescent="0.25">
      <c r="A196" s="81"/>
      <c r="B196" s="81"/>
      <c r="C196" s="81"/>
      <c r="D196" s="144">
        <v>44866</v>
      </c>
      <c r="E196" s="76">
        <v>44894.736111111109</v>
      </c>
      <c r="F196" s="6" t="s">
        <v>25</v>
      </c>
      <c r="G196" s="5" t="str">
        <f>IFERROR(VLOOKUP(SUMIFS(MSOLICITADA!$I:$I,MSOLICITADA!$B:$B,D196,MSOLICITADA!$F:$F,F196),CODIGOSPLACAS!$A$64:$B$89,2,FALSE),"")</f>
        <v>EDUALDO</v>
      </c>
      <c r="H196" s="77">
        <v>1005534</v>
      </c>
      <c r="I196" s="77">
        <v>1005756</v>
      </c>
      <c r="J196" s="7">
        <v>224.9</v>
      </c>
      <c r="K196" s="78">
        <v>1385.37</v>
      </c>
      <c r="L196" s="79" t="s">
        <v>112</v>
      </c>
      <c r="M196" s="6"/>
      <c r="N196" s="5">
        <f t="shared" si="19"/>
        <v>222</v>
      </c>
      <c r="O196" s="80">
        <f t="shared" si="20"/>
        <v>6.1599377501111601</v>
      </c>
      <c r="P196" s="8">
        <f t="shared" si="21"/>
        <v>0.98710538016896399</v>
      </c>
      <c r="Q196" s="8">
        <f t="shared" si="18"/>
        <v>1.3451195863175471</v>
      </c>
      <c r="R196" s="81">
        <f t="shared" si="22"/>
        <v>0</v>
      </c>
      <c r="S196" s="113" t="str">
        <f>IF(F196="","",IF(H196="",TEXT(_xlfn.MAXIFS($I$1:I196,$F$1:F196,F196,$H$1:H196,"&gt;"&amp;0),"000.000"),F196))</f>
        <v>QHE9735</v>
      </c>
      <c r="T196" s="81"/>
      <c r="U196" s="82"/>
      <c r="V196" s="98"/>
      <c r="W196" s="82"/>
      <c r="X196" s="98"/>
      <c r="Y196" s="82"/>
      <c r="Z196" s="98"/>
      <c r="AA196" s="82"/>
      <c r="AB196" s="98"/>
      <c r="AC196" s="82"/>
      <c r="AD196" s="98"/>
      <c r="AE196" s="117"/>
      <c r="AF196" s="98"/>
      <c r="AG196" s="98"/>
      <c r="AH196" s="98"/>
      <c r="AI196" s="82"/>
      <c r="AJ196" s="98"/>
      <c r="AK196" s="83"/>
      <c r="AL196" s="84" t="str">
        <f>IF(F196&lt;&gt;0,IF(_xlfn.MAXIFS($I$1:I196,$F$1:F196,F196,$H$1:H196,"&gt;"&amp;0)=0,"KM NÃO ENCONTRADO",IF(H196=0,CONCATENATE("SUGESTÃO DE KM PARA PLACA ",F196," *",_xlfn.MAXIFS($I$1:I196,$F$1:F196,F196,$H$1:H196,"&gt;"&amp;0),"*"),"")),"")</f>
        <v/>
      </c>
      <c r="AM196" s="85" t="str" cm="1">
        <f t="array" ref="AM196">IFERROR(IF(M196&lt;&gt;"","",CONCATENATE("https://btx.brasiltrack.com/logistica/trajeto.php?idveiculo=",VLOOKUP(F196,DATAS!$A$221:$B$250,2,FALSE),"&amp;lat=-22.204247","&amp;data_ini=",TEXT(IF(E196&lt;&gt;"",IF(COUNTIF($F$2:$F196,F196)&gt;1,MAX(IF($F$1:$F195=F196,$E$1:$E195)),""),""),"DD/MM/AAAA"),"&amp;data_fim=",TEXT(E196,"DD/MM/AAAA"),"&amp;hora_inicial=",HOUR(IF(E196&lt;&gt;"",IF(COUNTIF($F$2:$F196,F196)&gt;1,MAX(IF($F$1:$F195=F196,$E$1:$E195)),""),"")),"&amp;minuto_inicial=",MINUTE(IF(E196&lt;&gt;"",IF(COUNTIF($F$2:$F196,F196)&gt;1,MAX(IF($F$1:$F195=F196,$E$1:$E195)),""),"")),"&amp;hora_final=",HOUR(E196),"&amp;minuto_final=",MINUTE(E196),"&amp;periodo=6&amp;tipo=por_data&amp;upos=false&amp;outequip=0")),"")</f>
        <v>https://btx.brasiltrack.com/logistica/trajeto.php?idveiculo=0FD3629E-8FA4-4575-81E5-E460A4EFD545&amp;lat=-22.204247&amp;data_ini=27/11/2022&amp;data_fim=29/11/2022&amp;hora_inicial=7&amp;minuto_inicial=0&amp;hora_final=17&amp;minuto_final=40&amp;periodo=6&amp;tipo=por_data&amp;upos=false&amp;outequip=0</v>
      </c>
      <c r="AN196" s="100" t="str">
        <f t="shared" si="23"/>
        <v xml:space="preserve">               </v>
      </c>
    </row>
    <row r="197" spans="1:40" x14ac:dyDescent="0.25">
      <c r="A197" s="81"/>
      <c r="B197" s="81"/>
      <c r="C197" s="81"/>
      <c r="D197" s="144">
        <v>44866</v>
      </c>
      <c r="E197" s="76">
        <v>44894.762499999997</v>
      </c>
      <c r="F197" s="6" t="s">
        <v>131</v>
      </c>
      <c r="G197" s="5" t="str">
        <f>IFERROR(VLOOKUP(SUMIFS(MSOLICITADA!$I:$I,MSOLICITADA!$B:$B,D197,MSOLICITADA!$F:$F,F197),CODIGOSPLACAS!$A$64:$B$89,2,FALSE),"")</f>
        <v>ALTIELIS</v>
      </c>
      <c r="H197" s="77">
        <v>38483</v>
      </c>
      <c r="I197" s="77">
        <v>39296</v>
      </c>
      <c r="J197" s="7">
        <v>475.49</v>
      </c>
      <c r="K197" s="78">
        <v>3038.38</v>
      </c>
      <c r="L197" s="79" t="s">
        <v>111</v>
      </c>
      <c r="M197" s="6"/>
      <c r="N197" s="5">
        <f t="shared" si="19"/>
        <v>813</v>
      </c>
      <c r="O197" s="80">
        <f t="shared" si="20"/>
        <v>6.3899976865969839</v>
      </c>
      <c r="P197" s="8">
        <f t="shared" si="21"/>
        <v>1.7098151380680982</v>
      </c>
      <c r="Q197" s="8">
        <f t="shared" si="18"/>
        <v>1.4985018243623649</v>
      </c>
      <c r="R197" s="81">
        <f t="shared" si="22"/>
        <v>0</v>
      </c>
      <c r="S197" s="113" t="str">
        <f>IF(F197="","",IF(H197="",TEXT(_xlfn.MAXIFS($I$1:I197,$F$1:F197,F197,$H$1:H197,"&gt;"&amp;0),"000.000"),F197))</f>
        <v>GGN4J86</v>
      </c>
      <c r="T197" s="81"/>
      <c r="U197" s="82"/>
      <c r="V197" s="98"/>
      <c r="W197" s="82"/>
      <c r="X197" s="98"/>
      <c r="Y197" s="82"/>
      <c r="Z197" s="98"/>
      <c r="AA197" s="82"/>
      <c r="AB197" s="98"/>
      <c r="AC197" s="82"/>
      <c r="AD197" s="98"/>
      <c r="AE197" s="117"/>
      <c r="AF197" s="98"/>
      <c r="AG197" s="98"/>
      <c r="AH197" s="98"/>
      <c r="AI197" s="82"/>
      <c r="AJ197" s="98"/>
      <c r="AK197" s="83"/>
      <c r="AL197" s="84" t="str">
        <f>IF(F197&lt;&gt;0,IF(_xlfn.MAXIFS($I$1:I197,$F$1:F197,F197,$H$1:H197,"&gt;"&amp;0)=0,"KM NÃO ENCONTRADO",IF(H197=0,CONCATENATE("SUGESTÃO DE KM PARA PLACA ",F197," *",_xlfn.MAXIFS($I$1:I197,$F$1:F197,F197,$H$1:H197,"&gt;"&amp;0),"*"),"")),"")</f>
        <v/>
      </c>
      <c r="AM197" s="85" t="str" cm="1">
        <f t="array" ref="AM197">IFERROR(IF(M197&lt;&gt;"","",CONCATENATE("https://btx.brasiltrack.com/logistica/trajeto.php?idveiculo=",VLOOKUP(F197,DATAS!$A$221:$B$250,2,FALSE),"&amp;lat=-22.204247","&amp;data_ini=",TEXT(IF(E197&lt;&gt;"",IF(COUNTIF($F$2:$F197,F197)&gt;1,MAX(IF($F$1:$F196=F197,$E$1:$E196)),""),""),"DD/MM/AAAA"),"&amp;data_fim=",TEXT(E197,"DD/MM/AAAA"),"&amp;hora_inicial=",HOUR(IF(E197&lt;&gt;"",IF(COUNTIF($F$2:$F197,F197)&gt;1,MAX(IF($F$1:$F196=F197,$E$1:$E196)),""),"")),"&amp;minuto_inicial=",MINUTE(IF(E197&lt;&gt;"",IF(COUNTIF($F$2:$F197,F197)&gt;1,MAX(IF($F$1:$F196=F197,$E$1:$E196)),""),"")),"&amp;hora_final=",HOUR(E197),"&amp;minuto_final=",MINUTE(E197),"&amp;periodo=6&amp;tipo=por_data&amp;upos=false&amp;outequip=0")),"")</f>
        <v>https://btx.brasiltrack.com/logistica/trajeto.php?idveiculo=0C13AEC3-426E-4E1A-A62E-C4BA625F41E7&amp;lat=-22.204247&amp;data_ini=27/11/2022&amp;data_fim=29/11/2022&amp;hora_inicial=5&amp;minuto_inicial=53&amp;hora_final=18&amp;minuto_final=18&amp;periodo=6&amp;tipo=por_data&amp;upos=false&amp;outequip=0</v>
      </c>
      <c r="AN197" s="100" t="str">
        <f t="shared" si="23"/>
        <v xml:space="preserve">               </v>
      </c>
    </row>
    <row r="198" spans="1:40" x14ac:dyDescent="0.25">
      <c r="A198" s="81"/>
      <c r="B198" s="81"/>
      <c r="C198" s="81"/>
      <c r="D198" s="144">
        <v>44866</v>
      </c>
      <c r="E198" s="76">
        <v>44894.765277777777</v>
      </c>
      <c r="F198" s="6" t="s">
        <v>128</v>
      </c>
      <c r="G198" s="5" t="str">
        <f>IFERROR(VLOOKUP(SUMIFS(MSOLICITADA!$I:$I,MSOLICITADA!$B:$B,D198,MSOLICITADA!$F:$F,F198),CODIGOSPLACAS!$A$64:$B$89,2,FALSE),"")</f>
        <v>ELI RICARDO</v>
      </c>
      <c r="H198" s="77">
        <v>84641</v>
      </c>
      <c r="I198" s="77">
        <v>85455</v>
      </c>
      <c r="J198" s="7">
        <v>518.06100000000004</v>
      </c>
      <c r="K198" s="78">
        <v>3310.4</v>
      </c>
      <c r="L198" s="79" t="s">
        <v>111</v>
      </c>
      <c r="M198" s="6"/>
      <c r="N198" s="5">
        <f t="shared" si="19"/>
        <v>814</v>
      </c>
      <c r="O198" s="80">
        <f t="shared" si="20"/>
        <v>6.3899811026114683</v>
      </c>
      <c r="P198" s="8">
        <f t="shared" si="21"/>
        <v>1.5712435408185521</v>
      </c>
      <c r="Q198" s="8">
        <f t="shared" si="18"/>
        <v>1.6394783012697074</v>
      </c>
      <c r="R198" s="81">
        <f t="shared" si="22"/>
        <v>0</v>
      </c>
      <c r="S198" s="113" t="str">
        <f>IF(F198="","",IF(H198="",TEXT(_xlfn.MAXIFS($I$1:I198,$F$1:F198,F198,$H$1:H198,"&gt;"&amp;0),"000.000"),F198))</f>
        <v>GFR0D47</v>
      </c>
      <c r="T198" s="81"/>
      <c r="U198" s="82"/>
      <c r="V198" s="98"/>
      <c r="W198" s="82"/>
      <c r="X198" s="98"/>
      <c r="Y198" s="82"/>
      <c r="Z198" s="98"/>
      <c r="AA198" s="82"/>
      <c r="AB198" s="98"/>
      <c r="AC198" s="82"/>
      <c r="AD198" s="98"/>
      <c r="AE198" s="117"/>
      <c r="AF198" s="98"/>
      <c r="AG198" s="98"/>
      <c r="AH198" s="98"/>
      <c r="AI198" s="82"/>
      <c r="AJ198" s="98"/>
      <c r="AK198" s="83"/>
      <c r="AL198" s="84" t="str">
        <f>IF(F198&lt;&gt;0,IF(_xlfn.MAXIFS($I$1:I198,$F$1:F198,F198,$H$1:H198,"&gt;"&amp;0)=0,"KM NÃO ENCONTRADO",IF(H198=0,CONCATENATE("SUGESTÃO DE KM PARA PLACA ",F198," *",_xlfn.MAXIFS($I$1:I198,$F$1:F198,F198,$H$1:H198,"&gt;"&amp;0),"*"),"")),"")</f>
        <v/>
      </c>
      <c r="AM198" s="85" t="str" cm="1">
        <f t="array" ref="AM198">IFERROR(IF(M198&lt;&gt;"","",CONCATENATE("https://btx.brasiltrack.com/logistica/trajeto.php?idveiculo=",VLOOKUP(F198,DATAS!$A$221:$B$250,2,FALSE),"&amp;lat=-22.204247","&amp;data_ini=",TEXT(IF(E198&lt;&gt;"",IF(COUNTIF($F$2:$F198,F198)&gt;1,MAX(IF($F$1:$F197=F198,$E$1:$E197)),""),""),"DD/MM/AAAA"),"&amp;data_fim=",TEXT(E198,"DD/MM/AAAA"),"&amp;hora_inicial=",HOUR(IF(E198&lt;&gt;"",IF(COUNTIF($F$2:$F198,F198)&gt;1,MAX(IF($F$1:$F197=F198,$E$1:$E197)),""),"")),"&amp;minuto_inicial=",MINUTE(IF(E198&lt;&gt;"",IF(COUNTIF($F$2:$F198,F198)&gt;1,MAX(IF($F$1:$F197=F198,$E$1:$E197)),""),"")),"&amp;hora_final=",HOUR(E198),"&amp;minuto_final=",MINUTE(E198),"&amp;periodo=6&amp;tipo=por_data&amp;upos=false&amp;outequip=0")),"")</f>
        <v>https://btx.brasiltrack.com/logistica/trajeto.php?idveiculo=D171D77B-7EEE-4B8A-AB93-163C02819566&amp;lat=-22.204247&amp;data_ini=25/11/2022&amp;data_fim=29/11/2022&amp;hora_inicial=18&amp;minuto_inicial=30&amp;hora_final=18&amp;minuto_final=22&amp;periodo=6&amp;tipo=por_data&amp;upos=false&amp;outequip=0</v>
      </c>
      <c r="AN198" s="100" t="str">
        <f t="shared" si="23"/>
        <v xml:space="preserve">               </v>
      </c>
    </row>
    <row r="199" spans="1:40" x14ac:dyDescent="0.25">
      <c r="A199" s="81"/>
      <c r="B199" s="81"/>
      <c r="C199" s="81"/>
      <c r="D199" s="144">
        <v>44866</v>
      </c>
      <c r="E199" s="76">
        <v>44894.768055555556</v>
      </c>
      <c r="F199" s="6" t="s">
        <v>29</v>
      </c>
      <c r="G199" s="5" t="str">
        <f>IFERROR(VLOOKUP(SUMIFS(MSOLICITADA!$I:$I,MSOLICITADA!$B:$B,D199,MSOLICITADA!$F:$F,F199),CODIGOSPLACAS!$A$64:$B$89,2,FALSE),"")</f>
        <v>EDNILSON</v>
      </c>
      <c r="H199" s="77">
        <v>229657</v>
      </c>
      <c r="I199" s="77">
        <v>230436</v>
      </c>
      <c r="J199" s="7">
        <v>471.04</v>
      </c>
      <c r="K199" s="78">
        <v>3009.95</v>
      </c>
      <c r="L199" s="79" t="s">
        <v>111</v>
      </c>
      <c r="M199" s="6"/>
      <c r="N199" s="5">
        <f t="shared" si="19"/>
        <v>779</v>
      </c>
      <c r="O199" s="80">
        <f t="shared" si="20"/>
        <v>6.3900093410326084</v>
      </c>
      <c r="P199" s="8">
        <f t="shared" si="21"/>
        <v>1.6537873641304348</v>
      </c>
      <c r="Q199" s="8">
        <f t="shared" si="18"/>
        <v>1.5506852118293495</v>
      </c>
      <c r="R199" s="81">
        <f t="shared" si="22"/>
        <v>0</v>
      </c>
      <c r="S199" s="113" t="str">
        <f>IF(F199="","",IF(H199="",TEXT(_xlfn.MAXIFS($I$1:I199,$F$1:F199,F199,$H$1:H199,"&gt;"&amp;0),"000.000"),F199))</f>
        <v>GKA2J56</v>
      </c>
      <c r="T199" s="81"/>
      <c r="U199" s="82"/>
      <c r="V199" s="98"/>
      <c r="W199" s="82"/>
      <c r="X199" s="98"/>
      <c r="Y199" s="82"/>
      <c r="Z199" s="98"/>
      <c r="AA199" s="82"/>
      <c r="AB199" s="98"/>
      <c r="AC199" s="82"/>
      <c r="AD199" s="98"/>
      <c r="AE199" s="117"/>
      <c r="AF199" s="98"/>
      <c r="AG199" s="98"/>
      <c r="AH199" s="98"/>
      <c r="AI199" s="82"/>
      <c r="AJ199" s="98"/>
      <c r="AK199" s="83"/>
      <c r="AL199" s="84" t="str">
        <f>IF(F199&lt;&gt;0,IF(_xlfn.MAXIFS($I$1:I199,$F$1:F199,F199,$H$1:H199,"&gt;"&amp;0)=0,"KM NÃO ENCONTRADO",IF(H199=0,CONCATENATE("SUGESTÃO DE KM PARA PLACA ",F199," *",_xlfn.MAXIFS($I$1:I199,$F$1:F199,F199,$H$1:H199,"&gt;"&amp;0),"*"),"")),"")</f>
        <v/>
      </c>
      <c r="AM199" s="85" t="str" cm="1">
        <f t="array" ref="AM199">IFERROR(IF(M199&lt;&gt;"","",CONCATENATE("https://btx.brasiltrack.com/logistica/trajeto.php?idveiculo=",VLOOKUP(F199,DATAS!$A$221:$B$250,2,FALSE),"&amp;lat=-22.204247","&amp;data_ini=",TEXT(IF(E199&lt;&gt;"",IF(COUNTIF($F$2:$F199,F199)&gt;1,MAX(IF($F$1:$F198=F199,$E$1:$E198)),""),""),"DD/MM/AAAA"),"&amp;data_fim=",TEXT(E199,"DD/MM/AAAA"),"&amp;hora_inicial=",HOUR(IF(E199&lt;&gt;"",IF(COUNTIF($F$2:$F199,F199)&gt;1,MAX(IF($F$1:$F198=F199,$E$1:$E198)),""),"")),"&amp;minuto_inicial=",MINUTE(IF(E199&lt;&gt;"",IF(COUNTIF($F$2:$F199,F199)&gt;1,MAX(IF($F$1:$F198=F199,$E$1:$E198)),""),"")),"&amp;hora_final=",HOUR(E199),"&amp;minuto_final=",MINUTE(E199),"&amp;periodo=6&amp;tipo=por_data&amp;upos=false&amp;outequip=0")),"")</f>
        <v>https://btx.brasiltrack.com/logistica/trajeto.php?idveiculo=75A3D88C-4B99-481A-ACC8-34008151E92D&amp;lat=-22.204247&amp;data_ini=27/11/2022&amp;data_fim=29/11/2022&amp;hora_inicial=12&amp;minuto_inicial=7&amp;hora_final=18&amp;minuto_final=26&amp;periodo=6&amp;tipo=por_data&amp;upos=false&amp;outequip=0</v>
      </c>
      <c r="AN199" s="100" t="str">
        <f t="shared" si="23"/>
        <v xml:space="preserve">               </v>
      </c>
    </row>
    <row r="200" spans="1:40" x14ac:dyDescent="0.25">
      <c r="A200" s="81"/>
      <c r="B200" s="81"/>
      <c r="C200" s="81"/>
      <c r="D200" s="144">
        <v>44866</v>
      </c>
      <c r="E200" s="76">
        <v>44894.769444444442</v>
      </c>
      <c r="F200" s="6" t="s">
        <v>24</v>
      </c>
      <c r="G200" s="5" t="str">
        <f>IFERROR(VLOOKUP(SUMIFS(MSOLICITADA!$I:$I,MSOLICITADA!$B:$B,D200,MSOLICITADA!$F:$F,F200),CODIGOSPLACAS!$A$64:$B$89,2,FALSE),"")</f>
        <v>PAULO HENR.</v>
      </c>
      <c r="H200" s="77">
        <v>942242</v>
      </c>
      <c r="I200" s="77">
        <v>942956</v>
      </c>
      <c r="J200" s="7">
        <v>523</v>
      </c>
      <c r="K200" s="78">
        <v>3341.97</v>
      </c>
      <c r="L200" s="79" t="s">
        <v>111</v>
      </c>
      <c r="M200" s="6"/>
      <c r="N200" s="5">
        <f t="shared" si="19"/>
        <v>714</v>
      </c>
      <c r="O200" s="80">
        <f t="shared" si="20"/>
        <v>6.39</v>
      </c>
      <c r="P200" s="8">
        <f t="shared" si="21"/>
        <v>1.3652007648183557</v>
      </c>
      <c r="Q200" s="8">
        <f t="shared" si="18"/>
        <v>1.4770603223392504</v>
      </c>
      <c r="R200" s="81">
        <f t="shared" si="22"/>
        <v>0</v>
      </c>
      <c r="S200" s="113" t="str">
        <f>IF(F200="","",IF(H200="",TEXT(_xlfn.MAXIFS($I$1:I200,$F$1:F200,F200,$H$1:H200,"&gt;"&amp;0),"000.000"),F200))</f>
        <v>FKS0J24</v>
      </c>
      <c r="T200" s="81"/>
      <c r="U200" s="82"/>
      <c r="V200" s="98"/>
      <c r="W200" s="82"/>
      <c r="X200" s="98"/>
      <c r="Y200" s="82"/>
      <c r="Z200" s="98"/>
      <c r="AA200" s="82"/>
      <c r="AB200" s="98"/>
      <c r="AC200" s="82"/>
      <c r="AD200" s="98"/>
      <c r="AE200" s="117"/>
      <c r="AF200" s="98"/>
      <c r="AG200" s="98"/>
      <c r="AH200" s="98"/>
      <c r="AI200" s="82"/>
      <c r="AJ200" s="98"/>
      <c r="AK200" s="83"/>
      <c r="AL200" s="84" t="str">
        <f>IF(F200&lt;&gt;0,IF(_xlfn.MAXIFS($I$1:I200,$F$1:F200,F200,$H$1:H200,"&gt;"&amp;0)=0,"KM NÃO ENCONTRADO",IF(H200=0,CONCATENATE("SUGESTÃO DE KM PARA PLACA ",F200," *",_xlfn.MAXIFS($I$1:I200,$F$1:F200,F200,$H$1:H200,"&gt;"&amp;0),"*"),"")),"")</f>
        <v/>
      </c>
      <c r="AM200" s="85" t="str" cm="1">
        <f t="array" ref="AM200">IFERROR(IF(M200&lt;&gt;"","",CONCATENATE("https://btx.brasiltrack.com/logistica/trajeto.php?idveiculo=",VLOOKUP(F200,DATAS!$A$221:$B$250,2,FALSE),"&amp;lat=-22.204247","&amp;data_ini=",TEXT(IF(E200&lt;&gt;"",IF(COUNTIF($F$2:$F200,F200)&gt;1,MAX(IF($F$1:$F199=F200,$E$1:$E199)),""),""),"DD/MM/AAAA"),"&amp;data_fim=",TEXT(E200,"DD/MM/AAAA"),"&amp;hora_inicial=",HOUR(IF(E200&lt;&gt;"",IF(COUNTIF($F$2:$F200,F200)&gt;1,MAX(IF($F$1:$F199=F200,$E$1:$E199)),""),"")),"&amp;minuto_inicial=",MINUTE(IF(E200&lt;&gt;"",IF(COUNTIF($F$2:$F200,F200)&gt;1,MAX(IF($F$1:$F199=F200,$E$1:$E199)),""),"")),"&amp;hora_final=",HOUR(E200),"&amp;minuto_final=",MINUTE(E200),"&amp;periodo=6&amp;tipo=por_data&amp;upos=false&amp;outequip=0")),"")</f>
        <v>https://btx.brasiltrack.com/logistica/trajeto.php?idveiculo=F4FE5996-DC74-4D0B-AEF1-D6ADE020157C&amp;lat=-22.204247&amp;data_ini=26/11/2022&amp;data_fim=29/11/2022&amp;hora_inicial=9&amp;minuto_inicial=58&amp;hora_final=18&amp;minuto_final=28&amp;periodo=6&amp;tipo=por_data&amp;upos=false&amp;outequip=0</v>
      </c>
      <c r="AN200" s="100" t="str">
        <f t="shared" si="23"/>
        <v xml:space="preserve">               </v>
      </c>
    </row>
    <row r="201" spans="1:40" x14ac:dyDescent="0.25">
      <c r="A201" s="81"/>
      <c r="B201" s="81"/>
      <c r="C201" s="81"/>
      <c r="D201" s="144">
        <v>44866</v>
      </c>
      <c r="E201" s="76">
        <v>44894.788194444445</v>
      </c>
      <c r="F201" s="6" t="s">
        <v>33</v>
      </c>
      <c r="G201" s="5" t="str">
        <f>IFERROR(VLOOKUP(SUMIFS(MSOLICITADA!$I:$I,MSOLICITADA!$B:$B,D201,MSOLICITADA!$F:$F,F201),CODIGOSPLACAS!$A$64:$B$89,2,FALSE),"")</f>
        <v>JULIO</v>
      </c>
      <c r="H201" s="77">
        <v>159205</v>
      </c>
      <c r="I201" s="77">
        <v>159808</v>
      </c>
      <c r="J201" s="7">
        <v>250.1</v>
      </c>
      <c r="K201" s="78">
        <v>1540.6</v>
      </c>
      <c r="L201" s="79" t="s">
        <v>112</v>
      </c>
      <c r="M201" s="6"/>
      <c r="N201" s="5">
        <f t="shared" si="19"/>
        <v>603</v>
      </c>
      <c r="O201" s="80">
        <f t="shared" si="20"/>
        <v>6.1599360255897642</v>
      </c>
      <c r="P201" s="8">
        <f t="shared" si="21"/>
        <v>2.4110355857656938</v>
      </c>
      <c r="Q201" s="8">
        <f t="shared" si="18"/>
        <v>1.7415645068481733</v>
      </c>
      <c r="R201" s="81">
        <f t="shared" si="22"/>
        <v>0</v>
      </c>
      <c r="S201" s="113" t="str">
        <f>IF(F201="","",IF(H201="",TEXT(_xlfn.MAXIFS($I$1:I201,$F$1:F201,F201,$H$1:H201,"&gt;"&amp;0),"000.000"),F201))</f>
        <v>GGF7G26</v>
      </c>
      <c r="T201" s="81"/>
      <c r="U201" s="82"/>
      <c r="V201" s="98"/>
      <c r="W201" s="82"/>
      <c r="X201" s="98"/>
      <c r="Y201" s="82"/>
      <c r="Z201" s="98"/>
      <c r="AA201" s="82"/>
      <c r="AB201" s="98"/>
      <c r="AC201" s="82"/>
      <c r="AD201" s="98"/>
      <c r="AE201" s="117"/>
      <c r="AF201" s="98"/>
      <c r="AG201" s="98"/>
      <c r="AH201" s="98"/>
      <c r="AI201" s="82"/>
      <c r="AJ201" s="98"/>
      <c r="AK201" s="83"/>
      <c r="AL201" s="84" t="str">
        <f>IF(F201&lt;&gt;0,IF(_xlfn.MAXIFS($I$1:I201,$F$1:F201,F201,$H$1:H201,"&gt;"&amp;0)=0,"KM NÃO ENCONTRADO",IF(H201=0,CONCATENATE("SUGESTÃO DE KM PARA PLACA ",F201," *",_xlfn.MAXIFS($I$1:I201,$F$1:F201,F201,$H$1:H201,"&gt;"&amp;0),"*"),"")),"")</f>
        <v/>
      </c>
      <c r="AM201" s="85" t="str" cm="1">
        <f t="array" ref="AM201">IFERROR(IF(M201&lt;&gt;"","",CONCATENATE("https://btx.brasiltrack.com/logistica/trajeto.php?idveiculo=",VLOOKUP(F201,DATAS!$A$221:$B$250,2,FALSE),"&amp;lat=-22.204247","&amp;data_ini=",TEXT(IF(E201&lt;&gt;"",IF(COUNTIF($F$2:$F201,F201)&gt;1,MAX(IF($F$1:$F200=F201,$E$1:$E200)),""),""),"DD/MM/AAAA"),"&amp;data_fim=",TEXT(E201,"DD/MM/AAAA"),"&amp;hora_inicial=",HOUR(IF(E201&lt;&gt;"",IF(COUNTIF($F$2:$F201,F201)&gt;1,MAX(IF($F$1:$F200=F201,$E$1:$E200)),""),"")),"&amp;minuto_inicial=",MINUTE(IF(E201&lt;&gt;"",IF(COUNTIF($F$2:$F201,F201)&gt;1,MAX(IF($F$1:$F200=F201,$E$1:$E200)),""),"")),"&amp;hora_final=",HOUR(E201),"&amp;minuto_final=",MINUTE(E201),"&amp;periodo=6&amp;tipo=por_data&amp;upos=false&amp;outequip=0")),"")</f>
        <v>https://btx.brasiltrack.com/logistica/trajeto.php?idveiculo=4F0C2317-958D-4267-BAF8-BC4F7B6B12A1&amp;lat=-22.204247&amp;data_ini=26/11/2022&amp;data_fim=29/11/2022&amp;hora_inicial=0&amp;minuto_inicial=44&amp;hora_final=18&amp;minuto_final=55&amp;periodo=6&amp;tipo=por_data&amp;upos=false&amp;outequip=0</v>
      </c>
      <c r="AN201" s="100" t="str">
        <f t="shared" si="23"/>
        <v xml:space="preserve">               </v>
      </c>
    </row>
    <row r="202" spans="1:40" x14ac:dyDescent="0.25">
      <c r="A202" s="81"/>
      <c r="B202" s="81"/>
      <c r="C202" s="81"/>
      <c r="D202" s="144">
        <v>44866</v>
      </c>
      <c r="E202" s="76">
        <v>44894.793749999997</v>
      </c>
      <c r="F202" s="6" t="s">
        <v>26</v>
      </c>
      <c r="G202" s="5" t="str">
        <f>IFERROR(VLOOKUP(SUMIFS(MSOLICITADA!$I:$I,MSOLICITADA!$B:$B,D202,MSOLICITADA!$F:$F,F202),CODIGOSPLACAS!$A$64:$B$89,2,FALSE),"")</f>
        <v>DIEGO</v>
      </c>
      <c r="H202" s="77">
        <v>394655</v>
      </c>
      <c r="I202" s="77">
        <v>395380</v>
      </c>
      <c r="J202" s="7">
        <v>565.00099999999998</v>
      </c>
      <c r="K202" s="78">
        <v>3610.35</v>
      </c>
      <c r="L202" s="79" t="s">
        <v>111</v>
      </c>
      <c r="M202" s="6"/>
      <c r="N202" s="5">
        <f t="shared" si="19"/>
        <v>725</v>
      </c>
      <c r="O202" s="80">
        <f t="shared" si="20"/>
        <v>6.3899886902855041</v>
      </c>
      <c r="P202" s="8">
        <f t="shared" si="21"/>
        <v>1.2831835695866025</v>
      </c>
      <c r="Q202" s="8">
        <f t="shared" si="18"/>
        <v>1.4215213058096179</v>
      </c>
      <c r="R202" s="81">
        <f t="shared" si="22"/>
        <v>0</v>
      </c>
      <c r="S202" s="113" t="str">
        <f>IF(F202="","",IF(H202="",TEXT(_xlfn.MAXIFS($I$1:I202,$F$1:F202,F202,$H$1:H202,"&gt;"&amp;0),"000.000"),F202))</f>
        <v>BZA3587</v>
      </c>
      <c r="T202" s="81"/>
      <c r="U202" s="82"/>
      <c r="V202" s="98"/>
      <c r="W202" s="82"/>
      <c r="X202" s="98"/>
      <c r="Y202" s="82"/>
      <c r="Z202" s="98"/>
      <c r="AA202" s="82"/>
      <c r="AB202" s="98"/>
      <c r="AC202" s="82"/>
      <c r="AD202" s="98"/>
      <c r="AE202" s="117"/>
      <c r="AF202" s="98"/>
      <c r="AG202" s="98"/>
      <c r="AH202" s="98"/>
      <c r="AI202" s="82"/>
      <c r="AJ202" s="98"/>
      <c r="AK202" s="83"/>
      <c r="AL202" s="84" t="str">
        <f>IF(F202&lt;&gt;0,IF(_xlfn.MAXIFS($I$1:I202,$F$1:F202,F202,$H$1:H202,"&gt;"&amp;0)=0,"KM NÃO ENCONTRADO",IF(H202=0,CONCATENATE("SUGESTÃO DE KM PARA PLACA ",F202," *",_xlfn.MAXIFS($I$1:I202,$F$1:F202,F202,$H$1:H202,"&gt;"&amp;0),"*"),"")),"")</f>
        <v/>
      </c>
      <c r="AM202" s="85" t="str" cm="1">
        <f t="array" ref="AM202">IFERROR(IF(M202&lt;&gt;"","",CONCATENATE("https://btx.brasiltrack.com/logistica/trajeto.php?idveiculo=",VLOOKUP(F202,DATAS!$A$221:$B$250,2,FALSE),"&amp;lat=-22.204247","&amp;data_ini=",TEXT(IF(E202&lt;&gt;"",IF(COUNTIF($F$2:$F202,F202)&gt;1,MAX(IF($F$1:$F201=F202,$E$1:$E201)),""),""),"DD/MM/AAAA"),"&amp;data_fim=",TEXT(E202,"DD/MM/AAAA"),"&amp;hora_inicial=",HOUR(IF(E202&lt;&gt;"",IF(COUNTIF($F$2:$F202,F202)&gt;1,MAX(IF($F$1:$F201=F202,$E$1:$E201)),""),"")),"&amp;minuto_inicial=",MINUTE(IF(E202&lt;&gt;"",IF(COUNTIF($F$2:$F202,F202)&gt;1,MAX(IF($F$1:$F201=F202,$E$1:$E201)),""),"")),"&amp;hora_final=",HOUR(E202),"&amp;minuto_final=",MINUTE(E202),"&amp;periodo=6&amp;tipo=por_data&amp;upos=false&amp;outequip=0")),"")</f>
        <v>https://btx.brasiltrack.com/logistica/trajeto.php?idveiculo=6CC0A70E-9379-4BF7-9063-21D318A103FE&amp;lat=-22.204247&amp;data_ini=26/11/2022&amp;data_fim=29/11/2022&amp;hora_inicial=7&amp;minuto_inicial=6&amp;hora_final=19&amp;minuto_final=3&amp;periodo=6&amp;tipo=por_data&amp;upos=false&amp;outequip=0</v>
      </c>
      <c r="AN202" s="100" t="str">
        <f t="shared" si="23"/>
        <v xml:space="preserve">               </v>
      </c>
    </row>
    <row r="203" spans="1:40" x14ac:dyDescent="0.25">
      <c r="A203" s="81"/>
      <c r="B203" s="81"/>
      <c r="C203" s="81"/>
      <c r="D203" s="144">
        <v>44866</v>
      </c>
      <c r="E203" s="76">
        <v>44894.854861111111</v>
      </c>
      <c r="F203" s="6" t="s">
        <v>126</v>
      </c>
      <c r="G203" s="5" t="str">
        <f>IFERROR(VLOOKUP(SUMIFS(MSOLICITADA!$I:$I,MSOLICITADA!$B:$B,D203,MSOLICITADA!$F:$F,F203),CODIGOSPLACAS!$A$64:$B$89,2,FALSE),"")</f>
        <v>IZAIAS</v>
      </c>
      <c r="H203" s="77">
        <v>482139</v>
      </c>
      <c r="I203" s="77">
        <v>482968</v>
      </c>
      <c r="J203" s="7">
        <v>483.02</v>
      </c>
      <c r="K203" s="78">
        <v>3086.5</v>
      </c>
      <c r="L203" s="79" t="s">
        <v>111</v>
      </c>
      <c r="M203" s="6"/>
      <c r="N203" s="5">
        <f t="shared" si="19"/>
        <v>829</v>
      </c>
      <c r="O203" s="80">
        <f t="shared" si="20"/>
        <v>6.3900045546768256</v>
      </c>
      <c r="P203" s="8">
        <f t="shared" si="21"/>
        <v>1.7162850399569376</v>
      </c>
      <c r="Q203" s="8">
        <f t="shared" si="18"/>
        <v>1.4310423058843909</v>
      </c>
      <c r="R203" s="81">
        <f t="shared" si="22"/>
        <v>0</v>
      </c>
      <c r="S203" s="113" t="str">
        <f>IF(F203="","",IF(H203="",TEXT(_xlfn.MAXIFS($I$1:I203,$F$1:F203,F203,$H$1:H203,"&gt;"&amp;0),"000.000"),F203))</f>
        <v>GHX4D71</v>
      </c>
      <c r="T203" s="81"/>
      <c r="U203" s="82"/>
      <c r="V203" s="98"/>
      <c r="W203" s="82"/>
      <c r="X203" s="98"/>
      <c r="Y203" s="82"/>
      <c r="Z203" s="98"/>
      <c r="AA203" s="82"/>
      <c r="AB203" s="98"/>
      <c r="AC203" s="82"/>
      <c r="AD203" s="98"/>
      <c r="AE203" s="117"/>
      <c r="AF203" s="98"/>
      <c r="AG203" s="98"/>
      <c r="AH203" s="98"/>
      <c r="AI203" s="82"/>
      <c r="AJ203" s="98"/>
      <c r="AK203" s="83"/>
      <c r="AL203" s="84" t="str">
        <f>IF(F203&lt;&gt;0,IF(_xlfn.MAXIFS($I$1:I203,$F$1:F203,F203,$H$1:H203,"&gt;"&amp;0)=0,"KM NÃO ENCONTRADO",IF(H203=0,CONCATENATE("SUGESTÃO DE KM PARA PLACA ",F203," *",_xlfn.MAXIFS($I$1:I203,$F$1:F203,F203,$H$1:H203,"&gt;"&amp;0),"*"),"")),"")</f>
        <v/>
      </c>
      <c r="AM203" s="85" t="str" cm="1">
        <f t="array" ref="AM203">IFERROR(IF(M203&lt;&gt;"","",CONCATENATE("https://btx.brasiltrack.com/logistica/trajeto.php?idveiculo=",VLOOKUP(F203,DATAS!$A$221:$B$250,2,FALSE),"&amp;lat=-22.204247","&amp;data_ini=",TEXT(IF(E203&lt;&gt;"",IF(COUNTIF($F$2:$F203,F203)&gt;1,MAX(IF($F$1:$F202=F203,$E$1:$E202)),""),""),"DD/MM/AAAA"),"&amp;data_fim=",TEXT(E203,"DD/MM/AAAA"),"&amp;hora_inicial=",HOUR(IF(E203&lt;&gt;"",IF(COUNTIF($F$2:$F203,F203)&gt;1,MAX(IF($F$1:$F202=F203,$E$1:$E202)),""),"")),"&amp;minuto_inicial=",MINUTE(IF(E203&lt;&gt;"",IF(COUNTIF($F$2:$F203,F203)&gt;1,MAX(IF($F$1:$F202=F203,$E$1:$E202)),""),"")),"&amp;hora_final=",HOUR(E203),"&amp;minuto_final=",MINUTE(E203),"&amp;periodo=6&amp;tipo=por_data&amp;upos=false&amp;outequip=0")),"")</f>
        <v>https://btx.brasiltrack.com/logistica/trajeto.php?idveiculo=6B5F18E0-6EAE-404A-AE41-39E549361094&amp;lat=-22.204247&amp;data_ini=26/11/2022&amp;data_fim=29/11/2022&amp;hora_inicial=14&amp;minuto_inicial=47&amp;hora_final=20&amp;minuto_final=31&amp;periodo=6&amp;tipo=por_data&amp;upos=false&amp;outequip=0</v>
      </c>
      <c r="AN203" s="100" t="str">
        <f t="shared" si="23"/>
        <v xml:space="preserve">               </v>
      </c>
    </row>
    <row r="204" spans="1:40" x14ac:dyDescent="0.25">
      <c r="A204" s="81"/>
      <c r="B204" s="81"/>
      <c r="C204" s="81"/>
      <c r="D204" s="144">
        <v>44866</v>
      </c>
      <c r="E204" s="76">
        <v>44894.893750000003</v>
      </c>
      <c r="F204" s="6" t="s">
        <v>23</v>
      </c>
      <c r="G204" s="5" t="str">
        <f>IFERROR(VLOOKUP(SUMIFS(MSOLICITADA!$I:$I,MSOLICITADA!$B:$B,D204,MSOLICITADA!$F:$F,F204),CODIGOSPLACAS!$A$64:$B$89,2,FALSE),"")</f>
        <v>ISAC</v>
      </c>
      <c r="H204" s="77">
        <v>1199286</v>
      </c>
      <c r="I204" s="77">
        <v>1199537</v>
      </c>
      <c r="J204" s="7">
        <v>175</v>
      </c>
      <c r="K204" s="78">
        <v>1121.75</v>
      </c>
      <c r="L204" s="79" t="s">
        <v>111</v>
      </c>
      <c r="M204" s="6"/>
      <c r="N204" s="5">
        <f t="shared" si="19"/>
        <v>251</v>
      </c>
      <c r="O204" s="80">
        <f t="shared" si="20"/>
        <v>6.41</v>
      </c>
      <c r="P204" s="8">
        <f t="shared" si="21"/>
        <v>1.4342857142857144</v>
      </c>
      <c r="Q204" s="8">
        <f t="shared" si="18"/>
        <v>1.447714664858804</v>
      </c>
      <c r="R204" s="81">
        <f t="shared" si="22"/>
        <v>0</v>
      </c>
      <c r="S204" s="113" t="str">
        <f>IF(F204="","",IF(H204="",TEXT(_xlfn.MAXIFS($I$1:I204,$F$1:F204,F204,$H$1:H204,"&gt;"&amp;0),"000.000"),F204))</f>
        <v>HNC7I76</v>
      </c>
      <c r="T204" s="81"/>
      <c r="U204" s="82"/>
      <c r="V204" s="98"/>
      <c r="W204" s="82"/>
      <c r="X204" s="98"/>
      <c r="Y204" s="82"/>
      <c r="Z204" s="98"/>
      <c r="AA204" s="82"/>
      <c r="AB204" s="98"/>
      <c r="AC204" s="82"/>
      <c r="AD204" s="98"/>
      <c r="AE204" s="117"/>
      <c r="AF204" s="98"/>
      <c r="AG204" s="98"/>
      <c r="AH204" s="98"/>
      <c r="AI204" s="82"/>
      <c r="AJ204" s="98"/>
      <c r="AK204" s="83"/>
      <c r="AL204" s="84" t="str">
        <f>IF(F204&lt;&gt;0,IF(_xlfn.MAXIFS($I$1:I204,$F$1:F204,F204,$H$1:H204,"&gt;"&amp;0)=0,"KM NÃO ENCONTRADO",IF(H204=0,CONCATENATE("SUGESTÃO DE KM PARA PLACA ",F204," *",_xlfn.MAXIFS($I$1:I204,$F$1:F204,F204,$H$1:H204,"&gt;"&amp;0),"*"),"")),"")</f>
        <v/>
      </c>
      <c r="AM204" s="85" t="str" cm="1">
        <f t="array" ref="AM204">IFERROR(IF(M204&lt;&gt;"","",CONCATENATE("https://btx.brasiltrack.com/logistica/trajeto.php?idveiculo=",VLOOKUP(F204,DATAS!$A$221:$B$250,2,FALSE),"&amp;lat=-22.204247","&amp;data_ini=",TEXT(IF(E204&lt;&gt;"",IF(COUNTIF($F$2:$F204,F204)&gt;1,MAX(IF($F$1:$F203=F204,$E$1:$E203)),""),""),"DD/MM/AAAA"),"&amp;data_fim=",TEXT(E204,"DD/MM/AAAA"),"&amp;hora_inicial=",HOUR(IF(E204&lt;&gt;"",IF(COUNTIF($F$2:$F204,F204)&gt;1,MAX(IF($F$1:$F203=F204,$E$1:$E203)),""),"")),"&amp;minuto_inicial=",MINUTE(IF(E204&lt;&gt;"",IF(COUNTIF($F$2:$F204,F204)&gt;1,MAX(IF($F$1:$F203=F204,$E$1:$E203)),""),"")),"&amp;hora_final=",HOUR(E204),"&amp;minuto_final=",MINUTE(E204),"&amp;periodo=6&amp;tipo=por_data&amp;upos=false&amp;outequip=0")),"")</f>
        <v>https://btx.brasiltrack.com/logistica/trajeto.php?idveiculo=B05A8E44-5DA1-4128-83F0-8DDE6CB8291B&amp;lat=-22.204247&amp;data_ini=29/11/2022&amp;data_fim=29/11/2022&amp;hora_inicial=15&amp;minuto_inicial=0&amp;hora_final=21&amp;minuto_final=27&amp;periodo=6&amp;tipo=por_data&amp;upos=false&amp;outequip=0</v>
      </c>
      <c r="AN204" s="100" t="str">
        <f t="shared" si="23"/>
        <v xml:space="preserve">               </v>
      </c>
    </row>
    <row r="205" spans="1:40" x14ac:dyDescent="0.25">
      <c r="A205" s="81"/>
      <c r="B205" s="81"/>
      <c r="C205" s="81"/>
      <c r="D205" s="144">
        <v>44866</v>
      </c>
      <c r="E205" s="76">
        <v>44895.17083333333</v>
      </c>
      <c r="F205" s="6" t="s">
        <v>30</v>
      </c>
      <c r="G205" s="5" t="str">
        <f>IFERROR(VLOOKUP(SUMIFS(MSOLICITADA!$I:$I,MSOLICITADA!$B:$B,D205,MSOLICITADA!$F:$F,F205),CODIGOSPLACAS!$A$64:$B$89,2,FALSE),"")</f>
        <v>RONILSON</v>
      </c>
      <c r="H205" s="77">
        <v>213916</v>
      </c>
      <c r="I205" s="77">
        <v>214724</v>
      </c>
      <c r="J205" s="7">
        <v>523.00099999999998</v>
      </c>
      <c r="K205" s="78">
        <v>3341.97</v>
      </c>
      <c r="L205" s="79" t="s">
        <v>111</v>
      </c>
      <c r="M205" s="6"/>
      <c r="N205" s="5">
        <f t="shared" si="19"/>
        <v>808</v>
      </c>
      <c r="O205" s="80">
        <f t="shared" si="20"/>
        <v>6.3899877820501301</v>
      </c>
      <c r="P205" s="8">
        <f t="shared" si="21"/>
        <v>1.5449301244165883</v>
      </c>
      <c r="Q205" s="8">
        <f t="shared" si="18"/>
        <v>1.5438598974121283</v>
      </c>
      <c r="R205" s="81">
        <f t="shared" si="22"/>
        <v>0</v>
      </c>
      <c r="S205" s="113" t="str">
        <f>IF(F205="","",IF(H205="",TEXT(_xlfn.MAXIFS($I$1:I205,$F$1:F205,F205,$H$1:H205,"&gt;"&amp;0),"000.000"),F205))</f>
        <v>GFB0I37</v>
      </c>
      <c r="T205" s="81"/>
      <c r="U205" s="82"/>
      <c r="V205" s="98"/>
      <c r="W205" s="82"/>
      <c r="X205" s="98"/>
      <c r="Y205" s="82"/>
      <c r="Z205" s="98"/>
      <c r="AA205" s="82"/>
      <c r="AB205" s="98"/>
      <c r="AC205" s="82"/>
      <c r="AD205" s="98"/>
      <c r="AE205" s="117"/>
      <c r="AF205" s="98"/>
      <c r="AG205" s="98"/>
      <c r="AH205" s="98"/>
      <c r="AI205" s="82"/>
      <c r="AJ205" s="98"/>
      <c r="AK205" s="83"/>
      <c r="AL205" s="84" t="str">
        <f>IF(F205&lt;&gt;0,IF(_xlfn.MAXIFS($I$1:I205,$F$1:F205,F205,$H$1:H205,"&gt;"&amp;0)=0,"KM NÃO ENCONTRADO",IF(H205=0,CONCATENATE("SUGESTÃO DE KM PARA PLACA ",F205," *",_xlfn.MAXIFS($I$1:I205,$F$1:F205,F205,$H$1:H205,"&gt;"&amp;0),"*"),"")),"")</f>
        <v/>
      </c>
      <c r="AM205" s="85" t="str" cm="1">
        <f t="array" ref="AM205">IFERROR(IF(M205&lt;&gt;"","",CONCATENATE("https://btx.brasiltrack.com/logistica/trajeto.php?idveiculo=",VLOOKUP(F205,DATAS!$A$221:$B$250,2,FALSE),"&amp;lat=-22.204247","&amp;data_ini=",TEXT(IF(E205&lt;&gt;"",IF(COUNTIF($F$2:$F205,F205)&gt;1,MAX(IF($F$1:$F204=F205,$E$1:$E204)),""),""),"DD/MM/AAAA"),"&amp;data_fim=",TEXT(E205,"DD/MM/AAAA"),"&amp;hora_inicial=",HOUR(IF(E205&lt;&gt;"",IF(COUNTIF($F$2:$F205,F205)&gt;1,MAX(IF($F$1:$F204=F205,$E$1:$E204)),""),"")),"&amp;minuto_inicial=",MINUTE(IF(E205&lt;&gt;"",IF(COUNTIF($F$2:$F205,F205)&gt;1,MAX(IF($F$1:$F204=F205,$E$1:$E204)),""),"")),"&amp;hora_final=",HOUR(E205),"&amp;minuto_final=",MINUTE(E205),"&amp;periodo=6&amp;tipo=por_data&amp;upos=false&amp;outequip=0")),"")</f>
        <v>https://btx.brasiltrack.com/logistica/trajeto.php?idveiculo=94099C57-E02A-40F7-B573-6368475EB0B3&amp;lat=-22.204247&amp;data_ini=26/11/2022&amp;data_fim=30/11/2022&amp;hora_inicial=4&amp;minuto_inicial=1&amp;hora_final=4&amp;minuto_final=6&amp;periodo=6&amp;tipo=por_data&amp;upos=false&amp;outequip=0</v>
      </c>
      <c r="AN205" s="100" t="str">
        <f t="shared" si="23"/>
        <v xml:space="preserve">               </v>
      </c>
    </row>
    <row r="206" spans="1:40" x14ac:dyDescent="0.25">
      <c r="A206" s="81"/>
      <c r="B206" s="81"/>
      <c r="C206" s="81"/>
      <c r="D206" s="144">
        <v>44866</v>
      </c>
      <c r="E206" s="76">
        <v>44895.381249999999</v>
      </c>
      <c r="F206" s="6" t="s">
        <v>28</v>
      </c>
      <c r="G206" s="5" t="str">
        <f>IFERROR(VLOOKUP(SUMIFS(MSOLICITADA!$I:$I,MSOLICITADA!$B:$B,D206,MSOLICITADA!$F:$F,F206),CODIGOSPLACAS!$A$64:$B$89,2,FALSE),"")</f>
        <v>RONY</v>
      </c>
      <c r="H206" s="77">
        <v>237240</v>
      </c>
      <c r="I206" s="77">
        <v>238113</v>
      </c>
      <c r="J206" s="7">
        <v>625</v>
      </c>
      <c r="K206" s="78">
        <v>4162.5</v>
      </c>
      <c r="L206" s="79" t="s">
        <v>111</v>
      </c>
      <c r="M206" s="6"/>
      <c r="N206" s="5">
        <f t="shared" si="19"/>
        <v>873</v>
      </c>
      <c r="O206" s="80">
        <f t="shared" si="20"/>
        <v>6.66</v>
      </c>
      <c r="P206" s="8">
        <f t="shared" si="21"/>
        <v>1.3968</v>
      </c>
      <c r="Q206" s="8">
        <f t="shared" si="18"/>
        <v>1.398271770983244</v>
      </c>
      <c r="R206" s="81">
        <f t="shared" si="22"/>
        <v>0</v>
      </c>
      <c r="S206" s="113" t="str">
        <f>IF(F206="","",IF(H206="",TEXT(_xlfn.MAXIFS($I$1:I206,$F$1:F206,F206,$H$1:H206,"&gt;"&amp;0),"000.000"),F206))</f>
        <v>FZA3E94</v>
      </c>
      <c r="T206" s="81"/>
      <c r="U206" s="82"/>
      <c r="V206" s="98"/>
      <c r="W206" s="82"/>
      <c r="X206" s="98"/>
      <c r="Y206" s="82"/>
      <c r="Z206" s="98"/>
      <c r="AA206" s="82"/>
      <c r="AB206" s="98"/>
      <c r="AC206" s="82"/>
      <c r="AD206" s="98"/>
      <c r="AE206" s="117"/>
      <c r="AF206" s="98"/>
      <c r="AG206" s="98"/>
      <c r="AH206" s="98"/>
      <c r="AI206" s="82"/>
      <c r="AJ206" s="98"/>
      <c r="AK206" s="83"/>
      <c r="AL206" s="84" t="str">
        <f>IF(F206&lt;&gt;0,IF(_xlfn.MAXIFS($I$1:I206,$F$1:F206,F206,$H$1:H206,"&gt;"&amp;0)=0,"KM NÃO ENCONTRADO",IF(H206=0,CONCATENATE("SUGESTÃO DE KM PARA PLACA ",F206," *",_xlfn.MAXIFS($I$1:I206,$F$1:F206,F206,$H$1:H206,"&gt;"&amp;0),"*"),"")),"")</f>
        <v/>
      </c>
      <c r="AM206" s="85" t="str" cm="1">
        <f t="array" ref="AM206">IFERROR(IF(M206&lt;&gt;"","",CONCATENATE("https://btx.brasiltrack.com/logistica/trajeto.php?idveiculo=",VLOOKUP(F206,DATAS!$A$221:$B$250,2,FALSE),"&amp;lat=-22.204247","&amp;data_ini=",TEXT(IF(E206&lt;&gt;"",IF(COUNTIF($F$2:$F206,F206)&gt;1,MAX(IF($F$1:$F205=F206,$E$1:$E205)),""),""),"DD/MM/AAAA"),"&amp;data_fim=",TEXT(E206,"DD/MM/AAAA"),"&amp;hora_inicial=",HOUR(IF(E206&lt;&gt;"",IF(COUNTIF($F$2:$F206,F206)&gt;1,MAX(IF($F$1:$F205=F206,$E$1:$E205)),""),"")),"&amp;minuto_inicial=",MINUTE(IF(E206&lt;&gt;"",IF(COUNTIF($F$2:$F206,F206)&gt;1,MAX(IF($F$1:$F205=F206,$E$1:$E205)),""),"")),"&amp;hora_final=",HOUR(E206),"&amp;minuto_final=",MINUTE(E206),"&amp;periodo=6&amp;tipo=por_data&amp;upos=false&amp;outequip=0")),"")</f>
        <v>https://btx.brasiltrack.com/logistica/trajeto.php?idveiculo=4DFC6CC2-BC04-4FE8-81DF-C3A3882D850D&amp;lat=-22.204247&amp;data_ini=26/11/2022&amp;data_fim=30/11/2022&amp;hora_inicial=10&amp;minuto_inicial=6&amp;hora_final=9&amp;minuto_final=9&amp;periodo=6&amp;tipo=por_data&amp;upos=false&amp;outequip=0</v>
      </c>
      <c r="AN206" s="100" t="str">
        <f t="shared" si="23"/>
        <v xml:space="preserve">               </v>
      </c>
    </row>
    <row r="207" spans="1:40" x14ac:dyDescent="0.25">
      <c r="A207" s="81"/>
      <c r="B207" s="81"/>
      <c r="C207" s="81"/>
      <c r="D207" s="144">
        <v>44866</v>
      </c>
      <c r="E207" s="76">
        <v>44895.4375</v>
      </c>
      <c r="F207" s="6" t="s">
        <v>31</v>
      </c>
      <c r="G207" s="5" t="str">
        <f>IFERROR(VLOOKUP(SUMIFS(MSOLICITADA!$I:$I,MSOLICITADA!$B:$B,D207,MSOLICITADA!$F:$F,F207),CODIGOSPLACAS!$A$64:$B$89,2,FALSE),"")</f>
        <v>CELIO</v>
      </c>
      <c r="H207" s="77">
        <v>206205</v>
      </c>
      <c r="I207" s="77">
        <v>206785</v>
      </c>
      <c r="J207" s="7">
        <v>435.7</v>
      </c>
      <c r="K207" s="78">
        <v>2683.89</v>
      </c>
      <c r="L207" s="79" t="s">
        <v>112</v>
      </c>
      <c r="M207" s="6"/>
      <c r="N207" s="5">
        <f t="shared" si="19"/>
        <v>580</v>
      </c>
      <c r="O207" s="80">
        <f t="shared" si="20"/>
        <v>6.1599495065411976</v>
      </c>
      <c r="P207" s="8">
        <f t="shared" si="21"/>
        <v>1.3311911865962818</v>
      </c>
      <c r="Q207" s="8">
        <f t="shared" si="18"/>
        <v>1.5697196307565964</v>
      </c>
      <c r="R207" s="81">
        <f t="shared" si="22"/>
        <v>0</v>
      </c>
      <c r="S207" s="113" t="str">
        <f>IF(F207="","",IF(H207="",TEXT(_xlfn.MAXIFS($I$1:I207,$F$1:F207,F207,$H$1:H207,"&gt;"&amp;0),"000.000"),F207))</f>
        <v>GGZ3G38</v>
      </c>
      <c r="T207" s="81"/>
      <c r="U207" s="82"/>
      <c r="V207" s="98"/>
      <c r="W207" s="82"/>
      <c r="X207" s="98"/>
      <c r="Y207" s="82"/>
      <c r="Z207" s="98"/>
      <c r="AA207" s="82"/>
      <c r="AB207" s="98"/>
      <c r="AC207" s="82"/>
      <c r="AD207" s="98"/>
      <c r="AE207" s="117"/>
      <c r="AF207" s="98"/>
      <c r="AG207" s="98"/>
      <c r="AH207" s="98"/>
      <c r="AI207" s="82"/>
      <c r="AJ207" s="98"/>
      <c r="AK207" s="83"/>
      <c r="AL207" s="84" t="str">
        <f>IF(F207&lt;&gt;0,IF(_xlfn.MAXIFS($I$1:I207,$F$1:F207,F207,$H$1:H207,"&gt;"&amp;0)=0,"KM NÃO ENCONTRADO",IF(H207=0,CONCATENATE("SUGESTÃO DE KM PARA PLACA ",F207," *",_xlfn.MAXIFS($I$1:I207,$F$1:F207,F207,$H$1:H207,"&gt;"&amp;0),"*"),"")),"")</f>
        <v/>
      </c>
      <c r="AM207" s="85" t="str" cm="1">
        <f t="array" ref="AM207">IFERROR(IF(M207&lt;&gt;"","",CONCATENATE("https://btx.brasiltrack.com/logistica/trajeto.php?idveiculo=",VLOOKUP(F207,DATAS!$A$221:$B$250,2,FALSE),"&amp;lat=-22.204247","&amp;data_ini=",TEXT(IF(E207&lt;&gt;"",IF(COUNTIF($F$2:$F207,F207)&gt;1,MAX(IF($F$1:$F206=F207,$E$1:$E206)),""),""),"DD/MM/AAAA"),"&amp;data_fim=",TEXT(E207,"DD/MM/AAAA"),"&amp;hora_inicial=",HOUR(IF(E207&lt;&gt;"",IF(COUNTIF($F$2:$F207,F207)&gt;1,MAX(IF($F$1:$F206=F207,$E$1:$E206)),""),"")),"&amp;minuto_inicial=",MINUTE(IF(E207&lt;&gt;"",IF(COUNTIF($F$2:$F207,F207)&gt;1,MAX(IF($F$1:$F206=F207,$E$1:$E206)),""),"")),"&amp;hora_final=",HOUR(E207),"&amp;minuto_final=",MINUTE(E207),"&amp;periodo=6&amp;tipo=por_data&amp;upos=false&amp;outequip=0")),"")</f>
        <v>https://btx.brasiltrack.com/logistica/trajeto.php?idveiculo=28D74B0F-5C0F-4A59-86EB-697E3711F324&amp;lat=-22.204247&amp;data_ini=26/11/2022&amp;data_fim=30/11/2022&amp;hora_inicial=23&amp;minuto_inicial=59&amp;hora_final=10&amp;minuto_final=30&amp;periodo=6&amp;tipo=por_data&amp;upos=false&amp;outequip=0</v>
      </c>
      <c r="AN207" s="100" t="str">
        <f t="shared" si="23"/>
        <v xml:space="preserve">               </v>
      </c>
    </row>
    <row r="208" spans="1:40" x14ac:dyDescent="0.25">
      <c r="A208" s="81"/>
      <c r="B208" s="81"/>
      <c r="C208" s="81"/>
      <c r="D208" s="144">
        <v>44866</v>
      </c>
      <c r="E208" s="76">
        <v>44895.631944444445</v>
      </c>
      <c r="F208" s="6" t="s">
        <v>124</v>
      </c>
      <c r="G208" s="5" t="str">
        <f>IFERROR(VLOOKUP(SUMIFS(MSOLICITADA!$I:$I,MSOLICITADA!$B:$B,D208,MSOLICITADA!$F:$F,F208),CODIGOSPLACAS!$A$64:$B$89,2,FALSE),"")</f>
        <v>ISRAEL</v>
      </c>
      <c r="H208" s="77">
        <v>131752</v>
      </c>
      <c r="I208" s="77">
        <v>132368</v>
      </c>
      <c r="J208" s="7">
        <v>450.7</v>
      </c>
      <c r="K208" s="78">
        <v>2776.28</v>
      </c>
      <c r="L208" s="79" t="s">
        <v>112</v>
      </c>
      <c r="M208" s="6"/>
      <c r="N208" s="5">
        <f t="shared" si="19"/>
        <v>616</v>
      </c>
      <c r="O208" s="80">
        <f t="shared" si="20"/>
        <v>6.1599289993343698</v>
      </c>
      <c r="P208" s="8">
        <f t="shared" si="21"/>
        <v>1.3667628134013756</v>
      </c>
      <c r="Q208" s="8">
        <f t="shared" si="18"/>
        <v>1.5512732562038034</v>
      </c>
      <c r="R208" s="81">
        <f t="shared" si="22"/>
        <v>0</v>
      </c>
      <c r="S208" s="113" t="str">
        <f>IF(F208="","",IF(H208="",TEXT(_xlfn.MAXIFS($I$1:I208,$F$1:F208,F208,$H$1:H208,"&gt;"&amp;0),"000.000"),F208))</f>
        <v>GHH9B64</v>
      </c>
      <c r="T208" s="81"/>
      <c r="U208" s="82"/>
      <c r="V208" s="98"/>
      <c r="W208" s="82"/>
      <c r="X208" s="98"/>
      <c r="Y208" s="82"/>
      <c r="Z208" s="98"/>
      <c r="AA208" s="82"/>
      <c r="AB208" s="98"/>
      <c r="AC208" s="82"/>
      <c r="AD208" s="98"/>
      <c r="AE208" s="117"/>
      <c r="AF208" s="98"/>
      <c r="AG208" s="98"/>
      <c r="AH208" s="98"/>
      <c r="AI208" s="82"/>
      <c r="AJ208" s="98"/>
      <c r="AK208" s="83"/>
      <c r="AL208" s="84" t="str">
        <f>IF(F208&lt;&gt;0,IF(_xlfn.MAXIFS($I$1:I208,$F$1:F208,F208,$H$1:H208,"&gt;"&amp;0)=0,"KM NÃO ENCONTRADO",IF(H208=0,CONCATENATE("SUGESTÃO DE KM PARA PLACA ",F208," *",_xlfn.MAXIFS($I$1:I208,$F$1:F208,F208,$H$1:H208,"&gt;"&amp;0),"*"),"")),"")</f>
        <v/>
      </c>
      <c r="AM208" s="85" t="str" cm="1">
        <f t="array" ref="AM208">IFERROR(IF(M208&lt;&gt;"","",CONCATENATE("https://btx.brasiltrack.com/logistica/trajeto.php?idveiculo=",VLOOKUP(F208,DATAS!$A$221:$B$250,2,FALSE),"&amp;lat=-22.204247","&amp;data_ini=",TEXT(IF(E208&lt;&gt;"",IF(COUNTIF($F$2:$F208,F208)&gt;1,MAX(IF($F$1:$F207=F208,$E$1:$E207)),""),""),"DD/MM/AAAA"),"&amp;data_fim=",TEXT(E208,"DD/MM/AAAA"),"&amp;hora_inicial=",HOUR(IF(E208&lt;&gt;"",IF(COUNTIF($F$2:$F208,F208)&gt;1,MAX(IF($F$1:$F207=F208,$E$1:$E207)),""),"")),"&amp;minuto_inicial=",MINUTE(IF(E208&lt;&gt;"",IF(COUNTIF($F$2:$F208,F208)&gt;1,MAX(IF($F$1:$F207=F208,$E$1:$E207)),""),"")),"&amp;hora_final=",HOUR(E208),"&amp;minuto_final=",MINUTE(E208),"&amp;periodo=6&amp;tipo=por_data&amp;upos=false&amp;outequip=0")),"")</f>
        <v>https://btx.brasiltrack.com/logistica/trajeto.php?idveiculo=82801E41-A001-436F-A743-F071900B878A&amp;lat=-22.204247&amp;data_ini=27/11/2022&amp;data_fim=30/11/2022&amp;hora_inicial=14&amp;minuto_inicial=52&amp;hora_final=15&amp;minuto_final=10&amp;periodo=6&amp;tipo=por_data&amp;upos=false&amp;outequip=0</v>
      </c>
      <c r="AN208" s="100" t="str">
        <f t="shared" si="23"/>
        <v xml:space="preserve">               </v>
      </c>
    </row>
    <row r="209" spans="1:40" x14ac:dyDescent="0.25">
      <c r="A209" s="81"/>
      <c r="B209" s="81"/>
      <c r="C209" s="81"/>
      <c r="D209" s="144">
        <v>44866</v>
      </c>
      <c r="E209" s="76">
        <v>44895.749305555553</v>
      </c>
      <c r="F209" s="6" t="s">
        <v>27</v>
      </c>
      <c r="G209" s="5" t="str">
        <f>IFERROR(VLOOKUP(SUMIFS(MSOLICITADA!$I:$I,MSOLICITADA!$B:$B,D209,MSOLICITADA!$F:$F,F209),CODIGOSPLACAS!$A$64:$B$89,2,FALSE),"")</f>
        <v>ANTONIO</v>
      </c>
      <c r="H209" s="77">
        <v>241311</v>
      </c>
      <c r="I209" s="77">
        <v>242302</v>
      </c>
      <c r="J209" s="7">
        <v>712.01</v>
      </c>
      <c r="K209" s="78">
        <v>4867.57</v>
      </c>
      <c r="L209" s="79" t="s">
        <v>111</v>
      </c>
      <c r="M209" s="6"/>
      <c r="N209" s="5">
        <f t="shared" si="19"/>
        <v>991</v>
      </c>
      <c r="O209" s="80">
        <f t="shared" si="20"/>
        <v>6.8363787025463125</v>
      </c>
      <c r="P209" s="8">
        <f t="shared" si="21"/>
        <v>1.3918343843485343</v>
      </c>
      <c r="Q209" s="8">
        <f t="shared" si="18"/>
        <v>1.4461676128873802</v>
      </c>
      <c r="R209" s="81">
        <f t="shared" si="22"/>
        <v>0</v>
      </c>
      <c r="S209" s="113" t="str">
        <f>IF(F209="","",IF(H209="",TEXT(_xlfn.MAXIFS($I$1:I209,$F$1:F209,F209,$H$1:H209,"&gt;"&amp;0),"000.000"),F209))</f>
        <v>GHS4J57</v>
      </c>
      <c r="T209" s="81"/>
      <c r="U209" s="82"/>
      <c r="V209" s="98"/>
      <c r="W209" s="82"/>
      <c r="X209" s="98"/>
      <c r="Y209" s="82"/>
      <c r="Z209" s="98"/>
      <c r="AA209" s="82"/>
      <c r="AB209" s="98"/>
      <c r="AC209" s="82"/>
      <c r="AD209" s="98"/>
      <c r="AE209" s="117"/>
      <c r="AF209" s="98"/>
      <c r="AG209" s="98"/>
      <c r="AH209" s="98"/>
      <c r="AI209" s="82"/>
      <c r="AJ209" s="98"/>
      <c r="AK209" s="83"/>
      <c r="AL209" s="84" t="str">
        <f>IF(F209&lt;&gt;0,IF(_xlfn.MAXIFS($I$1:I209,$F$1:F209,F209,$H$1:H209,"&gt;"&amp;0)=0,"KM NÃO ENCONTRADO",IF(H209=0,CONCATENATE("SUGESTÃO DE KM PARA PLACA ",F209," *",_xlfn.MAXIFS($I$1:I209,$F$1:F209,F209,$H$1:H209,"&gt;"&amp;0),"*"),"")),"")</f>
        <v/>
      </c>
      <c r="AM209" s="85" t="str" cm="1">
        <f t="array" ref="AM209">IFERROR(IF(M209&lt;&gt;"","",CONCATENATE("https://btx.brasiltrack.com/logistica/trajeto.php?idveiculo=",VLOOKUP(F209,DATAS!$A$221:$B$250,2,FALSE),"&amp;lat=-22.204247","&amp;data_ini=",TEXT(IF(E209&lt;&gt;"",IF(COUNTIF($F$2:$F209,F209)&gt;1,MAX(IF($F$1:$F208=F209,$E$1:$E208)),""),""),"DD/MM/AAAA"),"&amp;data_fim=",TEXT(E209,"DD/MM/AAAA"),"&amp;hora_inicial=",HOUR(IF(E209&lt;&gt;"",IF(COUNTIF($F$2:$F209,F209)&gt;1,MAX(IF($F$1:$F208=F209,$E$1:$E208)),""),"")),"&amp;minuto_inicial=",MINUTE(IF(E209&lt;&gt;"",IF(COUNTIF($F$2:$F209,F209)&gt;1,MAX(IF($F$1:$F208=F209,$E$1:$E208)),""),"")),"&amp;hora_final=",HOUR(E209),"&amp;minuto_final=",MINUTE(E209),"&amp;periodo=6&amp;tipo=por_data&amp;upos=false&amp;outequip=0")),"")</f>
        <v>https://btx.brasiltrack.com/logistica/trajeto.php?idveiculo=17ED636C-5A71-44D5-AF3C-192D3DA6CDD1&amp;lat=-22.204247&amp;data_ini=28/11/2022&amp;data_fim=30/11/2022&amp;hora_inicial=17&amp;minuto_inicial=25&amp;hora_final=17&amp;minuto_final=59&amp;periodo=6&amp;tipo=por_data&amp;upos=false&amp;outequip=0</v>
      </c>
      <c r="AN209" s="100" t="str">
        <f t="shared" si="23"/>
        <v xml:space="preserve">               </v>
      </c>
    </row>
    <row r="210" spans="1:40" x14ac:dyDescent="0.25">
      <c r="A210" s="81"/>
      <c r="B210" s="81"/>
      <c r="C210" s="81"/>
      <c r="D210" s="144">
        <v>44866</v>
      </c>
      <c r="E210" s="76">
        <v>44895.798611111109</v>
      </c>
      <c r="F210" s="6" t="s">
        <v>35</v>
      </c>
      <c r="G210" s="5" t="str">
        <f>IFERROR(VLOOKUP(SUMIFS(MSOLICITADA!$I:$I,MSOLICITADA!$B:$B,D210,MSOLICITADA!$F:$F,F210),CODIGOSPLACAS!$A$64:$B$89,2,FALSE),"")</f>
        <v>JOEL</v>
      </c>
      <c r="H210" s="77">
        <v>227324</v>
      </c>
      <c r="I210" s="77">
        <v>228515</v>
      </c>
      <c r="J210" s="7">
        <v>273.39999999999998</v>
      </c>
      <c r="K210" s="78">
        <v>1684.13</v>
      </c>
      <c r="L210" s="79" t="s">
        <v>112</v>
      </c>
      <c r="M210" s="6"/>
      <c r="N210" s="5">
        <f t="shared" si="19"/>
        <v>1191</v>
      </c>
      <c r="O210" s="80">
        <f t="shared" si="20"/>
        <v>6.1599487929773238</v>
      </c>
      <c r="P210" s="8">
        <f t="shared" si="21"/>
        <v>4.3562545720555965</v>
      </c>
      <c r="Q210" s="8">
        <f t="shared" si="18"/>
        <v>2.367571672678944</v>
      </c>
      <c r="R210" s="81">
        <f t="shared" si="22"/>
        <v>0</v>
      </c>
      <c r="S210" s="113" t="str">
        <f>IF(F210="","",IF(H210="",TEXT(_xlfn.MAXIFS($I$1:I210,$F$1:F210,F210,$H$1:H210,"&gt;"&amp;0),"000.000"),F210))</f>
        <v>QNP3A97</v>
      </c>
      <c r="T210" s="81"/>
      <c r="U210" s="82"/>
      <c r="V210" s="98"/>
      <c r="W210" s="82"/>
      <c r="X210" s="98"/>
      <c r="Y210" s="82"/>
      <c r="Z210" s="98"/>
      <c r="AA210" s="82"/>
      <c r="AB210" s="98"/>
      <c r="AC210" s="82"/>
      <c r="AD210" s="98"/>
      <c r="AE210" s="117"/>
      <c r="AF210" s="98"/>
      <c r="AG210" s="98"/>
      <c r="AH210" s="98"/>
      <c r="AI210" s="82"/>
      <c r="AJ210" s="98"/>
      <c r="AK210" s="83"/>
      <c r="AL210" s="84" t="str">
        <f>IF(F210&lt;&gt;0,IF(_xlfn.MAXIFS($I$1:I210,$F$1:F210,F210,$H$1:H210,"&gt;"&amp;0)=0,"KM NÃO ENCONTRADO",IF(H210=0,CONCATENATE("SUGESTÃO DE KM PARA PLACA ",F210," *",_xlfn.MAXIFS($I$1:I210,$F$1:F210,F210,$H$1:H210,"&gt;"&amp;0),"*"),"")),"")</f>
        <v/>
      </c>
      <c r="AM210" s="85" t="str" cm="1">
        <f t="array" ref="AM210">IFERROR(IF(M210&lt;&gt;"","",CONCATENATE("https://btx.brasiltrack.com/logistica/trajeto.php?idveiculo=",VLOOKUP(F210,DATAS!$A$221:$B$250,2,FALSE),"&amp;lat=-22.204247","&amp;data_ini=",TEXT(IF(E210&lt;&gt;"",IF(COUNTIF($F$2:$F210,F210)&gt;1,MAX(IF($F$1:$F209=F210,$E$1:$E209)),""),""),"DD/MM/AAAA"),"&amp;data_fim=",TEXT(E210,"DD/MM/AAAA"),"&amp;hora_inicial=",HOUR(IF(E210&lt;&gt;"",IF(COUNTIF($F$2:$F210,F210)&gt;1,MAX(IF($F$1:$F209=F210,$E$1:$E209)),""),"")),"&amp;minuto_inicial=",MINUTE(IF(E210&lt;&gt;"",IF(COUNTIF($F$2:$F210,F210)&gt;1,MAX(IF($F$1:$F209=F210,$E$1:$E209)),""),"")),"&amp;hora_final=",HOUR(E210),"&amp;minuto_final=",MINUTE(E210),"&amp;periodo=6&amp;tipo=por_data&amp;upos=false&amp;outequip=0")),"")</f>
        <v>https://btx.brasiltrack.com/logistica/trajeto.php?idveiculo=E2142D75-BC20-47B9-8225-FC4ED3D279CF&amp;lat=-22.204247&amp;data_ini=27/11/2022&amp;data_fim=30/11/2022&amp;hora_inicial=17&amp;minuto_inicial=20&amp;hora_final=19&amp;minuto_final=10&amp;periodo=6&amp;tipo=por_data&amp;upos=false&amp;outequip=0</v>
      </c>
      <c r="AN210" s="100" t="str">
        <f t="shared" si="23"/>
        <v xml:space="preserve">               </v>
      </c>
    </row>
    <row r="211" spans="1:40" x14ac:dyDescent="0.25">
      <c r="A211" s="81"/>
      <c r="B211" s="81"/>
      <c r="C211" s="81"/>
      <c r="D211" s="144">
        <v>44866</v>
      </c>
      <c r="E211" s="76">
        <v>44895.852777777778</v>
      </c>
      <c r="F211" s="6" t="s">
        <v>23</v>
      </c>
      <c r="G211" s="5" t="str">
        <f>IFERROR(VLOOKUP(SUMIFS(MSOLICITADA!$I:$I,MSOLICITADA!$B:$B,D211,MSOLICITADA!$F:$F,F211),CODIGOSPLACAS!$A$64:$B$89,2,FALSE),"")</f>
        <v>ISAC</v>
      </c>
      <c r="H211" s="77">
        <v>1199537</v>
      </c>
      <c r="I211" s="77">
        <v>1200175</v>
      </c>
      <c r="J211" s="7">
        <v>460</v>
      </c>
      <c r="K211" s="78">
        <v>3063.6</v>
      </c>
      <c r="L211" s="79" t="s">
        <v>111</v>
      </c>
      <c r="M211" s="6"/>
      <c r="N211" s="5">
        <f t="shared" si="19"/>
        <v>638</v>
      </c>
      <c r="O211" s="80">
        <f t="shared" si="20"/>
        <v>6.66</v>
      </c>
      <c r="P211" s="8">
        <f t="shared" si="21"/>
        <v>1.3869565217391304</v>
      </c>
      <c r="Q211" s="8">
        <f t="shared" si="18"/>
        <v>1.447714664858804</v>
      </c>
      <c r="R211" s="81">
        <f t="shared" si="22"/>
        <v>0</v>
      </c>
      <c r="S211" s="113" t="str">
        <f>IF(F211="","",IF(H211="",TEXT(_xlfn.MAXIFS($I$1:I211,$F$1:F211,F211,$H$1:H211,"&gt;"&amp;0),"000.000"),F211))</f>
        <v>HNC7I76</v>
      </c>
      <c r="T211" s="81"/>
      <c r="U211" s="82"/>
      <c r="V211" s="98"/>
      <c r="W211" s="82"/>
      <c r="X211" s="98"/>
      <c r="Y211" s="82"/>
      <c r="Z211" s="98"/>
      <c r="AA211" s="82"/>
      <c r="AB211" s="98"/>
      <c r="AC211" s="82"/>
      <c r="AD211" s="98"/>
      <c r="AE211" s="117"/>
      <c r="AF211" s="98"/>
      <c r="AG211" s="98"/>
      <c r="AH211" s="98"/>
      <c r="AI211" s="82"/>
      <c r="AJ211" s="98"/>
      <c r="AK211" s="83"/>
      <c r="AL211" s="84" t="str">
        <f>IF(F211&lt;&gt;0,IF(_xlfn.MAXIFS($I$1:I211,$F$1:F211,F211,$H$1:H211,"&gt;"&amp;0)=0,"KM NÃO ENCONTRADO",IF(H211=0,CONCATENATE("SUGESTÃO DE KM PARA PLACA ",F211," *",_xlfn.MAXIFS($I$1:I211,$F$1:F211,F211,$H$1:H211,"&gt;"&amp;0),"*"),"")),"")</f>
        <v/>
      </c>
      <c r="AM211" s="85" t="str" cm="1">
        <f t="array" ref="AM211">IFERROR(IF(M211&lt;&gt;"","",CONCATENATE("https://btx.brasiltrack.com/logistica/trajeto.php?idveiculo=",VLOOKUP(F211,DATAS!$A$221:$B$250,2,FALSE),"&amp;lat=-22.204247","&amp;data_ini=",TEXT(IF(E211&lt;&gt;"",IF(COUNTIF($F$2:$F211,F211)&gt;1,MAX(IF($F$1:$F210=F211,$E$1:$E210)),""),""),"DD/MM/AAAA"),"&amp;data_fim=",TEXT(E211,"DD/MM/AAAA"),"&amp;hora_inicial=",HOUR(IF(E211&lt;&gt;"",IF(COUNTIF($F$2:$F211,F211)&gt;1,MAX(IF($F$1:$F210=F211,$E$1:$E210)),""),"")),"&amp;minuto_inicial=",MINUTE(IF(E211&lt;&gt;"",IF(COUNTIF($F$2:$F211,F211)&gt;1,MAX(IF($F$1:$F210=F211,$E$1:$E210)),""),"")),"&amp;hora_final=",HOUR(E211),"&amp;minuto_final=",MINUTE(E211),"&amp;periodo=6&amp;tipo=por_data&amp;upos=false&amp;outequip=0")),"")</f>
        <v>https://btx.brasiltrack.com/logistica/trajeto.php?idveiculo=B05A8E44-5DA1-4128-83F0-8DDE6CB8291B&amp;lat=-22.204247&amp;data_ini=29/11/2022&amp;data_fim=30/11/2022&amp;hora_inicial=21&amp;minuto_inicial=27&amp;hora_final=20&amp;minuto_final=28&amp;periodo=6&amp;tipo=por_data&amp;upos=false&amp;outequip=0</v>
      </c>
      <c r="AN211" s="100" t="str">
        <f t="shared" si="23"/>
        <v xml:space="preserve">               </v>
      </c>
    </row>
    <row r="212" spans="1:40" x14ac:dyDescent="0.25">
      <c r="A212" s="101">
        <f>IFERROR(VLOOKUP(AN212,ROTAS!$A:$B,2,FALSE),0)</f>
        <v>1</v>
      </c>
      <c r="B212" s="101">
        <f t="shared" ref="B212:B275" si="24">COUNTIFS(A:A,A212)</f>
        <v>2</v>
      </c>
      <c r="C212" s="101">
        <f t="shared" ref="C212:C275" si="25">(SUMIFS(M:M,A:A,A212)+SUMIFS(N:N,A:A,A212))/B212</f>
        <v>390.5</v>
      </c>
      <c r="D212" s="144">
        <v>44866</v>
      </c>
      <c r="E212" s="76">
        <v>44895.863888888889</v>
      </c>
      <c r="F212" s="6" t="s">
        <v>33</v>
      </c>
      <c r="G212" s="5" t="str">
        <f>IFERROR(VLOOKUP(SUMIFS(MSOLICITADA!$I:$I,MSOLICITADA!$B:$B,D212,MSOLICITADA!$F:$F,F212),CODIGOSPLACAS!$A$64:$B$89,2,FALSE),"")</f>
        <v>JULIO</v>
      </c>
      <c r="H212" s="77">
        <v>159808</v>
      </c>
      <c r="I212" s="77">
        <v>160189</v>
      </c>
      <c r="J212" s="7">
        <v>250.09</v>
      </c>
      <c r="K212" s="78">
        <v>1598.07</v>
      </c>
      <c r="L212" s="79" t="s">
        <v>111</v>
      </c>
      <c r="M212" s="6">
        <v>381</v>
      </c>
      <c r="N212" s="5" t="str">
        <f t="shared" si="19"/>
        <v/>
      </c>
      <c r="O212" s="80">
        <f t="shared" si="20"/>
        <v>6.3899796073413571</v>
      </c>
      <c r="P212" s="8">
        <f t="shared" si="21"/>
        <v>1.5234515574393219</v>
      </c>
      <c r="Q212" s="8">
        <f t="shared" ref="Q212:Q275" si="26">IFERROR((SUMIFS(M:M,D:D,D212,F:F,F212)+SUMIFS(N:N,D:D,D212,F:F,F212)-SUMIFS(AK:AK,D:D,D212,F:F,F212))/(SUMIFS(J:J,D:D,D212,F:F,F212)-(SUMIFS(AK:AK,D:D,D212,F:F,F212)/5)),0)</f>
        <v>1.7415645068481733</v>
      </c>
      <c r="R212" s="81">
        <f t="shared" si="22"/>
        <v>1</v>
      </c>
      <c r="S212" s="113" t="str">
        <f>IF(F212="","",IF(H212="",TEXT(_xlfn.MAXIFS($I$1:I212,$F$1:F212,F212,$H$1:H212,"&gt;"&amp;0),"000.000"),F212))</f>
        <v>GGF7G26</v>
      </c>
      <c r="T212" s="101" t="str">
        <f t="shared" ref="T212:T275" si="27">IF(E212&lt;&gt;"",IF(A212=0,"ERRO",IFERROR(AVERAGEIFS(N:N,A:A,A212,M:M,"&gt;"&amp;0),"")),"")</f>
        <v/>
      </c>
      <c r="U212" s="82" t="s">
        <v>220</v>
      </c>
      <c r="V212" s="98" t="s">
        <v>206</v>
      </c>
      <c r="W212" s="82" t="s">
        <v>221</v>
      </c>
      <c r="X212" s="98" t="s">
        <v>169</v>
      </c>
      <c r="Y212" s="82" t="s">
        <v>220</v>
      </c>
      <c r="Z212" s="98" t="s">
        <v>166</v>
      </c>
      <c r="AA212" s="82"/>
      <c r="AB212" s="98"/>
      <c r="AC212" s="82"/>
      <c r="AD212" s="98"/>
      <c r="AE212" s="117"/>
      <c r="AF212" s="98"/>
      <c r="AG212" s="98"/>
      <c r="AH212" s="98"/>
      <c r="AI212" s="82"/>
      <c r="AJ212" s="98"/>
      <c r="AK212" s="83"/>
      <c r="AL212" s="84" t="str">
        <f>IF(F212&lt;&gt;0,IF(_xlfn.MAXIFS($I$1:I212,$F$1:F212,F212,$H$1:H212,"&gt;"&amp;0)=0,"KM NÃO ENCONTRADO",IF(H212=0,CONCATENATE("SUGESTÃO DE KM PARA PLACA ",F212," *",_xlfn.MAXIFS($I$1:I212,$F$1:F212,F212,$H$1:H212,"&gt;"&amp;0),"*"),"")),"")</f>
        <v/>
      </c>
      <c r="AM212" s="85" t="str" cm="1">
        <f t="array" ref="AM212">IFERROR(IF(M212&lt;&gt;"","",CONCATENATE("https://btx.brasiltrack.com/logistica/trajeto.php?idveiculo=",VLOOKUP(F212,DATAS!$A$221:$B$250,2,FALSE),"&amp;lat=-22.204247","&amp;data_ini=",TEXT(IF(E212&lt;&gt;"",IF(COUNTIF($F$2:$F212,F212)&gt;1,MAX(IF($F$1:$F211=F212,$E$1:$E211)),""),""),"DD/MM/AAAA"),"&amp;data_fim=",TEXT(E212,"DD/MM/AAAA"),"&amp;hora_inicial=",HOUR(IF(E212&lt;&gt;"",IF(COUNTIF($F$2:$F212,F212)&gt;1,MAX(IF($F$1:$F211=F212,$E$1:$E211)),""),"")),"&amp;minuto_inicial=",MINUTE(IF(E212&lt;&gt;"",IF(COUNTIF($F$2:$F212,F212)&gt;1,MAX(IF($F$1:$F211=F212,$E$1:$E211)),""),"")),"&amp;hora_final=",HOUR(E212),"&amp;minuto_final=",MINUTE(E212),"&amp;periodo=6&amp;tipo=por_data&amp;upos=false&amp;outequip=0")),"")</f>
        <v/>
      </c>
      <c r="AN212" s="100" t="str">
        <f t="shared" si="23"/>
        <v xml:space="preserve">ABASTECEU no CANDEIAS-MG CARREGOU em FORMIGA-MG ABASTECEU no 22 SUL          </v>
      </c>
    </row>
    <row r="213" spans="1:40" x14ac:dyDescent="0.25">
      <c r="A213" s="101">
        <f>IFERROR(VLOOKUP(AN213,ROTAS!$A:$B,2,FALSE),0)</f>
        <v>1</v>
      </c>
      <c r="B213" s="101">
        <f t="shared" si="24"/>
        <v>2</v>
      </c>
      <c r="C213" s="101">
        <f t="shared" si="25"/>
        <v>390.5</v>
      </c>
      <c r="D213" s="144">
        <v>44866</v>
      </c>
      <c r="E213" s="76">
        <v>44895.864583333336</v>
      </c>
      <c r="F213" s="6" t="s">
        <v>25</v>
      </c>
      <c r="G213" s="5" t="str">
        <f>IFERROR(VLOOKUP(SUMIFS(MSOLICITADA!$I:$I,MSOLICITADA!$B:$B,D213,MSOLICITADA!$F:$F,F213),CODIGOSPLACAS!$A$64:$B$89,2,FALSE),"")</f>
        <v>EDUALDO</v>
      </c>
      <c r="H213" s="77">
        <v>1005756</v>
      </c>
      <c r="I213" s="77">
        <v>1006156</v>
      </c>
      <c r="J213" s="7">
        <v>275</v>
      </c>
      <c r="K213" s="78">
        <v>1757.25</v>
      </c>
      <c r="L213" s="79" t="s">
        <v>111</v>
      </c>
      <c r="M213" s="6">
        <v>400</v>
      </c>
      <c r="N213" s="5" t="str">
        <f t="shared" si="19"/>
        <v/>
      </c>
      <c r="O213" s="80">
        <f t="shared" si="20"/>
        <v>6.39</v>
      </c>
      <c r="P213" s="8">
        <f t="shared" si="21"/>
        <v>1.4545454545454546</v>
      </c>
      <c r="Q213" s="8">
        <f t="shared" si="26"/>
        <v>1.3451195863175471</v>
      </c>
      <c r="R213" s="81">
        <f t="shared" si="22"/>
        <v>1</v>
      </c>
      <c r="S213" s="113" t="str">
        <f>IF(F213="","",IF(H213="",TEXT(_xlfn.MAXIFS($I$1:I213,$F$1:F213,F213,$H$1:H213,"&gt;"&amp;0),"000.000"),F213))</f>
        <v>QHE9735</v>
      </c>
      <c r="T213" s="101" t="str">
        <f t="shared" si="27"/>
        <v/>
      </c>
      <c r="U213" s="82" t="s">
        <v>220</v>
      </c>
      <c r="V213" s="98" t="s">
        <v>206</v>
      </c>
      <c r="W213" s="82" t="s">
        <v>221</v>
      </c>
      <c r="X213" s="98" t="s">
        <v>169</v>
      </c>
      <c r="Y213" s="82" t="s">
        <v>220</v>
      </c>
      <c r="Z213" s="98" t="s">
        <v>166</v>
      </c>
      <c r="AA213" s="82"/>
      <c r="AB213" s="98"/>
      <c r="AC213" s="82"/>
      <c r="AD213" s="98"/>
      <c r="AE213" s="117"/>
      <c r="AF213" s="98"/>
      <c r="AG213" s="98"/>
      <c r="AH213" s="98"/>
      <c r="AI213" s="82"/>
      <c r="AJ213" s="98"/>
      <c r="AK213" s="83"/>
      <c r="AL213" s="84" t="str">
        <f>IF(F213&lt;&gt;0,IF(_xlfn.MAXIFS($I$1:I213,$F$1:F213,F213,$H$1:H213,"&gt;"&amp;0)=0,"KM NÃO ENCONTRADO",IF(H213=0,CONCATENATE("SUGESTÃO DE KM PARA PLACA ",F213," *",_xlfn.MAXIFS($I$1:I213,$F$1:F213,F213,$H$1:H213,"&gt;"&amp;0),"*"),"")),"")</f>
        <v/>
      </c>
      <c r="AM213" s="85" t="str" cm="1">
        <f t="array" ref="AM213">IFERROR(IF(M213&lt;&gt;"","",CONCATENATE("https://btx.brasiltrack.com/logistica/trajeto.php?idveiculo=",VLOOKUP(F213,DATAS!$A$221:$B$250,2,FALSE),"&amp;lat=-22.204247","&amp;data_ini=",TEXT(IF(E213&lt;&gt;"",IF(COUNTIF($F$2:$F213,F213)&gt;1,MAX(IF($F$1:$F212=F213,$E$1:$E212)),""),""),"DD/MM/AAAA"),"&amp;data_fim=",TEXT(E213,"DD/MM/AAAA"),"&amp;hora_inicial=",HOUR(IF(E213&lt;&gt;"",IF(COUNTIF($F$2:$F213,F213)&gt;1,MAX(IF($F$1:$F212=F213,$E$1:$E212)),""),"")),"&amp;minuto_inicial=",MINUTE(IF(E213&lt;&gt;"",IF(COUNTIF($F$2:$F213,F213)&gt;1,MAX(IF($F$1:$F212=F213,$E$1:$E212)),""),"")),"&amp;hora_final=",HOUR(E213),"&amp;minuto_final=",MINUTE(E213),"&amp;periodo=6&amp;tipo=por_data&amp;upos=false&amp;outequip=0")),"")</f>
        <v/>
      </c>
      <c r="AN213" s="100" t="str">
        <f t="shared" si="23"/>
        <v xml:space="preserve">ABASTECEU no CANDEIAS-MG CARREGOU em FORMIGA-MG ABASTECEU no 22 SUL          </v>
      </c>
    </row>
    <row r="214" spans="1:40" x14ac:dyDescent="0.25">
      <c r="A214" s="101">
        <f>IFERROR(VLOOKUP(AN214,ROTAS!$A:$B,2,FALSE),0)</f>
        <v>2</v>
      </c>
      <c r="B214" s="101">
        <f t="shared" si="24"/>
        <v>11</v>
      </c>
      <c r="C214" s="101">
        <f t="shared" si="25"/>
        <v>865.72727272727275</v>
      </c>
      <c r="D214" s="144">
        <v>44866</v>
      </c>
      <c r="E214" s="76">
        <v>44895.945138888892</v>
      </c>
      <c r="F214" s="6" t="s">
        <v>29</v>
      </c>
      <c r="G214" s="5" t="str">
        <f>IFERROR(VLOOKUP(SUMIFS(MSOLICITADA!$I:$I,MSOLICITADA!$B:$B,D214,MSOLICITADA!$F:$F,F214),CODIGOSPLACAS!$A$64:$B$89,2,FALSE),"")</f>
        <v>EDNILSON</v>
      </c>
      <c r="H214" s="77">
        <v>230436</v>
      </c>
      <c r="I214" s="77">
        <v>231291</v>
      </c>
      <c r="J214" s="7">
        <v>501.13099999999997</v>
      </c>
      <c r="K214" s="78">
        <v>3202.22</v>
      </c>
      <c r="L214" s="79" t="s">
        <v>111</v>
      </c>
      <c r="M214" s="6">
        <v>428</v>
      </c>
      <c r="N214" s="5">
        <f t="shared" si="19"/>
        <v>427</v>
      </c>
      <c r="O214" s="80">
        <f t="shared" si="20"/>
        <v>6.3899858520027699</v>
      </c>
      <c r="P214" s="8">
        <f t="shared" si="21"/>
        <v>1.7061407097146255</v>
      </c>
      <c r="Q214" s="8">
        <f t="shared" si="26"/>
        <v>1.5506852118293495</v>
      </c>
      <c r="R214" s="81">
        <f t="shared" si="22"/>
        <v>0.50058479532163747</v>
      </c>
      <c r="S214" s="113" t="str">
        <f>IF(F214="","",IF(H214="",TEXT(_xlfn.MAXIFS($I$1:I214,$F$1:F214,F214,$H$1:H214,"&gt;"&amp;0),"000.000"),F214))</f>
        <v>GKA2J56</v>
      </c>
      <c r="T214" s="101">
        <f t="shared" si="27"/>
        <v>432.72727272727275</v>
      </c>
      <c r="U214" s="82" t="s">
        <v>220</v>
      </c>
      <c r="V214" s="98" t="s">
        <v>165</v>
      </c>
      <c r="W214" s="82" t="s">
        <v>222</v>
      </c>
      <c r="X214" s="98" t="s">
        <v>176</v>
      </c>
      <c r="Y214" s="82" t="s">
        <v>225</v>
      </c>
      <c r="Z214" s="98" t="s">
        <v>237</v>
      </c>
      <c r="AA214" s="82" t="s">
        <v>221</v>
      </c>
      <c r="AB214" s="98" t="s">
        <v>168</v>
      </c>
      <c r="AC214" s="82" t="s">
        <v>225</v>
      </c>
      <c r="AD214" s="98" t="s">
        <v>237</v>
      </c>
      <c r="AE214" s="117" t="s">
        <v>220</v>
      </c>
      <c r="AF214" s="98" t="s">
        <v>165</v>
      </c>
      <c r="AG214" s="82"/>
      <c r="AH214" s="98"/>
      <c r="AI214" s="82"/>
      <c r="AJ214" s="98"/>
      <c r="AK214" s="83"/>
      <c r="AL214" s="84" t="str">
        <f>IF(F214&lt;&gt;0,IF(_xlfn.MAXIFS($I$1:I214,$F$1:F214,F214,$H$1:H214,"&gt;"&amp;0)=0,"KM NÃO ENCONTRADO",IF(H214=0,CONCATENATE("SUGESTÃO DE KM PARA PLACA ",F214," *",_xlfn.MAXIFS($I$1:I214,$F$1:F214,F214,$H$1:H214,"&gt;"&amp;0),"*"),"")),"")</f>
        <v/>
      </c>
      <c r="AM214" s="85" t="str" cm="1">
        <f t="array" ref="AM214">IFERROR(IF(M214&lt;&gt;"","",CONCATENATE("https://btx.brasiltrack.com/logistica/trajeto.php?idveiculo=",VLOOKUP(F214,DATAS!$A$221:$B$250,2,FALSE),"&amp;lat=-22.204247","&amp;data_ini=",TEXT(IF(E214&lt;&gt;"",IF(COUNTIF($F$2:$F214,F214)&gt;1,MAX(IF($F$1:$F213=F214,$E$1:$E213)),""),""),"DD/MM/AAAA"),"&amp;data_fim=",TEXT(E214,"DD/MM/AAAA"),"&amp;hora_inicial=",HOUR(IF(E214&lt;&gt;"",IF(COUNTIF($F$2:$F214,F214)&gt;1,MAX(IF($F$1:$F213=F214,$E$1:$E213)),""),"")),"&amp;minuto_inicial=",MINUTE(IF(E214&lt;&gt;"",IF(COUNTIF($F$2:$F214,F214)&gt;1,MAX(IF($F$1:$F213=F214,$E$1:$E213)),""),"")),"&amp;hora_final=",HOUR(E214),"&amp;minuto_final=",MINUTE(E214),"&amp;periodo=6&amp;tipo=por_data&amp;upos=false&amp;outequip=0")),"")</f>
        <v/>
      </c>
      <c r="AN214" s="100" t="str">
        <f t="shared" si="23"/>
        <v xml:space="preserve">ABASTECEU no 22 NORTE DESCARREGOU em ALFENAS-MG PASSOU em ARUJÁ-SP CARREGOU em CUBATAO-SP PASSOU em ARUJÁ-SP ABASTECEU no 22 NORTE    </v>
      </c>
    </row>
    <row r="215" spans="1:40" ht="12" customHeight="1" x14ac:dyDescent="0.25">
      <c r="A215" s="101">
        <f>IFERROR(VLOOKUP(AN215,ROTAS!$A:$B,2,FALSE),0)</f>
        <v>3</v>
      </c>
      <c r="B215" s="101">
        <f t="shared" si="24"/>
        <v>6</v>
      </c>
      <c r="C215" s="101">
        <f t="shared" si="25"/>
        <v>826.16666666666663</v>
      </c>
      <c r="D215" s="144">
        <v>44866</v>
      </c>
      <c r="E215" s="76">
        <v>44895.981944444444</v>
      </c>
      <c r="F215" s="6" t="s">
        <v>131</v>
      </c>
      <c r="G215" s="5" t="str">
        <f>IFERROR(VLOOKUP(SUMIFS(MSOLICITADA!$I:$I,MSOLICITADA!$B:$B,D215,MSOLICITADA!$F:$F,F215),CODIGOSPLACAS!$A$64:$B$89,2,FALSE),"")</f>
        <v>ALTIELIS</v>
      </c>
      <c r="H215" s="77">
        <v>39296</v>
      </c>
      <c r="I215" s="77">
        <v>40096</v>
      </c>
      <c r="J215" s="7">
        <v>440.32100000000003</v>
      </c>
      <c r="K215" s="78">
        <v>2813.65</v>
      </c>
      <c r="L215" s="79" t="s">
        <v>111</v>
      </c>
      <c r="M215" s="6">
        <v>370</v>
      </c>
      <c r="N215" s="5">
        <f t="shared" si="19"/>
        <v>430</v>
      </c>
      <c r="O215" s="80">
        <f t="shared" si="20"/>
        <v>6.3899972974261958</v>
      </c>
      <c r="P215" s="8">
        <f t="shared" si="21"/>
        <v>1.8168563388982129</v>
      </c>
      <c r="Q215" s="8">
        <f t="shared" si="26"/>
        <v>1.4985018243623649</v>
      </c>
      <c r="R215" s="81">
        <f t="shared" si="22"/>
        <v>0.46250000000000002</v>
      </c>
      <c r="S215" s="113" t="str">
        <f>IF(F215="","",IF(H215="",TEXT(_xlfn.MAXIFS($I$1:I215,$F$1:F215,F215,$H$1:H215,"&gt;"&amp;0),"000.000"),F215))</f>
        <v>GGN4J86</v>
      </c>
      <c r="T215" s="101">
        <f t="shared" si="27"/>
        <v>446.66666666666669</v>
      </c>
      <c r="U215" s="82" t="s">
        <v>220</v>
      </c>
      <c r="V215" s="98" t="s">
        <v>165</v>
      </c>
      <c r="W215" s="82" t="s">
        <v>222</v>
      </c>
      <c r="X215" s="98" t="s">
        <v>176</v>
      </c>
      <c r="Y215" s="82" t="s">
        <v>225</v>
      </c>
      <c r="Z215" s="98" t="s">
        <v>237</v>
      </c>
      <c r="AA215" s="82" t="s">
        <v>221</v>
      </c>
      <c r="AB215" s="98" t="s">
        <v>168</v>
      </c>
      <c r="AC215" s="82" t="s">
        <v>225</v>
      </c>
      <c r="AD215" s="98" t="s">
        <v>284</v>
      </c>
      <c r="AE215" s="117" t="s">
        <v>220</v>
      </c>
      <c r="AF215" s="98" t="s">
        <v>165</v>
      </c>
      <c r="AG215" s="82"/>
      <c r="AH215" s="98"/>
      <c r="AI215" s="82"/>
      <c r="AJ215" s="98"/>
      <c r="AK215" s="83"/>
      <c r="AL215" s="84" t="str">
        <f>IF(F215&lt;&gt;0,IF(_xlfn.MAXIFS($I$1:I215,$F$1:F215,F215,$H$1:H215,"&gt;"&amp;0)=0,"KM NÃO ENCONTRADO",IF(H215=0,CONCATENATE("SUGESTÃO DE KM PARA PLACA ",F215," *",_xlfn.MAXIFS($I$1:I215,$F$1:F215,F215,$H$1:H215,"&gt;"&amp;0),"*"),"")),"")</f>
        <v/>
      </c>
      <c r="AM215" s="85" t="str" cm="1">
        <f t="array" ref="AM215">IFERROR(IF(M215&lt;&gt;"","",CONCATENATE("https://btx.brasiltrack.com/logistica/trajeto.php?idveiculo=",VLOOKUP(F215,DATAS!$A$221:$B$250,2,FALSE),"&amp;lat=-22.204247","&amp;data_ini=",TEXT(IF(E215&lt;&gt;"",IF(COUNTIF($F$2:$F215,F215)&gt;1,MAX(IF($F$1:$F214=F215,$E$1:$E214)),""),""),"DD/MM/AAAA"),"&amp;data_fim=",TEXT(E215,"DD/MM/AAAA"),"&amp;hora_inicial=",HOUR(IF(E215&lt;&gt;"",IF(COUNTIF($F$2:$F215,F215)&gt;1,MAX(IF($F$1:$F214=F215,$E$1:$E214)),""),"")),"&amp;minuto_inicial=",MINUTE(IF(E215&lt;&gt;"",IF(COUNTIF($F$2:$F215,F215)&gt;1,MAX(IF($F$1:$F214=F215,$E$1:$E214)),""),"")),"&amp;hora_final=",HOUR(E215),"&amp;minuto_final=",MINUTE(E215),"&amp;periodo=6&amp;tipo=por_data&amp;upos=false&amp;outequip=0")),"")</f>
        <v/>
      </c>
      <c r="AN215" s="100" t="str">
        <f t="shared" si="23"/>
        <v xml:space="preserve">ABASTECEU no 22 NORTE DESCARREGOU em ALFENAS-MG PASSOU em ARUJÁ-SP CARREGOU em CUBATAO-SP PASSOU em SÃO PAULO-SP ABASTECEU no 22 NORTE    </v>
      </c>
    </row>
    <row r="216" spans="1:40" x14ac:dyDescent="0.25">
      <c r="A216" s="101">
        <f>IFERROR(VLOOKUP(AN216,ROTAS!$A:$B,2,FALSE),0)</f>
        <v>3</v>
      </c>
      <c r="B216" s="101">
        <f t="shared" si="24"/>
        <v>6</v>
      </c>
      <c r="C216" s="101">
        <f t="shared" si="25"/>
        <v>826.16666666666663</v>
      </c>
      <c r="D216" s="144">
        <v>44896</v>
      </c>
      <c r="E216" s="76">
        <v>44896.006944444445</v>
      </c>
      <c r="F216" s="6" t="s">
        <v>26</v>
      </c>
      <c r="G216" s="5" t="str">
        <f>IFERROR(VLOOKUP(SUMIFS(MSOLICITADA!$I:$I,MSOLICITADA!$B:$B,D216,MSOLICITADA!$F:$F,F216),CODIGOSPLACAS!$A$64:$B$89,2,FALSE),"")</f>
        <v>DIEGO</v>
      </c>
      <c r="H216" s="77">
        <v>395380</v>
      </c>
      <c r="I216" s="77">
        <v>396274</v>
      </c>
      <c r="J216" s="7">
        <v>573.00099999999998</v>
      </c>
      <c r="K216" s="78">
        <v>3661.47</v>
      </c>
      <c r="L216" s="79" t="s">
        <v>111</v>
      </c>
      <c r="M216" s="6">
        <v>404</v>
      </c>
      <c r="N216" s="5">
        <f t="shared" si="19"/>
        <v>490</v>
      </c>
      <c r="O216" s="80">
        <f t="shared" si="20"/>
        <v>6.3899888481870013</v>
      </c>
      <c r="P216" s="8">
        <f t="shared" si="21"/>
        <v>1.5602067012099456</v>
      </c>
      <c r="Q216" s="8">
        <f t="shared" si="26"/>
        <v>1.42982167893118</v>
      </c>
      <c r="R216" s="81">
        <f t="shared" si="22"/>
        <v>0.45190156599552572</v>
      </c>
      <c r="S216" s="113" t="str">
        <f>IF(F216="","",IF(H216="",TEXT(_xlfn.MAXIFS($I$1:I216,$F$1:F216,F216,$H$1:H216,"&gt;"&amp;0),"000.000"),F216))</f>
        <v>BZA3587</v>
      </c>
      <c r="T216" s="101">
        <f t="shared" si="27"/>
        <v>446.66666666666669</v>
      </c>
      <c r="U216" s="82" t="s">
        <v>220</v>
      </c>
      <c r="V216" s="98" t="s">
        <v>165</v>
      </c>
      <c r="W216" s="82" t="s">
        <v>222</v>
      </c>
      <c r="X216" s="98" t="s">
        <v>176</v>
      </c>
      <c r="Y216" s="82" t="s">
        <v>225</v>
      </c>
      <c r="Z216" s="98" t="s">
        <v>237</v>
      </c>
      <c r="AA216" s="82" t="s">
        <v>221</v>
      </c>
      <c r="AB216" s="98" t="s">
        <v>168</v>
      </c>
      <c r="AC216" s="82" t="s">
        <v>225</v>
      </c>
      <c r="AD216" s="98" t="s">
        <v>284</v>
      </c>
      <c r="AE216" s="117" t="s">
        <v>220</v>
      </c>
      <c r="AF216" s="98" t="s">
        <v>165</v>
      </c>
      <c r="AG216" s="82"/>
      <c r="AH216" s="98"/>
      <c r="AI216" s="82"/>
      <c r="AJ216" s="98"/>
      <c r="AK216" s="83"/>
      <c r="AL216" s="84" t="str">
        <f>IF(F216&lt;&gt;0,IF(_xlfn.MAXIFS($I$1:I216,$F$1:F216,F216,$H$1:H216,"&gt;"&amp;0)=0,"KM NÃO ENCONTRADO",IF(H216=0,CONCATENATE("SUGESTÃO DE KM PARA PLACA ",F216," *",_xlfn.MAXIFS($I$1:I216,$F$1:F216,F216,$H$1:H216,"&gt;"&amp;0),"*"),"")),"")</f>
        <v/>
      </c>
      <c r="AM216" s="85" t="str" cm="1">
        <f t="array" ref="AM216">IFERROR(IF(M216&lt;&gt;"","",CONCATENATE("https://btx.brasiltrack.com/logistica/trajeto.php?idveiculo=",VLOOKUP(F216,DATAS!$A$221:$B$250,2,FALSE),"&amp;lat=-22.204247","&amp;data_ini=",TEXT(IF(E216&lt;&gt;"",IF(COUNTIF($F$2:$F216,F216)&gt;1,MAX(IF($F$1:$F215=F216,$E$1:$E215)),""),""),"DD/MM/AAAA"),"&amp;data_fim=",TEXT(E216,"DD/MM/AAAA"),"&amp;hora_inicial=",HOUR(IF(E216&lt;&gt;"",IF(COUNTIF($F$2:$F216,F216)&gt;1,MAX(IF($F$1:$F215=F216,$E$1:$E215)),""),"")),"&amp;minuto_inicial=",MINUTE(IF(E216&lt;&gt;"",IF(COUNTIF($F$2:$F216,F216)&gt;1,MAX(IF($F$1:$F215=F216,$E$1:$E215)),""),"")),"&amp;hora_final=",HOUR(E216),"&amp;minuto_final=",MINUTE(E216),"&amp;periodo=6&amp;tipo=por_data&amp;upos=false&amp;outequip=0")),"")</f>
        <v/>
      </c>
      <c r="AN216" s="100" t="str">
        <f t="shared" si="23"/>
        <v xml:space="preserve">ABASTECEU no 22 NORTE DESCARREGOU em ALFENAS-MG PASSOU em ARUJÁ-SP CARREGOU em CUBATAO-SP PASSOU em SÃO PAULO-SP ABASTECEU no 22 NORTE    </v>
      </c>
    </row>
    <row r="217" spans="1:40" x14ac:dyDescent="0.25">
      <c r="A217" s="101">
        <f>IFERROR(VLOOKUP(AN217,ROTAS!$A:$B,2,FALSE),0)</f>
        <v>4</v>
      </c>
      <c r="B217" s="101">
        <f t="shared" si="24"/>
        <v>1</v>
      </c>
      <c r="C217" s="101">
        <f t="shared" si="25"/>
        <v>613</v>
      </c>
      <c r="D217" s="144">
        <v>44896</v>
      </c>
      <c r="E217" s="76">
        <v>44896.240972222222</v>
      </c>
      <c r="F217" s="6" t="s">
        <v>30</v>
      </c>
      <c r="G217" s="5" t="str">
        <f>IFERROR(VLOOKUP(SUMIFS(MSOLICITADA!$I:$I,MSOLICITADA!$B:$B,D217,MSOLICITADA!$F:$F,F217),CODIGOSPLACAS!$A$64:$B$89,2,FALSE),"")</f>
        <v>RONILSON</v>
      </c>
      <c r="H217" s="77">
        <v>214724</v>
      </c>
      <c r="I217" s="77">
        <v>215337</v>
      </c>
      <c r="J217" s="7">
        <v>369.00099999999998</v>
      </c>
      <c r="K217" s="78">
        <v>2357.91</v>
      </c>
      <c r="L217" s="79" t="s">
        <v>111</v>
      </c>
      <c r="M217" s="6">
        <v>307</v>
      </c>
      <c r="N217" s="5">
        <f t="shared" si="19"/>
        <v>306</v>
      </c>
      <c r="O217" s="80">
        <f t="shared" si="20"/>
        <v>6.3899826829737592</v>
      </c>
      <c r="P217" s="8">
        <f t="shared" si="21"/>
        <v>1.6612421104549853</v>
      </c>
      <c r="Q217" s="8">
        <f t="shared" si="26"/>
        <v>1.5093777841757006</v>
      </c>
      <c r="R217" s="81">
        <f t="shared" si="22"/>
        <v>0.50081566068515493</v>
      </c>
      <c r="S217" s="113" t="str">
        <f>IF(F217="","",IF(H217="",TEXT(_xlfn.MAXIFS($I$1:I217,$F$1:F217,F217,$H$1:H217,"&gt;"&amp;0),"000.000"),F217))</f>
        <v>GFB0I37</v>
      </c>
      <c r="T217" s="101">
        <f t="shared" si="27"/>
        <v>306</v>
      </c>
      <c r="U217" s="82" t="s">
        <v>220</v>
      </c>
      <c r="V217" s="98" t="s">
        <v>165</v>
      </c>
      <c r="W217" s="82" t="s">
        <v>222</v>
      </c>
      <c r="X217" s="98" t="s">
        <v>200</v>
      </c>
      <c r="Y217" s="82" t="s">
        <v>225</v>
      </c>
      <c r="Z217" s="98" t="s">
        <v>284</v>
      </c>
      <c r="AA217" s="82" t="s">
        <v>221</v>
      </c>
      <c r="AB217" s="98" t="s">
        <v>175</v>
      </c>
      <c r="AC217" s="82" t="s">
        <v>225</v>
      </c>
      <c r="AD217" s="98" t="s">
        <v>284</v>
      </c>
      <c r="AE217" s="117" t="s">
        <v>220</v>
      </c>
      <c r="AF217" s="98" t="s">
        <v>165</v>
      </c>
      <c r="AG217" s="82"/>
      <c r="AH217" s="98"/>
      <c r="AI217" s="82"/>
      <c r="AJ217" s="98"/>
      <c r="AK217" s="83"/>
      <c r="AL217" s="84" t="str">
        <f>IF(F217&lt;&gt;0,IF(_xlfn.MAXIFS($I$1:I217,$F$1:F217,F217,$H$1:H217,"&gt;"&amp;0)=0,"KM NÃO ENCONTRADO",IF(H217=0,CONCATENATE("SUGESTÃO DE KM PARA PLACA ",F217," *",_xlfn.MAXIFS($I$1:I217,$F$1:F217,F217,$H$1:H217,"&gt;"&amp;0),"*"),"")),"")</f>
        <v/>
      </c>
      <c r="AM217" s="85" t="str" cm="1">
        <f t="array" ref="AM217">IFERROR(IF(M217&lt;&gt;"","",CONCATENATE("https://btx.brasiltrack.com/logistica/trajeto.php?idveiculo=",VLOOKUP(F217,DATAS!$A$221:$B$250,2,FALSE),"&amp;lat=-22.204247","&amp;data_ini=",TEXT(IF(E217&lt;&gt;"",IF(COUNTIF($F$2:$F217,F217)&gt;1,MAX(IF($F$1:$F216=F217,$E$1:$E216)),""),""),"DD/MM/AAAA"),"&amp;data_fim=",TEXT(E217,"DD/MM/AAAA"),"&amp;hora_inicial=",HOUR(IF(E217&lt;&gt;"",IF(COUNTIF($F$2:$F217,F217)&gt;1,MAX(IF($F$1:$F216=F217,$E$1:$E216)),""),"")),"&amp;minuto_inicial=",MINUTE(IF(E217&lt;&gt;"",IF(COUNTIF($F$2:$F217,F217)&gt;1,MAX(IF($F$1:$F216=F217,$E$1:$E216)),""),"")),"&amp;hora_final=",HOUR(E217),"&amp;minuto_final=",MINUTE(E217),"&amp;periodo=6&amp;tipo=por_data&amp;upos=false&amp;outequip=0")),"")</f>
        <v/>
      </c>
      <c r="AN217" s="100" t="str">
        <f t="shared" si="23"/>
        <v xml:space="preserve">ABASTECEU no 22 NORTE DESCARREGOU em CONGONHAL-MG PASSOU em SÃO PAULO-SP CARREGOU em SANTOS-SP PASSOU em SÃO PAULO-SP ABASTECEU no 22 NORTE    </v>
      </c>
    </row>
    <row r="218" spans="1:40" x14ac:dyDescent="0.25">
      <c r="A218" s="101">
        <f>IFERROR(VLOOKUP(AN218,ROTAS!$A:$B,2,FALSE),0)</f>
        <v>5</v>
      </c>
      <c r="B218" s="101">
        <f t="shared" si="24"/>
        <v>1</v>
      </c>
      <c r="C218" s="101">
        <f t="shared" si="25"/>
        <v>300</v>
      </c>
      <c r="D218" s="144">
        <v>44896</v>
      </c>
      <c r="E218" s="76">
        <v>44896.245138888888</v>
      </c>
      <c r="F218" s="6" t="s">
        <v>23</v>
      </c>
      <c r="G218" s="5" t="str">
        <f>IFERROR(VLOOKUP(SUMIFS(MSOLICITADA!$I:$I,MSOLICITADA!$B:$B,D218,MSOLICITADA!$F:$F,F218),CODIGOSPLACAS!$A$64:$B$89,2,FALSE),"")</f>
        <v>ISAC</v>
      </c>
      <c r="H218" s="77">
        <v>1200175</v>
      </c>
      <c r="I218" s="77">
        <v>1200475</v>
      </c>
      <c r="J218" s="7">
        <v>237</v>
      </c>
      <c r="K218" s="78">
        <v>1704.03</v>
      </c>
      <c r="L218" s="79" t="s">
        <v>111</v>
      </c>
      <c r="M218" s="6">
        <v>300</v>
      </c>
      <c r="N218" s="5" t="str">
        <f t="shared" si="19"/>
        <v/>
      </c>
      <c r="O218" s="80">
        <f t="shared" si="20"/>
        <v>7.1899999999999995</v>
      </c>
      <c r="P218" s="8">
        <f t="shared" si="21"/>
        <v>1.2658227848101267</v>
      </c>
      <c r="Q218" s="8">
        <f t="shared" si="26"/>
        <v>1.5720509549919661</v>
      </c>
      <c r="R218" s="81">
        <f t="shared" si="22"/>
        <v>1</v>
      </c>
      <c r="S218" s="113" t="str">
        <f>IF(F218="","",IF(H218="",TEXT(_xlfn.MAXIFS($I$1:I218,$F$1:F218,F218,$H$1:H218,"&gt;"&amp;0),"000.000"),F218))</f>
        <v>HNC7I76</v>
      </c>
      <c r="T218" s="101" t="str">
        <f t="shared" si="27"/>
        <v/>
      </c>
      <c r="U218" s="82" t="s">
        <v>220</v>
      </c>
      <c r="V218" s="98" t="s">
        <v>227</v>
      </c>
      <c r="W218" s="82" t="s">
        <v>220</v>
      </c>
      <c r="X218" s="98" t="s">
        <v>226</v>
      </c>
      <c r="Y218" s="82"/>
      <c r="Z218" s="98"/>
      <c r="AA218" s="82"/>
      <c r="AB218" s="98"/>
      <c r="AC218" s="82"/>
      <c r="AD218" s="98"/>
      <c r="AE218" s="117"/>
      <c r="AF218" s="98"/>
      <c r="AG218" s="82"/>
      <c r="AH218" s="98"/>
      <c r="AI218" s="82"/>
      <c r="AJ218" s="98"/>
      <c r="AK218" s="83"/>
      <c r="AL218" s="84" t="str">
        <f>IF(F218&lt;&gt;0,IF(_xlfn.MAXIFS($I$1:I218,$F$1:F218,F218,$H$1:H218,"&gt;"&amp;0)=0,"KM NÃO ENCONTRADO",IF(H218=0,CONCATENATE("SUGESTÃO DE KM PARA PLACA ",F218," *",_xlfn.MAXIFS($I$1:I218,$F$1:F218,F218,$H$1:H218,"&gt;"&amp;0),"*"),"")),"")</f>
        <v/>
      </c>
      <c r="AM218" s="85" t="str" cm="1">
        <f t="array" ref="AM218">IFERROR(IF(M218&lt;&gt;"","",CONCATENATE("https://btx.brasiltrack.com/logistica/trajeto.php?idveiculo=",VLOOKUP(F218,DATAS!$A$221:$B$250,2,FALSE),"&amp;lat=-22.204247","&amp;data_ini=",TEXT(IF(E218&lt;&gt;"",IF(COUNTIF($F$2:$F218,F218)&gt;1,MAX(IF($F$1:$F217=F218,$E$1:$E217)),""),""),"DD/MM/AAAA"),"&amp;data_fim=",TEXT(E218,"DD/MM/AAAA"),"&amp;hora_inicial=",HOUR(IF(E218&lt;&gt;"",IF(COUNTIF($F$2:$F218,F218)&gt;1,MAX(IF($F$1:$F217=F218,$E$1:$E217)),""),"")),"&amp;minuto_inicial=",MINUTE(IF(E218&lt;&gt;"",IF(COUNTIF($F$2:$F218,F218)&gt;1,MAX(IF($F$1:$F217=F218,$E$1:$E217)),""),"")),"&amp;hora_final=",HOUR(E218),"&amp;minuto_final=",MINUTE(E218),"&amp;periodo=6&amp;tipo=por_data&amp;upos=false&amp;outequip=0")),"")</f>
        <v/>
      </c>
      <c r="AN218" s="100" t="str">
        <f t="shared" si="23"/>
        <v xml:space="preserve">ABASTECEU no PICA PAU NORTE ABASTECEU no PRODOESTE UBA            </v>
      </c>
    </row>
    <row r="219" spans="1:40" x14ac:dyDescent="0.25">
      <c r="A219" s="101">
        <f>IFERROR(VLOOKUP(AN219,ROTAS!$A:$B,2,FALSE),0)</f>
        <v>6</v>
      </c>
      <c r="B219" s="101">
        <f t="shared" si="24"/>
        <v>3</v>
      </c>
      <c r="C219" s="101">
        <f t="shared" si="25"/>
        <v>1039</v>
      </c>
      <c r="D219" s="144">
        <v>44896</v>
      </c>
      <c r="E219" s="76">
        <v>44896.529861111114</v>
      </c>
      <c r="F219" s="6" t="s">
        <v>126</v>
      </c>
      <c r="G219" s="5" t="str">
        <f>IFERROR(VLOOKUP(SUMIFS(MSOLICITADA!$I:$I,MSOLICITADA!$B:$B,D219,MSOLICITADA!$F:$F,F219),CODIGOSPLACAS!$A$64:$B$89,2,FALSE),"")</f>
        <v>IZAIAS</v>
      </c>
      <c r="H219" s="77">
        <v>482968</v>
      </c>
      <c r="I219" s="77">
        <v>483999</v>
      </c>
      <c r="J219" s="7">
        <v>662</v>
      </c>
      <c r="K219" s="78">
        <v>4408.92</v>
      </c>
      <c r="L219" s="79" t="s">
        <v>111</v>
      </c>
      <c r="M219" s="6">
        <v>651</v>
      </c>
      <c r="N219" s="5">
        <f t="shared" si="19"/>
        <v>380</v>
      </c>
      <c r="O219" s="80">
        <f t="shared" si="20"/>
        <v>6.66</v>
      </c>
      <c r="P219" s="8">
        <f t="shared" si="21"/>
        <v>1.5574018126888218</v>
      </c>
      <c r="Q219" s="8">
        <f t="shared" si="26"/>
        <v>1.5097907680030693</v>
      </c>
      <c r="R219" s="81">
        <f t="shared" si="22"/>
        <v>0.63142580019398642</v>
      </c>
      <c r="S219" s="113" t="str">
        <f>IF(F219="","",IF(H219="",TEXT(_xlfn.MAXIFS($I$1:I219,$F$1:F219,F219,$H$1:H219,"&gt;"&amp;0),"000.000"),F219))</f>
        <v>GHX4D71</v>
      </c>
      <c r="T219" s="101">
        <f t="shared" si="27"/>
        <v>385.33333333333331</v>
      </c>
      <c r="U219" s="82" t="s">
        <v>220</v>
      </c>
      <c r="V219" s="98" t="s">
        <v>165</v>
      </c>
      <c r="W219" s="82" t="s">
        <v>222</v>
      </c>
      <c r="X219" s="98" t="s">
        <v>176</v>
      </c>
      <c r="Y219" s="82" t="s">
        <v>225</v>
      </c>
      <c r="Z219" s="98" t="s">
        <v>237</v>
      </c>
      <c r="AA219" s="82" t="s">
        <v>221</v>
      </c>
      <c r="AB219" s="98" t="s">
        <v>175</v>
      </c>
      <c r="AC219" s="82" t="s">
        <v>225</v>
      </c>
      <c r="AD219" s="98" t="s">
        <v>281</v>
      </c>
      <c r="AE219" s="82" t="s">
        <v>220</v>
      </c>
      <c r="AF219" s="98" t="s">
        <v>227</v>
      </c>
      <c r="AG219" s="82"/>
      <c r="AH219" s="98"/>
      <c r="AI219" s="82"/>
      <c r="AJ219" s="98"/>
      <c r="AK219" s="83"/>
      <c r="AL219" s="84" t="str">
        <f>IF(F219&lt;&gt;0,IF(_xlfn.MAXIFS($I$1:I219,$F$1:F219,F219,$H$1:H219,"&gt;"&amp;0)=0,"KM NÃO ENCONTRADO",IF(H219=0,CONCATENATE("SUGESTÃO DE KM PARA PLACA ",F219," *",_xlfn.MAXIFS($I$1:I219,$F$1:F219,F219,$H$1:H219,"&gt;"&amp;0),"*"),"")),"")</f>
        <v/>
      </c>
      <c r="AM219" s="85" t="str" cm="1">
        <f t="array" ref="AM219">IFERROR(IF(M219&lt;&gt;"","",CONCATENATE("https://btx.brasiltrack.com/logistica/trajeto.php?idveiculo=",VLOOKUP(F219,DATAS!$A$221:$B$250,2,FALSE),"&amp;lat=-22.204247","&amp;data_ini=",TEXT(IF(E219&lt;&gt;"",IF(COUNTIF($F$2:$F219,F219)&gt;1,MAX(IF($F$1:$F218=F219,$E$1:$E218)),""),""),"DD/MM/AAAA"),"&amp;data_fim=",TEXT(E219,"DD/MM/AAAA"),"&amp;hora_inicial=",HOUR(IF(E219&lt;&gt;"",IF(COUNTIF($F$2:$F219,F219)&gt;1,MAX(IF($F$1:$F218=F219,$E$1:$E218)),""),"")),"&amp;minuto_inicial=",MINUTE(IF(E219&lt;&gt;"",IF(COUNTIF($F$2:$F219,F219)&gt;1,MAX(IF($F$1:$F218=F219,$E$1:$E218)),""),"")),"&amp;hora_final=",HOUR(E219),"&amp;minuto_final=",MINUTE(E219),"&amp;periodo=6&amp;tipo=por_data&amp;upos=false&amp;outequip=0")),"")</f>
        <v/>
      </c>
      <c r="AN219" s="100" t="str">
        <f t="shared" si="23"/>
        <v xml:space="preserve">ABASTECEU no 22 NORTE DESCARREGOU em ALFENAS-MG PASSOU em ARUJÁ-SP CARREGOU em SANTOS-SP PASSOU em OSASCO-SP ABASTECEU no PICA PAU NORTE    </v>
      </c>
    </row>
    <row r="220" spans="1:40" x14ac:dyDescent="0.25">
      <c r="A220" s="101">
        <f>IFERROR(VLOOKUP(AN220,ROTAS!$A:$B,2,FALSE),0)</f>
        <v>6</v>
      </c>
      <c r="B220" s="101">
        <f t="shared" si="24"/>
        <v>3</v>
      </c>
      <c r="C220" s="101">
        <f t="shared" si="25"/>
        <v>1039</v>
      </c>
      <c r="D220" s="144">
        <v>44896</v>
      </c>
      <c r="E220" s="76">
        <v>44896.751388888886</v>
      </c>
      <c r="F220" s="6" t="s">
        <v>128</v>
      </c>
      <c r="G220" s="5" t="str">
        <f>IFERROR(VLOOKUP(SUMIFS(MSOLICITADA!$I:$I,MSOLICITADA!$B:$B,D220,MSOLICITADA!$F:$F,F220),CODIGOSPLACAS!$A$64:$B$89,2,FALSE),"")</f>
        <v>ELI RICARDO</v>
      </c>
      <c r="H220" s="77">
        <v>85455</v>
      </c>
      <c r="I220" s="77">
        <v>86494</v>
      </c>
      <c r="J220" s="7">
        <v>572.03</v>
      </c>
      <c r="K220" s="78">
        <v>3915.78</v>
      </c>
      <c r="L220" s="79" t="s">
        <v>111</v>
      </c>
      <c r="M220" s="6">
        <v>659</v>
      </c>
      <c r="N220" s="5">
        <f t="shared" si="19"/>
        <v>380</v>
      </c>
      <c r="O220" s="80">
        <f t="shared" si="20"/>
        <v>6.8454102057584398</v>
      </c>
      <c r="P220" s="8">
        <f t="shared" si="21"/>
        <v>1.8163383039351084</v>
      </c>
      <c r="Q220" s="8">
        <f t="shared" si="26"/>
        <v>1.703484050067618</v>
      </c>
      <c r="R220" s="81">
        <f t="shared" si="22"/>
        <v>0.63426371511068336</v>
      </c>
      <c r="S220" s="113" t="str">
        <f>IF(F220="","",IF(H220="",TEXT(_xlfn.MAXIFS($I$1:I220,$F$1:F220,F220,$H$1:H220,"&gt;"&amp;0),"000.000"),F220))</f>
        <v>GFR0D47</v>
      </c>
      <c r="T220" s="101">
        <f t="shared" si="27"/>
        <v>385.33333333333331</v>
      </c>
      <c r="U220" s="82" t="s">
        <v>220</v>
      </c>
      <c r="V220" s="98" t="s">
        <v>165</v>
      </c>
      <c r="W220" s="82" t="s">
        <v>222</v>
      </c>
      <c r="X220" s="98" t="s">
        <v>176</v>
      </c>
      <c r="Y220" s="82" t="s">
        <v>225</v>
      </c>
      <c r="Z220" s="98" t="s">
        <v>237</v>
      </c>
      <c r="AA220" s="82" t="s">
        <v>221</v>
      </c>
      <c r="AB220" s="98" t="s">
        <v>175</v>
      </c>
      <c r="AC220" s="82" t="s">
        <v>225</v>
      </c>
      <c r="AD220" s="98" t="s">
        <v>281</v>
      </c>
      <c r="AE220" s="82" t="s">
        <v>220</v>
      </c>
      <c r="AF220" s="98" t="s">
        <v>227</v>
      </c>
      <c r="AG220" s="82"/>
      <c r="AH220" s="98"/>
      <c r="AI220" s="82"/>
      <c r="AJ220" s="98"/>
      <c r="AK220" s="83"/>
      <c r="AL220" s="84" t="str">
        <f>IF(F220&lt;&gt;0,IF(_xlfn.MAXIFS($I$1:I220,$F$1:F220,F220,$H$1:H220,"&gt;"&amp;0)=0,"KM NÃO ENCONTRADO",IF(H220=0,CONCATENATE("SUGESTÃO DE KM PARA PLACA ",F220," *",_xlfn.MAXIFS($I$1:I220,$F$1:F220,F220,$H$1:H220,"&gt;"&amp;0),"*"),"")),"")</f>
        <v/>
      </c>
      <c r="AM220" s="85" t="str" cm="1">
        <f t="array" ref="AM220">IFERROR(IF(M220&lt;&gt;"","",CONCATENATE("https://btx.brasiltrack.com/logistica/trajeto.php?idveiculo=",VLOOKUP(F220,DATAS!$A$221:$B$250,2,FALSE),"&amp;lat=-22.204247","&amp;data_ini=",TEXT(IF(E220&lt;&gt;"",IF(COUNTIF($F$2:$F220,F220)&gt;1,MAX(IF($F$1:$F219=F220,$E$1:$E219)),""),""),"DD/MM/AAAA"),"&amp;data_fim=",TEXT(E220,"DD/MM/AAAA"),"&amp;hora_inicial=",HOUR(IF(E220&lt;&gt;"",IF(COUNTIF($F$2:$F220,F220)&gt;1,MAX(IF($F$1:$F219=F220,$E$1:$E219)),""),"")),"&amp;minuto_inicial=",MINUTE(IF(E220&lt;&gt;"",IF(COUNTIF($F$2:$F220,F220)&gt;1,MAX(IF($F$1:$F219=F220,$E$1:$E219)),""),"")),"&amp;hora_final=",HOUR(E220),"&amp;minuto_final=",MINUTE(E220),"&amp;periodo=6&amp;tipo=por_data&amp;upos=false&amp;outequip=0")),"")</f>
        <v/>
      </c>
      <c r="AN220" s="100" t="str">
        <f t="shared" si="23"/>
        <v xml:space="preserve">ABASTECEU no 22 NORTE DESCARREGOU em ALFENAS-MG PASSOU em ARUJÁ-SP CARREGOU em SANTOS-SP PASSOU em OSASCO-SP ABASTECEU no PICA PAU NORTE    </v>
      </c>
    </row>
    <row r="221" spans="1:40" x14ac:dyDescent="0.25">
      <c r="A221" s="101">
        <f>IFERROR(VLOOKUP(AN221,ROTAS!$A:$B,2,FALSE),0)</f>
        <v>7</v>
      </c>
      <c r="B221" s="101">
        <f t="shared" si="24"/>
        <v>1</v>
      </c>
      <c r="C221" s="101">
        <f t="shared" si="25"/>
        <v>753</v>
      </c>
      <c r="D221" s="144">
        <v>44896</v>
      </c>
      <c r="E221" s="76">
        <v>44896.884027777778</v>
      </c>
      <c r="F221" s="6" t="s">
        <v>124</v>
      </c>
      <c r="G221" s="5" t="str">
        <f>IFERROR(VLOOKUP(SUMIFS(MSOLICITADA!$I:$I,MSOLICITADA!$B:$B,D221,MSOLICITADA!$F:$F,F221),CODIGOSPLACAS!$A$64:$B$89,2,FALSE),"")</f>
        <v>ISRAEL</v>
      </c>
      <c r="H221" s="77">
        <v>132368</v>
      </c>
      <c r="I221" s="77">
        <v>133121</v>
      </c>
      <c r="J221" s="7">
        <v>426.01</v>
      </c>
      <c r="K221" s="78">
        <v>2722.2</v>
      </c>
      <c r="L221" s="79" t="s">
        <v>111</v>
      </c>
      <c r="M221" s="6">
        <v>368</v>
      </c>
      <c r="N221" s="5">
        <f t="shared" si="19"/>
        <v>385</v>
      </c>
      <c r="O221" s="80">
        <f t="shared" si="20"/>
        <v>6.3899908452853218</v>
      </c>
      <c r="P221" s="8">
        <f t="shared" si="21"/>
        <v>1.7675641416868149</v>
      </c>
      <c r="Q221" s="8">
        <f t="shared" si="26"/>
        <v>1.6396894062131062</v>
      </c>
      <c r="R221" s="81">
        <f t="shared" si="22"/>
        <v>0.48871181938911024</v>
      </c>
      <c r="S221" s="113" t="str">
        <f>IF(F221="","",IF(H221="",TEXT(_xlfn.MAXIFS($I$1:I221,$F$1:F221,F221,$H$1:H221,"&gt;"&amp;0),"000.000"),F221))</f>
        <v>GHH9B64</v>
      </c>
      <c r="T221" s="101">
        <f t="shared" si="27"/>
        <v>385</v>
      </c>
      <c r="U221" s="82" t="s">
        <v>220</v>
      </c>
      <c r="V221" s="98" t="s">
        <v>206</v>
      </c>
      <c r="W221" s="82" t="s">
        <v>222</v>
      </c>
      <c r="X221" s="98" t="s">
        <v>167</v>
      </c>
      <c r="Y221" s="82" t="s">
        <v>225</v>
      </c>
      <c r="Z221" s="98" t="s">
        <v>284</v>
      </c>
      <c r="AA221" s="82" t="s">
        <v>221</v>
      </c>
      <c r="AB221" s="98" t="s">
        <v>175</v>
      </c>
      <c r="AC221" s="82" t="s">
        <v>225</v>
      </c>
      <c r="AD221" s="98" t="s">
        <v>237</v>
      </c>
      <c r="AE221" s="82" t="s">
        <v>220</v>
      </c>
      <c r="AF221" s="98" t="s">
        <v>227</v>
      </c>
      <c r="AG221" s="82"/>
      <c r="AH221" s="98"/>
      <c r="AI221" s="82"/>
      <c r="AJ221" s="98"/>
      <c r="AK221" s="83"/>
      <c r="AL221" s="84" t="str">
        <f>IF(F221&lt;&gt;0,IF(_xlfn.MAXIFS($I$1:I221,$F$1:F221,F221,$H$1:H221,"&gt;"&amp;0)=0,"KM NÃO ENCONTRADO",IF(H221=0,CONCATENATE("SUGESTÃO DE KM PARA PLACA ",F221," *",_xlfn.MAXIFS($I$1:I221,$F$1:F221,F221,$H$1:H221,"&gt;"&amp;0),"*"),"")),"")</f>
        <v/>
      </c>
      <c r="AM221" s="85" t="str" cm="1">
        <f t="array" ref="AM221">IFERROR(IF(M221&lt;&gt;"","",CONCATENATE("https://btx.brasiltrack.com/logistica/trajeto.php?idveiculo=",VLOOKUP(F221,DATAS!$A$221:$B$250,2,FALSE),"&amp;lat=-22.204247","&amp;data_ini=",TEXT(IF(E221&lt;&gt;"",IF(COUNTIF($F$2:$F221,F221)&gt;1,MAX(IF($F$1:$F220=F221,$E$1:$E220)),""),""),"DD/MM/AAAA"),"&amp;data_fim=",TEXT(E221,"DD/MM/AAAA"),"&amp;hora_inicial=",HOUR(IF(E221&lt;&gt;"",IF(COUNTIF($F$2:$F221,F221)&gt;1,MAX(IF($F$1:$F220=F221,$E$1:$E220)),""),"")),"&amp;minuto_inicial=",MINUTE(IF(E221&lt;&gt;"",IF(COUNTIF($F$2:$F221,F221)&gt;1,MAX(IF($F$1:$F220=F221,$E$1:$E220)),""),"")),"&amp;hora_final=",HOUR(E221),"&amp;minuto_final=",MINUTE(E221),"&amp;periodo=6&amp;tipo=por_data&amp;upos=false&amp;outequip=0")),"")</f>
        <v/>
      </c>
      <c r="AN221" s="100" t="str">
        <f t="shared" si="23"/>
        <v xml:space="preserve">ABASTECEU no CANDEIAS-MG DESCARREGOU em VARGINHA-MG PASSOU em SÃO PAULO-SP CARREGOU em SANTOS-SP PASSOU em ARUJÁ-SP ABASTECEU no PICA PAU NORTE    </v>
      </c>
    </row>
    <row r="222" spans="1:40" x14ac:dyDescent="0.25">
      <c r="A222" s="101">
        <f>IFERROR(VLOOKUP(AN222,ROTAS!$A:$B,2,FALSE),0)</f>
        <v>8</v>
      </c>
      <c r="B222" s="101">
        <f t="shared" si="24"/>
        <v>1</v>
      </c>
      <c r="C222" s="101">
        <f t="shared" si="25"/>
        <v>950</v>
      </c>
      <c r="D222" s="144">
        <v>44896</v>
      </c>
      <c r="E222" s="76">
        <v>44896.89166666667</v>
      </c>
      <c r="F222" s="6" t="s">
        <v>127</v>
      </c>
      <c r="G222" s="5" t="str">
        <f>IFERROR(VLOOKUP(SUMIFS(MSOLICITADA!$I:$I,MSOLICITADA!$B:$B,D222,MSOLICITADA!$F:$F,F222),CODIGOSPLACAS!$A$64:$B$89,2,FALSE),"")</f>
        <v>EVERTON</v>
      </c>
      <c r="H222" s="77">
        <v>1224310</v>
      </c>
      <c r="I222" s="77">
        <v>1225260</v>
      </c>
      <c r="J222" s="7">
        <v>538.36</v>
      </c>
      <c r="K222" s="78">
        <v>3450.89</v>
      </c>
      <c r="L222" s="79" t="s">
        <v>111</v>
      </c>
      <c r="M222" s="6">
        <v>850</v>
      </c>
      <c r="N222" s="5">
        <f t="shared" si="19"/>
        <v>100</v>
      </c>
      <c r="O222" s="80">
        <f t="shared" si="20"/>
        <v>6.4100044579835052</v>
      </c>
      <c r="P222" s="8">
        <f t="shared" si="21"/>
        <v>1.7646184709116577</v>
      </c>
      <c r="Q222" s="8">
        <f t="shared" si="26"/>
        <v>1.9282732243128911</v>
      </c>
      <c r="R222" s="81">
        <f t="shared" si="22"/>
        <v>0.89473684210526316</v>
      </c>
      <c r="S222" s="113" t="str">
        <f>IF(F222="","",IF(H222="",TEXT(_xlfn.MAXIFS($I$1:I222,$F$1:F222,F222,$H$1:H222,"&gt;"&amp;0),"000.000"),F222))</f>
        <v>OPM8J51</v>
      </c>
      <c r="T222" s="101">
        <f t="shared" si="27"/>
        <v>100</v>
      </c>
      <c r="U222" s="82" t="s">
        <v>220</v>
      </c>
      <c r="V222" s="98" t="s">
        <v>218</v>
      </c>
      <c r="W222" s="82" t="s">
        <v>222</v>
      </c>
      <c r="X222" s="98" t="s">
        <v>171</v>
      </c>
      <c r="Y222" s="82" t="s">
        <v>221</v>
      </c>
      <c r="Z222" s="98" t="s">
        <v>234</v>
      </c>
      <c r="AA222" s="82" t="s">
        <v>220</v>
      </c>
      <c r="AB222" s="98" t="s">
        <v>233</v>
      </c>
      <c r="AC222" s="82"/>
      <c r="AD222" s="98"/>
      <c r="AE222" s="117"/>
      <c r="AF222" s="98"/>
      <c r="AG222" s="82"/>
      <c r="AH222" s="98"/>
      <c r="AI222" s="82"/>
      <c r="AJ222" s="98"/>
      <c r="AK222" s="83"/>
      <c r="AL222" s="84" t="str">
        <f>IF(F222&lt;&gt;0,IF(_xlfn.MAXIFS($I$1:I222,$F$1:F222,F222,$H$1:H222,"&gt;"&amp;0)=0,"KM NÃO ENCONTRADO",IF(H222=0,CONCATENATE("SUGESTÃO DE KM PARA PLACA ",F222," *",_xlfn.MAXIFS($I$1:I222,$F$1:F222,F222,$H$1:H222,"&gt;"&amp;0),"*"),"")),"")</f>
        <v/>
      </c>
      <c r="AM222" s="85" t="str" cm="1">
        <f t="array" ref="AM222">IFERROR(IF(M222&lt;&gt;"","",CONCATENATE("https://btx.brasiltrack.com/logistica/trajeto.php?idveiculo=",VLOOKUP(F222,DATAS!$A$221:$B$250,2,FALSE),"&amp;lat=-22.204247","&amp;data_ini=",TEXT(IF(E222&lt;&gt;"",IF(COUNTIF($F$2:$F222,F222)&gt;1,MAX(IF($F$1:$F221=F222,$E$1:$E221)),""),""),"DD/MM/AAAA"),"&amp;data_fim=",TEXT(E222,"DD/MM/AAAA"),"&amp;hora_inicial=",HOUR(IF(E222&lt;&gt;"",IF(COUNTIF($F$2:$F222,F222)&gt;1,MAX(IF($F$1:$F221=F222,$E$1:$E221)),""),"")),"&amp;minuto_inicial=",MINUTE(IF(E222&lt;&gt;"",IF(COUNTIF($F$2:$F222,F222)&gt;1,MAX(IF($F$1:$F221=F222,$E$1:$E221)),""),"")),"&amp;hora_final=",HOUR(E222),"&amp;minuto_final=",MINUTE(E222),"&amp;periodo=6&amp;tipo=por_data&amp;upos=false&amp;outequip=0")),"")</f>
        <v/>
      </c>
      <c r="AN222" s="100" t="str">
        <f t="shared" si="23"/>
        <v xml:space="preserve">ABASTECEU no DP PA NORTE DESCARREGOU em IGUATAMA-MG CARREGOU em LUZ-MG ABASTECEU no DP ESTIVA        </v>
      </c>
    </row>
    <row r="223" spans="1:40" x14ac:dyDescent="0.25">
      <c r="A223" s="101">
        <f>IFERROR(VLOOKUP(AN223,ROTAS!$A:$B,2,FALSE),0)</f>
        <v>9</v>
      </c>
      <c r="B223" s="101">
        <f t="shared" si="24"/>
        <v>2</v>
      </c>
      <c r="C223" s="101">
        <f t="shared" si="25"/>
        <v>343.5</v>
      </c>
      <c r="D223" s="144">
        <v>44896</v>
      </c>
      <c r="E223" s="76">
        <v>44896.948611111111</v>
      </c>
      <c r="F223" s="6" t="s">
        <v>33</v>
      </c>
      <c r="G223" s="5" t="str">
        <f>IFERROR(VLOOKUP(SUMIFS(MSOLICITADA!$I:$I,MSOLICITADA!$B:$B,D223,MSOLICITADA!$F:$F,F223),CODIGOSPLACAS!$A$64:$B$89,2,FALSE),"")</f>
        <v>JULIO</v>
      </c>
      <c r="H223" s="77">
        <v>160189</v>
      </c>
      <c r="I223" s="77">
        <v>160544</v>
      </c>
      <c r="J223" s="7">
        <v>455.00099999999998</v>
      </c>
      <c r="K223" s="78">
        <v>2907.45</v>
      </c>
      <c r="L223" s="79" t="s">
        <v>111</v>
      </c>
      <c r="M223" s="6">
        <v>355</v>
      </c>
      <c r="N223" s="5" t="str">
        <f t="shared" si="19"/>
        <v/>
      </c>
      <c r="O223" s="80">
        <f t="shared" si="20"/>
        <v>6.3899859560748213</v>
      </c>
      <c r="P223" s="8">
        <f t="shared" si="21"/>
        <v>0.78021806545480121</v>
      </c>
      <c r="Q223" s="8">
        <f t="shared" si="26"/>
        <v>1.6210900048214474</v>
      </c>
      <c r="R223" s="81">
        <f t="shared" si="22"/>
        <v>1</v>
      </c>
      <c r="S223" s="113" t="str">
        <f>IF(F223="","",IF(H223="",TEXT(_xlfn.MAXIFS($I$1:I223,$F$1:F223,F223,$H$1:H223,"&gt;"&amp;0),"000.000"),F223))</f>
        <v>GGF7G26</v>
      </c>
      <c r="T223" s="101" t="str">
        <f t="shared" si="27"/>
        <v/>
      </c>
      <c r="U223" s="82" t="s">
        <v>220</v>
      </c>
      <c r="V223" s="98" t="s">
        <v>166</v>
      </c>
      <c r="W223" s="82" t="s">
        <v>225</v>
      </c>
      <c r="X223" s="98" t="s">
        <v>284</v>
      </c>
      <c r="Y223" s="82" t="s">
        <v>222</v>
      </c>
      <c r="Z223" s="98" t="s">
        <v>175</v>
      </c>
      <c r="AA223" s="82" t="s">
        <v>221</v>
      </c>
      <c r="AB223" s="98" t="s">
        <v>175</v>
      </c>
      <c r="AC223" s="82" t="s">
        <v>225</v>
      </c>
      <c r="AD223" s="98" t="s">
        <v>284</v>
      </c>
      <c r="AE223" s="117" t="s">
        <v>220</v>
      </c>
      <c r="AF223" s="98" t="s">
        <v>165</v>
      </c>
      <c r="AG223" s="82"/>
      <c r="AH223" s="98"/>
      <c r="AI223" s="82"/>
      <c r="AJ223" s="98"/>
      <c r="AK223" s="83"/>
      <c r="AL223" s="84" t="str">
        <f>IF(F223&lt;&gt;0,IF(_xlfn.MAXIFS($I$1:I223,$F$1:F223,F223,$H$1:H223,"&gt;"&amp;0)=0,"KM NÃO ENCONTRADO",IF(H223=0,CONCATENATE("SUGESTÃO DE KM PARA PLACA ",F223," *",_xlfn.MAXIFS($I$1:I223,$F$1:F223,F223,$H$1:H223,"&gt;"&amp;0),"*"),"")),"")</f>
        <v/>
      </c>
      <c r="AM223" s="85" t="str" cm="1">
        <f t="array" ref="AM223">IFERROR(IF(M223&lt;&gt;"","",CONCATENATE("https://btx.brasiltrack.com/logistica/trajeto.php?idveiculo=",VLOOKUP(F223,DATAS!$A$221:$B$250,2,FALSE),"&amp;lat=-22.204247","&amp;data_ini=",TEXT(IF(E223&lt;&gt;"",IF(COUNTIF($F$2:$F223,F223)&gt;1,MAX(IF($F$1:$F222=F223,$E$1:$E222)),""),""),"DD/MM/AAAA"),"&amp;data_fim=",TEXT(E223,"DD/MM/AAAA"),"&amp;hora_inicial=",HOUR(IF(E223&lt;&gt;"",IF(COUNTIF($F$2:$F223,F223)&gt;1,MAX(IF($F$1:$F222=F223,$E$1:$E222)),""),"")),"&amp;minuto_inicial=",MINUTE(IF(E223&lt;&gt;"",IF(COUNTIF($F$2:$F223,F223)&gt;1,MAX(IF($F$1:$F222=F223,$E$1:$E222)),""),"")),"&amp;hora_final=",HOUR(E223),"&amp;minuto_final=",MINUTE(E223),"&amp;periodo=6&amp;tipo=por_data&amp;upos=false&amp;outequip=0")),"")</f>
        <v/>
      </c>
      <c r="AN223" s="100" t="str">
        <f t="shared" si="23"/>
        <v xml:space="preserve">ABASTECEU no 22 SUL PASSOU em SÃO PAULO-SP DESCARREGOU em SANTOS-SP CARREGOU em SANTOS-SP PASSOU em SÃO PAULO-SP ABASTECEU no 22 NORTE    </v>
      </c>
    </row>
    <row r="224" spans="1:40" x14ac:dyDescent="0.25">
      <c r="A224" s="101">
        <f>IFERROR(VLOOKUP(AN224,ROTAS!$A:$B,2,FALSE),0)</f>
        <v>6</v>
      </c>
      <c r="B224" s="101">
        <f t="shared" si="24"/>
        <v>3</v>
      </c>
      <c r="C224" s="101">
        <f t="shared" si="25"/>
        <v>1039</v>
      </c>
      <c r="D224" s="144">
        <v>44896</v>
      </c>
      <c r="E224" s="76">
        <v>44897.018055555556</v>
      </c>
      <c r="F224" s="6" t="s">
        <v>24</v>
      </c>
      <c r="G224" s="5" t="str">
        <f>IFERROR(VLOOKUP(SUMIFS(MSOLICITADA!$I:$I,MSOLICITADA!$B:$B,D224,MSOLICITADA!$F:$F,F224),CODIGOSPLACAS!$A$64:$B$89,2,FALSE),"")</f>
        <v>PAULO HENR.</v>
      </c>
      <c r="H224" s="77">
        <v>942956</v>
      </c>
      <c r="I224" s="77">
        <v>944003</v>
      </c>
      <c r="J224" s="7">
        <v>640</v>
      </c>
      <c r="K224" s="78">
        <v>4262.3999999999996</v>
      </c>
      <c r="L224" s="79" t="s">
        <v>111</v>
      </c>
      <c r="M224" s="6">
        <v>651</v>
      </c>
      <c r="N224" s="5">
        <f t="shared" si="19"/>
        <v>396</v>
      </c>
      <c r="O224" s="80">
        <f t="shared" si="20"/>
        <v>6.6599999999999993</v>
      </c>
      <c r="P224" s="8">
        <f t="shared" si="21"/>
        <v>1.6359375</v>
      </c>
      <c r="Q224" s="8">
        <f t="shared" si="26"/>
        <v>1.5280797985385988</v>
      </c>
      <c r="R224" s="81">
        <f t="shared" si="22"/>
        <v>0.62177650429799425</v>
      </c>
      <c r="S224" s="113" t="str">
        <f>IF(F224="","",IF(H224="",TEXT(_xlfn.MAXIFS($I$1:I224,$F$1:F224,F224,$H$1:H224,"&gt;"&amp;0),"000.000"),F224))</f>
        <v>FKS0J24</v>
      </c>
      <c r="T224" s="101">
        <f t="shared" si="27"/>
        <v>385.33333333333331</v>
      </c>
      <c r="U224" s="82" t="s">
        <v>220</v>
      </c>
      <c r="V224" s="98" t="s">
        <v>165</v>
      </c>
      <c r="W224" s="82" t="s">
        <v>222</v>
      </c>
      <c r="X224" s="98" t="s">
        <v>176</v>
      </c>
      <c r="Y224" s="82" t="s">
        <v>225</v>
      </c>
      <c r="Z224" s="98" t="s">
        <v>237</v>
      </c>
      <c r="AA224" s="82" t="s">
        <v>221</v>
      </c>
      <c r="AB224" s="98" t="s">
        <v>175</v>
      </c>
      <c r="AC224" s="82" t="s">
        <v>225</v>
      </c>
      <c r="AD224" s="98" t="s">
        <v>281</v>
      </c>
      <c r="AE224" s="82" t="s">
        <v>220</v>
      </c>
      <c r="AF224" s="98" t="s">
        <v>227</v>
      </c>
      <c r="AG224" s="82"/>
      <c r="AH224" s="98"/>
      <c r="AI224" s="82"/>
      <c r="AJ224" s="98"/>
      <c r="AK224" s="83"/>
      <c r="AL224" s="84" t="str">
        <f>IF(F224&lt;&gt;0,IF(_xlfn.MAXIFS($I$1:I224,$F$1:F224,F224,$H$1:H224,"&gt;"&amp;0)=0,"KM NÃO ENCONTRADO",IF(H224=0,CONCATENATE("SUGESTÃO DE KM PARA PLACA ",F224," *",_xlfn.MAXIFS($I$1:I224,$F$1:F224,F224,$H$1:H224,"&gt;"&amp;0),"*"),"")),"")</f>
        <v/>
      </c>
      <c r="AM224" s="85" t="str" cm="1">
        <f t="array" ref="AM224">IFERROR(IF(M224&lt;&gt;"","",CONCATENATE("https://btx.brasiltrack.com/logistica/trajeto.php?idveiculo=",VLOOKUP(F224,DATAS!$A$221:$B$250,2,FALSE),"&amp;lat=-22.204247","&amp;data_ini=",TEXT(IF(E224&lt;&gt;"",IF(COUNTIF($F$2:$F224,F224)&gt;1,MAX(IF($F$1:$F223=F224,$E$1:$E223)),""),""),"DD/MM/AAAA"),"&amp;data_fim=",TEXT(E224,"DD/MM/AAAA"),"&amp;hora_inicial=",HOUR(IF(E224&lt;&gt;"",IF(COUNTIF($F$2:$F224,F224)&gt;1,MAX(IF($F$1:$F223=F224,$E$1:$E223)),""),"")),"&amp;minuto_inicial=",MINUTE(IF(E224&lt;&gt;"",IF(COUNTIF($F$2:$F224,F224)&gt;1,MAX(IF($F$1:$F223=F224,$E$1:$E223)),""),"")),"&amp;hora_final=",HOUR(E224),"&amp;minuto_final=",MINUTE(E224),"&amp;periodo=6&amp;tipo=por_data&amp;upos=false&amp;outequip=0")),"")</f>
        <v/>
      </c>
      <c r="AN224" s="100" t="str">
        <f t="shared" si="23"/>
        <v xml:space="preserve">ABASTECEU no 22 NORTE DESCARREGOU em ALFENAS-MG PASSOU em ARUJÁ-SP CARREGOU em SANTOS-SP PASSOU em OSASCO-SP ABASTECEU no PICA PAU NORTE    </v>
      </c>
    </row>
    <row r="225" spans="1:40" x14ac:dyDescent="0.25">
      <c r="A225" s="101">
        <f>IFERROR(VLOOKUP(AN225,ROTAS!$A:$B,2,FALSE),0)</f>
        <v>9</v>
      </c>
      <c r="B225" s="101">
        <f t="shared" si="24"/>
        <v>2</v>
      </c>
      <c r="C225" s="101">
        <f t="shared" si="25"/>
        <v>343.5</v>
      </c>
      <c r="D225" s="144">
        <v>44896</v>
      </c>
      <c r="E225" s="76">
        <v>44897.027777777781</v>
      </c>
      <c r="F225" s="6" t="s">
        <v>25</v>
      </c>
      <c r="G225" s="5" t="str">
        <f>IFERROR(VLOOKUP(SUMIFS(MSOLICITADA!$I:$I,MSOLICITADA!$B:$B,D225,MSOLICITADA!$F:$F,F225),CODIGOSPLACAS!$A$64:$B$89,2,FALSE),"")</f>
        <v>EDUALDO</v>
      </c>
      <c r="H225" s="77">
        <v>1006156</v>
      </c>
      <c r="I225" s="77">
        <v>1006488</v>
      </c>
      <c r="J225" s="7">
        <v>293.00099999999998</v>
      </c>
      <c r="K225" s="78">
        <v>1872.27</v>
      </c>
      <c r="L225" s="79" t="s">
        <v>111</v>
      </c>
      <c r="M225" s="6">
        <v>332</v>
      </c>
      <c r="N225" s="5" t="str">
        <f t="shared" si="19"/>
        <v/>
      </c>
      <c r="O225" s="80">
        <f t="shared" si="20"/>
        <v>6.3899781912007132</v>
      </c>
      <c r="P225" s="8">
        <f t="shared" si="21"/>
        <v>1.1331019348056834</v>
      </c>
      <c r="Q225" s="8">
        <f t="shared" si="26"/>
        <v>1.5016619403177309</v>
      </c>
      <c r="R225" s="81">
        <f t="shared" si="22"/>
        <v>1</v>
      </c>
      <c r="S225" s="113" t="str">
        <f>IF(F225="","",IF(H225="",TEXT(_xlfn.MAXIFS($I$1:I225,$F$1:F225,F225,$H$1:H225,"&gt;"&amp;0),"000.000"),F225))</f>
        <v>QHE9735</v>
      </c>
      <c r="T225" s="101" t="str">
        <f t="shared" si="27"/>
        <v/>
      </c>
      <c r="U225" s="82" t="s">
        <v>220</v>
      </c>
      <c r="V225" s="120" t="s">
        <v>166</v>
      </c>
      <c r="W225" s="118" t="s">
        <v>225</v>
      </c>
      <c r="X225" s="120" t="s">
        <v>284</v>
      </c>
      <c r="Y225" s="118" t="s">
        <v>222</v>
      </c>
      <c r="Z225" s="120" t="s">
        <v>175</v>
      </c>
      <c r="AA225" s="118" t="s">
        <v>221</v>
      </c>
      <c r="AB225" s="120" t="s">
        <v>175</v>
      </c>
      <c r="AC225" s="118" t="s">
        <v>225</v>
      </c>
      <c r="AD225" s="120" t="s">
        <v>284</v>
      </c>
      <c r="AE225" s="117" t="s">
        <v>220</v>
      </c>
      <c r="AF225" s="120" t="s">
        <v>165</v>
      </c>
      <c r="AG225" s="82"/>
      <c r="AH225" s="98"/>
      <c r="AI225" s="82"/>
      <c r="AJ225" s="98"/>
      <c r="AK225" s="83"/>
      <c r="AL225" s="84" t="str">
        <f>IF(F225&lt;&gt;0,IF(_xlfn.MAXIFS($I$1:I225,$F$1:F225,F225,$H$1:H225,"&gt;"&amp;0)=0,"KM NÃO ENCONTRADO",IF(H225=0,CONCATENATE("SUGESTÃO DE KM PARA PLACA ",F225," *",_xlfn.MAXIFS($I$1:I225,$F$1:F225,F225,$H$1:H225,"&gt;"&amp;0),"*"),"")),"")</f>
        <v/>
      </c>
      <c r="AM225" s="85" t="str" cm="1">
        <f t="array" ref="AM225">IFERROR(IF(M225&lt;&gt;"","",CONCATENATE("https://btx.brasiltrack.com/logistica/trajeto.php?idveiculo=",VLOOKUP(F225,DATAS!$A$221:$B$250,2,FALSE),"&amp;lat=-22.204247","&amp;data_ini=",TEXT(IF(E225&lt;&gt;"",IF(COUNTIF($F$2:$F225,F225)&gt;1,MAX(IF($F$1:$F224=F225,$E$1:$E224)),""),""),"DD/MM/AAAA"),"&amp;data_fim=",TEXT(E225,"DD/MM/AAAA"),"&amp;hora_inicial=",HOUR(IF(E225&lt;&gt;"",IF(COUNTIF($F$2:$F225,F225)&gt;1,MAX(IF($F$1:$F224=F225,$E$1:$E224)),""),"")),"&amp;minuto_inicial=",MINUTE(IF(E225&lt;&gt;"",IF(COUNTIF($F$2:$F225,F225)&gt;1,MAX(IF($F$1:$F224=F225,$E$1:$E224)),""),"")),"&amp;hora_final=",HOUR(E225),"&amp;minuto_final=",MINUTE(E225),"&amp;periodo=6&amp;tipo=por_data&amp;upos=false&amp;outequip=0")),"")</f>
        <v/>
      </c>
      <c r="AN225" s="100" t="str">
        <f t="shared" si="23"/>
        <v xml:space="preserve">ABASTECEU no 22 SUL PASSOU em SÃO PAULO-SP DESCARREGOU em SANTOS-SP CARREGOU em SANTOS-SP PASSOU em SÃO PAULO-SP ABASTECEU no 22 NORTE    </v>
      </c>
    </row>
    <row r="226" spans="1:40" x14ac:dyDescent="0.25">
      <c r="A226" s="101">
        <f>IFERROR(VLOOKUP(AN226,ROTAS!$A:$B,2,FALSE),0)</f>
        <v>139</v>
      </c>
      <c r="B226" s="101">
        <f t="shared" si="24"/>
        <v>4</v>
      </c>
      <c r="C226" s="101">
        <f t="shared" si="25"/>
        <v>683.25</v>
      </c>
      <c r="D226" s="144">
        <v>44896</v>
      </c>
      <c r="E226" s="76">
        <v>44897.041666666664</v>
      </c>
      <c r="F226" s="6" t="s">
        <v>31</v>
      </c>
      <c r="G226" s="5" t="str">
        <f>IFERROR(VLOOKUP(SUMIFS(MSOLICITADA!$I:$I,MSOLICITADA!$B:$B,D226,MSOLICITADA!$F:$F,F226),CODIGOSPLACAS!$A$64:$B$89,2,FALSE),"")</f>
        <v>CELIO</v>
      </c>
      <c r="H226" s="77">
        <v>206785</v>
      </c>
      <c r="I226" s="77">
        <v>207494</v>
      </c>
      <c r="J226" s="7">
        <v>489</v>
      </c>
      <c r="K226" s="78">
        <v>3124.71</v>
      </c>
      <c r="L226" s="79" t="s">
        <v>111</v>
      </c>
      <c r="M226" s="6">
        <v>679</v>
      </c>
      <c r="N226" s="5">
        <f t="shared" si="19"/>
        <v>30</v>
      </c>
      <c r="O226" s="80">
        <f t="shared" si="20"/>
        <v>6.39</v>
      </c>
      <c r="P226" s="8">
        <f t="shared" si="21"/>
        <v>1.4498977505112474</v>
      </c>
      <c r="Q226" s="8">
        <f t="shared" si="26"/>
        <v>1.4905351021016544</v>
      </c>
      <c r="R226" s="81">
        <f t="shared" si="22"/>
        <v>0.9576868829337094</v>
      </c>
      <c r="S226" s="113" t="str">
        <f>IF(F226="","",IF(H226="",TEXT(_xlfn.MAXIFS($I$1:I226,$F$1:F226,F226,$H$1:H226,"&gt;"&amp;0),"000.000"),F226))</f>
        <v>GGZ3G38</v>
      </c>
      <c r="T226" s="101">
        <f t="shared" si="27"/>
        <v>30</v>
      </c>
      <c r="U226" s="82" t="s">
        <v>220</v>
      </c>
      <c r="V226" s="98" t="s">
        <v>206</v>
      </c>
      <c r="W226" s="118" t="s">
        <v>225</v>
      </c>
      <c r="X226" s="120" t="s">
        <v>284</v>
      </c>
      <c r="Y226" s="118" t="s">
        <v>222</v>
      </c>
      <c r="Z226" s="120" t="s">
        <v>175</v>
      </c>
      <c r="AA226" s="118" t="s">
        <v>221</v>
      </c>
      <c r="AB226" s="98" t="s">
        <v>168</v>
      </c>
      <c r="AC226" s="82" t="s">
        <v>225</v>
      </c>
      <c r="AD226" s="120" t="s">
        <v>284</v>
      </c>
      <c r="AE226" s="117" t="s">
        <v>220</v>
      </c>
      <c r="AF226" s="120" t="s">
        <v>165</v>
      </c>
      <c r="AG226" s="82"/>
      <c r="AH226" s="98"/>
      <c r="AI226" s="82"/>
      <c r="AJ226" s="98"/>
      <c r="AK226" s="83"/>
      <c r="AL226" s="84" t="str">
        <f>IF(F226&lt;&gt;0,IF(_xlfn.MAXIFS($I$1:I226,$F$1:F226,F226,$H$1:H226,"&gt;"&amp;0)=0,"KM NÃO ENCONTRADO",IF(H226=0,CONCATENATE("SUGESTÃO DE KM PARA PLACA ",F226," *",_xlfn.MAXIFS($I$1:I226,$F$1:F226,F226,$H$1:H226,"&gt;"&amp;0),"*"),"")),"")</f>
        <v/>
      </c>
      <c r="AM226" s="85" t="str" cm="1">
        <f t="array" ref="AM226">IFERROR(IF(M226&lt;&gt;"","",CONCATENATE("https://btx.brasiltrack.com/logistica/trajeto.php?idveiculo=",VLOOKUP(F226,DATAS!$A$221:$B$250,2,FALSE),"&amp;lat=-22.204247","&amp;data_ini=",TEXT(IF(E226&lt;&gt;"",IF(COUNTIF($F$2:$F226,F226)&gt;1,MAX(IF($F$1:$F225=F226,$E$1:$E225)),""),""),"DD/MM/AAAA"),"&amp;data_fim=",TEXT(E226,"DD/MM/AAAA"),"&amp;hora_inicial=",HOUR(IF(E226&lt;&gt;"",IF(COUNTIF($F$2:$F226,F226)&gt;1,MAX(IF($F$1:$F225=F226,$E$1:$E225)),""),"")),"&amp;minuto_inicial=",MINUTE(IF(E226&lt;&gt;"",IF(COUNTIF($F$2:$F226,F226)&gt;1,MAX(IF($F$1:$F225=F226,$E$1:$E225)),""),"")),"&amp;hora_final=",HOUR(E226),"&amp;minuto_final=",MINUTE(E226),"&amp;periodo=6&amp;tipo=por_data&amp;upos=false&amp;outequip=0")),"")</f>
        <v/>
      </c>
      <c r="AN226" s="100" t="str">
        <f t="shared" si="23"/>
        <v xml:space="preserve">ABASTECEU no CANDEIAS-MG PASSOU em SÃO PAULO-SP DESCARREGOU em SANTOS-SP CARREGOU em CUBATAO-SP PASSOU em SÃO PAULO-SP ABASTECEU no 22 NORTE    </v>
      </c>
    </row>
    <row r="227" spans="1:40" x14ac:dyDescent="0.25">
      <c r="A227" s="101">
        <f>IFERROR(VLOOKUP(AN227,ROTAS!$A:$B,2,FALSE),0)</f>
        <v>11</v>
      </c>
      <c r="B227" s="101">
        <f t="shared" si="24"/>
        <v>1</v>
      </c>
      <c r="C227" s="101">
        <f t="shared" si="25"/>
        <v>521</v>
      </c>
      <c r="D227" s="144">
        <v>44896</v>
      </c>
      <c r="E227" s="76">
        <v>44897.04583333333</v>
      </c>
      <c r="F227" s="6" t="s">
        <v>27</v>
      </c>
      <c r="G227" s="5" t="str">
        <f>IFERROR(VLOOKUP(SUMIFS(MSOLICITADA!$I:$I,MSOLICITADA!$B:$B,D227,MSOLICITADA!$F:$F,F227),CODIGOSPLACAS!$A$64:$B$89,2,FALSE),"")</f>
        <v>ANTONIO</v>
      </c>
      <c r="H227" s="77">
        <v>242302</v>
      </c>
      <c r="I227" s="77">
        <v>242823</v>
      </c>
      <c r="J227" s="7">
        <v>441.67</v>
      </c>
      <c r="K227" s="78">
        <v>2822.28</v>
      </c>
      <c r="L227" s="79" t="s">
        <v>111</v>
      </c>
      <c r="M227" s="6">
        <v>491</v>
      </c>
      <c r="N227" s="5">
        <f t="shared" si="19"/>
        <v>30</v>
      </c>
      <c r="O227" s="80">
        <f t="shared" si="20"/>
        <v>6.3900196979645436</v>
      </c>
      <c r="P227" s="8">
        <f t="shared" si="21"/>
        <v>1.1796137387642358</v>
      </c>
      <c r="Q227" s="8">
        <f t="shared" si="26"/>
        <v>1.4435398773633086</v>
      </c>
      <c r="R227" s="81">
        <f t="shared" si="22"/>
        <v>0.94241842610364679</v>
      </c>
      <c r="S227" s="113" t="str">
        <f>IF(F227="","",IF(H227="",TEXT(_xlfn.MAXIFS($I$1:I227,$F$1:F227,F227,$H$1:H227,"&gt;"&amp;0),"000.000"),F227))</f>
        <v>GHS4J57</v>
      </c>
      <c r="T227" s="101">
        <f t="shared" si="27"/>
        <v>30</v>
      </c>
      <c r="U227" s="82" t="s">
        <v>220</v>
      </c>
      <c r="V227" s="98" t="s">
        <v>224</v>
      </c>
      <c r="W227" s="82" t="s">
        <v>225</v>
      </c>
      <c r="X227" s="98" t="s">
        <v>281</v>
      </c>
      <c r="Y227" s="82" t="s">
        <v>222</v>
      </c>
      <c r="Z227" s="98" t="s">
        <v>175</v>
      </c>
      <c r="AA227" s="82" t="s">
        <v>221</v>
      </c>
      <c r="AB227" s="98" t="s">
        <v>168</v>
      </c>
      <c r="AC227" s="82" t="s">
        <v>225</v>
      </c>
      <c r="AD227" s="98" t="s">
        <v>284</v>
      </c>
      <c r="AE227" s="117" t="s">
        <v>220</v>
      </c>
      <c r="AF227" s="120" t="s">
        <v>165</v>
      </c>
      <c r="AG227" s="82"/>
      <c r="AH227" s="98"/>
      <c r="AI227" s="82"/>
      <c r="AJ227" s="98"/>
      <c r="AK227" s="83"/>
      <c r="AL227" s="84" t="str">
        <f>IF(F227&lt;&gt;0,IF(_xlfn.MAXIFS($I$1:I227,$F$1:F227,F227,$H$1:H227,"&gt;"&amp;0)=0,"KM NÃO ENCONTRADO",IF(H227=0,CONCATENATE("SUGESTÃO DE KM PARA PLACA ",F227," *",_xlfn.MAXIFS($I$1:I227,$F$1:F227,F227,$H$1:H227,"&gt;"&amp;0),"*"),"")),"")</f>
        <v/>
      </c>
      <c r="AM227" s="85" t="str" cm="1">
        <f t="array" ref="AM227">IFERROR(IF(M227&lt;&gt;"","",CONCATENATE("https://btx.brasiltrack.com/logistica/trajeto.php?idveiculo=",VLOOKUP(F227,DATAS!$A$221:$B$250,2,FALSE),"&amp;lat=-22.204247","&amp;data_ini=",TEXT(IF(E227&lt;&gt;"",IF(COUNTIF($F$2:$F227,F227)&gt;1,MAX(IF($F$1:$F226=F227,$E$1:$E226)),""),""),"DD/MM/AAAA"),"&amp;data_fim=",TEXT(E227,"DD/MM/AAAA"),"&amp;hora_inicial=",HOUR(IF(E227&lt;&gt;"",IF(COUNTIF($F$2:$F227,F227)&gt;1,MAX(IF($F$1:$F226=F227,$E$1:$E226)),""),"")),"&amp;minuto_inicial=",MINUTE(IF(E227&lt;&gt;"",IF(COUNTIF($F$2:$F227,F227)&gt;1,MAX(IF($F$1:$F226=F227,$E$1:$E226)),""),"")),"&amp;hora_final=",HOUR(E227),"&amp;minuto_final=",MINUTE(E227),"&amp;periodo=6&amp;tipo=por_data&amp;upos=false&amp;outequip=0")),"")</f>
        <v/>
      </c>
      <c r="AN227" s="100" t="str">
        <f t="shared" si="23"/>
        <v xml:space="preserve">ABASTECEU no PICA PAU SUL PASSOU em OSASCO-SP DESCARREGOU em SANTOS-SP CARREGOU em CUBATAO-SP PASSOU em SÃO PAULO-SP ABASTECEU no 22 NORTE    </v>
      </c>
    </row>
    <row r="228" spans="1:40" x14ac:dyDescent="0.25">
      <c r="A228" s="101">
        <f>IFERROR(VLOOKUP(AN228,ROTAS!$A:$B,2,FALSE),0)</f>
        <v>12</v>
      </c>
      <c r="B228" s="101">
        <f t="shared" si="24"/>
        <v>5</v>
      </c>
      <c r="C228" s="101">
        <f t="shared" si="25"/>
        <v>655.4</v>
      </c>
      <c r="D228" s="144">
        <v>44896</v>
      </c>
      <c r="E228" s="76">
        <v>44897.297222222223</v>
      </c>
      <c r="F228" s="6" t="s">
        <v>29</v>
      </c>
      <c r="G228" s="5" t="str">
        <f>IFERROR(VLOOKUP(SUMIFS(MSOLICITADA!$I:$I,MSOLICITADA!$B:$B,D228,MSOLICITADA!$F:$F,F228),CODIGOSPLACAS!$A$64:$B$89,2,FALSE),"")</f>
        <v>EDNILSON</v>
      </c>
      <c r="H228" s="77">
        <v>231291</v>
      </c>
      <c r="I228" s="77">
        <v>231940</v>
      </c>
      <c r="J228" s="7">
        <v>367.67099999999999</v>
      </c>
      <c r="K228" s="78">
        <v>2349.42</v>
      </c>
      <c r="L228" s="79" t="s">
        <v>111</v>
      </c>
      <c r="M228" s="6">
        <v>359</v>
      </c>
      <c r="N228" s="5">
        <f t="shared" si="19"/>
        <v>290</v>
      </c>
      <c r="O228" s="80">
        <f t="shared" si="20"/>
        <v>6.390006282790865</v>
      </c>
      <c r="P228" s="8">
        <f t="shared" si="21"/>
        <v>1.7651650524517843</v>
      </c>
      <c r="Q228" s="8">
        <f t="shared" si="26"/>
        <v>1.5750677554084309</v>
      </c>
      <c r="R228" s="81">
        <f t="shared" si="22"/>
        <v>0.55315870570107861</v>
      </c>
      <c r="S228" s="113" t="str">
        <f>IF(F228="","",IF(H228="",TEXT(_xlfn.MAXIFS($I$1:I228,$F$1:F228,F228,$H$1:H228,"&gt;"&amp;0),"000.000"),F228))</f>
        <v>GKA2J56</v>
      </c>
      <c r="T228" s="101">
        <f t="shared" si="27"/>
        <v>290</v>
      </c>
      <c r="U228" s="82" t="s">
        <v>220</v>
      </c>
      <c r="V228" s="98" t="s">
        <v>165</v>
      </c>
      <c r="W228" s="82" t="s">
        <v>222</v>
      </c>
      <c r="X228" s="98" t="s">
        <v>200</v>
      </c>
      <c r="Y228" s="82" t="s">
        <v>225</v>
      </c>
      <c r="Z228" s="98" t="s">
        <v>284</v>
      </c>
      <c r="AA228" s="118" t="s">
        <v>221</v>
      </c>
      <c r="AB228" s="120" t="s">
        <v>175</v>
      </c>
      <c r="AC228" s="82" t="s">
        <v>225</v>
      </c>
      <c r="AD228" s="98" t="s">
        <v>237</v>
      </c>
      <c r="AE228" s="117" t="s">
        <v>220</v>
      </c>
      <c r="AF228" s="120" t="s">
        <v>165</v>
      </c>
      <c r="AG228" s="82"/>
      <c r="AH228" s="98"/>
      <c r="AI228" s="82"/>
      <c r="AJ228" s="98"/>
      <c r="AK228" s="83"/>
      <c r="AL228" s="84" t="str">
        <f>IF(F228&lt;&gt;0,IF(_xlfn.MAXIFS($I$1:I228,$F$1:F228,F228,$H$1:H228,"&gt;"&amp;0)=0,"KM NÃO ENCONTRADO",IF(H228=0,CONCATENATE("SUGESTÃO DE KM PARA PLACA ",F228," *",_xlfn.MAXIFS($I$1:I228,$F$1:F228,F228,$H$1:H228,"&gt;"&amp;0),"*"),"")),"")</f>
        <v/>
      </c>
      <c r="AM228" s="85" t="str" cm="1">
        <f t="array" ref="AM228">IFERROR(IF(M228&lt;&gt;"","",CONCATENATE("https://btx.brasiltrack.com/logistica/trajeto.php?idveiculo=",VLOOKUP(F228,DATAS!$A$221:$B$250,2,FALSE),"&amp;lat=-22.204247","&amp;data_ini=",TEXT(IF(E228&lt;&gt;"",IF(COUNTIF($F$2:$F228,F228)&gt;1,MAX(IF($F$1:$F227=F228,$E$1:$E227)),""),""),"DD/MM/AAAA"),"&amp;data_fim=",TEXT(E228,"DD/MM/AAAA"),"&amp;hora_inicial=",HOUR(IF(E228&lt;&gt;"",IF(COUNTIF($F$2:$F228,F228)&gt;1,MAX(IF($F$1:$F227=F228,$E$1:$E227)),""),"")),"&amp;minuto_inicial=",MINUTE(IF(E228&lt;&gt;"",IF(COUNTIF($F$2:$F228,F228)&gt;1,MAX(IF($F$1:$F227=F228,$E$1:$E227)),""),"")),"&amp;hora_final=",HOUR(E228),"&amp;minuto_final=",MINUTE(E228),"&amp;periodo=6&amp;tipo=por_data&amp;upos=false&amp;outequip=0")),"")</f>
        <v/>
      </c>
      <c r="AN228" s="100" t="str">
        <f t="shared" si="23"/>
        <v xml:space="preserve">ABASTECEU no 22 NORTE DESCARREGOU em CONGONHAL-MG PASSOU em SÃO PAULO-SP CARREGOU em SANTOS-SP PASSOU em ARUJÁ-SP ABASTECEU no 22 NORTE    </v>
      </c>
    </row>
    <row r="229" spans="1:40" x14ac:dyDescent="0.25">
      <c r="A229" s="101">
        <f>IFERROR(VLOOKUP(AN229,ROTAS!$A:$B,2,FALSE),0)</f>
        <v>12</v>
      </c>
      <c r="B229" s="101">
        <f t="shared" si="24"/>
        <v>5</v>
      </c>
      <c r="C229" s="101">
        <f t="shared" si="25"/>
        <v>655.4</v>
      </c>
      <c r="D229" s="144">
        <v>44896</v>
      </c>
      <c r="E229" s="76">
        <v>44897.3125</v>
      </c>
      <c r="F229" s="6" t="s">
        <v>131</v>
      </c>
      <c r="G229" s="5" t="str">
        <f>IFERROR(VLOOKUP(SUMIFS(MSOLICITADA!$I:$I,MSOLICITADA!$B:$B,D229,MSOLICITADA!$F:$F,F229),CODIGOSPLACAS!$A$64:$B$89,2,FALSE),"")</f>
        <v>ALTIELIS</v>
      </c>
      <c r="H229" s="77">
        <v>40096</v>
      </c>
      <c r="I229" s="77">
        <v>40735</v>
      </c>
      <c r="J229" s="7">
        <v>420.01100000000002</v>
      </c>
      <c r="K229" s="78">
        <v>2683.86</v>
      </c>
      <c r="L229" s="79" t="s">
        <v>111</v>
      </c>
      <c r="M229" s="6">
        <v>349</v>
      </c>
      <c r="N229" s="5">
        <f t="shared" si="19"/>
        <v>290</v>
      </c>
      <c r="O229" s="80">
        <f t="shared" si="20"/>
        <v>6.3899755006416497</v>
      </c>
      <c r="P229" s="8">
        <f t="shared" si="21"/>
        <v>1.5213887255333789</v>
      </c>
      <c r="Q229" s="8">
        <f t="shared" si="26"/>
        <v>1.6628833870031143</v>
      </c>
      <c r="R229" s="81">
        <f t="shared" si="22"/>
        <v>0.54616588419405321</v>
      </c>
      <c r="S229" s="113" t="str">
        <f>IF(F229="","",IF(H229="",TEXT(_xlfn.MAXIFS($I$1:I229,$F$1:F229,F229,$H$1:H229,"&gt;"&amp;0),"000.000"),F229))</f>
        <v>GGN4J86</v>
      </c>
      <c r="T229" s="101">
        <f t="shared" si="27"/>
        <v>290</v>
      </c>
      <c r="U229" s="82" t="s">
        <v>220</v>
      </c>
      <c r="V229" s="98" t="s">
        <v>165</v>
      </c>
      <c r="W229" s="82" t="s">
        <v>222</v>
      </c>
      <c r="X229" s="98" t="s">
        <v>200</v>
      </c>
      <c r="Y229" s="82" t="s">
        <v>225</v>
      </c>
      <c r="Z229" s="98" t="s">
        <v>284</v>
      </c>
      <c r="AA229" s="118" t="s">
        <v>221</v>
      </c>
      <c r="AB229" s="120" t="s">
        <v>175</v>
      </c>
      <c r="AC229" s="82" t="s">
        <v>225</v>
      </c>
      <c r="AD229" s="98" t="s">
        <v>237</v>
      </c>
      <c r="AE229" s="117" t="s">
        <v>220</v>
      </c>
      <c r="AF229" s="120" t="s">
        <v>165</v>
      </c>
      <c r="AG229" s="82"/>
      <c r="AH229" s="98"/>
      <c r="AI229" s="82"/>
      <c r="AJ229" s="98"/>
      <c r="AK229" s="83"/>
      <c r="AL229" s="84" t="str">
        <f>IF(F229&lt;&gt;0,IF(_xlfn.MAXIFS($I$1:I229,$F$1:F229,F229,$H$1:H229,"&gt;"&amp;0)=0,"KM NÃO ENCONTRADO",IF(H229=0,CONCATENATE("SUGESTÃO DE KM PARA PLACA ",F229," *",_xlfn.MAXIFS($I$1:I229,$F$1:F229,F229,$H$1:H229,"&gt;"&amp;0),"*"),"")),"")</f>
        <v/>
      </c>
      <c r="AM229" s="85" t="str" cm="1">
        <f t="array" ref="AM229">IFERROR(IF(M229&lt;&gt;"","",CONCATENATE("https://btx.brasiltrack.com/logistica/trajeto.php?idveiculo=",VLOOKUP(F229,DATAS!$A$221:$B$250,2,FALSE),"&amp;lat=-22.204247","&amp;data_ini=",TEXT(IF(E229&lt;&gt;"",IF(COUNTIF($F$2:$F229,F229)&gt;1,MAX(IF($F$1:$F228=F229,$E$1:$E228)),""),""),"DD/MM/AAAA"),"&amp;data_fim=",TEXT(E229,"DD/MM/AAAA"),"&amp;hora_inicial=",HOUR(IF(E229&lt;&gt;"",IF(COUNTIF($F$2:$F229,F229)&gt;1,MAX(IF($F$1:$F228=F229,$E$1:$E228)),""),"")),"&amp;minuto_inicial=",MINUTE(IF(E229&lt;&gt;"",IF(COUNTIF($F$2:$F229,F229)&gt;1,MAX(IF($F$1:$F228=F229,$E$1:$E228)),""),"")),"&amp;hora_final=",HOUR(E229),"&amp;minuto_final=",MINUTE(E229),"&amp;periodo=6&amp;tipo=por_data&amp;upos=false&amp;outequip=0")),"")</f>
        <v/>
      </c>
      <c r="AN229" s="100" t="str">
        <f t="shared" si="23"/>
        <v xml:space="preserve">ABASTECEU no 22 NORTE DESCARREGOU em CONGONHAL-MG PASSOU em SÃO PAULO-SP CARREGOU em SANTOS-SP PASSOU em ARUJÁ-SP ABASTECEU no 22 NORTE    </v>
      </c>
    </row>
    <row r="230" spans="1:40" x14ac:dyDescent="0.25">
      <c r="A230" s="101">
        <f>IFERROR(VLOOKUP(AN230,ROTAS!$A:$B,2,FALSE),0)</f>
        <v>13</v>
      </c>
      <c r="B230" s="101">
        <f t="shared" si="24"/>
        <v>16</v>
      </c>
      <c r="C230" s="101">
        <f t="shared" si="25"/>
        <v>363.3125</v>
      </c>
      <c r="D230" s="144">
        <v>44896</v>
      </c>
      <c r="E230" s="76">
        <v>44897.46875</v>
      </c>
      <c r="F230" s="6" t="s">
        <v>35</v>
      </c>
      <c r="G230" s="5" t="str">
        <f>IFERROR(VLOOKUP(SUMIFS(MSOLICITADA!$I:$I,MSOLICITADA!$B:$B,D230,MSOLICITADA!$F:$F,F230),CODIGOSPLACAS!$A$64:$B$89,2,FALSE),"")</f>
        <v>JOEL</v>
      </c>
      <c r="H230" s="77">
        <v>228515</v>
      </c>
      <c r="I230" s="77">
        <v>228749</v>
      </c>
      <c r="J230" s="7">
        <v>144.80000000000001</v>
      </c>
      <c r="K230" s="78">
        <v>891.46</v>
      </c>
      <c r="L230" s="79" t="s">
        <v>112</v>
      </c>
      <c r="M230" s="6">
        <v>117</v>
      </c>
      <c r="N230" s="5">
        <f t="shared" si="19"/>
        <v>117</v>
      </c>
      <c r="O230" s="80">
        <f t="shared" si="20"/>
        <v>6.1564917127071821</v>
      </c>
      <c r="P230" s="8">
        <f t="shared" si="21"/>
        <v>1.6160220994475136</v>
      </c>
      <c r="Q230" s="8">
        <f t="shared" si="26"/>
        <v>2.5478603603603602</v>
      </c>
      <c r="R230" s="81">
        <f t="shared" si="22"/>
        <v>0.5</v>
      </c>
      <c r="S230" s="113" t="str">
        <f>IF(F230="","",IF(H230="",TEXT(_xlfn.MAXIFS($I$1:I230,$F$1:F230,F230,$H$1:H230,"&gt;"&amp;0),"000.000"),F230))</f>
        <v>QNP3A97</v>
      </c>
      <c r="T230" s="101">
        <f t="shared" si="27"/>
        <v>186.5</v>
      </c>
      <c r="U230" s="82" t="s">
        <v>220</v>
      </c>
      <c r="V230" s="98" t="s">
        <v>206</v>
      </c>
      <c r="W230" s="82" t="s">
        <v>220</v>
      </c>
      <c r="X230" s="98" t="s">
        <v>206</v>
      </c>
      <c r="Y230" s="82"/>
      <c r="Z230" s="98"/>
      <c r="AA230" s="82"/>
      <c r="AB230" s="98"/>
      <c r="AC230" s="82"/>
      <c r="AD230" s="98"/>
      <c r="AE230" s="117"/>
      <c r="AF230" s="98"/>
      <c r="AG230" s="82"/>
      <c r="AH230" s="98"/>
      <c r="AI230" s="82"/>
      <c r="AJ230" s="98"/>
      <c r="AK230" s="83"/>
      <c r="AL230" s="84" t="str">
        <f>IF(F230&lt;&gt;0,IF(_xlfn.MAXIFS($I$1:I230,$F$1:F230,F230,$H$1:H230,"&gt;"&amp;0)=0,"KM NÃO ENCONTRADO",IF(H230=0,CONCATENATE("SUGESTÃO DE KM PARA PLACA ",F230," *",_xlfn.MAXIFS($I$1:I230,$F$1:F230,F230,$H$1:H230,"&gt;"&amp;0),"*"),"")),"")</f>
        <v/>
      </c>
      <c r="AM230" s="85" t="str" cm="1">
        <f t="array" ref="AM230">IFERROR(IF(M230&lt;&gt;"","",CONCATENATE("https://btx.brasiltrack.com/logistica/trajeto.php?idveiculo=",VLOOKUP(F230,DATAS!$A$221:$B$250,2,FALSE),"&amp;lat=-22.204247","&amp;data_ini=",TEXT(IF(E230&lt;&gt;"",IF(COUNTIF($F$2:$F230,F230)&gt;1,MAX(IF($F$1:$F229=F230,$E$1:$E229)),""),""),"DD/MM/AAAA"),"&amp;data_fim=",TEXT(E230,"DD/MM/AAAA"),"&amp;hora_inicial=",HOUR(IF(E230&lt;&gt;"",IF(COUNTIF($F$2:$F230,F230)&gt;1,MAX(IF($F$1:$F229=F230,$E$1:$E229)),""),"")),"&amp;minuto_inicial=",MINUTE(IF(E230&lt;&gt;"",IF(COUNTIF($F$2:$F230,F230)&gt;1,MAX(IF($F$1:$F229=F230,$E$1:$E229)),""),"")),"&amp;hora_final=",HOUR(E230),"&amp;minuto_final=",MINUTE(E230),"&amp;periodo=6&amp;tipo=por_data&amp;upos=false&amp;outequip=0")),"")</f>
        <v/>
      </c>
      <c r="AN230" s="100" t="str">
        <f t="shared" si="23"/>
        <v xml:space="preserve">ABASTECEU no CANDEIAS-MG ABASTECEU no CANDEIAS-MG            </v>
      </c>
    </row>
    <row r="231" spans="1:40" x14ac:dyDescent="0.25">
      <c r="A231" s="101">
        <f>IFERROR(VLOOKUP(AN231,ROTAS!$A:$B,2,FALSE),0)</f>
        <v>14</v>
      </c>
      <c r="B231" s="101">
        <f t="shared" si="24"/>
        <v>1</v>
      </c>
      <c r="C231" s="101">
        <f t="shared" si="25"/>
        <v>473</v>
      </c>
      <c r="D231" s="144">
        <v>44896</v>
      </c>
      <c r="E231" s="76">
        <v>44897.75277777778</v>
      </c>
      <c r="F231" s="6" t="s">
        <v>127</v>
      </c>
      <c r="G231" s="5" t="str">
        <f>IFERROR(VLOOKUP(SUMIFS(MSOLICITADA!$I:$I,MSOLICITADA!$B:$B,D231,MSOLICITADA!$F:$F,F231),CODIGOSPLACAS!$A$64:$B$89,2,FALSE),"")</f>
        <v>EVERTON</v>
      </c>
      <c r="H231" s="77">
        <v>1225260</v>
      </c>
      <c r="I231" s="77">
        <v>1225733</v>
      </c>
      <c r="J231" s="7">
        <v>296</v>
      </c>
      <c r="K231" s="78">
        <v>1885.05</v>
      </c>
      <c r="L231" s="79" t="s">
        <v>111</v>
      </c>
      <c r="M231" s="6">
        <v>473</v>
      </c>
      <c r="N231" s="5" t="str">
        <f t="shared" si="19"/>
        <v/>
      </c>
      <c r="O231" s="80">
        <f t="shared" si="20"/>
        <v>6.3684121621621621</v>
      </c>
      <c r="P231" s="8">
        <f t="shared" si="21"/>
        <v>1.597972972972973</v>
      </c>
      <c r="Q231" s="8">
        <f t="shared" si="26"/>
        <v>1.9282732243128911</v>
      </c>
      <c r="R231" s="81">
        <f t="shared" si="22"/>
        <v>1</v>
      </c>
      <c r="S231" s="113" t="str">
        <f>IF(F231="","",IF(H231="",TEXT(_xlfn.MAXIFS($I$1:I231,$F$1:F231,F231,$H$1:H231,"&gt;"&amp;0),"000.000"),F231))</f>
        <v>OPM8J51</v>
      </c>
      <c r="T231" s="101" t="str">
        <f t="shared" si="27"/>
        <v/>
      </c>
      <c r="U231" s="82" t="s">
        <v>220</v>
      </c>
      <c r="V231" s="98" t="s">
        <v>233</v>
      </c>
      <c r="W231" s="82" t="s">
        <v>225</v>
      </c>
      <c r="X231" s="120" t="s">
        <v>284</v>
      </c>
      <c r="Y231" s="82" t="s">
        <v>222</v>
      </c>
      <c r="Z231" s="120" t="s">
        <v>175</v>
      </c>
      <c r="AA231" s="118" t="s">
        <v>221</v>
      </c>
      <c r="AB231" s="120" t="s">
        <v>175</v>
      </c>
      <c r="AC231" s="82" t="s">
        <v>225</v>
      </c>
      <c r="AD231" s="98" t="s">
        <v>237</v>
      </c>
      <c r="AE231" s="117" t="s">
        <v>220</v>
      </c>
      <c r="AF231" s="120" t="s">
        <v>165</v>
      </c>
      <c r="AG231" s="82"/>
      <c r="AH231" s="98"/>
      <c r="AI231" s="82"/>
      <c r="AJ231" s="98"/>
      <c r="AK231" s="83"/>
      <c r="AL231" s="84" t="str">
        <f>IF(F231&lt;&gt;0,IF(_xlfn.MAXIFS($I$1:I231,$F$1:F231,F231,$H$1:H231,"&gt;"&amp;0)=0,"KM NÃO ENCONTRADO",IF(H231=0,CONCATENATE("SUGESTÃO DE KM PARA PLACA ",F231," *",_xlfn.MAXIFS($I$1:I231,$F$1:F231,F231,$H$1:H231,"&gt;"&amp;0),"*"),"")),"")</f>
        <v/>
      </c>
      <c r="AM231" s="85" t="str" cm="1">
        <f t="array" ref="AM231">IFERROR(IF(M231&lt;&gt;"","",CONCATENATE("https://btx.brasiltrack.com/logistica/trajeto.php?idveiculo=",VLOOKUP(F231,DATAS!$A$221:$B$250,2,FALSE),"&amp;lat=-22.204247","&amp;data_ini=",TEXT(IF(E231&lt;&gt;"",IF(COUNTIF($F$2:$F231,F231)&gt;1,MAX(IF($F$1:$F230=F231,$E$1:$E230)),""),""),"DD/MM/AAAA"),"&amp;data_fim=",TEXT(E231,"DD/MM/AAAA"),"&amp;hora_inicial=",HOUR(IF(E231&lt;&gt;"",IF(COUNTIF($F$2:$F231,F231)&gt;1,MAX(IF($F$1:$F230=F231,$E$1:$E230)),""),"")),"&amp;minuto_inicial=",MINUTE(IF(E231&lt;&gt;"",IF(COUNTIF($F$2:$F231,F231)&gt;1,MAX(IF($F$1:$F230=F231,$E$1:$E230)),""),"")),"&amp;hora_final=",HOUR(E231),"&amp;minuto_final=",MINUTE(E231),"&amp;periodo=6&amp;tipo=por_data&amp;upos=false&amp;outequip=0")),"")</f>
        <v/>
      </c>
      <c r="AN231" s="100" t="str">
        <f t="shared" si="23"/>
        <v xml:space="preserve">ABASTECEU no DP ESTIVA PASSOU em SÃO PAULO-SP DESCARREGOU em SANTOS-SP CARREGOU em SANTOS-SP PASSOU em ARUJÁ-SP ABASTECEU no 22 NORTE    </v>
      </c>
    </row>
    <row r="232" spans="1:40" x14ac:dyDescent="0.25">
      <c r="A232" s="101">
        <f>IFERROR(VLOOKUP(AN232,ROTAS!$A:$B,2,FALSE),0)</f>
        <v>15</v>
      </c>
      <c r="B232" s="101">
        <f t="shared" si="24"/>
        <v>1</v>
      </c>
      <c r="C232" s="101">
        <f t="shared" si="25"/>
        <v>992</v>
      </c>
      <c r="D232" s="144">
        <v>44896</v>
      </c>
      <c r="E232" s="76">
        <v>44897.997916666667</v>
      </c>
      <c r="F232" s="6" t="s">
        <v>126</v>
      </c>
      <c r="G232" s="5" t="str">
        <f>IFERROR(VLOOKUP(SUMIFS(MSOLICITADA!$I:$I,MSOLICITADA!$B:$B,D232,MSOLICITADA!$F:$F,F232),CODIGOSPLACAS!$A$64:$B$89,2,FALSE),"")</f>
        <v>IZAIAS</v>
      </c>
      <c r="H232" s="77">
        <v>483999</v>
      </c>
      <c r="I232" s="77">
        <v>484991</v>
      </c>
      <c r="J232" s="7">
        <v>732</v>
      </c>
      <c r="K232" s="78">
        <v>4875.12</v>
      </c>
      <c r="L232" s="79" t="s">
        <v>111</v>
      </c>
      <c r="M232" s="6">
        <v>862</v>
      </c>
      <c r="N232" s="5">
        <f t="shared" si="19"/>
        <v>130</v>
      </c>
      <c r="O232" s="80">
        <f t="shared" si="20"/>
        <v>6.66</v>
      </c>
      <c r="P232" s="8">
        <f t="shared" si="21"/>
        <v>1.355191256830601</v>
      </c>
      <c r="Q232" s="8">
        <f t="shared" si="26"/>
        <v>1.5097907680030693</v>
      </c>
      <c r="R232" s="81">
        <f t="shared" si="22"/>
        <v>0.86895161290322576</v>
      </c>
      <c r="S232" s="113" t="str">
        <f>IF(F232="","",IF(H232="",TEXT(_xlfn.MAXIFS($I$1:I232,$F$1:F232,F232,$H$1:H232,"&gt;"&amp;0),"000.000"),F232))</f>
        <v>GHX4D71</v>
      </c>
      <c r="T232" s="101">
        <f t="shared" si="27"/>
        <v>130</v>
      </c>
      <c r="U232" s="82" t="s">
        <v>220</v>
      </c>
      <c r="V232" s="98" t="s">
        <v>227</v>
      </c>
      <c r="W232" s="82" t="s">
        <v>222</v>
      </c>
      <c r="X232" s="98" t="s">
        <v>215</v>
      </c>
      <c r="Y232" s="82" t="s">
        <v>221</v>
      </c>
      <c r="Z232" s="98" t="s">
        <v>232</v>
      </c>
      <c r="AA232" s="82" t="s">
        <v>220</v>
      </c>
      <c r="AB232" s="98" t="s">
        <v>224</v>
      </c>
      <c r="AC232" s="82"/>
      <c r="AD232" s="98"/>
      <c r="AE232" s="117"/>
      <c r="AF232" s="98"/>
      <c r="AG232" s="82"/>
      <c r="AH232" s="98"/>
      <c r="AI232" s="82"/>
      <c r="AJ232" s="98"/>
      <c r="AK232" s="83"/>
      <c r="AL232" s="84" t="str">
        <f>IF(F232&lt;&gt;0,IF(_xlfn.MAXIFS($I$1:I232,$F$1:F232,F232,$H$1:H232,"&gt;"&amp;0)=0,"KM NÃO ENCONTRADO",IF(H232=0,CONCATENATE("SUGESTÃO DE KM PARA PLACA ",F232," *",_xlfn.MAXIFS($I$1:I232,$F$1:F232,F232,$H$1:H232,"&gt;"&amp;0),"*"),"")),"")</f>
        <v/>
      </c>
      <c r="AM232" s="85" t="str" cm="1">
        <f t="array" ref="AM232">IFERROR(IF(M232&lt;&gt;"","",CONCATENATE("https://btx.brasiltrack.com/logistica/trajeto.php?idveiculo=",VLOOKUP(F232,DATAS!$A$221:$B$250,2,FALSE),"&amp;lat=-22.204247","&amp;data_ini=",TEXT(IF(E232&lt;&gt;"",IF(COUNTIF($F$2:$F232,F232)&gt;1,MAX(IF($F$1:$F231=F232,$E$1:$E231)),""),""),"DD/MM/AAAA"),"&amp;data_fim=",TEXT(E232,"DD/MM/AAAA"),"&amp;hora_inicial=",HOUR(IF(E232&lt;&gt;"",IF(COUNTIF($F$2:$F232,F232)&gt;1,MAX(IF($F$1:$F231=F232,$E$1:$E231)),""),"")),"&amp;minuto_inicial=",MINUTE(IF(E232&lt;&gt;"",IF(COUNTIF($F$2:$F232,F232)&gt;1,MAX(IF($F$1:$F231=F232,$E$1:$E231)),""),"")),"&amp;hora_final=",HOUR(E232),"&amp;minuto_final=",MINUTE(E232),"&amp;periodo=6&amp;tipo=por_data&amp;upos=false&amp;outequip=0")),"")</f>
        <v/>
      </c>
      <c r="AN232" s="100" t="str">
        <f t="shared" si="23"/>
        <v xml:space="preserve">ABASTECEU no PICA PAU NORTE DESCARREGOU em ARAGUARI-MG CARREGOU em SANTA JULIANA-MG ABASTECEU no PICA PAU SUL        </v>
      </c>
    </row>
    <row r="233" spans="1:40" x14ac:dyDescent="0.25">
      <c r="A233" s="101">
        <f>IFERROR(VLOOKUP(AN233,ROTAS!$A:$B,2,FALSE),0)</f>
        <v>16</v>
      </c>
      <c r="B233" s="101">
        <f t="shared" si="24"/>
        <v>1</v>
      </c>
      <c r="C233" s="101">
        <f t="shared" si="25"/>
        <v>963</v>
      </c>
      <c r="D233" s="144">
        <v>44896</v>
      </c>
      <c r="E233" s="76">
        <v>44898.475694444445</v>
      </c>
      <c r="F233" s="6" t="s">
        <v>28</v>
      </c>
      <c r="G233" s="5" t="str">
        <f>IFERROR(VLOOKUP(SUMIFS(MSOLICITADA!$I:$I,MSOLICITADA!$B:$B,D233,MSOLICITADA!$F:$F,F233),CODIGOSPLACAS!$A$64:$B$89,2,FALSE),"")</f>
        <v>RONY</v>
      </c>
      <c r="H233" s="77">
        <v>238113</v>
      </c>
      <c r="I233" s="77">
        <v>239076</v>
      </c>
      <c r="J233" s="7">
        <v>100</v>
      </c>
      <c r="K233" s="78">
        <v>639</v>
      </c>
      <c r="L233" s="79" t="s">
        <v>111</v>
      </c>
      <c r="M233" s="6">
        <v>823</v>
      </c>
      <c r="N233" s="5">
        <f t="shared" si="19"/>
        <v>140</v>
      </c>
      <c r="O233" s="80">
        <f t="shared" si="20"/>
        <v>6.39</v>
      </c>
      <c r="P233" s="8">
        <f t="shared" si="21"/>
        <v>9.6300000000000008</v>
      </c>
      <c r="Q233" s="8">
        <f t="shared" si="26"/>
        <v>1.5503831077411701</v>
      </c>
      <c r="R233" s="81">
        <f t="shared" si="22"/>
        <v>0.85462097611630317</v>
      </c>
      <c r="S233" s="113" t="str">
        <f>IF(F233="","",IF(H233="",TEXT(_xlfn.MAXIFS($I$1:I233,$F$1:F233,F233,$H$1:H233,"&gt;"&amp;0),"000.000"),F233))</f>
        <v>FZA3E94</v>
      </c>
      <c r="T233" s="101">
        <f t="shared" si="27"/>
        <v>140</v>
      </c>
      <c r="U233" s="82" t="s">
        <v>220</v>
      </c>
      <c r="V233" s="98" t="s">
        <v>227</v>
      </c>
      <c r="W233" s="82" t="s">
        <v>222</v>
      </c>
      <c r="X233" s="98" t="s">
        <v>215</v>
      </c>
      <c r="Y233" s="82" t="s">
        <v>221</v>
      </c>
      <c r="Z233" s="98" t="s">
        <v>230</v>
      </c>
      <c r="AA233" s="82" t="s">
        <v>220</v>
      </c>
      <c r="AB233" s="98" t="s">
        <v>231</v>
      </c>
      <c r="AC233" s="82"/>
      <c r="AD233" s="98"/>
      <c r="AE233" s="117"/>
      <c r="AF233" s="98"/>
      <c r="AG233" s="82"/>
      <c r="AH233" s="98"/>
      <c r="AI233" s="82"/>
      <c r="AJ233" s="98"/>
      <c r="AK233" s="83"/>
      <c r="AL233" s="84" t="str">
        <f>IF(F233&lt;&gt;0,IF(_xlfn.MAXIFS($I$1:I233,$F$1:F233,F233,$H$1:H233,"&gt;"&amp;0)=0,"KM NÃO ENCONTRADO",IF(H233=0,CONCATENATE("SUGESTÃO DE KM PARA PLACA ",F233," *",_xlfn.MAXIFS($I$1:I233,$F$1:F233,F233,$H$1:H233,"&gt;"&amp;0),"*"),"")),"")</f>
        <v/>
      </c>
      <c r="AM233" s="85" t="str" cm="1">
        <f t="array" ref="AM233">IFERROR(IF(M233&lt;&gt;"","",CONCATENATE("https://btx.brasiltrack.com/logistica/trajeto.php?idveiculo=",VLOOKUP(F233,DATAS!$A$221:$B$250,2,FALSE),"&amp;lat=-22.204247","&amp;data_ini=",TEXT(IF(E233&lt;&gt;"",IF(COUNTIF($F$2:$F233,F233)&gt;1,MAX(IF($F$1:$F232=F233,$E$1:$E232)),""),""),"DD/MM/AAAA"),"&amp;data_fim=",TEXT(E233,"DD/MM/AAAA"),"&amp;hora_inicial=",HOUR(IF(E233&lt;&gt;"",IF(COUNTIF($F$2:$F233,F233)&gt;1,MAX(IF($F$1:$F232=F233,$E$1:$E232)),""),"")),"&amp;minuto_inicial=",MINUTE(IF(E233&lt;&gt;"",IF(COUNTIF($F$2:$F233,F233)&gt;1,MAX(IF($F$1:$F232=F233,$E$1:$E232)),""),"")),"&amp;hora_final=",HOUR(E233),"&amp;minuto_final=",MINUTE(E233),"&amp;periodo=6&amp;tipo=por_data&amp;upos=false&amp;outequip=0")),"")</f>
        <v/>
      </c>
      <c r="AN233" s="100" t="str">
        <f t="shared" si="23"/>
        <v xml:space="preserve">ABASTECEU no PICA PAU NORTE DESCARREGOU em ARAGUARI-MG CARREGOU em IPAMERI-GO ABASTECEU no DECIO UBER.        </v>
      </c>
    </row>
    <row r="234" spans="1:40" x14ac:dyDescent="0.25">
      <c r="A234" s="101">
        <f>IFERROR(VLOOKUP(AN234,ROTAS!$A:$B,2,FALSE),0)</f>
        <v>17</v>
      </c>
      <c r="B234" s="101">
        <f t="shared" si="24"/>
        <v>1</v>
      </c>
      <c r="C234" s="101">
        <f t="shared" si="25"/>
        <v>229</v>
      </c>
      <c r="D234" s="144">
        <v>44896</v>
      </c>
      <c r="E234" s="76">
        <v>44898.638888888891</v>
      </c>
      <c r="F234" s="6" t="s">
        <v>28</v>
      </c>
      <c r="G234" s="5" t="str">
        <f>IFERROR(VLOOKUP(SUMIFS(MSOLICITADA!$I:$I,MSOLICITADA!$B:$B,D234,MSOLICITADA!$F:$F,F234),CODIGOSPLACAS!$A$64:$B$89,2,FALSE),"")</f>
        <v>RONY</v>
      </c>
      <c r="H234" s="77">
        <v>239076</v>
      </c>
      <c r="I234" s="77">
        <v>239305</v>
      </c>
      <c r="J234" s="7">
        <v>200</v>
      </c>
      <c r="K234" s="78">
        <v>1238</v>
      </c>
      <c r="L234" s="79" t="s">
        <v>111</v>
      </c>
      <c r="M234" s="6">
        <v>229</v>
      </c>
      <c r="N234" s="5" t="str">
        <f t="shared" si="19"/>
        <v/>
      </c>
      <c r="O234" s="80">
        <f t="shared" si="20"/>
        <v>6.19</v>
      </c>
      <c r="P234" s="8">
        <f t="shared" si="21"/>
        <v>1.145</v>
      </c>
      <c r="Q234" s="8">
        <f t="shared" si="26"/>
        <v>1.5503831077411701</v>
      </c>
      <c r="R234" s="81">
        <f t="shared" si="22"/>
        <v>1</v>
      </c>
      <c r="S234" s="113" t="str">
        <f>IF(F234="","",IF(H234="",TEXT(_xlfn.MAXIFS($I$1:I234,$F$1:F234,F234,$H$1:H234,"&gt;"&amp;0),"000.000"),F234))</f>
        <v>FZA3E94</v>
      </c>
      <c r="T234" s="101" t="str">
        <f t="shared" si="27"/>
        <v/>
      </c>
      <c r="U234" s="82" t="s">
        <v>220</v>
      </c>
      <c r="V234" s="98" t="s">
        <v>231</v>
      </c>
      <c r="W234" s="82" t="s">
        <v>220</v>
      </c>
      <c r="X234" s="98" t="s">
        <v>228</v>
      </c>
      <c r="Y234" s="82"/>
      <c r="Z234" s="98"/>
      <c r="AA234" s="82"/>
      <c r="AB234" s="98"/>
      <c r="AC234" s="82"/>
      <c r="AD234" s="98"/>
      <c r="AE234" s="117"/>
      <c r="AF234" s="98"/>
      <c r="AG234" s="82"/>
      <c r="AH234" s="98"/>
      <c r="AI234" s="82"/>
      <c r="AJ234" s="98"/>
      <c r="AK234" s="83"/>
      <c r="AL234" s="84" t="str">
        <f>IF(F234&lt;&gt;0,IF(_xlfn.MAXIFS($I$1:I234,$F$1:F234,F234,$H$1:H234,"&gt;"&amp;0)=0,"KM NÃO ENCONTRADO",IF(H234=0,CONCATENATE("SUGESTÃO DE KM PARA PLACA ",F234," *",_xlfn.MAXIFS($I$1:I234,$F$1:F234,F234,$H$1:H234,"&gt;"&amp;0),"*"),"")),"")</f>
        <v/>
      </c>
      <c r="AM234" s="85" t="str" cm="1">
        <f t="array" ref="AM234">IFERROR(IF(M234&lt;&gt;"","",CONCATENATE("https://btx.brasiltrack.com/logistica/trajeto.php?idveiculo=",VLOOKUP(F234,DATAS!$A$221:$B$250,2,FALSE),"&amp;lat=-22.204247","&amp;data_ini=",TEXT(IF(E234&lt;&gt;"",IF(COUNTIF($F$2:$F234,F234)&gt;1,MAX(IF($F$1:$F233=F234,$E$1:$E233)),""),""),"DD/MM/AAAA"),"&amp;data_fim=",TEXT(E234,"DD/MM/AAAA"),"&amp;hora_inicial=",HOUR(IF(E234&lt;&gt;"",IF(COUNTIF($F$2:$F234,F234)&gt;1,MAX(IF($F$1:$F233=F234,$E$1:$E233)),""),"")),"&amp;minuto_inicial=",MINUTE(IF(E234&lt;&gt;"",IF(COUNTIF($F$2:$F234,F234)&gt;1,MAX(IF($F$1:$F233=F234,$E$1:$E233)),""),"")),"&amp;hora_final=",HOUR(E234),"&amp;minuto_final=",MINUTE(E234),"&amp;periodo=6&amp;tipo=por_data&amp;upos=false&amp;outequip=0")),"")</f>
        <v/>
      </c>
      <c r="AN234" s="100" t="str">
        <f t="shared" si="23"/>
        <v xml:space="preserve">ABASTECEU no DECIO UBER. ABASTECEU no DP SALES OLIVEIRA            </v>
      </c>
    </row>
    <row r="235" spans="1:40" x14ac:dyDescent="0.25">
      <c r="A235" s="101">
        <f>IFERROR(VLOOKUP(AN235,ROTAS!$A:$B,2,FALSE),0)</f>
        <v>18</v>
      </c>
      <c r="B235" s="101">
        <f t="shared" si="24"/>
        <v>1</v>
      </c>
      <c r="C235" s="101">
        <f t="shared" si="25"/>
        <v>764</v>
      </c>
      <c r="D235" s="144">
        <v>44896</v>
      </c>
      <c r="E235" s="76">
        <v>44898.691666666666</v>
      </c>
      <c r="F235" s="6" t="s">
        <v>23</v>
      </c>
      <c r="G235" s="5" t="str">
        <f>IFERROR(VLOOKUP(SUMIFS(MSOLICITADA!$I:$I,MSOLICITADA!$B:$B,D235,MSOLICITADA!$F:$F,F235),CODIGOSPLACAS!$A$64:$B$89,2,FALSE),"")</f>
        <v>ISAC</v>
      </c>
      <c r="H235" s="77">
        <v>1200472</v>
      </c>
      <c r="I235" s="77">
        <v>1201236</v>
      </c>
      <c r="J235" s="7">
        <v>100</v>
      </c>
      <c r="K235" s="78">
        <v>649</v>
      </c>
      <c r="L235" s="79" t="s">
        <v>111</v>
      </c>
      <c r="M235" s="6">
        <v>624</v>
      </c>
      <c r="N235" s="5">
        <f t="shared" si="19"/>
        <v>140</v>
      </c>
      <c r="O235" s="80">
        <f t="shared" si="20"/>
        <v>6.49</v>
      </c>
      <c r="P235" s="8">
        <f t="shared" si="21"/>
        <v>7.64</v>
      </c>
      <c r="Q235" s="8">
        <f t="shared" si="26"/>
        <v>1.5720509549919661</v>
      </c>
      <c r="R235" s="81">
        <f t="shared" si="22"/>
        <v>0.81675392670157065</v>
      </c>
      <c r="S235" s="113" t="str">
        <f>IF(F235="","",IF(H235="",TEXT(_xlfn.MAXIFS($I$1:I235,$F$1:F235,F235,$H$1:H235,"&gt;"&amp;0),"000.000"),F235))</f>
        <v>HNC7I76</v>
      </c>
      <c r="T235" s="101">
        <f t="shared" si="27"/>
        <v>140</v>
      </c>
      <c r="U235" s="82" t="s">
        <v>220</v>
      </c>
      <c r="V235" s="98" t="s">
        <v>226</v>
      </c>
      <c r="W235" s="82" t="s">
        <v>222</v>
      </c>
      <c r="X235" s="98" t="s">
        <v>215</v>
      </c>
      <c r="Y235" s="82" t="s">
        <v>221</v>
      </c>
      <c r="Z235" s="98" t="s">
        <v>230</v>
      </c>
      <c r="AA235" s="82" t="s">
        <v>220</v>
      </c>
      <c r="AB235" s="98" t="s">
        <v>229</v>
      </c>
      <c r="AC235" s="82"/>
      <c r="AD235" s="98"/>
      <c r="AE235" s="117"/>
      <c r="AF235" s="98"/>
      <c r="AG235" s="82"/>
      <c r="AH235" s="98"/>
      <c r="AI235" s="82"/>
      <c r="AJ235" s="98"/>
      <c r="AK235" s="83"/>
      <c r="AL235" s="84" t="str">
        <f>IF(F235&lt;&gt;0,IF(_xlfn.MAXIFS($I$1:I235,$F$1:F235,F235,$H$1:H235,"&gt;"&amp;0)=0,"KM NÃO ENCONTRADO",IF(H235=0,CONCATENATE("SUGESTÃO DE KM PARA PLACA ",F235," *",_xlfn.MAXIFS($I$1:I235,$F$1:F235,F235,$H$1:H235,"&gt;"&amp;0),"*"),"")),"")</f>
        <v/>
      </c>
      <c r="AM235" s="85" t="str" cm="1">
        <f t="array" ref="AM235">IFERROR(IF(M235&lt;&gt;"","",CONCATENATE("https://btx.brasiltrack.com/logistica/trajeto.php?idveiculo=",VLOOKUP(F235,DATAS!$A$221:$B$250,2,FALSE),"&amp;lat=-22.204247","&amp;data_ini=",TEXT(IF(E235&lt;&gt;"",IF(COUNTIF($F$2:$F235,F235)&gt;1,MAX(IF($F$1:$F234=F235,$E$1:$E234)),""),""),"DD/MM/AAAA"),"&amp;data_fim=",TEXT(E235,"DD/MM/AAAA"),"&amp;hora_inicial=",HOUR(IF(E235&lt;&gt;"",IF(COUNTIF($F$2:$F235,F235)&gt;1,MAX(IF($F$1:$F234=F235,$E$1:$E234)),""),"")),"&amp;minuto_inicial=",MINUTE(IF(E235&lt;&gt;"",IF(COUNTIF($F$2:$F235,F235)&gt;1,MAX(IF($F$1:$F234=F235,$E$1:$E234)),""),"")),"&amp;hora_final=",HOUR(E235),"&amp;minuto_final=",MINUTE(E235),"&amp;periodo=6&amp;tipo=por_data&amp;upos=false&amp;outequip=0")),"")</f>
        <v/>
      </c>
      <c r="AN235" s="100" t="str">
        <f t="shared" si="23"/>
        <v xml:space="preserve">ABASTECEU no PRODOESTE UBA DESCARREGOU em ARAGUARI-MG CARREGOU em IPAMERI-GO ABASTECEU no CAXUXA UBER.        </v>
      </c>
    </row>
    <row r="236" spans="1:40" x14ac:dyDescent="0.25">
      <c r="A236" s="101">
        <f>IFERROR(VLOOKUP(AN236,ROTAS!$A:$B,2,FALSE),0)</f>
        <v>19</v>
      </c>
      <c r="B236" s="101">
        <f t="shared" si="24"/>
        <v>1</v>
      </c>
      <c r="C236" s="101">
        <f t="shared" si="25"/>
        <v>118</v>
      </c>
      <c r="D236" s="144">
        <v>44896</v>
      </c>
      <c r="E236" s="76">
        <v>44898.796527777777</v>
      </c>
      <c r="F236" s="6" t="s">
        <v>23</v>
      </c>
      <c r="G236" s="5" t="str">
        <f>IFERROR(VLOOKUP(SUMIFS(MSOLICITADA!$I:$I,MSOLICITADA!$B:$B,D236,MSOLICITADA!$F:$F,F236),CODIGOSPLACAS!$A$64:$B$89,2,FALSE),"")</f>
        <v>ISAC</v>
      </c>
      <c r="H236" s="77">
        <v>1201236</v>
      </c>
      <c r="I236" s="77">
        <v>1201354</v>
      </c>
      <c r="J236" s="7">
        <v>250</v>
      </c>
      <c r="K236" s="78">
        <v>1797.5</v>
      </c>
      <c r="L236" s="79" t="s">
        <v>111</v>
      </c>
      <c r="M236" s="6">
        <v>118</v>
      </c>
      <c r="N236" s="5" t="str">
        <f t="shared" si="19"/>
        <v/>
      </c>
      <c r="O236" s="80">
        <f t="shared" si="20"/>
        <v>7.19</v>
      </c>
      <c r="P236" s="8">
        <f t="shared" si="21"/>
        <v>0.47199999999999998</v>
      </c>
      <c r="Q236" s="8">
        <f t="shared" si="26"/>
        <v>1.5720509549919661</v>
      </c>
      <c r="R236" s="81">
        <f t="shared" si="22"/>
        <v>1</v>
      </c>
      <c r="S236" s="113" t="str">
        <f>IF(F236="","",IF(H236="",TEXT(_xlfn.MAXIFS($I$1:I236,$F$1:F236,F236,$H$1:H236,"&gt;"&amp;0),"000.000"),F236))</f>
        <v>HNC7I76</v>
      </c>
      <c r="T236" s="101" t="str">
        <f t="shared" si="27"/>
        <v/>
      </c>
      <c r="U236" s="82" t="s">
        <v>220</v>
      </c>
      <c r="V236" s="98" t="s">
        <v>229</v>
      </c>
      <c r="W236" s="82" t="s">
        <v>220</v>
      </c>
      <c r="X236" s="98" t="s">
        <v>226</v>
      </c>
      <c r="Y236" s="82"/>
      <c r="Z236" s="98"/>
      <c r="AA236" s="82"/>
      <c r="AB236" s="98"/>
      <c r="AC236" s="82"/>
      <c r="AD236" s="98"/>
      <c r="AE236" s="117"/>
      <c r="AF236" s="98"/>
      <c r="AG236" s="82"/>
      <c r="AH236" s="98"/>
      <c r="AI236" s="82"/>
      <c r="AJ236" s="98"/>
      <c r="AK236" s="83"/>
      <c r="AL236" s="84" t="str">
        <f>IF(F236&lt;&gt;0,IF(_xlfn.MAXIFS($I$1:I236,$F$1:F236,F236,$H$1:H236,"&gt;"&amp;0)=0,"KM NÃO ENCONTRADO",IF(H236=0,CONCATENATE("SUGESTÃO DE KM PARA PLACA ",F236," *",_xlfn.MAXIFS($I$1:I236,$F$1:F236,F236,$H$1:H236,"&gt;"&amp;0),"*"),"")),"")</f>
        <v/>
      </c>
      <c r="AM236" s="85" t="str" cm="1">
        <f t="array" ref="AM236">IFERROR(IF(M236&lt;&gt;"","",CONCATENATE("https://btx.brasiltrack.com/logistica/trajeto.php?idveiculo=",VLOOKUP(F236,DATAS!$A$221:$B$250,2,FALSE),"&amp;lat=-22.204247","&amp;data_ini=",TEXT(IF(E236&lt;&gt;"",IF(COUNTIF($F$2:$F236,F236)&gt;1,MAX(IF($F$1:$F235=F236,$E$1:$E235)),""),""),"DD/MM/AAAA"),"&amp;data_fim=",TEXT(E236,"DD/MM/AAAA"),"&amp;hora_inicial=",HOUR(IF(E236&lt;&gt;"",IF(COUNTIF($F$2:$F236,F236)&gt;1,MAX(IF($F$1:$F235=F236,$E$1:$E235)),""),"")),"&amp;minuto_inicial=",MINUTE(IF(E236&lt;&gt;"",IF(COUNTIF($F$2:$F236,F236)&gt;1,MAX(IF($F$1:$F235=F236,$E$1:$E235)),""),"")),"&amp;hora_final=",HOUR(E236),"&amp;minuto_final=",MINUTE(E236),"&amp;periodo=6&amp;tipo=por_data&amp;upos=false&amp;outequip=0")),"")</f>
        <v/>
      </c>
      <c r="AN236" s="100" t="str">
        <f t="shared" si="23"/>
        <v xml:space="preserve">ABASTECEU no CAXUXA UBER. ABASTECEU no PRODOESTE UBA            </v>
      </c>
    </row>
    <row r="237" spans="1:40" x14ac:dyDescent="0.25">
      <c r="A237" s="101">
        <f>IFERROR(VLOOKUP(AN237,ROTAS!$A:$B,2,FALSE),0)</f>
        <v>20</v>
      </c>
      <c r="B237" s="101">
        <f t="shared" si="24"/>
        <v>1</v>
      </c>
      <c r="C237" s="101">
        <f t="shared" si="25"/>
        <v>964</v>
      </c>
      <c r="D237" s="144">
        <v>44896</v>
      </c>
      <c r="E237" s="76">
        <v>44898.797222222223</v>
      </c>
      <c r="F237" s="6" t="s">
        <v>24</v>
      </c>
      <c r="G237" s="5" t="str">
        <f>IFERROR(VLOOKUP(SUMIFS(MSOLICITADA!$I:$I,MSOLICITADA!$B:$B,D237,MSOLICITADA!$F:$F,F237),CODIGOSPLACAS!$A$64:$B$89,2,FALSE),"")</f>
        <v>PAULO HENR.</v>
      </c>
      <c r="H237" s="77">
        <v>944003</v>
      </c>
      <c r="I237" s="77">
        <v>944967</v>
      </c>
      <c r="J237" s="7">
        <v>680</v>
      </c>
      <c r="K237" s="78">
        <v>4528.8</v>
      </c>
      <c r="L237" s="79" t="s">
        <v>111</v>
      </c>
      <c r="M237" s="6">
        <v>824</v>
      </c>
      <c r="N237" s="5">
        <f t="shared" si="19"/>
        <v>140</v>
      </c>
      <c r="O237" s="80">
        <f t="shared" si="20"/>
        <v>6.66</v>
      </c>
      <c r="P237" s="8">
        <f t="shared" si="21"/>
        <v>1.4176470588235295</v>
      </c>
      <c r="Q237" s="8">
        <f t="shared" si="26"/>
        <v>1.5280797985385988</v>
      </c>
      <c r="R237" s="81">
        <f t="shared" si="22"/>
        <v>0.85477178423236511</v>
      </c>
      <c r="S237" s="113" t="str">
        <f>IF(F237="","",IF(H237="",TEXT(_xlfn.MAXIFS($I$1:I237,$F$1:F237,F237,$H$1:H237,"&gt;"&amp;0),"000.000"),F237))</f>
        <v>FKS0J24</v>
      </c>
      <c r="T237" s="101">
        <f t="shared" si="27"/>
        <v>140</v>
      </c>
      <c r="U237" s="82" t="s">
        <v>220</v>
      </c>
      <c r="V237" s="98" t="s">
        <v>227</v>
      </c>
      <c r="W237" s="82" t="s">
        <v>222</v>
      </c>
      <c r="X237" s="98" t="s">
        <v>215</v>
      </c>
      <c r="Y237" s="82" t="s">
        <v>221</v>
      </c>
      <c r="Z237" s="98" t="s">
        <v>170</v>
      </c>
      <c r="AA237" s="82" t="s">
        <v>220</v>
      </c>
      <c r="AB237" s="98" t="s">
        <v>227</v>
      </c>
      <c r="AC237" s="82"/>
      <c r="AD237" s="98"/>
      <c r="AE237" s="117"/>
      <c r="AF237" s="98"/>
      <c r="AG237" s="82"/>
      <c r="AH237" s="98"/>
      <c r="AI237" s="82"/>
      <c r="AJ237" s="98"/>
      <c r="AK237" s="83"/>
      <c r="AL237" s="84" t="str">
        <f>IF(F237&lt;&gt;0,IF(_xlfn.MAXIFS($I$1:I237,$F$1:F237,F237,$H$1:H237,"&gt;"&amp;0)=0,"KM NÃO ENCONTRADO",IF(H237=0,CONCATENATE("SUGESTÃO DE KM PARA PLACA ",F237," *",_xlfn.MAXIFS($I$1:I237,$F$1:F237,F237,$H$1:H237,"&gt;"&amp;0),"*"),"")),"")</f>
        <v/>
      </c>
      <c r="AM237" s="85" t="str" cm="1">
        <f t="array" ref="AM237">IFERROR(IF(M237&lt;&gt;"","",CONCATENATE("https://btx.brasiltrack.com/logistica/trajeto.php?idveiculo=",VLOOKUP(F237,DATAS!$A$221:$B$250,2,FALSE),"&amp;lat=-22.204247","&amp;data_ini=",TEXT(IF(E237&lt;&gt;"",IF(COUNTIF($F$2:$F237,F237)&gt;1,MAX(IF($F$1:$F236=F237,$E$1:$E236)),""),""),"DD/MM/AAAA"),"&amp;data_fim=",TEXT(E237,"DD/MM/AAAA"),"&amp;hora_inicial=",HOUR(IF(E237&lt;&gt;"",IF(COUNTIF($F$2:$F237,F237)&gt;1,MAX(IF($F$1:$F236=F237,$E$1:$E236)),""),"")),"&amp;minuto_inicial=",MINUTE(IF(E237&lt;&gt;"",IF(COUNTIF($F$2:$F237,F237)&gt;1,MAX(IF($F$1:$F236=F237,$E$1:$E236)),""),"")),"&amp;hora_final=",HOUR(E237),"&amp;minuto_final=",MINUTE(E237),"&amp;periodo=6&amp;tipo=por_data&amp;upos=false&amp;outequip=0")),"")</f>
        <v/>
      </c>
      <c r="AN237" s="100" t="str">
        <f t="shared" si="23"/>
        <v xml:space="preserve">ABASTECEU no PICA PAU NORTE DESCARREGOU em ARAGUARI-MG CARREGOU em UBERABA-MG ABASTECEU no PICA PAU NORTE        </v>
      </c>
    </row>
    <row r="238" spans="1:40" x14ac:dyDescent="0.25">
      <c r="A238" s="101">
        <f>IFERROR(VLOOKUP(AN238,ROTAS!$A:$B,2,FALSE),0)</f>
        <v>21</v>
      </c>
      <c r="B238" s="101">
        <f t="shared" si="24"/>
        <v>2</v>
      </c>
      <c r="C238" s="101">
        <f t="shared" si="25"/>
        <v>171.5</v>
      </c>
      <c r="D238" s="144">
        <v>44896</v>
      </c>
      <c r="E238" s="76">
        <v>44898.810416666667</v>
      </c>
      <c r="F238" s="6" t="s">
        <v>28</v>
      </c>
      <c r="G238" s="5" t="str">
        <f>IFERROR(VLOOKUP(SUMIFS(MSOLICITADA!$I:$I,MSOLICITADA!$B:$B,D238,MSOLICITADA!$F:$F,F238),CODIGOSPLACAS!$A$64:$B$89,2,FALSE),"")</f>
        <v>RONY</v>
      </c>
      <c r="H238" s="77">
        <v>239305</v>
      </c>
      <c r="I238" s="77">
        <v>239475</v>
      </c>
      <c r="J238" s="7">
        <v>633</v>
      </c>
      <c r="K238" s="78">
        <v>4215.78</v>
      </c>
      <c r="L238" s="79" t="s">
        <v>111</v>
      </c>
      <c r="M238" s="6">
        <v>170</v>
      </c>
      <c r="N238" s="5" t="str">
        <f t="shared" si="19"/>
        <v/>
      </c>
      <c r="O238" s="80">
        <f t="shared" si="20"/>
        <v>6.6599999999999993</v>
      </c>
      <c r="P238" s="8">
        <f t="shared" si="21"/>
        <v>0.26856240126382308</v>
      </c>
      <c r="Q238" s="8">
        <f t="shared" si="26"/>
        <v>1.5503831077411701</v>
      </c>
      <c r="R238" s="81">
        <f t="shared" si="22"/>
        <v>1</v>
      </c>
      <c r="S238" s="113" t="str">
        <f>IF(F238="","",IF(H238="",TEXT(_xlfn.MAXIFS($I$1:I238,$F$1:F238,F238,$H$1:H238,"&gt;"&amp;0),"000.000"),F238))</f>
        <v>FZA3E94</v>
      </c>
      <c r="T238" s="101" t="str">
        <f t="shared" si="27"/>
        <v/>
      </c>
      <c r="U238" s="82" t="s">
        <v>220</v>
      </c>
      <c r="V238" s="98" t="s">
        <v>228</v>
      </c>
      <c r="W238" s="82" t="s">
        <v>220</v>
      </c>
      <c r="X238" s="98" t="s">
        <v>227</v>
      </c>
      <c r="Y238" s="82"/>
      <c r="Z238" s="98"/>
      <c r="AA238" s="82"/>
      <c r="AB238" s="98"/>
      <c r="AC238" s="82"/>
      <c r="AD238" s="98"/>
      <c r="AE238" s="117"/>
      <c r="AF238" s="98"/>
      <c r="AG238" s="82"/>
      <c r="AH238" s="98"/>
      <c r="AI238" s="82"/>
      <c r="AJ238" s="98"/>
      <c r="AK238" s="83"/>
      <c r="AL238" s="84" t="str">
        <f>IF(F238&lt;&gt;0,IF(_xlfn.MAXIFS($I$1:I238,$F$1:F238,F238,$H$1:H238,"&gt;"&amp;0)=0,"KM NÃO ENCONTRADO",IF(H238=0,CONCATENATE("SUGESTÃO DE KM PARA PLACA ",F238," *",_xlfn.MAXIFS($I$1:I238,$F$1:F238,F238,$H$1:H238,"&gt;"&amp;0),"*"),"")),"")</f>
        <v/>
      </c>
      <c r="AM238" s="85" t="str" cm="1">
        <f t="array" ref="AM238">IFERROR(IF(M238&lt;&gt;"","",CONCATENATE("https://btx.brasiltrack.com/logistica/trajeto.php?idveiculo=",VLOOKUP(F238,DATAS!$A$221:$B$250,2,FALSE),"&amp;lat=-22.204247","&amp;data_ini=",TEXT(IF(E238&lt;&gt;"",IF(COUNTIF($F$2:$F238,F238)&gt;1,MAX(IF($F$1:$F237=F238,$E$1:$E237)),""),""),"DD/MM/AAAA"),"&amp;data_fim=",TEXT(E238,"DD/MM/AAAA"),"&amp;hora_inicial=",HOUR(IF(E238&lt;&gt;"",IF(COUNTIF($F$2:$F238,F238)&gt;1,MAX(IF($F$1:$F237=F238,$E$1:$E237)),""),"")),"&amp;minuto_inicial=",MINUTE(IF(E238&lt;&gt;"",IF(COUNTIF($F$2:$F238,F238)&gt;1,MAX(IF($F$1:$F237=F238,$E$1:$E237)),""),"")),"&amp;hora_final=",HOUR(E238),"&amp;minuto_final=",MINUTE(E238),"&amp;periodo=6&amp;tipo=por_data&amp;upos=false&amp;outequip=0")),"")</f>
        <v/>
      </c>
      <c r="AN238" s="100" t="str">
        <f t="shared" si="23"/>
        <v xml:space="preserve">ABASTECEU no DP SALES OLIVEIRA ABASTECEU no PICA PAU NORTE            </v>
      </c>
    </row>
    <row r="239" spans="1:40" x14ac:dyDescent="0.25">
      <c r="A239" s="101">
        <f>IFERROR(VLOOKUP(AN239,ROTAS!$A:$B,2,FALSE),0)</f>
        <v>22</v>
      </c>
      <c r="B239" s="101">
        <f t="shared" si="24"/>
        <v>1</v>
      </c>
      <c r="C239" s="101">
        <f t="shared" si="25"/>
        <v>310</v>
      </c>
      <c r="D239" s="144">
        <v>44896</v>
      </c>
      <c r="E239" s="76">
        <v>44899.029861111114</v>
      </c>
      <c r="F239" s="6" t="s">
        <v>23</v>
      </c>
      <c r="G239" s="5" t="str">
        <f>IFERROR(VLOOKUP(SUMIFS(MSOLICITADA!$I:$I,MSOLICITADA!$B:$B,D239,MSOLICITADA!$F:$F,F239),CODIGOSPLACAS!$A$64:$B$89,2,FALSE),"")</f>
        <v>ISAC</v>
      </c>
      <c r="H239" s="77">
        <v>1201354</v>
      </c>
      <c r="I239" s="77">
        <v>1201664</v>
      </c>
      <c r="J239" s="7">
        <v>480.51</v>
      </c>
      <c r="K239" s="78">
        <v>3200.2</v>
      </c>
      <c r="L239" s="79" t="s">
        <v>111</v>
      </c>
      <c r="M239" s="6">
        <v>310</v>
      </c>
      <c r="N239" s="5" t="str">
        <f t="shared" si="19"/>
        <v/>
      </c>
      <c r="O239" s="80">
        <f t="shared" si="20"/>
        <v>6.6600070758152796</v>
      </c>
      <c r="P239" s="8">
        <f t="shared" si="21"/>
        <v>0.64514786372812216</v>
      </c>
      <c r="Q239" s="8">
        <f t="shared" si="26"/>
        <v>1.5720509549919661</v>
      </c>
      <c r="R239" s="81">
        <f t="shared" si="22"/>
        <v>1</v>
      </c>
      <c r="S239" s="113" t="str">
        <f>IF(F239="","",IF(H239="",TEXT(_xlfn.MAXIFS($I$1:I239,$F$1:F239,F239,$H$1:H239,"&gt;"&amp;0),"000.000"),F239))</f>
        <v>HNC7I76</v>
      </c>
      <c r="T239" s="101" t="str">
        <f t="shared" si="27"/>
        <v/>
      </c>
      <c r="U239" s="82" t="s">
        <v>220</v>
      </c>
      <c r="V239" s="98" t="s">
        <v>226</v>
      </c>
      <c r="W239" s="123" t="s">
        <v>220</v>
      </c>
      <c r="X239" s="121" t="s">
        <v>227</v>
      </c>
      <c r="Y239" s="82"/>
      <c r="Z239" s="98"/>
      <c r="AA239" s="82"/>
      <c r="AB239" s="98"/>
      <c r="AC239" s="82"/>
      <c r="AD239" s="98"/>
      <c r="AE239" s="117"/>
      <c r="AF239" s="98"/>
      <c r="AG239" s="82"/>
      <c r="AH239" s="98"/>
      <c r="AI239" s="82"/>
      <c r="AJ239" s="98"/>
      <c r="AK239" s="83"/>
      <c r="AL239" s="84" t="str">
        <f>IF(F239&lt;&gt;0,IF(_xlfn.MAXIFS($I$1:I239,$F$1:F239,F239,$H$1:H239,"&gt;"&amp;0)=0,"KM NÃO ENCONTRADO",IF(H239=0,CONCATENATE("SUGESTÃO DE KM PARA PLACA ",F239," *",_xlfn.MAXIFS($I$1:I239,$F$1:F239,F239,$H$1:H239,"&gt;"&amp;0),"*"),"")),"")</f>
        <v/>
      </c>
      <c r="AM239" s="85" t="str" cm="1">
        <f t="array" ref="AM239">IFERROR(IF(M239&lt;&gt;"","",CONCATENATE("https://btx.brasiltrack.com/logistica/trajeto.php?idveiculo=",VLOOKUP(F239,DATAS!$A$221:$B$250,2,FALSE),"&amp;lat=-22.204247","&amp;data_ini=",TEXT(IF(E239&lt;&gt;"",IF(COUNTIF($F$2:$F239,F239)&gt;1,MAX(IF($F$1:$F238=F239,$E$1:$E238)),""),""),"DD/MM/AAAA"),"&amp;data_fim=",TEXT(E239,"DD/MM/AAAA"),"&amp;hora_inicial=",HOUR(IF(E239&lt;&gt;"",IF(COUNTIF($F$2:$F239,F239)&gt;1,MAX(IF($F$1:$F238=F239,$E$1:$E238)),""),"")),"&amp;minuto_inicial=",MINUTE(IF(E239&lt;&gt;"",IF(COUNTIF($F$2:$F239,F239)&gt;1,MAX(IF($F$1:$F238=F239,$E$1:$E238)),""),"")),"&amp;hora_final=",HOUR(E239),"&amp;minuto_final=",MINUTE(E239),"&amp;periodo=6&amp;tipo=por_data&amp;upos=false&amp;outequip=0")),"")</f>
        <v/>
      </c>
      <c r="AN239" s="100" t="str">
        <f t="shared" si="23"/>
        <v xml:space="preserve">ABASTECEU no PRODOESTE UBA ABASTECEU no PICA PAU NORTE            </v>
      </c>
    </row>
    <row r="240" spans="1:40" x14ac:dyDescent="0.25">
      <c r="A240" s="101">
        <f>IFERROR(VLOOKUP(AN240,ROTAS!$A:$B,2,FALSE),0)</f>
        <v>23</v>
      </c>
      <c r="B240" s="101">
        <f t="shared" si="24"/>
        <v>1</v>
      </c>
      <c r="C240" s="101">
        <f t="shared" si="25"/>
        <v>528</v>
      </c>
      <c r="D240" s="144">
        <v>44896</v>
      </c>
      <c r="E240" s="76">
        <v>44899.386805555558</v>
      </c>
      <c r="F240" s="6" t="s">
        <v>126</v>
      </c>
      <c r="G240" s="5" t="str">
        <f>IFERROR(VLOOKUP(SUMIFS(MSOLICITADA!$I:$I,MSOLICITADA!$B:$B,D240,MSOLICITADA!$F:$F,F240),CODIGOSPLACAS!$A$64:$B$89,2,FALSE),"")</f>
        <v>IZAIAS</v>
      </c>
      <c r="H240" s="77">
        <v>484991</v>
      </c>
      <c r="I240" s="77">
        <v>485519</v>
      </c>
      <c r="J240" s="7">
        <v>384.00099999999998</v>
      </c>
      <c r="K240" s="78">
        <v>2453.7600000000002</v>
      </c>
      <c r="L240" s="79" t="s">
        <v>111</v>
      </c>
      <c r="M240" s="6">
        <v>528</v>
      </c>
      <c r="N240" s="5" t="str">
        <f t="shared" si="19"/>
        <v/>
      </c>
      <c r="O240" s="80">
        <f t="shared" si="20"/>
        <v>6.389983359418336</v>
      </c>
      <c r="P240" s="8">
        <f t="shared" si="21"/>
        <v>1.3749964192801583</v>
      </c>
      <c r="Q240" s="8">
        <f t="shared" si="26"/>
        <v>1.5097907680030693</v>
      </c>
      <c r="R240" s="81">
        <f t="shared" si="22"/>
        <v>1</v>
      </c>
      <c r="S240" s="113" t="str">
        <f>IF(F240="","",IF(H240="",TEXT(_xlfn.MAXIFS($I$1:I240,$F$1:F240,F240,$H$1:H240,"&gt;"&amp;0),"000.000"),F240))</f>
        <v>GHX4D71</v>
      </c>
      <c r="T240" s="101" t="str">
        <f t="shared" si="27"/>
        <v/>
      </c>
      <c r="U240" s="82" t="s">
        <v>220</v>
      </c>
      <c r="V240" s="98" t="s">
        <v>224</v>
      </c>
      <c r="W240" s="82" t="s">
        <v>225</v>
      </c>
      <c r="X240" s="98" t="s">
        <v>284</v>
      </c>
      <c r="Y240" s="82" t="s">
        <v>222</v>
      </c>
      <c r="Z240" s="98" t="s">
        <v>175</v>
      </c>
      <c r="AA240" s="82" t="s">
        <v>221</v>
      </c>
      <c r="AB240" s="98" t="s">
        <v>175</v>
      </c>
      <c r="AC240" s="82" t="s">
        <v>225</v>
      </c>
      <c r="AD240" s="98" t="s">
        <v>284</v>
      </c>
      <c r="AE240" s="117" t="s">
        <v>220</v>
      </c>
      <c r="AF240" s="98" t="s">
        <v>165</v>
      </c>
      <c r="AG240" s="82"/>
      <c r="AH240" s="98"/>
      <c r="AI240" s="82"/>
      <c r="AJ240" s="98"/>
      <c r="AK240" s="83"/>
      <c r="AL240" s="84" t="str">
        <f>IF(F240&lt;&gt;0,IF(_xlfn.MAXIFS($I$1:I240,$F$1:F240,F240,$H$1:H240,"&gt;"&amp;0)=0,"KM NÃO ENCONTRADO",IF(H240=0,CONCATENATE("SUGESTÃO DE KM PARA PLACA ",F240," *",_xlfn.MAXIFS($I$1:I240,$F$1:F240,F240,$H$1:H240,"&gt;"&amp;0),"*"),"")),"")</f>
        <v/>
      </c>
      <c r="AM240" s="85" t="str" cm="1">
        <f t="array" ref="AM240">IFERROR(IF(M240&lt;&gt;"","",CONCATENATE("https://btx.brasiltrack.com/logistica/trajeto.php?idveiculo=",VLOOKUP(F240,DATAS!$A$221:$B$250,2,FALSE),"&amp;lat=-22.204247","&amp;data_ini=",TEXT(IF(E240&lt;&gt;"",IF(COUNTIF($F$2:$F240,F240)&gt;1,MAX(IF($F$1:$F239=F240,$E$1:$E239)),""),""),"DD/MM/AAAA"),"&amp;data_fim=",TEXT(E240,"DD/MM/AAAA"),"&amp;hora_inicial=",HOUR(IF(E240&lt;&gt;"",IF(COUNTIF($F$2:$F240,F240)&gt;1,MAX(IF($F$1:$F239=F240,$E$1:$E239)),""),"")),"&amp;minuto_inicial=",MINUTE(IF(E240&lt;&gt;"",IF(COUNTIF($F$2:$F240,F240)&gt;1,MAX(IF($F$1:$F239=F240,$E$1:$E239)),""),"")),"&amp;hora_final=",HOUR(E240),"&amp;minuto_final=",MINUTE(E240),"&amp;periodo=6&amp;tipo=por_data&amp;upos=false&amp;outequip=0")),"")</f>
        <v/>
      </c>
      <c r="AN240" s="100" t="str">
        <f t="shared" si="23"/>
        <v xml:space="preserve">ABASTECEU no PICA PAU SUL PASSOU em SÃO PAULO-SP DESCARREGOU em SANTOS-SP CARREGOU em SANTOS-SP PASSOU em SÃO PAULO-SP ABASTECEU no 22 NORTE    </v>
      </c>
    </row>
    <row r="241" spans="1:40" x14ac:dyDescent="0.25">
      <c r="A241" s="101">
        <f>IFERROR(VLOOKUP(AN241,ROTAS!$A:$B,2,FALSE),0)</f>
        <v>24</v>
      </c>
      <c r="B241" s="101">
        <f t="shared" si="24"/>
        <v>2</v>
      </c>
      <c r="C241" s="101">
        <f t="shared" si="25"/>
        <v>654.5</v>
      </c>
      <c r="D241" s="144">
        <v>44896</v>
      </c>
      <c r="E241" s="76">
        <v>44900.416666666664</v>
      </c>
      <c r="F241" s="6" t="s">
        <v>33</v>
      </c>
      <c r="G241" s="5" t="str">
        <f>IFERROR(VLOOKUP(SUMIFS(MSOLICITADA!$I:$I,MSOLICITADA!$B:$B,D241,MSOLICITADA!$F:$F,F241),CODIGOSPLACAS!$A$64:$B$89,2,FALSE),"")</f>
        <v>JULIO</v>
      </c>
      <c r="H241" s="77">
        <v>160544</v>
      </c>
      <c r="I241" s="77">
        <v>161294</v>
      </c>
      <c r="J241" s="7">
        <v>447.6</v>
      </c>
      <c r="K241" s="78">
        <v>2755.64</v>
      </c>
      <c r="L241" s="79" t="s">
        <v>112</v>
      </c>
      <c r="M241" s="6">
        <v>700</v>
      </c>
      <c r="N241" s="5">
        <f t="shared" si="19"/>
        <v>50</v>
      </c>
      <c r="O241" s="80">
        <f t="shared" si="20"/>
        <v>6.1564789991063442</v>
      </c>
      <c r="P241" s="8">
        <f t="shared" si="21"/>
        <v>1.3493621197252208</v>
      </c>
      <c r="Q241" s="8">
        <f t="shared" si="26"/>
        <v>1.6210900048214474</v>
      </c>
      <c r="R241" s="81">
        <f t="shared" si="22"/>
        <v>0.93333333333333335</v>
      </c>
      <c r="S241" s="113" t="str">
        <f>IF(F241="","",IF(H241="",TEXT(_xlfn.MAXIFS($I$1:I241,$F$1:F241,F241,$H$1:H241,"&gt;"&amp;0),"000.000"),F241))</f>
        <v>GGF7G26</v>
      </c>
      <c r="T241" s="101">
        <f t="shared" si="27"/>
        <v>60</v>
      </c>
      <c r="U241" s="82" t="s">
        <v>220</v>
      </c>
      <c r="V241" s="98" t="s">
        <v>165</v>
      </c>
      <c r="W241" s="82" t="s">
        <v>222</v>
      </c>
      <c r="X241" s="98" t="s">
        <v>171</v>
      </c>
      <c r="Y241" s="82" t="s">
        <v>221</v>
      </c>
      <c r="Z241" s="98" t="s">
        <v>169</v>
      </c>
      <c r="AA241" s="82" t="s">
        <v>220</v>
      </c>
      <c r="AB241" s="98" t="s">
        <v>206</v>
      </c>
      <c r="AC241" s="82"/>
      <c r="AD241" s="98"/>
      <c r="AE241" s="117"/>
      <c r="AF241" s="98"/>
      <c r="AG241" s="82"/>
      <c r="AH241" s="98"/>
      <c r="AI241" s="82"/>
      <c r="AJ241" s="98"/>
      <c r="AK241" s="83">
        <v>200</v>
      </c>
      <c r="AL241" s="84" t="str">
        <f>IF(F241&lt;&gt;0,IF(_xlfn.MAXIFS($I$1:I241,$F$1:F241,F241,$H$1:H241,"&gt;"&amp;0)=0,"KM NÃO ENCONTRADO",IF(H241=0,CONCATENATE("SUGESTÃO DE KM PARA PLACA ",F241," *",_xlfn.MAXIFS($I$1:I241,$F$1:F241,F241,$H$1:H241,"&gt;"&amp;0),"*"),"")),"")</f>
        <v/>
      </c>
      <c r="AM241" s="85" t="str" cm="1">
        <f t="array" ref="AM241">IFERROR(IF(M241&lt;&gt;"","",CONCATENATE("https://btx.brasiltrack.com/logistica/trajeto.php?idveiculo=",VLOOKUP(F241,DATAS!$A$221:$B$250,2,FALSE),"&amp;lat=-22.204247","&amp;data_ini=",TEXT(IF(E241&lt;&gt;"",IF(COUNTIF($F$2:$F241,F241)&gt;1,MAX(IF($F$1:$F240=F241,$E$1:$E240)),""),""),"DD/MM/AAAA"),"&amp;data_fim=",TEXT(E241,"DD/MM/AAAA"),"&amp;hora_inicial=",HOUR(IF(E241&lt;&gt;"",IF(COUNTIF($F$2:$F241,F241)&gt;1,MAX(IF($F$1:$F240=F241,$E$1:$E240)),""),"")),"&amp;minuto_inicial=",MINUTE(IF(E241&lt;&gt;"",IF(COUNTIF($F$2:$F241,F241)&gt;1,MAX(IF($F$1:$F240=F241,$E$1:$E240)),""),"")),"&amp;hora_final=",HOUR(E241),"&amp;minuto_final=",MINUTE(E241),"&amp;periodo=6&amp;tipo=por_data&amp;upos=false&amp;outequip=0")),"")</f>
        <v/>
      </c>
      <c r="AN241" s="100" t="str">
        <f t="shared" si="23"/>
        <v xml:space="preserve">ABASTECEU no 22 NORTE DESCARREGOU em IGUATAMA-MG CARREGOU em FORMIGA-MG ABASTECEU no CANDEIAS-MG        </v>
      </c>
    </row>
    <row r="242" spans="1:40" x14ac:dyDescent="0.25">
      <c r="A242" s="101">
        <f>IFERROR(VLOOKUP(AN242,ROTAS!$A:$B,2,FALSE),0)</f>
        <v>25</v>
      </c>
      <c r="B242" s="101">
        <f t="shared" si="24"/>
        <v>1</v>
      </c>
      <c r="C242" s="101">
        <f t="shared" si="25"/>
        <v>766</v>
      </c>
      <c r="D242" s="144">
        <v>44896</v>
      </c>
      <c r="E242" s="76">
        <v>44900.459027777775</v>
      </c>
      <c r="F242" s="6" t="s">
        <v>29</v>
      </c>
      <c r="G242" s="5" t="str">
        <f>IFERROR(VLOOKUP(SUMIFS(MSOLICITADA!$I:$I,MSOLICITADA!$B:$B,D242,MSOLICITADA!$F:$F,F242),CODIGOSPLACAS!$A$64:$B$89,2,FALSE),"")</f>
        <v>EDNILSON</v>
      </c>
      <c r="H242" s="77">
        <v>231940</v>
      </c>
      <c r="I242" s="77">
        <v>232706</v>
      </c>
      <c r="J242" s="7">
        <v>404.48</v>
      </c>
      <c r="K242" s="78">
        <v>2584.62</v>
      </c>
      <c r="L242" s="79" t="s">
        <v>111</v>
      </c>
      <c r="M242" s="6">
        <v>259</v>
      </c>
      <c r="N242" s="5">
        <f t="shared" si="19"/>
        <v>507</v>
      </c>
      <c r="O242" s="80">
        <f t="shared" si="20"/>
        <v>6.389982199367088</v>
      </c>
      <c r="P242" s="8">
        <f t="shared" si="21"/>
        <v>1.8937895569620253</v>
      </c>
      <c r="Q242" s="8">
        <f t="shared" si="26"/>
        <v>1.5750677554084309</v>
      </c>
      <c r="R242" s="81">
        <f t="shared" si="22"/>
        <v>0.33812010443864232</v>
      </c>
      <c r="S242" s="113" t="str">
        <f>IF(F242="","",IF(H242="",TEXT(_xlfn.MAXIFS($I$1:I242,$F$1:F242,F242,$H$1:H242,"&gt;"&amp;0),"000.000"),F242))</f>
        <v>GKA2J56</v>
      </c>
      <c r="T242" s="101">
        <f t="shared" si="27"/>
        <v>507</v>
      </c>
      <c r="U242" s="82" t="s">
        <v>220</v>
      </c>
      <c r="V242" s="98" t="s">
        <v>165</v>
      </c>
      <c r="W242" s="82" t="s">
        <v>222</v>
      </c>
      <c r="X242" s="98" t="s">
        <v>201</v>
      </c>
      <c r="Y242" s="82" t="s">
        <v>225</v>
      </c>
      <c r="Z242" s="98" t="s">
        <v>206</v>
      </c>
      <c r="AA242" s="82" t="s">
        <v>220</v>
      </c>
      <c r="AB242" s="98" t="s">
        <v>166</v>
      </c>
      <c r="AC242" s="82"/>
      <c r="AD242" s="98"/>
      <c r="AE242" s="117"/>
      <c r="AF242" s="98"/>
      <c r="AG242" s="82"/>
      <c r="AH242" s="98"/>
      <c r="AI242" s="82"/>
      <c r="AJ242" s="98"/>
      <c r="AK242" s="83"/>
      <c r="AL242" s="84" t="str">
        <f>IF(F242&lt;&gt;0,IF(_xlfn.MAXIFS($I$1:I242,$F$1:F242,F242,$H$1:H242,"&gt;"&amp;0)=0,"KM NÃO ENCONTRADO",IF(H242=0,CONCATENATE("SUGESTÃO DE KM PARA PLACA ",F242," *",_xlfn.MAXIFS($I$1:I242,$F$1:F242,F242,$H$1:H242,"&gt;"&amp;0),"*"),"")),"")</f>
        <v/>
      </c>
      <c r="AM242" s="85" t="str" cm="1">
        <f t="array" ref="AM242">IFERROR(IF(M242&lt;&gt;"","",CONCATENATE("https://btx.brasiltrack.com/logistica/trajeto.php?idveiculo=",VLOOKUP(F242,DATAS!$A$221:$B$250,2,FALSE),"&amp;lat=-22.204247","&amp;data_ini=",TEXT(IF(E242&lt;&gt;"",IF(COUNTIF($F$2:$F242,F242)&gt;1,MAX(IF($F$1:$F241=F242,$E$1:$E241)),""),""),"DD/MM/AAAA"),"&amp;data_fim=",TEXT(E242,"DD/MM/AAAA"),"&amp;hora_inicial=",HOUR(IF(E242&lt;&gt;"",IF(COUNTIF($F$2:$F242,F242)&gt;1,MAX(IF($F$1:$F241=F242,$E$1:$E241)),""),"")),"&amp;minuto_inicial=",MINUTE(IF(E242&lt;&gt;"",IF(COUNTIF($F$2:$F242,F242)&gt;1,MAX(IF($F$1:$F241=F242,$E$1:$E241)),""),"")),"&amp;hora_final=",HOUR(E242),"&amp;minuto_final=",MINUTE(E242),"&amp;periodo=6&amp;tipo=por_data&amp;upos=false&amp;outequip=0")),"")</f>
        <v/>
      </c>
      <c r="AN242" s="100" t="str">
        <f t="shared" si="23"/>
        <v xml:space="preserve">ABASTECEU no 22 NORTE DESCARREGOU em TRES CORACOES-MG PASSOU em CANDEIAS-MG ABASTECEU no 22 SUL        </v>
      </c>
    </row>
    <row r="243" spans="1:40" x14ac:dyDescent="0.25">
      <c r="A243" s="101">
        <f>IFERROR(VLOOKUP(AN243,ROTAS!$A:$B,2,FALSE),0)</f>
        <v>26</v>
      </c>
      <c r="B243" s="101">
        <f t="shared" si="24"/>
        <v>1</v>
      </c>
      <c r="C243" s="101">
        <f t="shared" si="25"/>
        <v>1086</v>
      </c>
      <c r="D243" s="144">
        <v>44896</v>
      </c>
      <c r="E243" s="76">
        <v>44900.467361111114</v>
      </c>
      <c r="F243" s="6" t="s">
        <v>32</v>
      </c>
      <c r="G243" s="5" t="str">
        <f>IFERROR(VLOOKUP(SUMIFS(MSOLICITADA!$I:$I,MSOLICITADA!$B:$B,D243,MSOLICITADA!$F:$F,F243),CODIGOSPLACAS!$A$64:$B$89,2,FALSE),"")</f>
        <v>ADILSON</v>
      </c>
      <c r="H243" s="77">
        <v>193533</v>
      </c>
      <c r="I243" s="77">
        <v>194619</v>
      </c>
      <c r="J243" s="7">
        <v>540</v>
      </c>
      <c r="K243" s="78">
        <v>4089.6</v>
      </c>
      <c r="L243" s="79" t="s">
        <v>111</v>
      </c>
      <c r="M243" s="6">
        <v>664</v>
      </c>
      <c r="N243" s="5">
        <f t="shared" si="19"/>
        <v>422</v>
      </c>
      <c r="O243" s="80">
        <f t="shared" si="20"/>
        <v>7.5733333333333333</v>
      </c>
      <c r="P243" s="8">
        <f t="shared" si="21"/>
        <v>2.0111111111111111</v>
      </c>
      <c r="Q243" s="8">
        <f t="shared" si="26"/>
        <v>1.7045945118851598</v>
      </c>
      <c r="R243" s="81">
        <f t="shared" si="22"/>
        <v>0.61141804788213627</v>
      </c>
      <c r="S243" s="113" t="str">
        <f>IF(F243="","",IF(H243="",TEXT(_xlfn.MAXIFS($I$1:I243,$F$1:F243,F243,$H$1:H243,"&gt;"&amp;0),"000.000"),F243))</f>
        <v>GJU9A22</v>
      </c>
      <c r="T243" s="101">
        <f t="shared" si="27"/>
        <v>422</v>
      </c>
      <c r="U243" s="82" t="s">
        <v>220</v>
      </c>
      <c r="V243" s="98" t="s">
        <v>219</v>
      </c>
      <c r="W243" s="82" t="s">
        <v>222</v>
      </c>
      <c r="X243" s="98" t="s">
        <v>171</v>
      </c>
      <c r="Y243" s="82" t="s">
        <v>221</v>
      </c>
      <c r="Z243" s="98" t="s">
        <v>187</v>
      </c>
      <c r="AA243" s="82" t="s">
        <v>220</v>
      </c>
      <c r="AB243" s="98" t="s">
        <v>166</v>
      </c>
      <c r="AC243" s="82"/>
      <c r="AD243" s="98"/>
      <c r="AE243" s="117"/>
      <c r="AF243" s="98"/>
      <c r="AG243" s="82"/>
      <c r="AH243" s="98"/>
      <c r="AI243" s="82"/>
      <c r="AJ243" s="98"/>
      <c r="AK243" s="83"/>
      <c r="AL243" s="84" t="str">
        <f>IF(F243&lt;&gt;0,IF(_xlfn.MAXIFS($I$1:I243,$F$1:F243,F243,$H$1:H243,"&gt;"&amp;0)=0,"KM NÃO ENCONTRADO",IF(H243=0,CONCATENATE("SUGESTÃO DE KM PARA PLACA ",F243," *",_xlfn.MAXIFS($I$1:I243,$F$1:F243,F243,$H$1:H243,"&gt;"&amp;0),"*"),"")),"")</f>
        <v/>
      </c>
      <c r="AM243" s="85" t="str" cm="1">
        <f t="array" ref="AM243">IFERROR(IF(M243&lt;&gt;"","",CONCATENATE("https://btx.brasiltrack.com/logistica/trajeto.php?idveiculo=",VLOOKUP(F243,DATAS!$A$221:$B$250,2,FALSE),"&amp;lat=-22.204247","&amp;data_ini=",TEXT(IF(E243&lt;&gt;"",IF(COUNTIF($F$2:$F243,F243)&gt;1,MAX(IF($F$1:$F242=F243,$E$1:$E242)),""),""),"DD/MM/AAAA"),"&amp;data_fim=",TEXT(E243,"DD/MM/AAAA"),"&amp;hora_inicial=",HOUR(IF(E243&lt;&gt;"",IF(COUNTIF($F$2:$F243,F243)&gt;1,MAX(IF($F$1:$F242=F243,$E$1:$E242)),""),"")),"&amp;minuto_inicial=",MINUTE(IF(E243&lt;&gt;"",IF(COUNTIF($F$2:$F243,F243)&gt;1,MAX(IF($F$1:$F242=F243,$E$1:$E242)),""),"")),"&amp;hora_final=",HOUR(E243),"&amp;minuto_final=",MINUTE(E243),"&amp;periodo=6&amp;tipo=por_data&amp;upos=false&amp;outequip=0")),"")</f>
        <v/>
      </c>
      <c r="AN243" s="100" t="str">
        <f t="shared" si="23"/>
        <v xml:space="preserve">ABASTECEU no DP ATIBAIA NORTE DESCARREGOU em IGUATAMA-MG CARREGOU em PIUMHI-MG ABASTECEU no 22 SUL        </v>
      </c>
    </row>
    <row r="244" spans="1:40" x14ac:dyDescent="0.25">
      <c r="A244" s="101">
        <f>IFERROR(VLOOKUP(AN244,ROTAS!$A:$B,2,FALSE),0)</f>
        <v>27</v>
      </c>
      <c r="B244" s="101">
        <f t="shared" si="24"/>
        <v>2</v>
      </c>
      <c r="C244" s="101">
        <f t="shared" si="25"/>
        <v>614</v>
      </c>
      <c r="D244" s="144">
        <v>44896</v>
      </c>
      <c r="E244" s="76">
        <v>44900.583333333336</v>
      </c>
      <c r="F244" s="6" t="s">
        <v>27</v>
      </c>
      <c r="G244" s="5" t="str">
        <f>IFERROR(VLOOKUP(SUMIFS(MSOLICITADA!$I:$I,MSOLICITADA!$B:$B,D244,MSOLICITADA!$F:$F,F244),CODIGOSPLACAS!$A$64:$B$89,2,FALSE),"")</f>
        <v>ANTONIO</v>
      </c>
      <c r="H244" s="77">
        <v>242823</v>
      </c>
      <c r="I244" s="77">
        <v>243431</v>
      </c>
      <c r="J244" s="7">
        <v>368.5</v>
      </c>
      <c r="K244" s="78">
        <v>2268.66</v>
      </c>
      <c r="L244" s="79" t="s">
        <v>112</v>
      </c>
      <c r="M244" s="6">
        <v>558</v>
      </c>
      <c r="N244" s="5">
        <f t="shared" si="19"/>
        <v>50</v>
      </c>
      <c r="O244" s="80">
        <f t="shared" si="20"/>
        <v>6.1564721845318857</v>
      </c>
      <c r="P244" s="8">
        <f t="shared" si="21"/>
        <v>1.649932157394844</v>
      </c>
      <c r="Q244" s="8">
        <f t="shared" si="26"/>
        <v>1.4435398773633086</v>
      </c>
      <c r="R244" s="81">
        <f t="shared" si="22"/>
        <v>0.91776315789473684</v>
      </c>
      <c r="S244" s="113" t="str">
        <f>IF(F244="","",IF(H244="",TEXT(_xlfn.MAXIFS($I$1:I244,$F$1:F244,F244,$H$1:H244,"&gt;"&amp;0),"000.000"),F244))</f>
        <v>GHS4J57</v>
      </c>
      <c r="T244" s="101">
        <f t="shared" si="27"/>
        <v>50</v>
      </c>
      <c r="U244" s="82" t="s">
        <v>220</v>
      </c>
      <c r="V244" s="98" t="s">
        <v>219</v>
      </c>
      <c r="W244" s="82" t="s">
        <v>222</v>
      </c>
      <c r="X244" s="98" t="s">
        <v>171</v>
      </c>
      <c r="Y244" s="82" t="s">
        <v>221</v>
      </c>
      <c r="Z244" s="98" t="s">
        <v>195</v>
      </c>
      <c r="AA244" s="82" t="s">
        <v>220</v>
      </c>
      <c r="AB244" s="98" t="s">
        <v>206</v>
      </c>
      <c r="AC244" s="82"/>
      <c r="AD244" s="98"/>
      <c r="AE244" s="117"/>
      <c r="AF244" s="98"/>
      <c r="AG244" s="82"/>
      <c r="AH244" s="98"/>
      <c r="AI244" s="82"/>
      <c r="AJ244" s="98"/>
      <c r="AK244" s="83"/>
      <c r="AL244" s="84" t="str">
        <f>IF(F244&lt;&gt;0,IF(_xlfn.MAXIFS($I$1:I244,$F$1:F244,F244,$H$1:H244,"&gt;"&amp;0)=0,"KM NÃO ENCONTRADO",IF(H244=0,CONCATENATE("SUGESTÃO DE KM PARA PLACA ",F244," *",_xlfn.MAXIFS($I$1:I244,$F$1:F244,F244,$H$1:H244,"&gt;"&amp;0),"*"),"")),"")</f>
        <v/>
      </c>
      <c r="AM244" s="85" t="str" cm="1">
        <f t="array" ref="AM244">IFERROR(IF(M244&lt;&gt;"","",CONCATENATE("https://btx.brasiltrack.com/logistica/trajeto.php?idveiculo=",VLOOKUP(F244,DATAS!$A$221:$B$250,2,FALSE),"&amp;lat=-22.204247","&amp;data_ini=",TEXT(IF(E244&lt;&gt;"",IF(COUNTIF($F$2:$F244,F244)&gt;1,MAX(IF($F$1:$F243=F244,$E$1:$E243)),""),""),"DD/MM/AAAA"),"&amp;data_fim=",TEXT(E244,"DD/MM/AAAA"),"&amp;hora_inicial=",HOUR(IF(E244&lt;&gt;"",IF(COUNTIF($F$2:$F244,F244)&gt;1,MAX(IF($F$1:$F243=F244,$E$1:$E243)),""),"")),"&amp;minuto_inicial=",MINUTE(IF(E244&lt;&gt;"",IF(COUNTIF($F$2:$F244,F244)&gt;1,MAX(IF($F$1:$F243=F244,$E$1:$E243)),""),"")),"&amp;hora_final=",HOUR(E244),"&amp;minuto_final=",MINUTE(E244),"&amp;periodo=6&amp;tipo=por_data&amp;upos=false&amp;outequip=0")),"")</f>
        <v/>
      </c>
      <c r="AN244" s="100" t="str">
        <f t="shared" si="23"/>
        <v xml:space="preserve">ABASTECEU no DP ATIBAIA NORTE DESCARREGOU em IGUATAMA-MG CARREGOU em CORREGO FUNDO-MG ABASTECEU no CANDEIAS-MG        </v>
      </c>
    </row>
    <row r="245" spans="1:40" x14ac:dyDescent="0.25">
      <c r="A245" s="101">
        <f>IFERROR(VLOOKUP(AN245,ROTAS!$A:$B,2,FALSE),0)</f>
        <v>27</v>
      </c>
      <c r="B245" s="101">
        <f t="shared" si="24"/>
        <v>2</v>
      </c>
      <c r="C245" s="101">
        <f t="shared" si="25"/>
        <v>614</v>
      </c>
      <c r="D245" s="144">
        <v>44896</v>
      </c>
      <c r="E245" s="76">
        <v>44900.583333333336</v>
      </c>
      <c r="F245" s="6" t="s">
        <v>25</v>
      </c>
      <c r="G245" s="5" t="str">
        <f>IFERROR(VLOOKUP(SUMIFS(MSOLICITADA!$I:$I,MSOLICITADA!$B:$B,D245,MSOLICITADA!$F:$F,F245),CODIGOSPLACAS!$A$64:$B$89,2,FALSE),"")</f>
        <v>EDUALDO</v>
      </c>
      <c r="H245" s="77">
        <v>1006488</v>
      </c>
      <c r="I245" s="77">
        <v>1007108</v>
      </c>
      <c r="J245" s="7">
        <v>485</v>
      </c>
      <c r="K245" s="78">
        <v>2985.89</v>
      </c>
      <c r="L245" s="79" t="s">
        <v>112</v>
      </c>
      <c r="M245" s="6">
        <v>570</v>
      </c>
      <c r="N245" s="5">
        <f t="shared" si="19"/>
        <v>50</v>
      </c>
      <c r="O245" s="80">
        <f t="shared" si="20"/>
        <v>6.1564742268041233</v>
      </c>
      <c r="P245" s="8">
        <f t="shared" si="21"/>
        <v>1.2783505154639174</v>
      </c>
      <c r="Q245" s="8">
        <f t="shared" si="26"/>
        <v>1.5016619403177309</v>
      </c>
      <c r="R245" s="81">
        <f t="shared" si="22"/>
        <v>0.91935483870967738</v>
      </c>
      <c r="S245" s="113" t="str">
        <f>IF(F245="","",IF(H245="",TEXT(_xlfn.MAXIFS($I$1:I245,$F$1:F245,F245,$H$1:H245,"&gt;"&amp;0),"000.000"),F245))</f>
        <v>QHE9735</v>
      </c>
      <c r="T245" s="101">
        <f t="shared" si="27"/>
        <v>50</v>
      </c>
      <c r="U245" s="82" t="s">
        <v>220</v>
      </c>
      <c r="V245" s="98" t="s">
        <v>219</v>
      </c>
      <c r="W245" s="82" t="s">
        <v>222</v>
      </c>
      <c r="X245" s="98" t="s">
        <v>171</v>
      </c>
      <c r="Y245" s="82" t="s">
        <v>221</v>
      </c>
      <c r="Z245" s="98" t="s">
        <v>195</v>
      </c>
      <c r="AA245" s="82" t="s">
        <v>220</v>
      </c>
      <c r="AB245" s="98" t="s">
        <v>206</v>
      </c>
      <c r="AC245" s="82"/>
      <c r="AD245" s="98"/>
      <c r="AE245" s="117"/>
      <c r="AF245" s="98"/>
      <c r="AG245" s="82"/>
      <c r="AH245" s="98"/>
      <c r="AI245" s="82"/>
      <c r="AJ245" s="98"/>
      <c r="AK245" s="83"/>
      <c r="AL245" s="84" t="str">
        <f>IF(F245&lt;&gt;0,IF(_xlfn.MAXIFS($I$1:I245,$F$1:F245,F245,$H$1:H245,"&gt;"&amp;0)=0,"KM NÃO ENCONTRADO",IF(H245=0,CONCATENATE("SUGESTÃO DE KM PARA PLACA ",F245," *",_xlfn.MAXIFS($I$1:I245,$F$1:F245,F245,$H$1:H245,"&gt;"&amp;0),"*"),"")),"")</f>
        <v/>
      </c>
      <c r="AM245" s="85" t="str" cm="1">
        <f t="array" ref="AM245">IFERROR(IF(M245&lt;&gt;"","",CONCATENATE("https://btx.brasiltrack.com/logistica/trajeto.php?idveiculo=",VLOOKUP(F245,DATAS!$A$221:$B$250,2,FALSE),"&amp;lat=-22.204247","&amp;data_ini=",TEXT(IF(E245&lt;&gt;"",IF(COUNTIF($F$2:$F245,F245)&gt;1,MAX(IF($F$1:$F244=F245,$E$1:$E244)),""),""),"DD/MM/AAAA"),"&amp;data_fim=",TEXT(E245,"DD/MM/AAAA"),"&amp;hora_inicial=",HOUR(IF(E245&lt;&gt;"",IF(COUNTIF($F$2:$F245,F245)&gt;1,MAX(IF($F$1:$F244=F245,$E$1:$E244)),""),"")),"&amp;minuto_inicial=",MINUTE(IF(E245&lt;&gt;"",IF(COUNTIF($F$2:$F245,F245)&gt;1,MAX(IF($F$1:$F244=F245,$E$1:$E244)),""),"")),"&amp;hora_final=",HOUR(E245),"&amp;minuto_final=",MINUTE(E245),"&amp;periodo=6&amp;tipo=por_data&amp;upos=false&amp;outequip=0")),"")</f>
        <v/>
      </c>
      <c r="AN245" s="100" t="str">
        <f t="shared" si="23"/>
        <v xml:space="preserve">ABASTECEU no DP ATIBAIA NORTE DESCARREGOU em IGUATAMA-MG CARREGOU em CORREGO FUNDO-MG ABASTECEU no CANDEIAS-MG        </v>
      </c>
    </row>
    <row r="246" spans="1:40" x14ac:dyDescent="0.25">
      <c r="A246" s="101">
        <f>IFERROR(VLOOKUP(AN246,ROTAS!$A:$B,2,FALSE),0)</f>
        <v>28</v>
      </c>
      <c r="B246" s="101">
        <f t="shared" si="24"/>
        <v>1</v>
      </c>
      <c r="C246" s="101">
        <f t="shared" si="25"/>
        <v>949</v>
      </c>
      <c r="D246" s="144">
        <v>44896</v>
      </c>
      <c r="E246" s="76">
        <v>44900.767361111109</v>
      </c>
      <c r="F246" s="6" t="s">
        <v>128</v>
      </c>
      <c r="G246" s="5" t="str">
        <f>IFERROR(VLOOKUP(SUMIFS(MSOLICITADA!$I:$I,MSOLICITADA!$B:$B,D246,MSOLICITADA!$F:$F,F246),CODIGOSPLACAS!$A$64:$B$89,2,FALSE),"")</f>
        <v>ELI RICARDO</v>
      </c>
      <c r="H246" s="77">
        <v>86494</v>
      </c>
      <c r="I246" s="77">
        <v>87443</v>
      </c>
      <c r="J246" s="7">
        <v>625</v>
      </c>
      <c r="K246" s="78">
        <v>4493.75</v>
      </c>
      <c r="L246" s="79" t="s">
        <v>111</v>
      </c>
      <c r="M246" s="6">
        <v>585</v>
      </c>
      <c r="N246" s="5">
        <f t="shared" si="19"/>
        <v>364</v>
      </c>
      <c r="O246" s="80">
        <f t="shared" si="20"/>
        <v>7.19</v>
      </c>
      <c r="P246" s="8">
        <f t="shared" si="21"/>
        <v>1.5184</v>
      </c>
      <c r="Q246" s="8">
        <f t="shared" si="26"/>
        <v>1.703484050067618</v>
      </c>
      <c r="R246" s="81">
        <f t="shared" si="22"/>
        <v>0.61643835616438358</v>
      </c>
      <c r="S246" s="113" t="str">
        <f>IF(F246="","",IF(H246="",TEXT(_xlfn.MAXIFS($I$1:I246,$F$1:F246,F246,$H$1:H246,"&gt;"&amp;0),"000.000"),F246))</f>
        <v>GFR0D47</v>
      </c>
      <c r="T246" s="101">
        <f t="shared" si="27"/>
        <v>364</v>
      </c>
      <c r="U246" s="82" t="s">
        <v>220</v>
      </c>
      <c r="V246" s="98" t="s">
        <v>227</v>
      </c>
      <c r="W246" s="82" t="s">
        <v>222</v>
      </c>
      <c r="X246" s="98" t="s">
        <v>215</v>
      </c>
      <c r="Y246" s="82" t="s">
        <v>225</v>
      </c>
      <c r="Z246" s="98" t="s">
        <v>170</v>
      </c>
      <c r="AA246" s="82" t="s">
        <v>221</v>
      </c>
      <c r="AB246" s="98" t="s">
        <v>232</v>
      </c>
      <c r="AC246" s="82" t="s">
        <v>220</v>
      </c>
      <c r="AD246" s="98" t="s">
        <v>170</v>
      </c>
      <c r="AE246" s="117"/>
      <c r="AF246" s="98"/>
      <c r="AG246" s="82"/>
      <c r="AH246" s="98"/>
      <c r="AI246" s="82"/>
      <c r="AJ246" s="98"/>
      <c r="AK246" s="83"/>
      <c r="AL246" s="84" t="str">
        <f>IF(F246&lt;&gt;0,IF(_xlfn.MAXIFS($I$1:I246,$F$1:F246,F246,$H$1:H246,"&gt;"&amp;0)=0,"KM NÃO ENCONTRADO",IF(H246=0,CONCATENATE("SUGESTÃO DE KM PARA PLACA ",F246," *",_xlfn.MAXIFS($I$1:I246,$F$1:F246,F246,$H$1:H246,"&gt;"&amp;0),"*"),"")),"")</f>
        <v/>
      </c>
      <c r="AM246" s="85" t="str" cm="1">
        <f t="array" ref="AM246">IFERROR(IF(M246&lt;&gt;"","",CONCATENATE("https://btx.brasiltrack.com/logistica/trajeto.php?idveiculo=",VLOOKUP(F246,DATAS!$A$221:$B$250,2,FALSE),"&amp;lat=-22.204247","&amp;data_ini=",TEXT(IF(E246&lt;&gt;"",IF(COUNTIF($F$2:$F246,F246)&gt;1,MAX(IF($F$1:$F245=F246,$E$1:$E245)),""),""),"DD/MM/AAAA"),"&amp;data_fim=",TEXT(E246,"DD/MM/AAAA"),"&amp;hora_inicial=",HOUR(IF(E246&lt;&gt;"",IF(COUNTIF($F$2:$F246,F246)&gt;1,MAX(IF($F$1:$F245=F246,$E$1:$E245)),""),"")),"&amp;minuto_inicial=",MINUTE(IF(E246&lt;&gt;"",IF(COUNTIF($F$2:$F246,F246)&gt;1,MAX(IF($F$1:$F245=F246,$E$1:$E245)),""),"")),"&amp;hora_final=",HOUR(E246),"&amp;minuto_final=",MINUTE(E246),"&amp;periodo=6&amp;tipo=por_data&amp;upos=false&amp;outequip=0")),"")</f>
        <v/>
      </c>
      <c r="AN246" s="100" t="str">
        <f t="shared" si="23"/>
        <v xml:space="preserve">ABASTECEU no PICA PAU NORTE DESCARREGOU em ARAGUARI-MG PASSOU em UBERABA-MG CARREGOU em SANTA JULIANA-MG ABASTECEU no UBERABA-MG      </v>
      </c>
    </row>
    <row r="247" spans="1:40" x14ac:dyDescent="0.25">
      <c r="A247" s="101">
        <f>IFERROR(VLOOKUP(AN247,ROTAS!$A:$B,2,FALSE),0)</f>
        <v>29</v>
      </c>
      <c r="B247" s="101">
        <f t="shared" si="24"/>
        <v>1</v>
      </c>
      <c r="C247" s="101">
        <f t="shared" si="25"/>
        <v>737</v>
      </c>
      <c r="D247" s="144">
        <v>44896</v>
      </c>
      <c r="E247" s="76">
        <v>44901.362500000003</v>
      </c>
      <c r="F247" s="6" t="s">
        <v>26</v>
      </c>
      <c r="G247" s="5" t="str">
        <f>IFERROR(VLOOKUP(SUMIFS(MSOLICITADA!$I:$I,MSOLICITADA!$B:$B,D247,MSOLICITADA!$F:$F,F247),CODIGOSPLACAS!$A$64:$B$89,2,FALSE),"")</f>
        <v>DIEGO</v>
      </c>
      <c r="H247" s="77">
        <v>396274</v>
      </c>
      <c r="I247" s="77">
        <v>397011</v>
      </c>
      <c r="J247" s="7">
        <v>478.27100000000002</v>
      </c>
      <c r="K247" s="78">
        <v>3056.09</v>
      </c>
      <c r="L247" s="79" t="s">
        <v>111</v>
      </c>
      <c r="M247" s="6">
        <v>377</v>
      </c>
      <c r="N247" s="5">
        <f t="shared" si="19"/>
        <v>360</v>
      </c>
      <c r="O247" s="80">
        <f t="shared" si="20"/>
        <v>6.3898710145503284</v>
      </c>
      <c r="P247" s="8">
        <f t="shared" si="21"/>
        <v>1.5409673595095668</v>
      </c>
      <c r="Q247" s="8">
        <f t="shared" si="26"/>
        <v>1.42982167893118</v>
      </c>
      <c r="R247" s="81">
        <f t="shared" si="22"/>
        <v>0.51153324287652646</v>
      </c>
      <c r="S247" s="113" t="str">
        <f>IF(F247="","",IF(H247="",TEXT(_xlfn.MAXIFS($I$1:I247,$F$1:F247,F247,$H$1:H247,"&gt;"&amp;0),"000.000"),F247))</f>
        <v>BZA3587</v>
      </c>
      <c r="T247" s="101">
        <f t="shared" si="27"/>
        <v>360</v>
      </c>
      <c r="U247" s="82" t="s">
        <v>220</v>
      </c>
      <c r="V247" s="98" t="s">
        <v>165</v>
      </c>
      <c r="W247" s="82" t="s">
        <v>222</v>
      </c>
      <c r="X247" s="98" t="s">
        <v>200</v>
      </c>
      <c r="Y247" s="82" t="s">
        <v>225</v>
      </c>
      <c r="Z247" s="98" t="s">
        <v>237</v>
      </c>
      <c r="AA247" s="82" t="s">
        <v>221</v>
      </c>
      <c r="AB247" s="98" t="s">
        <v>175</v>
      </c>
      <c r="AC247" s="82" t="s">
        <v>225</v>
      </c>
      <c r="AD247" s="98" t="s">
        <v>237</v>
      </c>
      <c r="AE247" s="82" t="s">
        <v>220</v>
      </c>
      <c r="AF247" s="98" t="s">
        <v>165</v>
      </c>
      <c r="AG247" s="82"/>
      <c r="AH247" s="98"/>
      <c r="AI247" s="82"/>
      <c r="AJ247" s="98"/>
      <c r="AK247" s="83"/>
      <c r="AL247" s="84" t="str">
        <f>IF(F247&lt;&gt;0,IF(_xlfn.MAXIFS($I$1:I247,$F$1:F247,F247,$H$1:H247,"&gt;"&amp;0)=0,"KM NÃO ENCONTRADO",IF(H247=0,CONCATENATE("SUGESTÃO DE KM PARA PLACA ",F247," *",_xlfn.MAXIFS($I$1:I247,$F$1:F247,F247,$H$1:H247,"&gt;"&amp;0),"*"),"")),"")</f>
        <v/>
      </c>
      <c r="AM247" s="85" t="str" cm="1">
        <f t="array" ref="AM247">IFERROR(IF(M247&lt;&gt;"","",CONCATENATE("https://btx.brasiltrack.com/logistica/trajeto.php?idveiculo=",VLOOKUP(F247,DATAS!$A$221:$B$250,2,FALSE),"&amp;lat=-22.204247","&amp;data_ini=",TEXT(IF(E247&lt;&gt;"",IF(COUNTIF($F$2:$F247,F247)&gt;1,MAX(IF($F$1:$F246=F247,$E$1:$E246)),""),""),"DD/MM/AAAA"),"&amp;data_fim=",TEXT(E247,"DD/MM/AAAA"),"&amp;hora_inicial=",HOUR(IF(E247&lt;&gt;"",IF(COUNTIF($F$2:$F247,F247)&gt;1,MAX(IF($F$1:$F246=F247,$E$1:$E246)),""),"")),"&amp;minuto_inicial=",MINUTE(IF(E247&lt;&gt;"",IF(COUNTIF($F$2:$F247,F247)&gt;1,MAX(IF($F$1:$F246=F247,$E$1:$E246)),""),"")),"&amp;hora_final=",HOUR(E247),"&amp;minuto_final=",MINUTE(E247),"&amp;periodo=6&amp;tipo=por_data&amp;upos=false&amp;outequip=0")),"")</f>
        <v/>
      </c>
      <c r="AN247" s="100" t="str">
        <f t="shared" si="23"/>
        <v xml:space="preserve">ABASTECEU no 22 NORTE DESCARREGOU em CONGONHAL-MG PASSOU em ARUJÁ-SP CARREGOU em SANTOS-SP PASSOU em ARUJÁ-SP ABASTECEU no 22 NORTE    </v>
      </c>
    </row>
    <row r="248" spans="1:40" x14ac:dyDescent="0.25">
      <c r="A248" s="101">
        <f>IFERROR(VLOOKUP(AN248,ROTAS!$A:$B,2,FALSE),0)</f>
        <v>30</v>
      </c>
      <c r="B248" s="101">
        <f t="shared" si="24"/>
        <v>2</v>
      </c>
      <c r="C248" s="101">
        <f t="shared" si="25"/>
        <v>871.5</v>
      </c>
      <c r="D248" s="144">
        <v>44896</v>
      </c>
      <c r="E248" s="76">
        <v>44901.368055555555</v>
      </c>
      <c r="F248" s="6" t="s">
        <v>124</v>
      </c>
      <c r="G248" s="5" t="str">
        <f>IFERROR(VLOOKUP(SUMIFS(MSOLICITADA!$I:$I,MSOLICITADA!$B:$B,D248,MSOLICITADA!$F:$F,F248),CODIGOSPLACAS!$A$64:$B$89,2,FALSE),"")</f>
        <v>ISRAEL</v>
      </c>
      <c r="H248" s="77">
        <v>133121</v>
      </c>
      <c r="I248" s="77">
        <v>134005</v>
      </c>
      <c r="J248" s="7">
        <v>491.00099999999998</v>
      </c>
      <c r="K248" s="78">
        <v>3137.49</v>
      </c>
      <c r="L248" s="79" t="s">
        <v>111</v>
      </c>
      <c r="M248" s="6">
        <v>449</v>
      </c>
      <c r="N248" s="5">
        <f t="shared" si="19"/>
        <v>435</v>
      </c>
      <c r="O248" s="80">
        <f t="shared" si="20"/>
        <v>6.3899869857698866</v>
      </c>
      <c r="P248" s="8">
        <f t="shared" si="21"/>
        <v>1.8004036651656514</v>
      </c>
      <c r="Q248" s="8">
        <f t="shared" si="26"/>
        <v>1.6396894062131062</v>
      </c>
      <c r="R248" s="81">
        <f t="shared" si="22"/>
        <v>0.50791855203619907</v>
      </c>
      <c r="S248" s="113" t="str">
        <f>IF(F248="","",IF(H248="",TEXT(_xlfn.MAXIFS($I$1:I248,$F$1:F248,F248,$H$1:H248,"&gt;"&amp;0),"000.000"),F248))</f>
        <v>GHH9B64</v>
      </c>
      <c r="T248" s="101">
        <f t="shared" si="27"/>
        <v>435</v>
      </c>
      <c r="U248" s="82" t="s">
        <v>220</v>
      </c>
      <c r="V248" s="98" t="s">
        <v>165</v>
      </c>
      <c r="W248" s="82" t="s">
        <v>222</v>
      </c>
      <c r="X248" s="98" t="s">
        <v>201</v>
      </c>
      <c r="Y248" s="82" t="s">
        <v>225</v>
      </c>
      <c r="Z248" s="98" t="s">
        <v>237</v>
      </c>
      <c r="AA248" s="82" t="s">
        <v>221</v>
      </c>
      <c r="AB248" s="98" t="s">
        <v>175</v>
      </c>
      <c r="AC248" s="82" t="s">
        <v>225</v>
      </c>
      <c r="AD248" s="98" t="s">
        <v>237</v>
      </c>
      <c r="AE248" s="82" t="s">
        <v>220</v>
      </c>
      <c r="AF248" s="98" t="s">
        <v>165</v>
      </c>
      <c r="AG248" s="82"/>
      <c r="AH248" s="98"/>
      <c r="AI248" s="82"/>
      <c r="AJ248" s="98"/>
      <c r="AK248" s="83"/>
      <c r="AL248" s="84" t="str">
        <f>IF(F248&lt;&gt;0,IF(_xlfn.MAXIFS($I$1:I248,$F$1:F248,F248,$H$1:H248,"&gt;"&amp;0)=0,"KM NÃO ENCONTRADO",IF(H248=0,CONCATENATE("SUGESTÃO DE KM PARA PLACA ",F248," *",_xlfn.MAXIFS($I$1:I248,$F$1:F248,F248,$H$1:H248,"&gt;"&amp;0),"*"),"")),"")</f>
        <v/>
      </c>
      <c r="AM248" s="85" t="str" cm="1">
        <f t="array" ref="AM248">IFERROR(IF(M248&lt;&gt;"","",CONCATENATE("https://btx.brasiltrack.com/logistica/trajeto.php?idveiculo=",VLOOKUP(F248,DATAS!$A$221:$B$250,2,FALSE),"&amp;lat=-22.204247","&amp;data_ini=",TEXT(IF(E248&lt;&gt;"",IF(COUNTIF($F$2:$F248,F248)&gt;1,MAX(IF($F$1:$F247=F248,$E$1:$E247)),""),""),"DD/MM/AAAA"),"&amp;data_fim=",TEXT(E248,"DD/MM/AAAA"),"&amp;hora_inicial=",HOUR(IF(E248&lt;&gt;"",IF(COUNTIF($F$2:$F248,F248)&gt;1,MAX(IF($F$1:$F247=F248,$E$1:$E247)),""),"")),"&amp;minuto_inicial=",MINUTE(IF(E248&lt;&gt;"",IF(COUNTIF($F$2:$F248,F248)&gt;1,MAX(IF($F$1:$F247=F248,$E$1:$E247)),""),"")),"&amp;hora_final=",HOUR(E248),"&amp;minuto_final=",MINUTE(E248),"&amp;periodo=6&amp;tipo=por_data&amp;upos=false&amp;outequip=0")),"")</f>
        <v/>
      </c>
      <c r="AN248" s="100" t="str">
        <f t="shared" si="23"/>
        <v xml:space="preserve">ABASTECEU no 22 NORTE DESCARREGOU em TRES CORACOES-MG PASSOU em ARUJÁ-SP CARREGOU em SANTOS-SP PASSOU em ARUJÁ-SP ABASTECEU no 22 NORTE    </v>
      </c>
    </row>
    <row r="249" spans="1:40" x14ac:dyDescent="0.25">
      <c r="A249" s="101">
        <f>IFERROR(VLOOKUP(AN249,ROTAS!$A:$B,2,FALSE),0)</f>
        <v>31</v>
      </c>
      <c r="B249" s="101">
        <f t="shared" si="24"/>
        <v>4</v>
      </c>
      <c r="C249" s="101">
        <f t="shared" si="25"/>
        <v>413.25</v>
      </c>
      <c r="D249" s="144">
        <v>44896</v>
      </c>
      <c r="E249" s="76">
        <v>44901.681250000001</v>
      </c>
      <c r="F249" s="6" t="s">
        <v>29</v>
      </c>
      <c r="G249" s="5" t="str">
        <f>IFERROR(VLOOKUP(SUMIFS(MSOLICITADA!$I:$I,MSOLICITADA!$B:$B,D249,MSOLICITADA!$F:$F,F249),CODIGOSPLACAS!$A$64:$B$89,2,FALSE),"")</f>
        <v>EDNILSON</v>
      </c>
      <c r="H249" s="77">
        <v>232706</v>
      </c>
      <c r="I249" s="77">
        <v>233071</v>
      </c>
      <c r="J249" s="7">
        <v>228.001</v>
      </c>
      <c r="K249" s="78">
        <v>1456.92</v>
      </c>
      <c r="L249" s="79" t="s">
        <v>111</v>
      </c>
      <c r="M249" s="6">
        <v>183</v>
      </c>
      <c r="N249" s="5">
        <f t="shared" si="19"/>
        <v>182</v>
      </c>
      <c r="O249" s="80">
        <f t="shared" si="20"/>
        <v>6.3899719738071328</v>
      </c>
      <c r="P249" s="8">
        <f t="shared" si="21"/>
        <v>1.6008701716220544</v>
      </c>
      <c r="Q249" s="8">
        <f t="shared" si="26"/>
        <v>1.5750677554084309</v>
      </c>
      <c r="R249" s="81">
        <f t="shared" si="22"/>
        <v>0.50136986301369868</v>
      </c>
      <c r="S249" s="113" t="str">
        <f>IF(F249="","",IF(H249="",TEXT(_xlfn.MAXIFS($I$1:I249,$F$1:F249,F249,$H$1:H249,"&gt;"&amp;0),"000.000"),F249))</f>
        <v>GKA2J56</v>
      </c>
      <c r="T249" s="101">
        <f t="shared" si="27"/>
        <v>206.5</v>
      </c>
      <c r="U249" s="82" t="s">
        <v>220</v>
      </c>
      <c r="V249" s="98" t="s">
        <v>166</v>
      </c>
      <c r="W249" s="82" t="s">
        <v>225</v>
      </c>
      <c r="X249" s="98" t="s">
        <v>237</v>
      </c>
      <c r="Y249" s="82" t="s">
        <v>221</v>
      </c>
      <c r="Z249" s="98" t="s">
        <v>175</v>
      </c>
      <c r="AA249" s="82" t="s">
        <v>225</v>
      </c>
      <c r="AB249" s="98" t="s">
        <v>237</v>
      </c>
      <c r="AC249" s="82" t="s">
        <v>220</v>
      </c>
      <c r="AD249" s="98" t="s">
        <v>165</v>
      </c>
      <c r="AE249" s="117"/>
      <c r="AF249" s="98"/>
      <c r="AG249" s="82"/>
      <c r="AH249" s="98"/>
      <c r="AI249" s="82"/>
      <c r="AJ249" s="98"/>
      <c r="AK249" s="83"/>
      <c r="AL249" s="84" t="str">
        <f>IF(F249&lt;&gt;0,IF(_xlfn.MAXIFS($I$1:I249,$F$1:F249,F249,$H$1:H249,"&gt;"&amp;0)=0,"KM NÃO ENCONTRADO",IF(H249=0,CONCATENATE("SUGESTÃO DE KM PARA PLACA ",F249," *",_xlfn.MAXIFS($I$1:I249,$F$1:F249,F249,$H$1:H249,"&gt;"&amp;0),"*"),"")),"")</f>
        <v/>
      </c>
      <c r="AM249" s="85" t="str" cm="1">
        <f t="array" ref="AM249">IFERROR(IF(M249&lt;&gt;"","",CONCATENATE("https://btx.brasiltrack.com/logistica/trajeto.php?idveiculo=",VLOOKUP(F249,DATAS!$A$221:$B$250,2,FALSE),"&amp;lat=-22.204247","&amp;data_ini=",TEXT(IF(E249&lt;&gt;"",IF(COUNTIF($F$2:$F249,F249)&gt;1,MAX(IF($F$1:$F248=F249,$E$1:$E248)),""),""),"DD/MM/AAAA"),"&amp;data_fim=",TEXT(E249,"DD/MM/AAAA"),"&amp;hora_inicial=",HOUR(IF(E249&lt;&gt;"",IF(COUNTIF($F$2:$F249,F249)&gt;1,MAX(IF($F$1:$F248=F249,$E$1:$E248)),""),"")),"&amp;minuto_inicial=",MINUTE(IF(E249&lt;&gt;"",IF(COUNTIF($F$2:$F249,F249)&gt;1,MAX(IF($F$1:$F248=F249,$E$1:$E248)),""),"")),"&amp;hora_final=",HOUR(E249),"&amp;minuto_final=",MINUTE(E249),"&amp;periodo=6&amp;tipo=por_data&amp;upos=false&amp;outequip=0")),"")</f>
        <v/>
      </c>
      <c r="AN249" s="100" t="str">
        <f t="shared" si="23"/>
        <v xml:space="preserve">ABASTECEU no 22 SUL PASSOU em ARUJÁ-SP CARREGOU em SANTOS-SP PASSOU em ARUJÁ-SP ABASTECEU no 22 NORTE      </v>
      </c>
    </row>
    <row r="250" spans="1:40" x14ac:dyDescent="0.25">
      <c r="A250" s="101">
        <f>IFERROR(VLOOKUP(AN250,ROTAS!$A:$B,2,FALSE),0)</f>
        <v>32</v>
      </c>
      <c r="B250" s="101">
        <f t="shared" si="24"/>
        <v>1</v>
      </c>
      <c r="C250" s="101">
        <f t="shared" si="25"/>
        <v>625</v>
      </c>
      <c r="D250" s="144">
        <v>44896</v>
      </c>
      <c r="E250" s="76">
        <v>44901.795138888891</v>
      </c>
      <c r="F250" s="6" t="s">
        <v>31</v>
      </c>
      <c r="G250" s="5" t="str">
        <f>IFERROR(VLOOKUP(SUMIFS(MSOLICITADA!$I:$I,MSOLICITADA!$B:$B,D250,MSOLICITADA!$F:$F,F250),CODIGOSPLACAS!$A$64:$B$89,2,FALSE),"")</f>
        <v>CELIO</v>
      </c>
      <c r="H250" s="77">
        <v>207494</v>
      </c>
      <c r="I250" s="77">
        <v>208119</v>
      </c>
      <c r="J250" s="7">
        <v>447.7</v>
      </c>
      <c r="K250" s="78">
        <v>2756.25</v>
      </c>
      <c r="L250" s="79" t="s">
        <v>112</v>
      </c>
      <c r="M250" s="6">
        <v>555</v>
      </c>
      <c r="N250" s="5">
        <f t="shared" si="19"/>
        <v>70</v>
      </c>
      <c r="O250" s="80">
        <f t="shared" si="20"/>
        <v>6.1564663837391116</v>
      </c>
      <c r="P250" s="8">
        <f t="shared" si="21"/>
        <v>1.3960241232968507</v>
      </c>
      <c r="Q250" s="8">
        <f t="shared" si="26"/>
        <v>1.4905351021016544</v>
      </c>
      <c r="R250" s="81">
        <f t="shared" si="22"/>
        <v>0.88800000000000001</v>
      </c>
      <c r="S250" s="113" t="str">
        <f>IF(F250="","",IF(H250="",TEXT(_xlfn.MAXIFS($I$1:I250,$F$1:F250,F250,$H$1:H250,"&gt;"&amp;0),"000.000"),F250))</f>
        <v>GGZ3G38</v>
      </c>
      <c r="T250" s="101">
        <f t="shared" si="27"/>
        <v>70</v>
      </c>
      <c r="U250" s="82" t="s">
        <v>220</v>
      </c>
      <c r="V250" s="98" t="s">
        <v>165</v>
      </c>
      <c r="W250" s="82" t="s">
        <v>222</v>
      </c>
      <c r="X250" s="98" t="s">
        <v>171</v>
      </c>
      <c r="Y250" s="82" t="s">
        <v>221</v>
      </c>
      <c r="Z250" s="98" t="s">
        <v>195</v>
      </c>
      <c r="AA250" s="82" t="s">
        <v>220</v>
      </c>
      <c r="AB250" s="98" t="s">
        <v>206</v>
      </c>
      <c r="AC250" s="82"/>
      <c r="AD250" s="98"/>
      <c r="AE250" s="117"/>
      <c r="AF250" s="98"/>
      <c r="AG250" s="82"/>
      <c r="AH250" s="98"/>
      <c r="AI250" s="82"/>
      <c r="AJ250" s="98"/>
      <c r="AK250" s="83"/>
      <c r="AL250" s="84" t="str">
        <f>IF(F250&lt;&gt;0,IF(_xlfn.MAXIFS($I$1:I250,$F$1:F250,F250,$H$1:H250,"&gt;"&amp;0)=0,"KM NÃO ENCONTRADO",IF(H250=0,CONCATENATE("SUGESTÃO DE KM PARA PLACA ",F250," *",_xlfn.MAXIFS($I$1:I250,$F$1:F250,F250,$H$1:H250,"&gt;"&amp;0),"*"),"")),"")</f>
        <v/>
      </c>
      <c r="AM250" s="85" t="str" cm="1">
        <f t="array" ref="AM250">IFERROR(IF(M250&lt;&gt;"","",CONCATENATE("https://btx.brasiltrack.com/logistica/trajeto.php?idveiculo=",VLOOKUP(F250,DATAS!$A$221:$B$250,2,FALSE),"&amp;lat=-22.204247","&amp;data_ini=",TEXT(IF(E250&lt;&gt;"",IF(COUNTIF($F$2:$F250,F250)&gt;1,MAX(IF($F$1:$F249=F250,$E$1:$E249)),""),""),"DD/MM/AAAA"),"&amp;data_fim=",TEXT(E250,"DD/MM/AAAA"),"&amp;hora_inicial=",HOUR(IF(E250&lt;&gt;"",IF(COUNTIF($F$2:$F250,F250)&gt;1,MAX(IF($F$1:$F249=F250,$E$1:$E249)),""),"")),"&amp;minuto_inicial=",MINUTE(IF(E250&lt;&gt;"",IF(COUNTIF($F$2:$F250,F250)&gt;1,MAX(IF($F$1:$F249=F250,$E$1:$E249)),""),"")),"&amp;hora_final=",HOUR(E250),"&amp;minuto_final=",MINUTE(E250),"&amp;periodo=6&amp;tipo=por_data&amp;upos=false&amp;outequip=0")),"")</f>
        <v/>
      </c>
      <c r="AN250" s="100" t="str">
        <f t="shared" si="23"/>
        <v xml:space="preserve">ABASTECEU no 22 NORTE DESCARREGOU em IGUATAMA-MG CARREGOU em CORREGO FUNDO-MG ABASTECEU no CANDEIAS-MG        </v>
      </c>
    </row>
    <row r="251" spans="1:40" x14ac:dyDescent="0.25">
      <c r="A251" s="101">
        <f>IFERROR(VLOOKUP(AN251,ROTAS!$A:$B,2,FALSE),0)</f>
        <v>33</v>
      </c>
      <c r="B251" s="101">
        <f t="shared" si="24"/>
        <v>1</v>
      </c>
      <c r="C251" s="101">
        <f t="shared" si="25"/>
        <v>832</v>
      </c>
      <c r="D251" s="144">
        <v>44896</v>
      </c>
      <c r="E251" s="76">
        <v>44902.131249999999</v>
      </c>
      <c r="F251" s="6" t="s">
        <v>127</v>
      </c>
      <c r="G251" s="5" t="str">
        <f>IFERROR(VLOOKUP(SUMIFS(MSOLICITADA!$I:$I,MSOLICITADA!$B:$B,D251,MSOLICITADA!$F:$F,F251),CODIGOSPLACAS!$A$64:$B$89,2,FALSE),"")</f>
        <v>EVERTON</v>
      </c>
      <c r="H251" s="77">
        <v>1225733</v>
      </c>
      <c r="I251" s="77">
        <v>1226565</v>
      </c>
      <c r="J251" s="7">
        <v>415.5</v>
      </c>
      <c r="K251" s="78">
        <v>2663.36</v>
      </c>
      <c r="L251" s="79" t="s">
        <v>111</v>
      </c>
      <c r="M251" s="6">
        <v>491</v>
      </c>
      <c r="N251" s="5">
        <f t="shared" si="19"/>
        <v>341</v>
      </c>
      <c r="O251" s="80">
        <f t="shared" si="20"/>
        <v>6.4100120336943442</v>
      </c>
      <c r="P251" s="8">
        <f t="shared" si="21"/>
        <v>2.0024067388688329</v>
      </c>
      <c r="Q251" s="8">
        <f t="shared" si="26"/>
        <v>1.9282732243128911</v>
      </c>
      <c r="R251" s="81">
        <f t="shared" si="22"/>
        <v>0.59014423076923073</v>
      </c>
      <c r="S251" s="113" t="str">
        <f>IF(F251="","",IF(H251="",TEXT(_xlfn.MAXIFS($I$1:I251,$F$1:F251,F251,$H$1:H251,"&gt;"&amp;0),"000.000"),F251))</f>
        <v>OPM8J51</v>
      </c>
      <c r="T251" s="101">
        <f t="shared" si="27"/>
        <v>341</v>
      </c>
      <c r="U251" s="82" t="s">
        <v>220</v>
      </c>
      <c r="V251" s="98" t="s">
        <v>165</v>
      </c>
      <c r="W251" s="82" t="s">
        <v>222</v>
      </c>
      <c r="X251" s="98" t="s">
        <v>201</v>
      </c>
      <c r="Y251" s="82" t="s">
        <v>221</v>
      </c>
      <c r="Z251" s="98" t="s">
        <v>195</v>
      </c>
      <c r="AA251" s="82" t="s">
        <v>222</v>
      </c>
      <c r="AB251" s="98" t="s">
        <v>167</v>
      </c>
      <c r="AC251" s="82" t="s">
        <v>220</v>
      </c>
      <c r="AD251" s="98" t="s">
        <v>233</v>
      </c>
      <c r="AE251" s="117"/>
      <c r="AF251" s="98"/>
      <c r="AG251" s="82"/>
      <c r="AH251" s="98"/>
      <c r="AI251" s="82"/>
      <c r="AJ251" s="98"/>
      <c r="AK251" s="83"/>
      <c r="AL251" s="84" t="str">
        <f>IF(F251&lt;&gt;0,IF(_xlfn.MAXIFS($I$1:I251,$F$1:F251,F251,$H$1:H251,"&gt;"&amp;0)=0,"KM NÃO ENCONTRADO",IF(H251=0,CONCATENATE("SUGESTÃO DE KM PARA PLACA ",F251," *",_xlfn.MAXIFS($I$1:I251,$F$1:F251,F251,$H$1:H251,"&gt;"&amp;0),"*"),"")),"")</f>
        <v/>
      </c>
      <c r="AM251" s="85" t="str" cm="1">
        <f t="array" ref="AM251">IFERROR(IF(M251&lt;&gt;"","",CONCATENATE("https://btx.brasiltrack.com/logistica/trajeto.php?idveiculo=",VLOOKUP(F251,DATAS!$A$221:$B$250,2,FALSE),"&amp;lat=-22.204247","&amp;data_ini=",TEXT(IF(E251&lt;&gt;"",IF(COUNTIF($F$2:$F251,F251)&gt;1,MAX(IF($F$1:$F250=F251,$E$1:$E250)),""),""),"DD/MM/AAAA"),"&amp;data_fim=",TEXT(E251,"DD/MM/AAAA"),"&amp;hora_inicial=",HOUR(IF(E251&lt;&gt;"",IF(COUNTIF($F$2:$F251,F251)&gt;1,MAX(IF($F$1:$F250=F251,$E$1:$E250)),""),"")),"&amp;minuto_inicial=",MINUTE(IF(E251&lt;&gt;"",IF(COUNTIF($F$2:$F251,F251)&gt;1,MAX(IF($F$1:$F250=F251,$E$1:$E250)),""),"")),"&amp;hora_final=",HOUR(E251),"&amp;minuto_final=",MINUTE(E251),"&amp;periodo=6&amp;tipo=por_data&amp;upos=false&amp;outequip=0")),"")</f>
        <v/>
      </c>
      <c r="AN251" s="100" t="str">
        <f t="shared" si="23"/>
        <v xml:space="preserve">ABASTECEU no 22 NORTE DESCARREGOU em TRES CORACOES-MG CARREGOU em CORREGO FUNDO-MG DESCARREGOU em VARGINHA-MG ABASTECEU no DP ESTIVA      </v>
      </c>
    </row>
    <row r="252" spans="1:40" x14ac:dyDescent="0.25">
      <c r="A252" s="101">
        <f>IFERROR(VLOOKUP(AN252,ROTAS!$A:$B,2,FALSE),0)</f>
        <v>34</v>
      </c>
      <c r="B252" s="101">
        <f t="shared" si="24"/>
        <v>1</v>
      </c>
      <c r="C252" s="101">
        <f t="shared" si="25"/>
        <v>631</v>
      </c>
      <c r="D252" s="144">
        <v>44896</v>
      </c>
      <c r="E252" s="76">
        <v>44902.736111111109</v>
      </c>
      <c r="F252" s="6" t="s">
        <v>30</v>
      </c>
      <c r="G252" s="5" t="str">
        <f>IFERROR(VLOOKUP(SUMIFS(MSOLICITADA!$I:$I,MSOLICITADA!$B:$B,D252,MSOLICITADA!$F:$F,F252),CODIGOSPLACAS!$A$64:$B$89,2,FALSE),"")</f>
        <v>RONILSON</v>
      </c>
      <c r="H252" s="77">
        <v>215337</v>
      </c>
      <c r="I252" s="77">
        <v>215968</v>
      </c>
      <c r="J252" s="7">
        <v>343.5</v>
      </c>
      <c r="K252" s="78">
        <v>2114.75</v>
      </c>
      <c r="L252" s="79" t="s">
        <v>112</v>
      </c>
      <c r="M252" s="6">
        <v>251</v>
      </c>
      <c r="N252" s="5">
        <f t="shared" si="19"/>
        <v>380</v>
      </c>
      <c r="O252" s="80">
        <f t="shared" si="20"/>
        <v>6.156477438136827</v>
      </c>
      <c r="P252" s="8">
        <f t="shared" si="21"/>
        <v>1.8369723435225618</v>
      </c>
      <c r="Q252" s="8">
        <f t="shared" si="26"/>
        <v>1.5093777841757006</v>
      </c>
      <c r="R252" s="81">
        <f t="shared" si="22"/>
        <v>0.3977812995245642</v>
      </c>
      <c r="S252" s="113" t="str">
        <f>IF(F252="","",IF(H252="",TEXT(_xlfn.MAXIFS($I$1:I252,$F$1:F252,F252,$H$1:H252,"&gt;"&amp;0),"000.000"),F252))</f>
        <v>GFB0I37</v>
      </c>
      <c r="T252" s="101">
        <f t="shared" si="27"/>
        <v>380</v>
      </c>
      <c r="U252" s="82" t="s">
        <v>220</v>
      </c>
      <c r="V252" s="98" t="s">
        <v>165</v>
      </c>
      <c r="W252" s="82" t="s">
        <v>222</v>
      </c>
      <c r="X252" s="98" t="s">
        <v>200</v>
      </c>
      <c r="Y252" s="82" t="s">
        <v>221</v>
      </c>
      <c r="Z252" s="98" t="s">
        <v>195</v>
      </c>
      <c r="AA252" s="82" t="s">
        <v>220</v>
      </c>
      <c r="AB252" s="98" t="s">
        <v>206</v>
      </c>
      <c r="AC252" s="82"/>
      <c r="AD252" s="98"/>
      <c r="AE252" s="117"/>
      <c r="AF252" s="98"/>
      <c r="AG252" s="82"/>
      <c r="AH252" s="98"/>
      <c r="AI252" s="82"/>
      <c r="AJ252" s="98"/>
      <c r="AK252" s="83"/>
      <c r="AL252" s="84" t="str">
        <f>IF(F252&lt;&gt;0,IF(_xlfn.MAXIFS($I$1:I252,$F$1:F252,F252,$H$1:H252,"&gt;"&amp;0)=0,"KM NÃO ENCONTRADO",IF(H252=0,CONCATENATE("SUGESTÃO DE KM PARA PLACA ",F252," *",_xlfn.MAXIFS($I$1:I252,$F$1:F252,F252,$H$1:H252,"&gt;"&amp;0),"*"),"")),"")</f>
        <v/>
      </c>
      <c r="AM252" s="85" t="str" cm="1">
        <f t="array" ref="AM252">IFERROR(IF(M252&lt;&gt;"","",CONCATENATE("https://btx.brasiltrack.com/logistica/trajeto.php?idveiculo=",VLOOKUP(F252,DATAS!$A$221:$B$250,2,FALSE),"&amp;lat=-22.204247","&amp;data_ini=",TEXT(IF(E252&lt;&gt;"",IF(COUNTIF($F$2:$F252,F252)&gt;1,MAX(IF($F$1:$F251=F252,$E$1:$E251)),""),""),"DD/MM/AAAA"),"&amp;data_fim=",TEXT(E252,"DD/MM/AAAA"),"&amp;hora_inicial=",HOUR(IF(E252&lt;&gt;"",IF(COUNTIF($F$2:$F252,F252)&gt;1,MAX(IF($F$1:$F251=F252,$E$1:$E251)),""),"")),"&amp;minuto_inicial=",MINUTE(IF(E252&lt;&gt;"",IF(COUNTIF($F$2:$F252,F252)&gt;1,MAX(IF($F$1:$F251=F252,$E$1:$E251)),""),"")),"&amp;hora_final=",HOUR(E252),"&amp;minuto_final=",MINUTE(E252),"&amp;periodo=6&amp;tipo=por_data&amp;upos=false&amp;outequip=0")),"")</f>
        <v/>
      </c>
      <c r="AN252" s="100" t="str">
        <f t="shared" si="23"/>
        <v xml:space="preserve">ABASTECEU no 22 NORTE DESCARREGOU em CONGONHAL-MG CARREGOU em CORREGO FUNDO-MG ABASTECEU no CANDEIAS-MG        </v>
      </c>
    </row>
    <row r="253" spans="1:40" x14ac:dyDescent="0.25">
      <c r="A253" s="101">
        <f>IFERROR(VLOOKUP(AN253,ROTAS!$A:$B,2,FALSE),0)</f>
        <v>35</v>
      </c>
      <c r="B253" s="101">
        <f t="shared" si="24"/>
        <v>8</v>
      </c>
      <c r="C253" s="101">
        <f t="shared" si="25"/>
        <v>825.75</v>
      </c>
      <c r="D253" s="144">
        <v>44896</v>
      </c>
      <c r="E253" s="76">
        <v>44903.018055555556</v>
      </c>
      <c r="F253" s="6" t="s">
        <v>131</v>
      </c>
      <c r="G253" s="5" t="str">
        <f>IFERROR(VLOOKUP(SUMIFS(MSOLICITADA!$I:$I,MSOLICITADA!$B:$B,D253,MSOLICITADA!$F:$F,F253),CODIGOSPLACAS!$A$64:$B$89,2,FALSE),"")</f>
        <v>ALTIELIS</v>
      </c>
      <c r="H253" s="77">
        <v>40735</v>
      </c>
      <c r="I253" s="77">
        <v>41606</v>
      </c>
      <c r="J253" s="7">
        <v>496</v>
      </c>
      <c r="K253" s="78">
        <v>3169.44</v>
      </c>
      <c r="L253" s="79" t="s">
        <v>111</v>
      </c>
      <c r="M253" s="6">
        <v>446</v>
      </c>
      <c r="N253" s="5">
        <f t="shared" si="19"/>
        <v>425</v>
      </c>
      <c r="O253" s="80">
        <f t="shared" si="20"/>
        <v>6.39</v>
      </c>
      <c r="P253" s="8">
        <f t="shared" si="21"/>
        <v>1.7560483870967742</v>
      </c>
      <c r="Q253" s="8">
        <f t="shared" si="26"/>
        <v>1.6628833870031143</v>
      </c>
      <c r="R253" s="81">
        <f t="shared" si="22"/>
        <v>0.51205510907003449</v>
      </c>
      <c r="S253" s="113" t="str">
        <f>IF(F253="","",IF(H253="",TEXT(_xlfn.MAXIFS($I$1:I253,$F$1:F253,F253,$H$1:H253,"&gt;"&amp;0),"000.000"),F253))</f>
        <v>GGN4J86</v>
      </c>
      <c r="T253" s="101">
        <f t="shared" si="27"/>
        <v>425</v>
      </c>
      <c r="U253" s="82" t="s">
        <v>220</v>
      </c>
      <c r="V253" s="98" t="s">
        <v>165</v>
      </c>
      <c r="W253" s="82" t="s">
        <v>222</v>
      </c>
      <c r="X253" s="98" t="s">
        <v>201</v>
      </c>
      <c r="Y253" s="82" t="s">
        <v>225</v>
      </c>
      <c r="Z253" s="98" t="s">
        <v>237</v>
      </c>
      <c r="AA253" s="82" t="s">
        <v>221</v>
      </c>
      <c r="AB253" s="98" t="s">
        <v>175</v>
      </c>
      <c r="AC253" s="82" t="s">
        <v>225</v>
      </c>
      <c r="AD253" s="98" t="s">
        <v>284</v>
      </c>
      <c r="AE253" s="117" t="s">
        <v>220</v>
      </c>
      <c r="AF253" s="98" t="s">
        <v>165</v>
      </c>
      <c r="AG253" s="82"/>
      <c r="AH253" s="98"/>
      <c r="AI253" s="82"/>
      <c r="AJ253" s="98"/>
      <c r="AK253" s="83"/>
      <c r="AL253" s="84" t="str">
        <f>IF(F253&lt;&gt;0,IF(_xlfn.MAXIFS($I$1:I253,$F$1:F253,F253,$H$1:H253,"&gt;"&amp;0)=0,"KM NÃO ENCONTRADO",IF(H253=0,CONCATENATE("SUGESTÃO DE KM PARA PLACA ",F253," *",_xlfn.MAXIFS($I$1:I253,$F$1:F253,F253,$H$1:H253,"&gt;"&amp;0),"*"),"")),"")</f>
        <v/>
      </c>
      <c r="AM253" s="85" t="str" cm="1">
        <f t="array" ref="AM253">IFERROR(IF(M253&lt;&gt;"","",CONCATENATE("https://btx.brasiltrack.com/logistica/trajeto.php?idveiculo=",VLOOKUP(F253,DATAS!$A$221:$B$250,2,FALSE),"&amp;lat=-22.204247","&amp;data_ini=",TEXT(IF(E253&lt;&gt;"",IF(COUNTIF($F$2:$F253,F253)&gt;1,MAX(IF($F$1:$F252=F253,$E$1:$E252)),""),""),"DD/MM/AAAA"),"&amp;data_fim=",TEXT(E253,"DD/MM/AAAA"),"&amp;hora_inicial=",HOUR(IF(E253&lt;&gt;"",IF(COUNTIF($F$2:$F253,F253)&gt;1,MAX(IF($F$1:$F252=F253,$E$1:$E252)),""),"")),"&amp;minuto_inicial=",MINUTE(IF(E253&lt;&gt;"",IF(COUNTIF($F$2:$F253,F253)&gt;1,MAX(IF($F$1:$F252=F253,$E$1:$E252)),""),"")),"&amp;hora_final=",HOUR(E253),"&amp;minuto_final=",MINUTE(E253),"&amp;periodo=6&amp;tipo=por_data&amp;upos=false&amp;outequip=0")),"")</f>
        <v/>
      </c>
      <c r="AN253" s="100" t="str">
        <f t="shared" si="23"/>
        <v xml:space="preserve">ABASTECEU no 22 NORTE DESCARREGOU em TRES CORACOES-MG PASSOU em ARUJÁ-SP CARREGOU em SANTOS-SP PASSOU em SÃO PAULO-SP ABASTECEU no 22 NORTE    </v>
      </c>
    </row>
    <row r="254" spans="1:40" x14ac:dyDescent="0.25">
      <c r="A254" s="101">
        <f>IFERROR(VLOOKUP(AN254,ROTAS!$A:$B,2,FALSE),0)</f>
        <v>36</v>
      </c>
      <c r="B254" s="101">
        <f t="shared" si="24"/>
        <v>1</v>
      </c>
      <c r="C254" s="101">
        <f t="shared" si="25"/>
        <v>684</v>
      </c>
      <c r="D254" s="144">
        <v>44896</v>
      </c>
      <c r="E254" s="76">
        <v>44903.240972222222</v>
      </c>
      <c r="F254" s="6" t="s">
        <v>28</v>
      </c>
      <c r="G254" s="5" t="str">
        <f>IFERROR(VLOOKUP(SUMIFS(MSOLICITADA!$I:$I,MSOLICITADA!$B:$B,D254,MSOLICITADA!$F:$F,F254),CODIGOSPLACAS!$A$64:$B$89,2,FALSE),"")</f>
        <v>RONY</v>
      </c>
      <c r="H254" s="77">
        <v>239475</v>
      </c>
      <c r="I254" s="77">
        <v>240159</v>
      </c>
      <c r="J254" s="7">
        <v>520</v>
      </c>
      <c r="K254" s="78">
        <v>3333.2</v>
      </c>
      <c r="L254" s="79" t="s">
        <v>111</v>
      </c>
      <c r="M254" s="6">
        <v>684</v>
      </c>
      <c r="N254" s="5" t="str">
        <f t="shared" si="19"/>
        <v/>
      </c>
      <c r="O254" s="80">
        <f t="shared" si="20"/>
        <v>6.4099999999999993</v>
      </c>
      <c r="P254" s="8">
        <f t="shared" si="21"/>
        <v>1.3153846153846154</v>
      </c>
      <c r="Q254" s="8">
        <f t="shared" si="26"/>
        <v>1.5503831077411701</v>
      </c>
      <c r="R254" s="81">
        <f t="shared" si="22"/>
        <v>1</v>
      </c>
      <c r="S254" s="113" t="str">
        <f>IF(F254="","",IF(H254="",TEXT(_xlfn.MAXIFS($I$1:I254,$F$1:F254,F254,$H$1:H254,"&gt;"&amp;0),"000.000"),F254))</f>
        <v>FZA3E94</v>
      </c>
      <c r="T254" s="101" t="str">
        <f t="shared" si="27"/>
        <v/>
      </c>
      <c r="U254" s="82" t="s">
        <v>220</v>
      </c>
      <c r="V254" s="98" t="s">
        <v>227</v>
      </c>
      <c r="W254" s="82" t="s">
        <v>225</v>
      </c>
      <c r="X254" s="98" t="s">
        <v>284</v>
      </c>
      <c r="Y254" s="82" t="s">
        <v>222</v>
      </c>
      <c r="Z254" s="98" t="s">
        <v>175</v>
      </c>
      <c r="AA254" s="82" t="s">
        <v>221</v>
      </c>
      <c r="AB254" s="98" t="s">
        <v>175</v>
      </c>
      <c r="AC254" s="82" t="s">
        <v>225</v>
      </c>
      <c r="AD254" s="98" t="s">
        <v>284</v>
      </c>
      <c r="AE254" s="117" t="s">
        <v>220</v>
      </c>
      <c r="AF254" s="98" t="s">
        <v>218</v>
      </c>
      <c r="AG254" s="82"/>
      <c r="AH254" s="98"/>
      <c r="AI254" s="82"/>
      <c r="AJ254" s="98"/>
      <c r="AK254" s="83"/>
      <c r="AL254" s="84" t="str">
        <f>IF(F254&lt;&gt;0,IF(_xlfn.MAXIFS($I$1:I254,$F$1:F254,F254,$H$1:H254,"&gt;"&amp;0)=0,"KM NÃO ENCONTRADO",IF(H254=0,CONCATENATE("SUGESTÃO DE KM PARA PLACA ",F254," *",_xlfn.MAXIFS($I$1:I254,$F$1:F254,F254,$H$1:H254,"&gt;"&amp;0),"*"),"")),"")</f>
        <v/>
      </c>
      <c r="AM254" s="85" t="str" cm="1">
        <f t="array" ref="AM254">IFERROR(IF(M254&lt;&gt;"","",CONCATENATE("https://btx.brasiltrack.com/logistica/trajeto.php?idveiculo=",VLOOKUP(F254,DATAS!$A$221:$B$250,2,FALSE),"&amp;lat=-22.204247","&amp;data_ini=",TEXT(IF(E254&lt;&gt;"",IF(COUNTIF($F$2:$F254,F254)&gt;1,MAX(IF($F$1:$F253=F254,$E$1:$E253)),""),""),"DD/MM/AAAA"),"&amp;data_fim=",TEXT(E254,"DD/MM/AAAA"),"&amp;hora_inicial=",HOUR(IF(E254&lt;&gt;"",IF(COUNTIF($F$2:$F254,F254)&gt;1,MAX(IF($F$1:$F253=F254,$E$1:$E253)),""),"")),"&amp;minuto_inicial=",MINUTE(IF(E254&lt;&gt;"",IF(COUNTIF($F$2:$F254,F254)&gt;1,MAX(IF($F$1:$F253=F254,$E$1:$E253)),""),"")),"&amp;hora_final=",HOUR(E254),"&amp;minuto_final=",MINUTE(E254),"&amp;periodo=6&amp;tipo=por_data&amp;upos=false&amp;outequip=0")),"")</f>
        <v/>
      </c>
      <c r="AN254" s="100" t="str">
        <f t="shared" si="23"/>
        <v xml:space="preserve">ABASTECEU no PICA PAU NORTE PASSOU em SÃO PAULO-SP DESCARREGOU em SANTOS-SP CARREGOU em SANTOS-SP PASSOU em SÃO PAULO-SP ABASTECEU no DP PA NORTE    </v>
      </c>
    </row>
    <row r="255" spans="1:40" x14ac:dyDescent="0.25">
      <c r="A255" s="101">
        <f>IFERROR(VLOOKUP(AN255,ROTAS!$A:$B,2,FALSE),0)</f>
        <v>37</v>
      </c>
      <c r="B255" s="101">
        <f t="shared" si="24"/>
        <v>1</v>
      </c>
      <c r="C255" s="101">
        <f t="shared" si="25"/>
        <v>321</v>
      </c>
      <c r="D255" s="144">
        <v>44896</v>
      </c>
      <c r="E255" s="76">
        <v>44903.245138888888</v>
      </c>
      <c r="F255" s="6" t="s">
        <v>32</v>
      </c>
      <c r="G255" s="5" t="str">
        <f>IFERROR(VLOOKUP(SUMIFS(MSOLICITADA!$I:$I,MSOLICITADA!$B:$B,D255,MSOLICITADA!$F:$F,F255),CODIGOSPLACAS!$A$64:$B$89,2,FALSE),"")</f>
        <v>ADILSON</v>
      </c>
      <c r="H255" s="77">
        <v>194619</v>
      </c>
      <c r="I255" s="77">
        <v>194940</v>
      </c>
      <c r="J255" s="7">
        <v>207.001</v>
      </c>
      <c r="K255" s="78">
        <v>1322.73</v>
      </c>
      <c r="L255" s="79" t="s">
        <v>111</v>
      </c>
      <c r="M255" s="6">
        <v>129</v>
      </c>
      <c r="N255" s="5">
        <f t="shared" si="19"/>
        <v>192</v>
      </c>
      <c r="O255" s="80">
        <f t="shared" si="20"/>
        <v>6.3899691305839106</v>
      </c>
      <c r="P255" s="8">
        <f t="shared" si="21"/>
        <v>1.5507171462939793</v>
      </c>
      <c r="Q255" s="8">
        <f t="shared" si="26"/>
        <v>1.7045945118851598</v>
      </c>
      <c r="R255" s="81">
        <f t="shared" si="22"/>
        <v>0.40186915887850466</v>
      </c>
      <c r="S255" s="113" t="str">
        <f>IF(F255="","",IF(H255="",TEXT(_xlfn.MAXIFS($I$1:I255,$F$1:F255,F255,$H$1:H255,"&gt;"&amp;0),"000.000"),F255))</f>
        <v>GJU9A22</v>
      </c>
      <c r="T255" s="101">
        <f t="shared" si="27"/>
        <v>192</v>
      </c>
      <c r="U255" s="82" t="s">
        <v>220</v>
      </c>
      <c r="V255" s="98" t="s">
        <v>166</v>
      </c>
      <c r="W255" s="82" t="s">
        <v>225</v>
      </c>
      <c r="X255" s="98" t="s">
        <v>237</v>
      </c>
      <c r="Y255" s="82" t="s">
        <v>221</v>
      </c>
      <c r="Z255" s="98" t="s">
        <v>175</v>
      </c>
      <c r="AA255" s="82" t="s">
        <v>225</v>
      </c>
      <c r="AB255" s="98" t="s">
        <v>284</v>
      </c>
      <c r="AC255" s="117" t="s">
        <v>220</v>
      </c>
      <c r="AD255" s="98" t="s">
        <v>165</v>
      </c>
      <c r="AE255" s="117"/>
      <c r="AF255" s="98"/>
      <c r="AG255" s="82"/>
      <c r="AH255" s="98"/>
      <c r="AI255" s="82"/>
      <c r="AJ255" s="98"/>
      <c r="AK255" s="83"/>
      <c r="AL255" s="84" t="str">
        <f>IF(F255&lt;&gt;0,IF(_xlfn.MAXIFS($I$1:I255,$F$1:F255,F255,$H$1:H255,"&gt;"&amp;0)=0,"KM NÃO ENCONTRADO",IF(H255=0,CONCATENATE("SUGESTÃO DE KM PARA PLACA ",F255," *",_xlfn.MAXIFS($I$1:I255,$F$1:F255,F255,$H$1:H255,"&gt;"&amp;0),"*"),"")),"")</f>
        <v/>
      </c>
      <c r="AM255" s="85" t="str" cm="1">
        <f t="array" ref="AM255">IFERROR(IF(M255&lt;&gt;"","",CONCATENATE("https://btx.brasiltrack.com/logistica/trajeto.php?idveiculo=",VLOOKUP(F255,DATAS!$A$221:$B$250,2,FALSE),"&amp;lat=-22.204247","&amp;data_ini=",TEXT(IF(E255&lt;&gt;"",IF(COUNTIF($F$2:$F255,F255)&gt;1,MAX(IF($F$1:$F254=F255,$E$1:$E254)),""),""),"DD/MM/AAAA"),"&amp;data_fim=",TEXT(E255,"DD/MM/AAAA"),"&amp;hora_inicial=",HOUR(IF(E255&lt;&gt;"",IF(COUNTIF($F$2:$F255,F255)&gt;1,MAX(IF($F$1:$F254=F255,$E$1:$E254)),""),"")),"&amp;minuto_inicial=",MINUTE(IF(E255&lt;&gt;"",IF(COUNTIF($F$2:$F255,F255)&gt;1,MAX(IF($F$1:$F254=F255,$E$1:$E254)),""),"")),"&amp;hora_final=",HOUR(E255),"&amp;minuto_final=",MINUTE(E255),"&amp;periodo=6&amp;tipo=por_data&amp;upos=false&amp;outequip=0")),"")</f>
        <v/>
      </c>
      <c r="AN255" s="100" t="str">
        <f t="shared" si="23"/>
        <v xml:space="preserve">ABASTECEU no 22 SUL PASSOU em ARUJÁ-SP CARREGOU em SANTOS-SP PASSOU em SÃO PAULO-SP ABASTECEU no 22 NORTE      </v>
      </c>
    </row>
    <row r="256" spans="1:40" x14ac:dyDescent="0.25">
      <c r="A256" s="101">
        <f>IFERROR(VLOOKUP(AN256,ROTAS!$A:$B,2,FALSE),0)</f>
        <v>38</v>
      </c>
      <c r="B256" s="101">
        <f t="shared" si="24"/>
        <v>1</v>
      </c>
      <c r="C256" s="101">
        <f t="shared" si="25"/>
        <v>570</v>
      </c>
      <c r="D256" s="144">
        <v>44896</v>
      </c>
      <c r="E256" s="76">
        <v>44903.297222222223</v>
      </c>
      <c r="F256" s="6" t="s">
        <v>23</v>
      </c>
      <c r="G256" s="5" t="str">
        <f>IFERROR(VLOOKUP(SUMIFS(MSOLICITADA!$I:$I,MSOLICITADA!$B:$B,D256,MSOLICITADA!$F:$F,F256),CODIGOSPLACAS!$A$64:$B$89,2,FALSE),"")</f>
        <v>ISAC</v>
      </c>
      <c r="H256" s="77">
        <v>1201664</v>
      </c>
      <c r="I256" s="77">
        <v>1202234</v>
      </c>
      <c r="J256" s="7">
        <v>440.01</v>
      </c>
      <c r="K256" s="78">
        <v>2811.6</v>
      </c>
      <c r="L256" s="79" t="s">
        <v>111</v>
      </c>
      <c r="M256" s="6">
        <v>570</v>
      </c>
      <c r="N256" s="5" t="str">
        <f t="shared" si="19"/>
        <v/>
      </c>
      <c r="O256" s="80">
        <f t="shared" si="20"/>
        <v>6.3898547760278177</v>
      </c>
      <c r="P256" s="8">
        <f t="shared" si="21"/>
        <v>1.2954251039749096</v>
      </c>
      <c r="Q256" s="8">
        <f t="shared" si="26"/>
        <v>1.5720509549919661</v>
      </c>
      <c r="R256" s="81">
        <f t="shared" si="22"/>
        <v>1</v>
      </c>
      <c r="S256" s="113" t="str">
        <f>IF(F256="","",IF(H256="",TEXT(_xlfn.MAXIFS($I$1:I256,$F$1:F256,F256,$H$1:H256,"&gt;"&amp;0),"000.000"),F256))</f>
        <v>HNC7I76</v>
      </c>
      <c r="T256" s="101" t="str">
        <f t="shared" si="27"/>
        <v/>
      </c>
      <c r="U256" s="82" t="s">
        <v>220</v>
      </c>
      <c r="V256" s="98" t="s">
        <v>227</v>
      </c>
      <c r="W256" s="82" t="s">
        <v>225</v>
      </c>
      <c r="X256" s="98" t="s">
        <v>284</v>
      </c>
      <c r="Y256" s="82" t="s">
        <v>222</v>
      </c>
      <c r="Z256" s="98" t="s">
        <v>175</v>
      </c>
      <c r="AA256" s="82" t="s">
        <v>221</v>
      </c>
      <c r="AB256" s="98" t="s">
        <v>175</v>
      </c>
      <c r="AC256" s="82" t="s">
        <v>225</v>
      </c>
      <c r="AD256" s="98" t="s">
        <v>237</v>
      </c>
      <c r="AE256" s="117" t="s">
        <v>220</v>
      </c>
      <c r="AF256" s="98" t="s">
        <v>165</v>
      </c>
      <c r="AG256" s="82"/>
      <c r="AH256" s="98"/>
      <c r="AI256" s="82"/>
      <c r="AJ256" s="98"/>
      <c r="AK256" s="83"/>
      <c r="AL256" s="84" t="str">
        <f>IF(F256&lt;&gt;0,IF(_xlfn.MAXIFS($I$1:I256,$F$1:F256,F256,$H$1:H256,"&gt;"&amp;0)=0,"KM NÃO ENCONTRADO",IF(H256=0,CONCATENATE("SUGESTÃO DE KM PARA PLACA ",F256," *",_xlfn.MAXIFS($I$1:I256,$F$1:F256,F256,$H$1:H256,"&gt;"&amp;0),"*"),"")),"")</f>
        <v/>
      </c>
      <c r="AM256" s="85" t="str" cm="1">
        <f t="array" ref="AM256">IFERROR(IF(M256&lt;&gt;"","",CONCATENATE("https://btx.brasiltrack.com/logistica/trajeto.php?idveiculo=",VLOOKUP(F256,DATAS!$A$221:$B$250,2,FALSE),"&amp;lat=-22.204247","&amp;data_ini=",TEXT(IF(E256&lt;&gt;"",IF(COUNTIF($F$2:$F256,F256)&gt;1,MAX(IF($F$1:$F255=F256,$E$1:$E255)),""),""),"DD/MM/AAAA"),"&amp;data_fim=",TEXT(E256,"DD/MM/AAAA"),"&amp;hora_inicial=",HOUR(IF(E256&lt;&gt;"",IF(COUNTIF($F$2:$F256,F256)&gt;1,MAX(IF($F$1:$F255=F256,$E$1:$E255)),""),"")),"&amp;minuto_inicial=",MINUTE(IF(E256&lt;&gt;"",IF(COUNTIF($F$2:$F256,F256)&gt;1,MAX(IF($F$1:$F255=F256,$E$1:$E255)),""),"")),"&amp;hora_final=",HOUR(E256),"&amp;minuto_final=",MINUTE(E256),"&amp;periodo=6&amp;tipo=por_data&amp;upos=false&amp;outequip=0")),"")</f>
        <v/>
      </c>
      <c r="AN256" s="100" t="str">
        <f t="shared" si="23"/>
        <v xml:space="preserve">ABASTECEU no PICA PAU NORTE PASSOU em SÃO PAULO-SP DESCARREGOU em SANTOS-SP CARREGOU em SANTOS-SP PASSOU em ARUJÁ-SP ABASTECEU no 22 NORTE    </v>
      </c>
    </row>
    <row r="257" spans="1:40" x14ac:dyDescent="0.25">
      <c r="A257" s="101">
        <f>IFERROR(VLOOKUP(AN257,ROTAS!$A:$B,2,FALSE),0)</f>
        <v>39</v>
      </c>
      <c r="B257" s="101">
        <f t="shared" si="24"/>
        <v>2</v>
      </c>
      <c r="C257" s="101">
        <f t="shared" si="25"/>
        <v>743.5</v>
      </c>
      <c r="D257" s="144">
        <v>44896</v>
      </c>
      <c r="E257" s="76">
        <v>44903.302777777775</v>
      </c>
      <c r="F257" s="6" t="s">
        <v>33</v>
      </c>
      <c r="G257" s="5" t="str">
        <f>IFERROR(VLOOKUP(SUMIFS(MSOLICITADA!$I:$I,MSOLICITADA!$B:$B,D257,MSOLICITADA!$F:$F,F257),CODIGOSPLACAS!$A$64:$B$89,2,FALSE),"")</f>
        <v>JULIO</v>
      </c>
      <c r="H257" s="77">
        <v>161294</v>
      </c>
      <c r="I257" s="77">
        <v>162041</v>
      </c>
      <c r="J257" s="7">
        <v>454.41199999999998</v>
      </c>
      <c r="K257" s="78">
        <v>2903.69</v>
      </c>
      <c r="L257" s="79" t="s">
        <v>111</v>
      </c>
      <c r="M257" s="6">
        <v>362</v>
      </c>
      <c r="N257" s="5">
        <f t="shared" si="19"/>
        <v>385</v>
      </c>
      <c r="O257" s="80">
        <f t="shared" si="20"/>
        <v>6.3899941022684263</v>
      </c>
      <c r="P257" s="8">
        <f t="shared" si="21"/>
        <v>1.6438826439442622</v>
      </c>
      <c r="Q257" s="8">
        <f t="shared" si="26"/>
        <v>1.6210900048214474</v>
      </c>
      <c r="R257" s="81">
        <f t="shared" si="22"/>
        <v>0.48460508701472554</v>
      </c>
      <c r="S257" s="113" t="str">
        <f>IF(F257="","",IF(H257="",TEXT(_xlfn.MAXIFS($I$1:I257,$F$1:F257,F257,$H$1:H257,"&gt;"&amp;0),"000.000"),F257))</f>
        <v>GGF7G26</v>
      </c>
      <c r="T257" s="101">
        <f t="shared" si="27"/>
        <v>385</v>
      </c>
      <c r="U257" s="82" t="s">
        <v>220</v>
      </c>
      <c r="V257" s="98" t="s">
        <v>206</v>
      </c>
      <c r="W257" s="82" t="s">
        <v>222</v>
      </c>
      <c r="X257" s="98" t="s">
        <v>167</v>
      </c>
      <c r="Y257" s="82" t="s">
        <v>225</v>
      </c>
      <c r="Z257" s="98" t="s">
        <v>284</v>
      </c>
      <c r="AA257" s="82" t="s">
        <v>221</v>
      </c>
      <c r="AB257" s="98" t="s">
        <v>175</v>
      </c>
      <c r="AC257" s="82" t="s">
        <v>225</v>
      </c>
      <c r="AD257" s="98" t="s">
        <v>237</v>
      </c>
      <c r="AE257" s="117" t="s">
        <v>220</v>
      </c>
      <c r="AF257" s="98" t="s">
        <v>165</v>
      </c>
      <c r="AG257" s="82"/>
      <c r="AH257" s="98"/>
      <c r="AI257" s="82"/>
      <c r="AJ257" s="98"/>
      <c r="AK257" s="83"/>
      <c r="AL257" s="84" t="str">
        <f>IF(F257&lt;&gt;0,IF(_xlfn.MAXIFS($I$1:I257,$F$1:F257,F257,$H$1:H257,"&gt;"&amp;0)=0,"KM NÃO ENCONTRADO",IF(H257=0,CONCATENATE("SUGESTÃO DE KM PARA PLACA ",F257," *",_xlfn.MAXIFS($I$1:I257,$F$1:F257,F257,$H$1:H257,"&gt;"&amp;0),"*"),"")),"")</f>
        <v/>
      </c>
      <c r="AM257" s="85" t="str" cm="1">
        <f t="array" ref="AM257">IFERROR(IF(M257&lt;&gt;"","",CONCATENATE("https://btx.brasiltrack.com/logistica/trajeto.php?idveiculo=",VLOOKUP(F257,DATAS!$A$221:$B$250,2,FALSE),"&amp;lat=-22.204247","&amp;data_ini=",TEXT(IF(E257&lt;&gt;"",IF(COUNTIF($F$2:$F257,F257)&gt;1,MAX(IF($F$1:$F256=F257,$E$1:$E256)),""),""),"DD/MM/AAAA"),"&amp;data_fim=",TEXT(E257,"DD/MM/AAAA"),"&amp;hora_inicial=",HOUR(IF(E257&lt;&gt;"",IF(COUNTIF($F$2:$F257,F257)&gt;1,MAX(IF($F$1:$F256=F257,$E$1:$E256)),""),"")),"&amp;minuto_inicial=",MINUTE(IF(E257&lt;&gt;"",IF(COUNTIF($F$2:$F257,F257)&gt;1,MAX(IF($F$1:$F256=F257,$E$1:$E256)),""),"")),"&amp;hora_final=",HOUR(E257),"&amp;minuto_final=",MINUTE(E257),"&amp;periodo=6&amp;tipo=por_data&amp;upos=false&amp;outequip=0")),"")</f>
        <v/>
      </c>
      <c r="AN257" s="100" t="str">
        <f t="shared" si="23"/>
        <v xml:space="preserve">ABASTECEU no CANDEIAS-MG DESCARREGOU em VARGINHA-MG PASSOU em SÃO PAULO-SP CARREGOU em SANTOS-SP PASSOU em ARUJÁ-SP ABASTECEU no 22 NORTE    </v>
      </c>
    </row>
    <row r="258" spans="1:40" x14ac:dyDescent="0.25">
      <c r="A258" s="101">
        <f>IFERROR(VLOOKUP(AN258,ROTAS!$A:$B,2,FALSE),0)</f>
        <v>39</v>
      </c>
      <c r="B258" s="101">
        <f t="shared" si="24"/>
        <v>2</v>
      </c>
      <c r="C258" s="101">
        <f t="shared" si="25"/>
        <v>743.5</v>
      </c>
      <c r="D258" s="144">
        <v>44896</v>
      </c>
      <c r="E258" s="76">
        <v>44903.338888888888</v>
      </c>
      <c r="F258" s="6" t="s">
        <v>25</v>
      </c>
      <c r="G258" s="5" t="str">
        <f>IFERROR(VLOOKUP(SUMIFS(MSOLICITADA!$I:$I,MSOLICITADA!$B:$B,D258,MSOLICITADA!$F:$F,F258),CODIGOSPLACAS!$A$64:$B$89,2,FALSE),"")</f>
        <v>EDUALDO</v>
      </c>
      <c r="H258" s="77">
        <v>1007108</v>
      </c>
      <c r="I258" s="77">
        <v>1007848</v>
      </c>
      <c r="J258" s="7">
        <v>480</v>
      </c>
      <c r="K258" s="78">
        <v>3067.2</v>
      </c>
      <c r="L258" s="79" t="s">
        <v>111</v>
      </c>
      <c r="M258" s="6">
        <v>355</v>
      </c>
      <c r="N258" s="5">
        <f t="shared" si="19"/>
        <v>385</v>
      </c>
      <c r="O258" s="80">
        <f t="shared" si="20"/>
        <v>6.39</v>
      </c>
      <c r="P258" s="8">
        <f t="shared" si="21"/>
        <v>1.5416666666666667</v>
      </c>
      <c r="Q258" s="8">
        <f t="shared" si="26"/>
        <v>1.5016619403177309</v>
      </c>
      <c r="R258" s="81">
        <f t="shared" si="22"/>
        <v>0.47972972972972971</v>
      </c>
      <c r="S258" s="113" t="str">
        <f>IF(F258="","",IF(H258="",TEXT(_xlfn.MAXIFS($I$1:I258,$F$1:F258,F258,$H$1:H258,"&gt;"&amp;0),"000.000"),F258))</f>
        <v>QHE9735</v>
      </c>
      <c r="T258" s="101">
        <f t="shared" si="27"/>
        <v>385</v>
      </c>
      <c r="U258" s="82" t="s">
        <v>220</v>
      </c>
      <c r="V258" s="98" t="s">
        <v>206</v>
      </c>
      <c r="W258" s="82" t="s">
        <v>222</v>
      </c>
      <c r="X258" s="98" t="s">
        <v>167</v>
      </c>
      <c r="Y258" s="82" t="s">
        <v>225</v>
      </c>
      <c r="Z258" s="98" t="s">
        <v>284</v>
      </c>
      <c r="AA258" s="82" t="s">
        <v>221</v>
      </c>
      <c r="AB258" s="98" t="s">
        <v>175</v>
      </c>
      <c r="AC258" s="82" t="s">
        <v>225</v>
      </c>
      <c r="AD258" s="98" t="s">
        <v>237</v>
      </c>
      <c r="AE258" s="117" t="s">
        <v>220</v>
      </c>
      <c r="AF258" s="98" t="s">
        <v>165</v>
      </c>
      <c r="AG258" s="82"/>
      <c r="AH258" s="98"/>
      <c r="AI258" s="82"/>
      <c r="AJ258" s="98"/>
      <c r="AK258" s="83"/>
      <c r="AL258" s="84" t="str">
        <f>IF(F258&lt;&gt;0,IF(_xlfn.MAXIFS($I$1:I258,$F$1:F258,F258,$H$1:H258,"&gt;"&amp;0)=0,"KM NÃO ENCONTRADO",IF(H258=0,CONCATENATE("SUGESTÃO DE KM PARA PLACA ",F258," *",_xlfn.MAXIFS($I$1:I258,$F$1:F258,F258,$H$1:H258,"&gt;"&amp;0),"*"),"")),"")</f>
        <v/>
      </c>
      <c r="AM258" s="85" t="str" cm="1">
        <f t="array" ref="AM258">IFERROR(IF(M258&lt;&gt;"","",CONCATENATE("https://btx.brasiltrack.com/logistica/trajeto.php?idveiculo=",VLOOKUP(F258,DATAS!$A$221:$B$250,2,FALSE),"&amp;lat=-22.204247","&amp;data_ini=",TEXT(IF(E258&lt;&gt;"",IF(COUNTIF($F$2:$F258,F258)&gt;1,MAX(IF($F$1:$F257=F258,$E$1:$E257)),""),""),"DD/MM/AAAA"),"&amp;data_fim=",TEXT(E258,"DD/MM/AAAA"),"&amp;hora_inicial=",HOUR(IF(E258&lt;&gt;"",IF(COUNTIF($F$2:$F258,F258)&gt;1,MAX(IF($F$1:$F257=F258,$E$1:$E257)),""),"")),"&amp;minuto_inicial=",MINUTE(IF(E258&lt;&gt;"",IF(COUNTIF($F$2:$F258,F258)&gt;1,MAX(IF($F$1:$F257=F258,$E$1:$E257)),""),"")),"&amp;hora_final=",HOUR(E258),"&amp;minuto_final=",MINUTE(E258),"&amp;periodo=6&amp;tipo=por_data&amp;upos=false&amp;outequip=0")),"")</f>
        <v/>
      </c>
      <c r="AN258" s="100" t="str">
        <f t="shared" si="23"/>
        <v xml:space="preserve">ABASTECEU no CANDEIAS-MG DESCARREGOU em VARGINHA-MG PASSOU em SÃO PAULO-SP CARREGOU em SANTOS-SP PASSOU em ARUJÁ-SP ABASTECEU no 22 NORTE    </v>
      </c>
    </row>
    <row r="259" spans="1:40" x14ac:dyDescent="0.25">
      <c r="A259" s="101">
        <f>IFERROR(VLOOKUP(AN259,ROTAS!$A:$B,2,FALSE),0)</f>
        <v>40</v>
      </c>
      <c r="B259" s="101">
        <f t="shared" si="24"/>
        <v>3</v>
      </c>
      <c r="C259" s="101">
        <f t="shared" si="25"/>
        <v>770</v>
      </c>
      <c r="D259" s="144">
        <v>44896</v>
      </c>
      <c r="E259" s="76">
        <v>44903.524305555555</v>
      </c>
      <c r="F259" s="6" t="s">
        <v>124</v>
      </c>
      <c r="G259" s="5" t="str">
        <f>IFERROR(VLOOKUP(SUMIFS(MSOLICITADA!$I:$I,MSOLICITADA!$B:$B,D259,MSOLICITADA!$F:$F,F259),CODIGOSPLACAS!$A$64:$B$89,2,FALSE),"")</f>
        <v>ISRAEL</v>
      </c>
      <c r="H259" s="77">
        <v>134005</v>
      </c>
      <c r="I259" s="77">
        <v>134825</v>
      </c>
      <c r="J259" s="7">
        <v>583.11</v>
      </c>
      <c r="K259" s="78">
        <v>4192.5600000000004</v>
      </c>
      <c r="L259" s="79" t="s">
        <v>111</v>
      </c>
      <c r="M259" s="6">
        <v>720</v>
      </c>
      <c r="N259" s="5">
        <f t="shared" ref="N259:N322" si="28">IF(IF((I259-H259-M259)&lt;0,"ERRO",I259-H259-M259)=0,"",IF((I259-H259-M259)&lt;0,"ERRO",I259-H259-M259))</f>
        <v>100</v>
      </c>
      <c r="O259" s="80">
        <f t="shared" ref="O259:O322" si="29">IFERROR(K259/J259,"")</f>
        <v>7.1899984565519377</v>
      </c>
      <c r="P259" s="8">
        <f t="shared" ref="P259:P322" si="30">IF(F259&lt;&gt;"",(SUM(M259:N259)-AK259)/(J259-(AK259/5)),0)</f>
        <v>1.4062526795973316</v>
      </c>
      <c r="Q259" s="8">
        <f t="shared" si="26"/>
        <v>1.6396894062131062</v>
      </c>
      <c r="R259" s="81">
        <f t="shared" ref="R259:R322" si="31">IFERROR(IF(M259/(I259-H259)=0,0,M259/(I259-H259)),0)</f>
        <v>0.87804878048780488</v>
      </c>
      <c r="S259" s="113" t="str">
        <f>IF(F259="","",IF(H259="",TEXT(_xlfn.MAXIFS($I$1:I259,$F$1:F259,F259,$H$1:H259,"&gt;"&amp;0),"000.000"),F259))</f>
        <v>GHH9B64</v>
      </c>
      <c r="T259" s="101">
        <f t="shared" si="27"/>
        <v>100</v>
      </c>
      <c r="U259" s="82" t="s">
        <v>220</v>
      </c>
      <c r="V259" s="98" t="s">
        <v>165</v>
      </c>
      <c r="W259" s="82" t="s">
        <v>222</v>
      </c>
      <c r="X259" s="98" t="s">
        <v>167</v>
      </c>
      <c r="Y259" s="82" t="s">
        <v>221</v>
      </c>
      <c r="Z259" s="98" t="s">
        <v>176</v>
      </c>
      <c r="AA259" s="82" t="s">
        <v>222</v>
      </c>
      <c r="AB259" s="98" t="s">
        <v>170</v>
      </c>
      <c r="AC259" s="117" t="s">
        <v>220</v>
      </c>
      <c r="AD259" s="98" t="s">
        <v>226</v>
      </c>
      <c r="AE259" s="117"/>
      <c r="AF259" s="98"/>
      <c r="AG259" s="82"/>
      <c r="AH259" s="98"/>
      <c r="AI259" s="82"/>
      <c r="AJ259" s="98"/>
      <c r="AK259" s="83"/>
      <c r="AL259" s="84" t="str">
        <f>IF(F259&lt;&gt;0,IF(_xlfn.MAXIFS($I$1:I259,$F$1:F259,F259,$H$1:H259,"&gt;"&amp;0)=0,"KM NÃO ENCONTRADO",IF(H259=0,CONCATENATE("SUGESTÃO DE KM PARA PLACA ",F259," *",_xlfn.MAXIFS($I$1:I259,$F$1:F259,F259,$H$1:H259,"&gt;"&amp;0),"*"),"")),"")</f>
        <v/>
      </c>
      <c r="AM259" s="85" t="str" cm="1">
        <f t="array" ref="AM259">IFERROR(IF(M259&lt;&gt;"","",CONCATENATE("https://btx.brasiltrack.com/logistica/trajeto.php?idveiculo=",VLOOKUP(F259,DATAS!$A$221:$B$250,2,FALSE),"&amp;lat=-22.204247","&amp;data_ini=",TEXT(IF(E259&lt;&gt;"",IF(COUNTIF($F$2:$F259,F259)&gt;1,MAX(IF($F$1:$F258=F259,$E$1:$E258)),""),""),"DD/MM/AAAA"),"&amp;data_fim=",TEXT(E259,"DD/MM/AAAA"),"&amp;hora_inicial=",HOUR(IF(E259&lt;&gt;"",IF(COUNTIF($F$2:$F259,F259)&gt;1,MAX(IF($F$1:$F258=F259,$E$1:$E258)),""),"")),"&amp;minuto_inicial=",MINUTE(IF(E259&lt;&gt;"",IF(COUNTIF($F$2:$F259,F259)&gt;1,MAX(IF($F$1:$F258=F259,$E$1:$E258)),""),"")),"&amp;hora_final=",HOUR(E259),"&amp;minuto_final=",MINUTE(E259),"&amp;periodo=6&amp;tipo=por_data&amp;upos=false&amp;outequip=0")),"")</f>
        <v/>
      </c>
      <c r="AN259" s="100" t="str">
        <f t="shared" ref="AN259:AN322" si="32">CONCATENATE(U259," ",V259," ",W259," ",X259," ",Y259," ",Z259," ",AA259," ",AB259," ",AC259," ",AD259," ",AE259," ",AF259," ",AG259," ",AH259," ",AI259," ",AJ259)</f>
        <v xml:space="preserve">ABASTECEU no 22 NORTE DESCARREGOU em VARGINHA-MG CARREGOU em ALFENAS-MG DESCARREGOU em UBERABA-MG ABASTECEU no PRODOESTE UBA      </v>
      </c>
    </row>
    <row r="260" spans="1:40" x14ac:dyDescent="0.25">
      <c r="A260" s="101">
        <f>IFERROR(VLOOKUP(AN260,ROTAS!$A:$B,2,FALSE),0)</f>
        <v>40</v>
      </c>
      <c r="B260" s="101">
        <f t="shared" si="24"/>
        <v>3</v>
      </c>
      <c r="C260" s="101">
        <f t="shared" si="25"/>
        <v>770</v>
      </c>
      <c r="D260" s="144">
        <v>44896</v>
      </c>
      <c r="E260" s="76">
        <v>44903.525694444441</v>
      </c>
      <c r="F260" s="6" t="s">
        <v>26</v>
      </c>
      <c r="G260" s="5" t="str">
        <f>IFERROR(VLOOKUP(SUMIFS(MSOLICITADA!$I:$I,MSOLICITADA!$B:$B,D260,MSOLICITADA!$F:$F,F260),CODIGOSPLACAS!$A$64:$B$89,2,FALSE),"")</f>
        <v>DIEGO</v>
      </c>
      <c r="H260" s="77">
        <v>397011</v>
      </c>
      <c r="I260" s="77">
        <v>397764</v>
      </c>
      <c r="J260" s="7">
        <v>625</v>
      </c>
      <c r="K260" s="78">
        <v>4493.75</v>
      </c>
      <c r="L260" s="79" t="s">
        <v>111</v>
      </c>
      <c r="M260" s="6">
        <v>653</v>
      </c>
      <c r="N260" s="5">
        <f t="shared" si="28"/>
        <v>100</v>
      </c>
      <c r="O260" s="80">
        <f t="shared" si="29"/>
        <v>7.19</v>
      </c>
      <c r="P260" s="8">
        <f t="shared" si="30"/>
        <v>1.2048000000000001</v>
      </c>
      <c r="Q260" s="8">
        <f t="shared" si="26"/>
        <v>1.42982167893118</v>
      </c>
      <c r="R260" s="81">
        <f t="shared" si="31"/>
        <v>0.86719787516600266</v>
      </c>
      <c r="S260" s="113" t="str">
        <f>IF(F260="","",IF(H260="",TEXT(_xlfn.MAXIFS($I$1:I260,$F$1:F260,F260,$H$1:H260,"&gt;"&amp;0),"000.000"),F260))</f>
        <v>BZA3587</v>
      </c>
      <c r="T260" s="101">
        <f t="shared" si="27"/>
        <v>100</v>
      </c>
      <c r="U260" s="82" t="s">
        <v>220</v>
      </c>
      <c r="V260" s="98" t="s">
        <v>165</v>
      </c>
      <c r="W260" s="82" t="s">
        <v>222</v>
      </c>
      <c r="X260" s="98" t="s">
        <v>167</v>
      </c>
      <c r="Y260" s="82" t="s">
        <v>221</v>
      </c>
      <c r="Z260" s="98" t="s">
        <v>176</v>
      </c>
      <c r="AA260" s="82" t="s">
        <v>222</v>
      </c>
      <c r="AB260" s="98" t="s">
        <v>170</v>
      </c>
      <c r="AC260" s="117" t="s">
        <v>220</v>
      </c>
      <c r="AD260" s="98" t="s">
        <v>226</v>
      </c>
      <c r="AE260" s="117"/>
      <c r="AF260" s="98"/>
      <c r="AG260" s="82"/>
      <c r="AH260" s="98"/>
      <c r="AI260" s="82"/>
      <c r="AJ260" s="98"/>
      <c r="AK260" s="83"/>
      <c r="AL260" s="84" t="str">
        <f>IF(F260&lt;&gt;0,IF(_xlfn.MAXIFS($I$1:I260,$F$1:F260,F260,$H$1:H260,"&gt;"&amp;0)=0,"KM NÃO ENCONTRADO",IF(H260=0,CONCATENATE("SUGESTÃO DE KM PARA PLACA ",F260," *",_xlfn.MAXIFS($I$1:I260,$F$1:F260,F260,$H$1:H260,"&gt;"&amp;0),"*"),"")),"")</f>
        <v/>
      </c>
      <c r="AM260" s="85" t="str" cm="1">
        <f t="array" ref="AM260">IFERROR(IF(M260&lt;&gt;"","",CONCATENATE("https://btx.brasiltrack.com/logistica/trajeto.php?idveiculo=",VLOOKUP(F260,DATAS!$A$221:$B$250,2,FALSE),"&amp;lat=-22.204247","&amp;data_ini=",TEXT(IF(E260&lt;&gt;"",IF(COUNTIF($F$2:$F260,F260)&gt;1,MAX(IF($F$1:$F259=F260,$E$1:$E259)),""),""),"DD/MM/AAAA"),"&amp;data_fim=",TEXT(E260,"DD/MM/AAAA"),"&amp;hora_inicial=",HOUR(IF(E260&lt;&gt;"",IF(COUNTIF($F$2:$F260,F260)&gt;1,MAX(IF($F$1:$F259=F260,$E$1:$E259)),""),"")),"&amp;minuto_inicial=",MINUTE(IF(E260&lt;&gt;"",IF(COUNTIF($F$2:$F260,F260)&gt;1,MAX(IF($F$1:$F259=F260,$E$1:$E259)),""),"")),"&amp;hora_final=",HOUR(E260),"&amp;minuto_final=",MINUTE(E260),"&amp;periodo=6&amp;tipo=por_data&amp;upos=false&amp;outequip=0")),"")</f>
        <v/>
      </c>
      <c r="AN260" s="100" t="str">
        <f t="shared" si="32"/>
        <v xml:space="preserve">ABASTECEU no 22 NORTE DESCARREGOU em VARGINHA-MG CARREGOU em ALFENAS-MG DESCARREGOU em UBERABA-MG ABASTECEU no PRODOESTE UBA      </v>
      </c>
    </row>
    <row r="261" spans="1:40" x14ac:dyDescent="0.25">
      <c r="A261" s="101">
        <f>IFERROR(VLOOKUP(AN261,ROTAS!$A:$B,2,FALSE),0)</f>
        <v>40</v>
      </c>
      <c r="B261" s="101">
        <f t="shared" si="24"/>
        <v>3</v>
      </c>
      <c r="C261" s="101">
        <f t="shared" si="25"/>
        <v>770</v>
      </c>
      <c r="D261" s="144">
        <v>44896</v>
      </c>
      <c r="E261" s="76">
        <v>44903.531944444447</v>
      </c>
      <c r="F261" s="6" t="s">
        <v>29</v>
      </c>
      <c r="G261" s="5" t="str">
        <f>IFERROR(VLOOKUP(SUMIFS(MSOLICITADA!$I:$I,MSOLICITADA!$B:$B,D261,MSOLICITADA!$F:$F,F261),CODIGOSPLACAS!$A$64:$B$89,2,FALSE),"")</f>
        <v>EDNILSON</v>
      </c>
      <c r="H261" s="77">
        <v>233071</v>
      </c>
      <c r="I261" s="77">
        <v>233808</v>
      </c>
      <c r="J261" s="7">
        <v>574</v>
      </c>
      <c r="K261" s="78">
        <v>4127.28</v>
      </c>
      <c r="L261" s="79" t="s">
        <v>111</v>
      </c>
      <c r="M261" s="6">
        <v>637</v>
      </c>
      <c r="N261" s="5">
        <f t="shared" si="28"/>
        <v>100</v>
      </c>
      <c r="O261" s="80">
        <f t="shared" si="29"/>
        <v>7.1903832752613237</v>
      </c>
      <c r="P261" s="8">
        <f t="shared" si="30"/>
        <v>1.2839721254355401</v>
      </c>
      <c r="Q261" s="8">
        <f t="shared" si="26"/>
        <v>1.5750677554084309</v>
      </c>
      <c r="R261" s="81">
        <f t="shared" si="31"/>
        <v>0.86431478968792397</v>
      </c>
      <c r="S261" s="113" t="str">
        <f>IF(F261="","",IF(H261="",TEXT(_xlfn.MAXIFS($I$1:I261,$F$1:F261,F261,$H$1:H261,"&gt;"&amp;0),"000.000"),F261))</f>
        <v>GKA2J56</v>
      </c>
      <c r="T261" s="101">
        <f t="shared" si="27"/>
        <v>100</v>
      </c>
      <c r="U261" s="82" t="s">
        <v>220</v>
      </c>
      <c r="V261" s="98" t="s">
        <v>165</v>
      </c>
      <c r="W261" s="82" t="s">
        <v>222</v>
      </c>
      <c r="X261" s="98" t="s">
        <v>167</v>
      </c>
      <c r="Y261" s="82" t="s">
        <v>221</v>
      </c>
      <c r="Z261" s="98" t="s">
        <v>176</v>
      </c>
      <c r="AA261" s="82" t="s">
        <v>222</v>
      </c>
      <c r="AB261" s="98" t="s">
        <v>170</v>
      </c>
      <c r="AC261" s="117" t="s">
        <v>220</v>
      </c>
      <c r="AD261" s="98" t="s">
        <v>226</v>
      </c>
      <c r="AE261" s="117"/>
      <c r="AF261" s="98"/>
      <c r="AG261" s="82"/>
      <c r="AH261" s="98"/>
      <c r="AI261" s="82"/>
      <c r="AJ261" s="98"/>
      <c r="AK261" s="83"/>
      <c r="AL261" s="84" t="str">
        <f>IF(F261&lt;&gt;0,IF(_xlfn.MAXIFS($I$1:I261,$F$1:F261,F261,$H$1:H261,"&gt;"&amp;0)=0,"KM NÃO ENCONTRADO",IF(H261=0,CONCATENATE("SUGESTÃO DE KM PARA PLACA ",F261," *",_xlfn.MAXIFS($I$1:I261,$F$1:F261,F261,$H$1:H261,"&gt;"&amp;0),"*"),"")),"")</f>
        <v/>
      </c>
      <c r="AM261" s="85" t="str" cm="1">
        <f t="array" ref="AM261">IFERROR(IF(M261&lt;&gt;"","",CONCATENATE("https://btx.brasiltrack.com/logistica/trajeto.php?idveiculo=",VLOOKUP(F261,DATAS!$A$221:$B$250,2,FALSE),"&amp;lat=-22.204247","&amp;data_ini=",TEXT(IF(E261&lt;&gt;"",IF(COUNTIF($F$2:$F261,F261)&gt;1,MAX(IF($F$1:$F260=F261,$E$1:$E260)),""),""),"DD/MM/AAAA"),"&amp;data_fim=",TEXT(E261,"DD/MM/AAAA"),"&amp;hora_inicial=",HOUR(IF(E261&lt;&gt;"",IF(COUNTIF($F$2:$F261,F261)&gt;1,MAX(IF($F$1:$F260=F261,$E$1:$E260)),""),"")),"&amp;minuto_inicial=",MINUTE(IF(E261&lt;&gt;"",IF(COUNTIF($F$2:$F261,F261)&gt;1,MAX(IF($F$1:$F260=F261,$E$1:$E260)),""),"")),"&amp;hora_final=",HOUR(E261),"&amp;minuto_final=",MINUTE(E261),"&amp;periodo=6&amp;tipo=por_data&amp;upos=false&amp;outequip=0")),"")</f>
        <v/>
      </c>
      <c r="AN261" s="100" t="str">
        <f t="shared" si="32"/>
        <v xml:space="preserve">ABASTECEU no 22 NORTE DESCARREGOU em VARGINHA-MG CARREGOU em ALFENAS-MG DESCARREGOU em UBERABA-MG ABASTECEU no PRODOESTE UBA      </v>
      </c>
    </row>
    <row r="262" spans="1:40" x14ac:dyDescent="0.25">
      <c r="A262" s="101">
        <f>IFERROR(VLOOKUP(AN262,ROTAS!$A:$B,2,FALSE),0)</f>
        <v>41</v>
      </c>
      <c r="B262" s="101">
        <f t="shared" si="24"/>
        <v>1</v>
      </c>
      <c r="C262" s="101">
        <f t="shared" si="25"/>
        <v>732</v>
      </c>
      <c r="D262" s="144">
        <v>44896</v>
      </c>
      <c r="E262" s="76">
        <v>44903.565972222219</v>
      </c>
      <c r="F262" s="6" t="s">
        <v>27</v>
      </c>
      <c r="G262" s="5" t="str">
        <f>IFERROR(VLOOKUP(SUMIFS(MSOLICITADA!$I:$I,MSOLICITADA!$B:$B,D262,MSOLICITADA!$F:$F,F262),CODIGOSPLACAS!$A$64:$B$89,2,FALSE),"")</f>
        <v>ANTONIO</v>
      </c>
      <c r="H262" s="77">
        <v>243431</v>
      </c>
      <c r="I262" s="77">
        <v>244163</v>
      </c>
      <c r="J262" s="7">
        <v>540</v>
      </c>
      <c r="K262" s="78">
        <v>3450.6</v>
      </c>
      <c r="L262" s="79" t="s">
        <v>111</v>
      </c>
      <c r="M262" s="6">
        <v>284</v>
      </c>
      <c r="N262" s="5">
        <f t="shared" si="28"/>
        <v>448</v>
      </c>
      <c r="O262" s="80">
        <f t="shared" si="29"/>
        <v>6.39</v>
      </c>
      <c r="P262" s="8">
        <f t="shared" si="30"/>
        <v>1.3555555555555556</v>
      </c>
      <c r="Q262" s="8">
        <f t="shared" si="26"/>
        <v>1.4435398773633086</v>
      </c>
      <c r="R262" s="81">
        <f t="shared" si="31"/>
        <v>0.38797814207650272</v>
      </c>
      <c r="S262" s="113" t="str">
        <f>IF(F262="","",IF(H262="",TEXT(_xlfn.MAXIFS($I$1:I262,$F$1:F262,F262,$H$1:H262,"&gt;"&amp;0),"000.000"),F262))</f>
        <v>GHS4J57</v>
      </c>
      <c r="T262" s="101">
        <f t="shared" si="27"/>
        <v>448</v>
      </c>
      <c r="U262" s="82" t="s">
        <v>220</v>
      </c>
      <c r="V262" s="98" t="s">
        <v>206</v>
      </c>
      <c r="W262" s="82" t="s">
        <v>222</v>
      </c>
      <c r="X262" s="98" t="s">
        <v>167</v>
      </c>
      <c r="Y262" s="82" t="s">
        <v>225</v>
      </c>
      <c r="Z262" s="98" t="s">
        <v>237</v>
      </c>
      <c r="AA262" s="82" t="s">
        <v>221</v>
      </c>
      <c r="AB262" s="98" t="s">
        <v>175</v>
      </c>
      <c r="AC262" s="82" t="s">
        <v>225</v>
      </c>
      <c r="AD262" s="98" t="s">
        <v>284</v>
      </c>
      <c r="AE262" s="117" t="s">
        <v>220</v>
      </c>
      <c r="AF262" s="98" t="s">
        <v>165</v>
      </c>
      <c r="AG262" s="82"/>
      <c r="AH262" s="98"/>
      <c r="AI262" s="82"/>
      <c r="AJ262" s="98"/>
      <c r="AK262" s="83"/>
      <c r="AL262" s="84" t="str">
        <f>IF(F262&lt;&gt;0,IF(_xlfn.MAXIFS($I$1:I262,$F$1:F262,F262,$H$1:H262,"&gt;"&amp;0)=0,"KM NÃO ENCONTRADO",IF(H262=0,CONCATENATE("SUGESTÃO DE KM PARA PLACA ",F262," *",_xlfn.MAXIFS($I$1:I262,$F$1:F262,F262,$H$1:H262,"&gt;"&amp;0),"*"),"")),"")</f>
        <v/>
      </c>
      <c r="AM262" s="85" t="str" cm="1">
        <f t="array" ref="AM262">IFERROR(IF(M262&lt;&gt;"","",CONCATENATE("https://btx.brasiltrack.com/logistica/trajeto.php?idveiculo=",VLOOKUP(F262,DATAS!$A$221:$B$250,2,FALSE),"&amp;lat=-22.204247","&amp;data_ini=",TEXT(IF(E262&lt;&gt;"",IF(COUNTIF($F$2:$F262,F262)&gt;1,MAX(IF($F$1:$F261=F262,$E$1:$E261)),""),""),"DD/MM/AAAA"),"&amp;data_fim=",TEXT(E262,"DD/MM/AAAA"),"&amp;hora_inicial=",HOUR(IF(E262&lt;&gt;"",IF(COUNTIF($F$2:$F262,F262)&gt;1,MAX(IF($F$1:$F261=F262,$E$1:$E261)),""),"")),"&amp;minuto_inicial=",MINUTE(IF(E262&lt;&gt;"",IF(COUNTIF($F$2:$F262,F262)&gt;1,MAX(IF($F$1:$F261=F262,$E$1:$E261)),""),"")),"&amp;hora_final=",HOUR(E262),"&amp;minuto_final=",MINUTE(E262),"&amp;periodo=6&amp;tipo=por_data&amp;upos=false&amp;outequip=0")),"")</f>
        <v/>
      </c>
      <c r="AN262" s="100" t="str">
        <f t="shared" si="32"/>
        <v xml:space="preserve">ABASTECEU no CANDEIAS-MG DESCARREGOU em VARGINHA-MG PASSOU em ARUJÁ-SP CARREGOU em SANTOS-SP PASSOU em SÃO PAULO-SP ABASTECEU no 22 NORTE    </v>
      </c>
    </row>
    <row r="263" spans="1:40" x14ac:dyDescent="0.25">
      <c r="A263" s="101">
        <f>IFERROR(VLOOKUP(AN263,ROTAS!$A:$B,2,FALSE),0)</f>
        <v>42</v>
      </c>
      <c r="B263" s="101">
        <f t="shared" si="24"/>
        <v>2</v>
      </c>
      <c r="C263" s="101">
        <f t="shared" si="25"/>
        <v>633</v>
      </c>
      <c r="D263" s="144">
        <v>44896</v>
      </c>
      <c r="E263" s="76">
        <v>44903.581250000003</v>
      </c>
      <c r="F263" s="6" t="s">
        <v>31</v>
      </c>
      <c r="G263" s="5" t="str">
        <f>IFERROR(VLOOKUP(SUMIFS(MSOLICITADA!$I:$I,MSOLICITADA!$B:$B,D263,MSOLICITADA!$F:$F,F263),CODIGOSPLACAS!$A$64:$B$89,2,FALSE),"")</f>
        <v>CELIO</v>
      </c>
      <c r="H263" s="77">
        <v>208119</v>
      </c>
      <c r="I263" s="77">
        <v>208755</v>
      </c>
      <c r="J263" s="7">
        <v>471</v>
      </c>
      <c r="K263" s="78">
        <v>3386.49</v>
      </c>
      <c r="L263" s="79" t="s">
        <v>111</v>
      </c>
      <c r="M263" s="6">
        <v>536</v>
      </c>
      <c r="N263" s="5">
        <f t="shared" si="28"/>
        <v>100</v>
      </c>
      <c r="O263" s="80">
        <f t="shared" si="29"/>
        <v>7.1899999999999995</v>
      </c>
      <c r="P263" s="8">
        <f t="shared" si="30"/>
        <v>1.3503184713375795</v>
      </c>
      <c r="Q263" s="8">
        <f t="shared" si="26"/>
        <v>1.4905351021016544</v>
      </c>
      <c r="R263" s="81">
        <f t="shared" si="31"/>
        <v>0.84276729559748431</v>
      </c>
      <c r="S263" s="113" t="str">
        <f>IF(F263="","",IF(H263="",TEXT(_xlfn.MAXIFS($I$1:I263,$F$1:F263,F263,$H$1:H263,"&gt;"&amp;0),"000.000"),F263))</f>
        <v>GGZ3G38</v>
      </c>
      <c r="T263" s="101">
        <f t="shared" si="27"/>
        <v>100</v>
      </c>
      <c r="U263" s="82" t="s">
        <v>220</v>
      </c>
      <c r="V263" s="98" t="s">
        <v>206</v>
      </c>
      <c r="W263" s="82" t="s">
        <v>222</v>
      </c>
      <c r="X263" s="98" t="s">
        <v>167</v>
      </c>
      <c r="Y263" s="82" t="s">
        <v>221</v>
      </c>
      <c r="Z263" s="98" t="s">
        <v>176</v>
      </c>
      <c r="AA263" s="82" t="s">
        <v>222</v>
      </c>
      <c r="AB263" s="98" t="s">
        <v>170</v>
      </c>
      <c r="AC263" s="117" t="s">
        <v>220</v>
      </c>
      <c r="AD263" s="98" t="s">
        <v>226</v>
      </c>
      <c r="AE263" s="117"/>
      <c r="AF263" s="98"/>
      <c r="AG263" s="82"/>
      <c r="AH263" s="98"/>
      <c r="AI263" s="82"/>
      <c r="AJ263" s="98"/>
      <c r="AK263" s="83"/>
      <c r="AL263" s="84" t="str">
        <f>IF(F263&lt;&gt;0,IF(_xlfn.MAXIFS($I$1:I263,$F$1:F263,F263,$H$1:H263,"&gt;"&amp;0)=0,"KM NÃO ENCONTRADO",IF(H263=0,CONCATENATE("SUGESTÃO DE KM PARA PLACA ",F263," *",_xlfn.MAXIFS($I$1:I263,$F$1:F263,F263,$H$1:H263,"&gt;"&amp;0),"*"),"")),"")</f>
        <v/>
      </c>
      <c r="AM263" s="85" t="str" cm="1">
        <f t="array" ref="AM263">IFERROR(IF(M263&lt;&gt;"","",CONCATENATE("https://btx.brasiltrack.com/logistica/trajeto.php?idveiculo=",VLOOKUP(F263,DATAS!$A$221:$B$250,2,FALSE),"&amp;lat=-22.204247","&amp;data_ini=",TEXT(IF(E263&lt;&gt;"",IF(COUNTIF($F$2:$F263,F263)&gt;1,MAX(IF($F$1:$F262=F263,$E$1:$E262)),""),""),"DD/MM/AAAA"),"&amp;data_fim=",TEXT(E263,"DD/MM/AAAA"),"&amp;hora_inicial=",HOUR(IF(E263&lt;&gt;"",IF(COUNTIF($F$2:$F263,F263)&gt;1,MAX(IF($F$1:$F262=F263,$E$1:$E262)),""),"")),"&amp;minuto_inicial=",MINUTE(IF(E263&lt;&gt;"",IF(COUNTIF($F$2:$F263,F263)&gt;1,MAX(IF($F$1:$F262=F263,$E$1:$E262)),""),"")),"&amp;hora_final=",HOUR(E263),"&amp;minuto_final=",MINUTE(E263),"&amp;periodo=6&amp;tipo=por_data&amp;upos=false&amp;outequip=0")),"")</f>
        <v/>
      </c>
      <c r="AN263" s="100" t="str">
        <f t="shared" si="32"/>
        <v xml:space="preserve">ABASTECEU no CANDEIAS-MG DESCARREGOU em VARGINHA-MG CARREGOU em ALFENAS-MG DESCARREGOU em UBERABA-MG ABASTECEU no PRODOESTE UBA      </v>
      </c>
    </row>
    <row r="264" spans="1:40" x14ac:dyDescent="0.25">
      <c r="A264" s="101">
        <f>IFERROR(VLOOKUP(AN264,ROTAS!$A:$B,2,FALSE),0)</f>
        <v>43</v>
      </c>
      <c r="B264" s="101">
        <f t="shared" si="24"/>
        <v>1</v>
      </c>
      <c r="C264" s="101">
        <f t="shared" si="25"/>
        <v>583</v>
      </c>
      <c r="D264" s="144">
        <v>44896</v>
      </c>
      <c r="E264" s="76">
        <v>44903.678472222222</v>
      </c>
      <c r="F264" s="6" t="s">
        <v>24</v>
      </c>
      <c r="G264" s="5" t="str">
        <f>IFERROR(VLOOKUP(SUMIFS(MSOLICITADA!$I:$I,MSOLICITADA!$B:$B,D264,MSOLICITADA!$F:$F,F264),CODIGOSPLACAS!$A$64:$B$89,2,FALSE),"")</f>
        <v>PAULO HENR.</v>
      </c>
      <c r="H264" s="77">
        <v>944967</v>
      </c>
      <c r="I264" s="77">
        <v>945550</v>
      </c>
      <c r="J264" s="7">
        <v>446.00099999999998</v>
      </c>
      <c r="K264" s="78">
        <v>2849.94</v>
      </c>
      <c r="L264" s="79" t="s">
        <v>111</v>
      </c>
      <c r="M264" s="6">
        <v>583</v>
      </c>
      <c r="N264" s="5" t="str">
        <f t="shared" si="28"/>
        <v/>
      </c>
      <c r="O264" s="80">
        <f t="shared" si="29"/>
        <v>6.3899856726778648</v>
      </c>
      <c r="P264" s="8">
        <f t="shared" si="30"/>
        <v>1.3071719570135494</v>
      </c>
      <c r="Q264" s="8">
        <f t="shared" si="26"/>
        <v>1.5280797985385988</v>
      </c>
      <c r="R264" s="81">
        <f t="shared" si="31"/>
        <v>1</v>
      </c>
      <c r="S264" s="113" t="str">
        <f>IF(F264="","",IF(H264="",TEXT(_xlfn.MAXIFS($I$1:I264,$F$1:F264,F264,$H$1:H264,"&gt;"&amp;0),"000.000"),F264))</f>
        <v>FKS0J24</v>
      </c>
      <c r="T264" s="101" t="str">
        <f t="shared" si="27"/>
        <v/>
      </c>
      <c r="U264" s="82" t="s">
        <v>220</v>
      </c>
      <c r="V264" s="98" t="s">
        <v>227</v>
      </c>
      <c r="W264" s="82" t="s">
        <v>225</v>
      </c>
      <c r="X264" s="98" t="s">
        <v>284</v>
      </c>
      <c r="Y264" s="82" t="s">
        <v>222</v>
      </c>
      <c r="Z264" s="98" t="s">
        <v>175</v>
      </c>
      <c r="AA264" s="82" t="s">
        <v>221</v>
      </c>
      <c r="AB264" s="98" t="s">
        <v>175</v>
      </c>
      <c r="AC264" s="82" t="s">
        <v>225</v>
      </c>
      <c r="AD264" s="98" t="s">
        <v>284</v>
      </c>
      <c r="AE264" s="117" t="s">
        <v>220</v>
      </c>
      <c r="AF264" s="98" t="s">
        <v>165</v>
      </c>
      <c r="AG264" s="82"/>
      <c r="AH264" s="98"/>
      <c r="AI264" s="82"/>
      <c r="AJ264" s="98"/>
      <c r="AK264" s="83"/>
      <c r="AL264" s="84" t="str">
        <f>IF(F264&lt;&gt;0,IF(_xlfn.MAXIFS($I$1:I264,$F$1:F264,F264,$H$1:H264,"&gt;"&amp;0)=0,"KM NÃO ENCONTRADO",IF(H264=0,CONCATENATE("SUGESTÃO DE KM PARA PLACA ",F264," *",_xlfn.MAXIFS($I$1:I264,$F$1:F264,F264,$H$1:H264,"&gt;"&amp;0),"*"),"")),"")</f>
        <v/>
      </c>
      <c r="AM264" s="85" t="str" cm="1">
        <f t="array" ref="AM264">IFERROR(IF(M264&lt;&gt;"","",CONCATENATE("https://btx.brasiltrack.com/logistica/trajeto.php?idveiculo=",VLOOKUP(F264,DATAS!$A$221:$B$250,2,FALSE),"&amp;lat=-22.204247","&amp;data_ini=",TEXT(IF(E264&lt;&gt;"",IF(COUNTIF($F$2:$F264,F264)&gt;1,MAX(IF($F$1:$F263=F264,$E$1:$E263)),""),""),"DD/MM/AAAA"),"&amp;data_fim=",TEXT(E264,"DD/MM/AAAA"),"&amp;hora_inicial=",HOUR(IF(E264&lt;&gt;"",IF(COUNTIF($F$2:$F264,F264)&gt;1,MAX(IF($F$1:$F263=F264,$E$1:$E263)),""),"")),"&amp;minuto_inicial=",MINUTE(IF(E264&lt;&gt;"",IF(COUNTIF($F$2:$F264,F264)&gt;1,MAX(IF($F$1:$F263=F264,$E$1:$E263)),""),"")),"&amp;hora_final=",HOUR(E264),"&amp;minuto_final=",MINUTE(E264),"&amp;periodo=6&amp;tipo=por_data&amp;upos=false&amp;outequip=0")),"")</f>
        <v/>
      </c>
      <c r="AN264" s="100" t="str">
        <f t="shared" si="32"/>
        <v xml:space="preserve">ABASTECEU no PICA PAU NORTE PASSOU em SÃO PAULO-SP DESCARREGOU em SANTOS-SP CARREGOU em SANTOS-SP PASSOU em SÃO PAULO-SP ABASTECEU no 22 NORTE    </v>
      </c>
    </row>
    <row r="265" spans="1:40" x14ac:dyDescent="0.25">
      <c r="A265" s="101">
        <f>IFERROR(VLOOKUP(AN265,ROTAS!$A:$B,2,FALSE),0)</f>
        <v>44</v>
      </c>
      <c r="B265" s="101">
        <f t="shared" si="24"/>
        <v>1</v>
      </c>
      <c r="C265" s="101">
        <f t="shared" si="25"/>
        <v>857</v>
      </c>
      <c r="D265" s="144">
        <v>44896</v>
      </c>
      <c r="E265" s="76">
        <v>44903.705555555556</v>
      </c>
      <c r="F265" s="6" t="s">
        <v>128</v>
      </c>
      <c r="G265" s="5" t="str">
        <f>IFERROR(VLOOKUP(SUMIFS(MSOLICITADA!$I:$I,MSOLICITADA!$B:$B,D265,MSOLICITADA!$F:$F,F265),CODIGOSPLACAS!$A$64:$B$89,2,FALSE),"")</f>
        <v>ELI RICARDO</v>
      </c>
      <c r="H265" s="77">
        <v>87443</v>
      </c>
      <c r="I265" s="77">
        <v>88300</v>
      </c>
      <c r="J265" s="7">
        <v>620</v>
      </c>
      <c r="K265" s="78">
        <v>3961.8</v>
      </c>
      <c r="L265" s="79" t="s">
        <v>111</v>
      </c>
      <c r="M265" s="6">
        <v>857</v>
      </c>
      <c r="N265" s="5" t="str">
        <f t="shared" si="28"/>
        <v/>
      </c>
      <c r="O265" s="80">
        <f t="shared" si="29"/>
        <v>6.3900000000000006</v>
      </c>
      <c r="P265" s="8">
        <f t="shared" si="30"/>
        <v>1.3822580645161291</v>
      </c>
      <c r="Q265" s="8">
        <f t="shared" si="26"/>
        <v>1.703484050067618</v>
      </c>
      <c r="R265" s="81">
        <f t="shared" si="31"/>
        <v>1</v>
      </c>
      <c r="S265" s="113" t="str">
        <f>IF(F265="","",IF(H265="",TEXT(_xlfn.MAXIFS($I$1:I265,$F$1:F265,F265,$H$1:H265,"&gt;"&amp;0),"000.000"),F265))</f>
        <v>GFR0D47</v>
      </c>
      <c r="T265" s="101" t="str">
        <f t="shared" si="27"/>
        <v/>
      </c>
      <c r="U265" s="82" t="s">
        <v>220</v>
      </c>
      <c r="V265" s="98" t="s">
        <v>226</v>
      </c>
      <c r="W265" s="82" t="s">
        <v>225</v>
      </c>
      <c r="X265" s="98" t="s">
        <v>284</v>
      </c>
      <c r="Y265" s="82" t="s">
        <v>222</v>
      </c>
      <c r="Z265" s="98" t="s">
        <v>175</v>
      </c>
      <c r="AA265" s="82" t="s">
        <v>221</v>
      </c>
      <c r="AB265" s="98" t="s">
        <v>175</v>
      </c>
      <c r="AC265" s="82" t="s">
        <v>225</v>
      </c>
      <c r="AD265" s="98" t="s">
        <v>284</v>
      </c>
      <c r="AE265" s="117" t="s">
        <v>220</v>
      </c>
      <c r="AF265" s="98" t="s">
        <v>165</v>
      </c>
      <c r="AG265" s="82"/>
      <c r="AH265" s="98"/>
      <c r="AI265" s="82"/>
      <c r="AJ265" s="98"/>
      <c r="AK265" s="83"/>
      <c r="AL265" s="84" t="str">
        <f>IF(F265&lt;&gt;0,IF(_xlfn.MAXIFS($I$1:I265,$F$1:F265,F265,$H$1:H265,"&gt;"&amp;0)=0,"KM NÃO ENCONTRADO",IF(H265=0,CONCATENATE("SUGESTÃO DE KM PARA PLACA ",F265," *",_xlfn.MAXIFS($I$1:I265,$F$1:F265,F265,$H$1:H265,"&gt;"&amp;0),"*"),"")),"")</f>
        <v/>
      </c>
      <c r="AM265" s="85" t="str" cm="1">
        <f t="array" ref="AM265">IFERROR(IF(M265&lt;&gt;"","",CONCATENATE("https://btx.brasiltrack.com/logistica/trajeto.php?idveiculo=",VLOOKUP(F265,DATAS!$A$221:$B$250,2,FALSE),"&amp;lat=-22.204247","&amp;data_ini=",TEXT(IF(E265&lt;&gt;"",IF(COUNTIF($F$2:$F265,F265)&gt;1,MAX(IF($F$1:$F264=F265,$E$1:$E264)),""),""),"DD/MM/AAAA"),"&amp;data_fim=",TEXT(E265,"DD/MM/AAAA"),"&amp;hora_inicial=",HOUR(IF(E265&lt;&gt;"",IF(COUNTIF($F$2:$F265,F265)&gt;1,MAX(IF($F$1:$F264=F265,$E$1:$E264)),""),"")),"&amp;minuto_inicial=",MINUTE(IF(E265&lt;&gt;"",IF(COUNTIF($F$2:$F265,F265)&gt;1,MAX(IF($F$1:$F264=F265,$E$1:$E264)),""),"")),"&amp;hora_final=",HOUR(E265),"&amp;minuto_final=",MINUTE(E265),"&amp;periodo=6&amp;tipo=por_data&amp;upos=false&amp;outequip=0")),"")</f>
        <v/>
      </c>
      <c r="AN265" s="100" t="str">
        <f t="shared" si="32"/>
        <v xml:space="preserve">ABASTECEU no PRODOESTE UBA PASSOU em SÃO PAULO-SP DESCARREGOU em SANTOS-SP CARREGOU em SANTOS-SP PASSOU em SÃO PAULO-SP ABASTECEU no 22 NORTE    </v>
      </c>
    </row>
    <row r="266" spans="1:40" x14ac:dyDescent="0.25">
      <c r="A266" s="101">
        <f>IFERROR(VLOOKUP(AN266,ROTAS!$A:$B,2,FALSE),0)</f>
        <v>45</v>
      </c>
      <c r="B266" s="101">
        <f t="shared" si="24"/>
        <v>1</v>
      </c>
      <c r="C266" s="101">
        <f t="shared" si="25"/>
        <v>510</v>
      </c>
      <c r="D266" s="144">
        <v>44896</v>
      </c>
      <c r="E266" s="76">
        <v>44903.970138888886</v>
      </c>
      <c r="F266" s="6" t="s">
        <v>28</v>
      </c>
      <c r="G266" s="5" t="str">
        <f>IFERROR(VLOOKUP(SUMIFS(MSOLICITADA!$I:$I,MSOLICITADA!$B:$B,D266,MSOLICITADA!$F:$F,F266),CODIGOSPLACAS!$A$64:$B$89,2,FALSE),"")</f>
        <v>RONY</v>
      </c>
      <c r="H266" s="77">
        <v>240159</v>
      </c>
      <c r="I266" s="77">
        <v>240669</v>
      </c>
      <c r="J266" s="7">
        <v>295.01100000000002</v>
      </c>
      <c r="K266" s="78">
        <v>1826.11</v>
      </c>
      <c r="L266" s="79" t="s">
        <v>111</v>
      </c>
      <c r="M266" s="6">
        <v>183</v>
      </c>
      <c r="N266" s="5">
        <f t="shared" si="28"/>
        <v>327</v>
      </c>
      <c r="O266" s="80">
        <f t="shared" si="29"/>
        <v>6.1899725772937275</v>
      </c>
      <c r="P266" s="8">
        <f t="shared" si="30"/>
        <v>1.7287490974912798</v>
      </c>
      <c r="Q266" s="8">
        <f t="shared" si="26"/>
        <v>1.5503831077411701</v>
      </c>
      <c r="R266" s="81">
        <f t="shared" si="31"/>
        <v>0.35882352941176471</v>
      </c>
      <c r="S266" s="113" t="str">
        <f>IF(F266="","",IF(H266="",TEXT(_xlfn.MAXIFS($I$1:I266,$F$1:F266,F266,$H$1:H266,"&gt;"&amp;0),"000.000"),F266))</f>
        <v>FZA3E94</v>
      </c>
      <c r="T266" s="101">
        <f t="shared" si="27"/>
        <v>327</v>
      </c>
      <c r="U266" s="82" t="s">
        <v>220</v>
      </c>
      <c r="V266" s="98" t="s">
        <v>218</v>
      </c>
      <c r="W266" s="82" t="s">
        <v>222</v>
      </c>
      <c r="X266" s="98" t="s">
        <v>200</v>
      </c>
      <c r="Y266" s="82" t="s">
        <v>225</v>
      </c>
      <c r="Z266" s="98" t="s">
        <v>237</v>
      </c>
      <c r="AA266" s="82" t="s">
        <v>221</v>
      </c>
      <c r="AB266" s="98" t="s">
        <v>168</v>
      </c>
      <c r="AC266" s="82" t="s">
        <v>225</v>
      </c>
      <c r="AD266" s="98" t="s">
        <v>284</v>
      </c>
      <c r="AE266" s="117" t="s">
        <v>220</v>
      </c>
      <c r="AF266" s="98" t="s">
        <v>165</v>
      </c>
      <c r="AG266" s="82"/>
      <c r="AH266" s="98"/>
      <c r="AI266" s="82"/>
      <c r="AJ266" s="98"/>
      <c r="AK266" s="83"/>
      <c r="AL266" s="84" t="str">
        <f>IF(F266&lt;&gt;0,IF(_xlfn.MAXIFS($I$1:I266,$F$1:F266,F266,$H$1:H266,"&gt;"&amp;0)=0,"KM NÃO ENCONTRADO",IF(H266=0,CONCATENATE("SUGESTÃO DE KM PARA PLACA ",F266," *",_xlfn.MAXIFS($I$1:I266,$F$1:F266,F266,$H$1:H266,"&gt;"&amp;0),"*"),"")),"")</f>
        <v/>
      </c>
      <c r="AM266" s="85" t="str" cm="1">
        <f t="array" ref="AM266">IFERROR(IF(M266&lt;&gt;"","",CONCATENATE("https://btx.brasiltrack.com/logistica/trajeto.php?idveiculo=",VLOOKUP(F266,DATAS!$A$221:$B$250,2,FALSE),"&amp;lat=-22.204247","&amp;data_ini=",TEXT(IF(E266&lt;&gt;"",IF(COUNTIF($F$2:$F266,F266)&gt;1,MAX(IF($F$1:$F265=F266,$E$1:$E265)),""),""),"DD/MM/AAAA"),"&amp;data_fim=",TEXT(E266,"DD/MM/AAAA"),"&amp;hora_inicial=",HOUR(IF(E266&lt;&gt;"",IF(COUNTIF($F$2:$F266,F266)&gt;1,MAX(IF($F$1:$F265=F266,$E$1:$E265)),""),"")),"&amp;minuto_inicial=",MINUTE(IF(E266&lt;&gt;"",IF(COUNTIF($F$2:$F266,F266)&gt;1,MAX(IF($F$1:$F265=F266,$E$1:$E265)),""),"")),"&amp;hora_final=",HOUR(E266),"&amp;minuto_final=",MINUTE(E266),"&amp;periodo=6&amp;tipo=por_data&amp;upos=false&amp;outequip=0")),"")</f>
        <v/>
      </c>
      <c r="AN266" s="100" t="str">
        <f t="shared" si="32"/>
        <v xml:space="preserve">ABASTECEU no DP PA NORTE DESCARREGOU em CONGONHAL-MG PASSOU em ARUJÁ-SP CARREGOU em CUBATAO-SP PASSOU em SÃO PAULO-SP ABASTECEU no 22 NORTE    </v>
      </c>
    </row>
    <row r="267" spans="1:40" x14ac:dyDescent="0.25">
      <c r="A267" s="101">
        <f>IFERROR(VLOOKUP(AN267,ROTAS!$A:$B,2,FALSE),0)</f>
        <v>46</v>
      </c>
      <c r="B267" s="101">
        <f t="shared" si="24"/>
        <v>3</v>
      </c>
      <c r="C267" s="101">
        <f t="shared" si="25"/>
        <v>811.66666666666663</v>
      </c>
      <c r="D267" s="144">
        <v>44896</v>
      </c>
      <c r="E267" s="76">
        <v>44903.977777777778</v>
      </c>
      <c r="F267" s="6" t="s">
        <v>131</v>
      </c>
      <c r="G267" s="5" t="str">
        <f>IFERROR(VLOOKUP(SUMIFS(MSOLICITADA!$I:$I,MSOLICITADA!$B:$B,D267,MSOLICITADA!$F:$F,F267),CODIGOSPLACAS!$A$64:$B$89,2,FALSE),"")</f>
        <v>ALTIELIS</v>
      </c>
      <c r="H267" s="77">
        <v>41606</v>
      </c>
      <c r="I267" s="77">
        <v>42418</v>
      </c>
      <c r="J267" s="7">
        <v>460</v>
      </c>
      <c r="K267" s="78">
        <v>2847.4</v>
      </c>
      <c r="L267" s="79" t="s">
        <v>111</v>
      </c>
      <c r="M267" s="6">
        <v>384</v>
      </c>
      <c r="N267" s="5">
        <f t="shared" si="28"/>
        <v>428</v>
      </c>
      <c r="O267" s="80">
        <f t="shared" si="29"/>
        <v>6.19</v>
      </c>
      <c r="P267" s="8">
        <f t="shared" si="30"/>
        <v>1.7652173913043478</v>
      </c>
      <c r="Q267" s="8">
        <f t="shared" si="26"/>
        <v>1.6628833870031143</v>
      </c>
      <c r="R267" s="81">
        <f t="shared" si="31"/>
        <v>0.47290640394088668</v>
      </c>
      <c r="S267" s="113" t="str">
        <f>IF(F267="","",IF(H267="",TEXT(_xlfn.MAXIFS($I$1:I267,$F$1:F267,F267,$H$1:H267,"&gt;"&amp;0),"000.000"),F267))</f>
        <v>GGN4J86</v>
      </c>
      <c r="T267" s="101">
        <f t="shared" si="27"/>
        <v>428</v>
      </c>
      <c r="U267" s="82" t="s">
        <v>220</v>
      </c>
      <c r="V267" s="98" t="s">
        <v>165</v>
      </c>
      <c r="W267" s="82" t="s">
        <v>222</v>
      </c>
      <c r="X267" s="98" t="s">
        <v>167</v>
      </c>
      <c r="Y267" s="82" t="s">
        <v>225</v>
      </c>
      <c r="Z267" s="98" t="s">
        <v>237</v>
      </c>
      <c r="AA267" s="82" t="s">
        <v>221</v>
      </c>
      <c r="AB267" s="98" t="s">
        <v>168</v>
      </c>
      <c r="AC267" s="82" t="s">
        <v>225</v>
      </c>
      <c r="AD267" s="98" t="s">
        <v>284</v>
      </c>
      <c r="AE267" s="117" t="s">
        <v>220</v>
      </c>
      <c r="AF267" s="98" t="s">
        <v>165</v>
      </c>
      <c r="AG267" s="82"/>
      <c r="AH267" s="98"/>
      <c r="AI267" s="82"/>
      <c r="AJ267" s="98"/>
      <c r="AK267" s="83"/>
      <c r="AL267" s="84" t="str">
        <f>IF(F267&lt;&gt;0,IF(_xlfn.MAXIFS($I$1:I267,$F$1:F267,F267,$H$1:H267,"&gt;"&amp;0)=0,"KM NÃO ENCONTRADO",IF(H267=0,CONCATENATE("SUGESTÃO DE KM PARA PLACA ",F267," *",_xlfn.MAXIFS($I$1:I267,$F$1:F267,F267,$H$1:H267,"&gt;"&amp;0),"*"),"")),"")</f>
        <v/>
      </c>
      <c r="AM267" s="85" t="str" cm="1">
        <f t="array" ref="AM267">IFERROR(IF(M267&lt;&gt;"","",CONCATENATE("https://btx.brasiltrack.com/logistica/trajeto.php?idveiculo=",VLOOKUP(F267,DATAS!$A$221:$B$250,2,FALSE),"&amp;lat=-22.204247","&amp;data_ini=",TEXT(IF(E267&lt;&gt;"",IF(COUNTIF($F$2:$F267,F267)&gt;1,MAX(IF($F$1:$F266=F267,$E$1:$E266)),""),""),"DD/MM/AAAA"),"&amp;data_fim=",TEXT(E267,"DD/MM/AAAA"),"&amp;hora_inicial=",HOUR(IF(E267&lt;&gt;"",IF(COUNTIF($F$2:$F267,F267)&gt;1,MAX(IF($F$1:$F266=F267,$E$1:$E266)),""),"")),"&amp;minuto_inicial=",MINUTE(IF(E267&lt;&gt;"",IF(COUNTIF($F$2:$F267,F267)&gt;1,MAX(IF($F$1:$F266=F267,$E$1:$E266)),""),"")),"&amp;hora_final=",HOUR(E267),"&amp;minuto_final=",MINUTE(E267),"&amp;periodo=6&amp;tipo=por_data&amp;upos=false&amp;outequip=0")),"")</f>
        <v/>
      </c>
      <c r="AN267" s="100" t="str">
        <f t="shared" si="32"/>
        <v xml:space="preserve">ABASTECEU no 22 NORTE DESCARREGOU em VARGINHA-MG PASSOU em ARUJÁ-SP CARREGOU em CUBATAO-SP PASSOU em SÃO PAULO-SP ABASTECEU no 22 NORTE    </v>
      </c>
    </row>
    <row r="268" spans="1:40" x14ac:dyDescent="0.25">
      <c r="A268" s="101">
        <f>IFERROR(VLOOKUP(AN268,ROTAS!$A:$B,2,FALSE),0)</f>
        <v>47</v>
      </c>
      <c r="B268" s="101">
        <f t="shared" si="24"/>
        <v>1</v>
      </c>
      <c r="C268" s="101">
        <f t="shared" si="25"/>
        <v>811</v>
      </c>
      <c r="D268" s="144">
        <v>44896</v>
      </c>
      <c r="E268" s="76">
        <v>44903.98541666667</v>
      </c>
      <c r="F268" s="6" t="s">
        <v>127</v>
      </c>
      <c r="G268" s="5" t="str">
        <f>IFERROR(VLOOKUP(SUMIFS(MSOLICITADA!$I:$I,MSOLICITADA!$B:$B,D268,MSOLICITADA!$F:$F,F268),CODIGOSPLACAS!$A$64:$B$89,2,FALSE),"")</f>
        <v>EVERTON</v>
      </c>
      <c r="H268" s="77">
        <v>1226565</v>
      </c>
      <c r="I268" s="77">
        <v>1227376</v>
      </c>
      <c r="J268" s="7">
        <v>402</v>
      </c>
      <c r="K268" s="78">
        <v>2488.38</v>
      </c>
      <c r="L268" s="79" t="s">
        <v>111</v>
      </c>
      <c r="M268" s="6">
        <v>280</v>
      </c>
      <c r="N268" s="5">
        <f t="shared" si="28"/>
        <v>531</v>
      </c>
      <c r="O268" s="80">
        <f t="shared" si="29"/>
        <v>6.19</v>
      </c>
      <c r="P268" s="8">
        <f t="shared" si="30"/>
        <v>2.0174129353233829</v>
      </c>
      <c r="Q268" s="8">
        <f t="shared" si="26"/>
        <v>1.9282732243128911</v>
      </c>
      <c r="R268" s="81">
        <f t="shared" si="31"/>
        <v>0.34525277435265106</v>
      </c>
      <c r="S268" s="113" t="str">
        <f>IF(F268="","",IF(H268="",TEXT(_xlfn.MAXIFS($I$1:I268,$F$1:F268,F268,$H$1:H268,"&gt;"&amp;0),"000.000"),F268))</f>
        <v>OPM8J51</v>
      </c>
      <c r="T268" s="101">
        <f t="shared" si="27"/>
        <v>531</v>
      </c>
      <c r="U268" s="82" t="s">
        <v>220</v>
      </c>
      <c r="V268" s="98" t="s">
        <v>233</v>
      </c>
      <c r="W268" s="82" t="s">
        <v>225</v>
      </c>
      <c r="X268" s="98" t="s">
        <v>237</v>
      </c>
      <c r="Y268" s="82" t="s">
        <v>221</v>
      </c>
      <c r="Z268" s="98" t="s">
        <v>168</v>
      </c>
      <c r="AA268" s="82" t="s">
        <v>225</v>
      </c>
      <c r="AB268" s="98" t="s">
        <v>237</v>
      </c>
      <c r="AC268" s="82" t="s">
        <v>222</v>
      </c>
      <c r="AD268" s="98" t="s">
        <v>200</v>
      </c>
      <c r="AE268" s="117" t="s">
        <v>220</v>
      </c>
      <c r="AF268" s="98" t="s">
        <v>166</v>
      </c>
      <c r="AG268" s="82"/>
      <c r="AH268" s="98"/>
      <c r="AI268" s="82"/>
      <c r="AJ268" s="98"/>
      <c r="AK268" s="83"/>
      <c r="AL268" s="84" t="str">
        <f>IF(F268&lt;&gt;0,IF(_xlfn.MAXIFS($I$1:I268,$F$1:F268,F268,$H$1:H268,"&gt;"&amp;0)=0,"KM NÃO ENCONTRADO",IF(H268=0,CONCATENATE("SUGESTÃO DE KM PARA PLACA ",F268," *",_xlfn.MAXIFS($I$1:I268,$F$1:F268,F268,$H$1:H268,"&gt;"&amp;0),"*"),"")),"")</f>
        <v/>
      </c>
      <c r="AM268" s="85" t="str" cm="1">
        <f t="array" ref="AM268">IFERROR(IF(M268&lt;&gt;"","",CONCATENATE("https://btx.brasiltrack.com/logistica/trajeto.php?idveiculo=",VLOOKUP(F268,DATAS!$A$221:$B$250,2,FALSE),"&amp;lat=-22.204247","&amp;data_ini=",TEXT(IF(E268&lt;&gt;"",IF(COUNTIF($F$2:$F268,F268)&gt;1,MAX(IF($F$1:$F267=F268,$E$1:$E267)),""),""),"DD/MM/AAAA"),"&amp;data_fim=",TEXT(E268,"DD/MM/AAAA"),"&amp;hora_inicial=",HOUR(IF(E268&lt;&gt;"",IF(COUNTIF($F$2:$F268,F268)&gt;1,MAX(IF($F$1:$F267=F268,$E$1:$E267)),""),"")),"&amp;minuto_inicial=",MINUTE(IF(E268&lt;&gt;"",IF(COUNTIF($F$2:$F268,F268)&gt;1,MAX(IF($F$1:$F267=F268,$E$1:$E267)),""),"")),"&amp;hora_final=",HOUR(E268),"&amp;minuto_final=",MINUTE(E268),"&amp;periodo=6&amp;tipo=por_data&amp;upos=false&amp;outequip=0")),"")</f>
        <v/>
      </c>
      <c r="AN268" s="100" t="str">
        <f t="shared" si="32"/>
        <v xml:space="preserve">ABASTECEU no DP ESTIVA PASSOU em ARUJÁ-SP CARREGOU em CUBATAO-SP PASSOU em ARUJÁ-SP DESCARREGOU em CONGONHAL-MG ABASTECEU no 22 SUL    </v>
      </c>
    </row>
    <row r="269" spans="1:40" x14ac:dyDescent="0.25">
      <c r="A269" s="101">
        <f>IFERROR(VLOOKUP(AN269,ROTAS!$A:$B,2,FALSE),0)</f>
        <v>48</v>
      </c>
      <c r="B269" s="101">
        <f t="shared" si="24"/>
        <v>4</v>
      </c>
      <c r="C269" s="101">
        <f t="shared" si="25"/>
        <v>828.75</v>
      </c>
      <c r="D269" s="144">
        <v>44896</v>
      </c>
      <c r="E269" s="76">
        <v>44904.196527777778</v>
      </c>
      <c r="F269" s="6" t="s">
        <v>32</v>
      </c>
      <c r="G269" s="5" t="str">
        <f>IFERROR(VLOOKUP(SUMIFS(MSOLICITADA!$I:$I,MSOLICITADA!$B:$B,D269,MSOLICITADA!$F:$F,F269),CODIGOSPLACAS!$A$64:$B$89,2,FALSE),"")</f>
        <v>ADILSON</v>
      </c>
      <c r="H269" s="77">
        <v>194940</v>
      </c>
      <c r="I269" s="77">
        <v>195741</v>
      </c>
      <c r="J269" s="7">
        <v>434.00099999999998</v>
      </c>
      <c r="K269" s="78">
        <v>2686.46</v>
      </c>
      <c r="L269" s="79" t="s">
        <v>111</v>
      </c>
      <c r="M269" s="6">
        <v>427</v>
      </c>
      <c r="N269" s="5">
        <f t="shared" si="28"/>
        <v>374</v>
      </c>
      <c r="O269" s="80">
        <f t="shared" si="29"/>
        <v>6.1899857373600522</v>
      </c>
      <c r="P269" s="8">
        <f t="shared" si="30"/>
        <v>1.8456178672399373</v>
      </c>
      <c r="Q269" s="8">
        <f t="shared" si="26"/>
        <v>1.7045945118851598</v>
      </c>
      <c r="R269" s="81">
        <f t="shared" si="31"/>
        <v>0.53308364544319597</v>
      </c>
      <c r="S269" s="113" t="str">
        <f>IF(F269="","",IF(H269="",TEXT(_xlfn.MAXIFS($I$1:I269,$F$1:F269,F269,$H$1:H269,"&gt;"&amp;0),"000.000"),F269))</f>
        <v>GJU9A22</v>
      </c>
      <c r="T269" s="101">
        <f t="shared" si="27"/>
        <v>374</v>
      </c>
      <c r="U269" s="82" t="s">
        <v>220</v>
      </c>
      <c r="V269" s="98" t="s">
        <v>165</v>
      </c>
      <c r="W269" s="82" t="s">
        <v>222</v>
      </c>
      <c r="X269" s="98" t="s">
        <v>167</v>
      </c>
      <c r="Y269" s="82" t="s">
        <v>225</v>
      </c>
      <c r="Z269" s="98" t="s">
        <v>284</v>
      </c>
      <c r="AA269" s="82" t="s">
        <v>221</v>
      </c>
      <c r="AB269" s="98" t="s">
        <v>168</v>
      </c>
      <c r="AC269" s="82" t="s">
        <v>225</v>
      </c>
      <c r="AD269" s="98" t="s">
        <v>237</v>
      </c>
      <c r="AE269" s="117" t="s">
        <v>220</v>
      </c>
      <c r="AF269" s="98" t="s">
        <v>165</v>
      </c>
      <c r="AG269" s="82"/>
      <c r="AH269" s="98"/>
      <c r="AI269" s="82"/>
      <c r="AJ269" s="98"/>
      <c r="AK269" s="83"/>
      <c r="AL269" s="84" t="str">
        <f>IF(F269&lt;&gt;0,IF(_xlfn.MAXIFS($I$1:I269,$F$1:F269,F269,$H$1:H269,"&gt;"&amp;0)=0,"KM NÃO ENCONTRADO",IF(H269=0,CONCATENATE("SUGESTÃO DE KM PARA PLACA ",F269," *",_xlfn.MAXIFS($I$1:I269,$F$1:F269,F269,$H$1:H269,"&gt;"&amp;0),"*"),"")),"")</f>
        <v/>
      </c>
      <c r="AM269" s="85" t="str" cm="1">
        <f t="array" ref="AM269">IFERROR(IF(M269&lt;&gt;"","",CONCATENATE("https://btx.brasiltrack.com/logistica/trajeto.php?idveiculo=",VLOOKUP(F269,DATAS!$A$221:$B$250,2,FALSE),"&amp;lat=-22.204247","&amp;data_ini=",TEXT(IF(E269&lt;&gt;"",IF(COUNTIF($F$2:$F269,F269)&gt;1,MAX(IF($F$1:$F268=F269,$E$1:$E268)),""),""),"DD/MM/AAAA"),"&amp;data_fim=",TEXT(E269,"DD/MM/AAAA"),"&amp;hora_inicial=",HOUR(IF(E269&lt;&gt;"",IF(COUNTIF($F$2:$F269,F269)&gt;1,MAX(IF($F$1:$F268=F269,$E$1:$E268)),""),"")),"&amp;minuto_inicial=",MINUTE(IF(E269&lt;&gt;"",IF(COUNTIF($F$2:$F269,F269)&gt;1,MAX(IF($F$1:$F268=F269,$E$1:$E268)),""),"")),"&amp;hora_final=",HOUR(E269),"&amp;minuto_final=",MINUTE(E269),"&amp;periodo=6&amp;tipo=por_data&amp;upos=false&amp;outequip=0")),"")</f>
        <v/>
      </c>
      <c r="AN269" s="100" t="str">
        <f t="shared" si="32"/>
        <v xml:space="preserve">ABASTECEU no 22 NORTE DESCARREGOU em VARGINHA-MG PASSOU em SÃO PAULO-SP CARREGOU em CUBATAO-SP PASSOU em ARUJÁ-SP ABASTECEU no 22 NORTE    </v>
      </c>
    </row>
    <row r="270" spans="1:40" x14ac:dyDescent="0.25">
      <c r="A270" s="101">
        <f>IFERROR(VLOOKUP(AN270,ROTAS!$A:$B,2,FALSE),0)</f>
        <v>42</v>
      </c>
      <c r="B270" s="101">
        <f t="shared" si="24"/>
        <v>2</v>
      </c>
      <c r="C270" s="101">
        <f t="shared" si="25"/>
        <v>633</v>
      </c>
      <c r="D270" s="144">
        <v>44896</v>
      </c>
      <c r="E270" s="76">
        <v>44904.363194444442</v>
      </c>
      <c r="F270" s="6" t="s">
        <v>30</v>
      </c>
      <c r="G270" s="5" t="str">
        <f>IFERROR(VLOOKUP(SUMIFS(MSOLICITADA!$I:$I,MSOLICITADA!$B:$B,D270,MSOLICITADA!$F:$F,F270),CODIGOSPLACAS!$A$64:$B$89,2,FALSE),"")</f>
        <v>RONILSON</v>
      </c>
      <c r="H270" s="77">
        <v>215968</v>
      </c>
      <c r="I270" s="77">
        <v>216598</v>
      </c>
      <c r="J270" s="7">
        <v>250</v>
      </c>
      <c r="K270" s="78">
        <v>1797.5</v>
      </c>
      <c r="L270" s="79" t="s">
        <v>111</v>
      </c>
      <c r="M270" s="6">
        <v>530</v>
      </c>
      <c r="N270" s="5">
        <f t="shared" si="28"/>
        <v>100</v>
      </c>
      <c r="O270" s="80">
        <f t="shared" si="29"/>
        <v>7.19</v>
      </c>
      <c r="P270" s="8">
        <f t="shared" si="30"/>
        <v>2.52</v>
      </c>
      <c r="Q270" s="8">
        <f t="shared" si="26"/>
        <v>1.5093777841757006</v>
      </c>
      <c r="R270" s="81">
        <f t="shared" si="31"/>
        <v>0.84126984126984128</v>
      </c>
      <c r="S270" s="113" t="str">
        <f>IF(F270="","",IF(H270="",TEXT(_xlfn.MAXIFS($I$1:I270,$F$1:F270,F270,$H$1:H270,"&gt;"&amp;0),"000.000"),F270))</f>
        <v>GFB0I37</v>
      </c>
      <c r="T270" s="101">
        <f t="shared" si="27"/>
        <v>100</v>
      </c>
      <c r="U270" s="82" t="s">
        <v>220</v>
      </c>
      <c r="V270" s="98" t="s">
        <v>206</v>
      </c>
      <c r="W270" s="82" t="s">
        <v>222</v>
      </c>
      <c r="X270" s="98" t="s">
        <v>167</v>
      </c>
      <c r="Y270" s="82" t="s">
        <v>221</v>
      </c>
      <c r="Z270" s="98" t="s">
        <v>176</v>
      </c>
      <c r="AA270" s="82" t="s">
        <v>222</v>
      </c>
      <c r="AB270" s="98" t="s">
        <v>170</v>
      </c>
      <c r="AC270" s="82" t="s">
        <v>220</v>
      </c>
      <c r="AD270" s="98" t="s">
        <v>226</v>
      </c>
      <c r="AE270" s="117"/>
      <c r="AF270" s="98"/>
      <c r="AG270" s="82"/>
      <c r="AH270" s="98"/>
      <c r="AI270" s="82"/>
      <c r="AJ270" s="98"/>
      <c r="AK270" s="83"/>
      <c r="AL270" s="84" t="str">
        <f>IF(F270&lt;&gt;0,IF(_xlfn.MAXIFS($I$1:I270,$F$1:F270,F270,$H$1:H270,"&gt;"&amp;0)=0,"KM NÃO ENCONTRADO",IF(H270=0,CONCATENATE("SUGESTÃO DE KM PARA PLACA ",F270," *",_xlfn.MAXIFS($I$1:I270,$F$1:F270,F270,$H$1:H270,"&gt;"&amp;0),"*"),"")),"")</f>
        <v/>
      </c>
      <c r="AM270" s="85" t="str" cm="1">
        <f t="array" ref="AM270">IFERROR(IF(M270&lt;&gt;"","",CONCATENATE("https://btx.brasiltrack.com/logistica/trajeto.php?idveiculo=",VLOOKUP(F270,DATAS!$A$221:$B$250,2,FALSE),"&amp;lat=-22.204247","&amp;data_ini=",TEXT(IF(E270&lt;&gt;"",IF(COUNTIF($F$2:$F270,F270)&gt;1,MAX(IF($F$1:$F269=F270,$E$1:$E269)),""),""),"DD/MM/AAAA"),"&amp;data_fim=",TEXT(E270,"DD/MM/AAAA"),"&amp;hora_inicial=",HOUR(IF(E270&lt;&gt;"",IF(COUNTIF($F$2:$F270,F270)&gt;1,MAX(IF($F$1:$F269=F270,$E$1:$E269)),""),"")),"&amp;minuto_inicial=",MINUTE(IF(E270&lt;&gt;"",IF(COUNTIF($F$2:$F270,F270)&gt;1,MAX(IF($F$1:$F269=F270,$E$1:$E269)),""),"")),"&amp;hora_final=",HOUR(E270),"&amp;minuto_final=",MINUTE(E270),"&amp;periodo=6&amp;tipo=por_data&amp;upos=false&amp;outequip=0")),"")</f>
        <v/>
      </c>
      <c r="AN270" s="100" t="str">
        <f t="shared" si="32"/>
        <v xml:space="preserve">ABASTECEU no CANDEIAS-MG DESCARREGOU em VARGINHA-MG CARREGOU em ALFENAS-MG DESCARREGOU em UBERABA-MG ABASTECEU no PRODOESTE UBA      </v>
      </c>
    </row>
    <row r="271" spans="1:40" x14ac:dyDescent="0.25">
      <c r="A271" s="101">
        <f>IFERROR(VLOOKUP(AN271,ROTAS!$A:$B,2,FALSE),0)</f>
        <v>48</v>
      </c>
      <c r="B271" s="101">
        <f t="shared" si="24"/>
        <v>4</v>
      </c>
      <c r="C271" s="101">
        <f t="shared" si="25"/>
        <v>828.75</v>
      </c>
      <c r="D271" s="144">
        <v>44896</v>
      </c>
      <c r="E271" s="76">
        <v>44904.55972222222</v>
      </c>
      <c r="F271" s="6" t="s">
        <v>33</v>
      </c>
      <c r="G271" s="5" t="str">
        <f>IFERROR(VLOOKUP(SUMIFS(MSOLICITADA!$I:$I,MSOLICITADA!$B:$B,D271,MSOLICITADA!$F:$F,F271),CODIGOSPLACAS!$A$64:$B$89,2,FALSE),"")</f>
        <v>JULIO</v>
      </c>
      <c r="H271" s="77">
        <v>162041</v>
      </c>
      <c r="I271" s="77">
        <v>162867</v>
      </c>
      <c r="J271" s="7">
        <v>440.11</v>
      </c>
      <c r="K271" s="78">
        <v>2724.29</v>
      </c>
      <c r="L271" s="79" t="s">
        <v>111</v>
      </c>
      <c r="M271" s="6">
        <v>452</v>
      </c>
      <c r="N271" s="5">
        <f t="shared" si="28"/>
        <v>374</v>
      </c>
      <c r="O271" s="80">
        <f t="shared" si="29"/>
        <v>6.1900206766490191</v>
      </c>
      <c r="P271" s="8">
        <f t="shared" si="30"/>
        <v>1.8768035263911294</v>
      </c>
      <c r="Q271" s="8">
        <f t="shared" si="26"/>
        <v>1.6210900048214474</v>
      </c>
      <c r="R271" s="81">
        <f t="shared" si="31"/>
        <v>0.54721549636803879</v>
      </c>
      <c r="S271" s="113" t="str">
        <f>IF(F271="","",IF(H271="",TEXT(_xlfn.MAXIFS($I$1:I271,$F$1:F271,F271,$H$1:H271,"&gt;"&amp;0),"000.000"),F271))</f>
        <v>GGF7G26</v>
      </c>
      <c r="T271" s="101">
        <f t="shared" si="27"/>
        <v>374</v>
      </c>
      <c r="U271" s="82" t="s">
        <v>220</v>
      </c>
      <c r="V271" s="98" t="s">
        <v>165</v>
      </c>
      <c r="W271" s="82" t="s">
        <v>222</v>
      </c>
      <c r="X271" s="98" t="s">
        <v>167</v>
      </c>
      <c r="Y271" s="82" t="s">
        <v>225</v>
      </c>
      <c r="Z271" s="98" t="s">
        <v>284</v>
      </c>
      <c r="AA271" s="82" t="s">
        <v>221</v>
      </c>
      <c r="AB271" s="98" t="s">
        <v>168</v>
      </c>
      <c r="AC271" s="82" t="s">
        <v>225</v>
      </c>
      <c r="AD271" s="98" t="s">
        <v>237</v>
      </c>
      <c r="AE271" s="117" t="s">
        <v>220</v>
      </c>
      <c r="AF271" s="98" t="s">
        <v>165</v>
      </c>
      <c r="AG271" s="82"/>
      <c r="AH271" s="98"/>
      <c r="AI271" s="82"/>
      <c r="AJ271" s="98"/>
      <c r="AK271" s="83"/>
      <c r="AL271" s="84" t="str">
        <f>IF(F271&lt;&gt;0,IF(_xlfn.MAXIFS($I$1:I271,$F$1:F271,F271,$H$1:H271,"&gt;"&amp;0)=0,"KM NÃO ENCONTRADO",IF(H271=0,CONCATENATE("SUGESTÃO DE KM PARA PLACA ",F271," *",_xlfn.MAXIFS($I$1:I271,$F$1:F271,F271,$H$1:H271,"&gt;"&amp;0),"*"),"")),"")</f>
        <v/>
      </c>
      <c r="AM271" s="85" t="str" cm="1">
        <f t="array" ref="AM271">IFERROR(IF(M271&lt;&gt;"","",CONCATENATE("https://btx.brasiltrack.com/logistica/trajeto.php?idveiculo=",VLOOKUP(F271,DATAS!$A$221:$B$250,2,FALSE),"&amp;lat=-22.204247","&amp;data_ini=",TEXT(IF(E271&lt;&gt;"",IF(COUNTIF($F$2:$F271,F271)&gt;1,MAX(IF($F$1:$F270=F271,$E$1:$E270)),""),""),"DD/MM/AAAA"),"&amp;data_fim=",TEXT(E271,"DD/MM/AAAA"),"&amp;hora_inicial=",HOUR(IF(E271&lt;&gt;"",IF(COUNTIF($F$2:$F271,F271)&gt;1,MAX(IF($F$1:$F270=F271,$E$1:$E270)),""),"")),"&amp;minuto_inicial=",MINUTE(IF(E271&lt;&gt;"",IF(COUNTIF($F$2:$F271,F271)&gt;1,MAX(IF($F$1:$F270=F271,$E$1:$E270)),""),"")),"&amp;hora_final=",HOUR(E271),"&amp;minuto_final=",MINUTE(E271),"&amp;periodo=6&amp;tipo=por_data&amp;upos=false&amp;outequip=0")),"")</f>
        <v/>
      </c>
      <c r="AN271" s="100" t="str">
        <f t="shared" si="32"/>
        <v xml:space="preserve">ABASTECEU no 22 NORTE DESCARREGOU em VARGINHA-MG PASSOU em SÃO PAULO-SP CARREGOU em CUBATAO-SP PASSOU em ARUJÁ-SP ABASTECEU no 22 NORTE    </v>
      </c>
    </row>
    <row r="272" spans="1:40" x14ac:dyDescent="0.25">
      <c r="A272" s="101">
        <f>IFERROR(VLOOKUP(AN272,ROTAS!$A:$B,2,FALSE),0)</f>
        <v>48</v>
      </c>
      <c r="B272" s="101">
        <f t="shared" si="24"/>
        <v>4</v>
      </c>
      <c r="C272" s="101">
        <f t="shared" si="25"/>
        <v>828.75</v>
      </c>
      <c r="D272" s="144">
        <v>44896</v>
      </c>
      <c r="E272" s="76">
        <v>44904.563888888886</v>
      </c>
      <c r="F272" s="6" t="s">
        <v>25</v>
      </c>
      <c r="G272" s="5" t="str">
        <f>IFERROR(VLOOKUP(SUMIFS(MSOLICITADA!$I:$I,MSOLICITADA!$B:$B,D272,MSOLICITADA!$F:$F,F272),CODIGOSPLACAS!$A$64:$B$89,2,FALSE),"")</f>
        <v>EDUALDO</v>
      </c>
      <c r="H272" s="77">
        <v>1007848</v>
      </c>
      <c r="I272" s="77">
        <v>1008694</v>
      </c>
      <c r="J272" s="7">
        <v>511.22</v>
      </c>
      <c r="K272" s="78">
        <v>3164.45</v>
      </c>
      <c r="L272" s="79" t="s">
        <v>111</v>
      </c>
      <c r="M272" s="6">
        <v>472</v>
      </c>
      <c r="N272" s="5">
        <f t="shared" si="28"/>
        <v>374</v>
      </c>
      <c r="O272" s="80">
        <f t="shared" si="29"/>
        <v>6.1899964790109925</v>
      </c>
      <c r="P272" s="8">
        <f t="shared" si="30"/>
        <v>1.654864833144243</v>
      </c>
      <c r="Q272" s="8">
        <f t="shared" si="26"/>
        <v>1.5016619403177309</v>
      </c>
      <c r="R272" s="81">
        <f t="shared" si="31"/>
        <v>0.55791962174940901</v>
      </c>
      <c r="S272" s="113" t="str">
        <f>IF(F272="","",IF(H272="",TEXT(_xlfn.MAXIFS($I$1:I272,$F$1:F272,F272,$H$1:H272,"&gt;"&amp;0),"000.000"),F272))</f>
        <v>QHE9735</v>
      </c>
      <c r="T272" s="101">
        <f t="shared" si="27"/>
        <v>374</v>
      </c>
      <c r="U272" s="82" t="s">
        <v>220</v>
      </c>
      <c r="V272" s="98" t="s">
        <v>165</v>
      </c>
      <c r="W272" s="82" t="s">
        <v>222</v>
      </c>
      <c r="X272" s="98" t="s">
        <v>167</v>
      </c>
      <c r="Y272" s="82" t="s">
        <v>225</v>
      </c>
      <c r="Z272" s="98" t="s">
        <v>284</v>
      </c>
      <c r="AA272" s="82" t="s">
        <v>221</v>
      </c>
      <c r="AB272" s="98" t="s">
        <v>168</v>
      </c>
      <c r="AC272" s="82" t="s">
        <v>225</v>
      </c>
      <c r="AD272" s="98" t="s">
        <v>237</v>
      </c>
      <c r="AE272" s="117" t="s">
        <v>220</v>
      </c>
      <c r="AF272" s="98" t="s">
        <v>165</v>
      </c>
      <c r="AG272" s="82"/>
      <c r="AH272" s="98"/>
      <c r="AI272" s="82"/>
      <c r="AJ272" s="98"/>
      <c r="AK272" s="83"/>
      <c r="AL272" s="84" t="str">
        <f>IF(F272&lt;&gt;0,IF(_xlfn.MAXIFS($I$1:I272,$F$1:F272,F272,$H$1:H272,"&gt;"&amp;0)=0,"KM NÃO ENCONTRADO",IF(H272=0,CONCATENATE("SUGESTÃO DE KM PARA PLACA ",F272," *",_xlfn.MAXIFS($I$1:I272,$F$1:F272,F272,$H$1:H272,"&gt;"&amp;0),"*"),"")),"")</f>
        <v/>
      </c>
      <c r="AM272" s="85" t="str" cm="1">
        <f t="array" ref="AM272">IFERROR(IF(M272&lt;&gt;"","",CONCATENATE("https://btx.brasiltrack.com/logistica/trajeto.php?idveiculo=",VLOOKUP(F272,DATAS!$A$221:$B$250,2,FALSE),"&amp;lat=-22.204247","&amp;data_ini=",TEXT(IF(E272&lt;&gt;"",IF(COUNTIF($F$2:$F272,F272)&gt;1,MAX(IF($F$1:$F271=F272,$E$1:$E271)),""),""),"DD/MM/AAAA"),"&amp;data_fim=",TEXT(E272,"DD/MM/AAAA"),"&amp;hora_inicial=",HOUR(IF(E272&lt;&gt;"",IF(COUNTIF($F$2:$F272,F272)&gt;1,MAX(IF($F$1:$F271=F272,$E$1:$E271)),""),"")),"&amp;minuto_inicial=",MINUTE(IF(E272&lt;&gt;"",IF(COUNTIF($F$2:$F272,F272)&gt;1,MAX(IF($F$1:$F271=F272,$E$1:$E271)),""),"")),"&amp;hora_final=",HOUR(E272),"&amp;minuto_final=",MINUTE(E272),"&amp;periodo=6&amp;tipo=por_data&amp;upos=false&amp;outequip=0")),"")</f>
        <v/>
      </c>
      <c r="AN272" s="100" t="str">
        <f t="shared" si="32"/>
        <v xml:space="preserve">ABASTECEU no 22 NORTE DESCARREGOU em VARGINHA-MG PASSOU em SÃO PAULO-SP CARREGOU em CUBATAO-SP PASSOU em ARUJÁ-SP ABASTECEU no 22 NORTE    </v>
      </c>
    </row>
    <row r="273" spans="1:40" x14ac:dyDescent="0.25">
      <c r="A273" s="101">
        <f>IFERROR(VLOOKUP(AN273,ROTAS!$A:$B,2,FALSE),0)</f>
        <v>49</v>
      </c>
      <c r="B273" s="101">
        <f t="shared" si="24"/>
        <v>4</v>
      </c>
      <c r="C273" s="101">
        <f t="shared" si="25"/>
        <v>759.5</v>
      </c>
      <c r="D273" s="144">
        <v>44896</v>
      </c>
      <c r="E273" s="76">
        <v>44904.564583333333</v>
      </c>
      <c r="F273" s="6" t="s">
        <v>27</v>
      </c>
      <c r="G273" s="5" t="str">
        <f>IFERROR(VLOOKUP(SUMIFS(MSOLICITADA!$I:$I,MSOLICITADA!$B:$B,D273,MSOLICITADA!$F:$F,F273),CODIGOSPLACAS!$A$64:$B$89,2,FALSE),"")</f>
        <v>ANTONIO</v>
      </c>
      <c r="H273" s="77">
        <v>244163</v>
      </c>
      <c r="I273" s="77">
        <v>244917</v>
      </c>
      <c r="J273" s="7">
        <v>475.00099999999998</v>
      </c>
      <c r="K273" s="78">
        <v>2940.25</v>
      </c>
      <c r="L273" s="79" t="s">
        <v>111</v>
      </c>
      <c r="M273" s="6">
        <v>375</v>
      </c>
      <c r="N273" s="5">
        <f t="shared" si="28"/>
        <v>379</v>
      </c>
      <c r="O273" s="80">
        <f t="shared" si="29"/>
        <v>6.1899869684484878</v>
      </c>
      <c r="P273" s="8">
        <f t="shared" si="30"/>
        <v>1.5873650792314122</v>
      </c>
      <c r="Q273" s="8">
        <f t="shared" si="26"/>
        <v>1.4435398773633086</v>
      </c>
      <c r="R273" s="81">
        <f t="shared" si="31"/>
        <v>0.4973474801061008</v>
      </c>
      <c r="S273" s="113" t="str">
        <f>IF(F273="","",IF(H273="",TEXT(_xlfn.MAXIFS($I$1:I273,$F$1:F273,F273,$H$1:H273,"&gt;"&amp;0),"000.000"),F273))</f>
        <v>GHS4J57</v>
      </c>
      <c r="T273" s="101">
        <f t="shared" si="27"/>
        <v>380.75</v>
      </c>
      <c r="U273" s="82" t="s">
        <v>220</v>
      </c>
      <c r="V273" s="98" t="s">
        <v>165</v>
      </c>
      <c r="W273" s="82" t="s">
        <v>222</v>
      </c>
      <c r="X273" s="98" t="s">
        <v>167</v>
      </c>
      <c r="Y273" s="82" t="s">
        <v>225</v>
      </c>
      <c r="Z273" s="98" t="s">
        <v>284</v>
      </c>
      <c r="AA273" s="82" t="s">
        <v>221</v>
      </c>
      <c r="AB273" s="98" t="s">
        <v>168</v>
      </c>
      <c r="AC273" s="82" t="s">
        <v>225</v>
      </c>
      <c r="AD273" s="98" t="s">
        <v>284</v>
      </c>
      <c r="AE273" s="117" t="s">
        <v>220</v>
      </c>
      <c r="AF273" s="98" t="s">
        <v>165</v>
      </c>
      <c r="AG273" s="82"/>
      <c r="AH273" s="98"/>
      <c r="AI273" s="82"/>
      <c r="AJ273" s="98"/>
      <c r="AK273" s="83"/>
      <c r="AL273" s="84" t="str">
        <f>IF(F273&lt;&gt;0,IF(_xlfn.MAXIFS($I$1:I273,$F$1:F273,F273,$H$1:H273,"&gt;"&amp;0)=0,"KM NÃO ENCONTRADO",IF(H273=0,CONCATENATE("SUGESTÃO DE KM PARA PLACA ",F273," *",_xlfn.MAXIFS($I$1:I273,$F$1:F273,F273,$H$1:H273,"&gt;"&amp;0),"*"),"")),"")</f>
        <v/>
      </c>
      <c r="AM273" s="85" t="str" cm="1">
        <f t="array" ref="AM273">IFERROR(IF(M273&lt;&gt;"","",CONCATENATE("https://btx.brasiltrack.com/logistica/trajeto.php?idveiculo=",VLOOKUP(F273,DATAS!$A$221:$B$250,2,FALSE),"&amp;lat=-22.204247","&amp;data_ini=",TEXT(IF(E273&lt;&gt;"",IF(COUNTIF($F$2:$F273,F273)&gt;1,MAX(IF($F$1:$F272=F273,$E$1:$E272)),""),""),"DD/MM/AAAA"),"&amp;data_fim=",TEXT(E273,"DD/MM/AAAA"),"&amp;hora_inicial=",HOUR(IF(E273&lt;&gt;"",IF(COUNTIF($F$2:$F273,F273)&gt;1,MAX(IF($F$1:$F272=F273,$E$1:$E272)),""),"")),"&amp;minuto_inicial=",MINUTE(IF(E273&lt;&gt;"",IF(COUNTIF($F$2:$F273,F273)&gt;1,MAX(IF($F$1:$F272=F273,$E$1:$E272)),""),"")),"&amp;hora_final=",HOUR(E273),"&amp;minuto_final=",MINUTE(E273),"&amp;periodo=6&amp;tipo=por_data&amp;upos=false&amp;outequip=0")),"")</f>
        <v/>
      </c>
      <c r="AN273" s="100" t="str">
        <f t="shared" si="32"/>
        <v xml:space="preserve">ABASTECEU no 22 NORTE DESCARREGOU em VARGINHA-MG PASSOU em SÃO PAULO-SP CARREGOU em CUBATAO-SP PASSOU em SÃO PAULO-SP ABASTECEU no 22 NORTE    </v>
      </c>
    </row>
    <row r="274" spans="1:40" x14ac:dyDescent="0.25">
      <c r="A274" s="101">
        <f>IFERROR(VLOOKUP(AN274,ROTAS!$A:$B,2,FALSE),0)</f>
        <v>50</v>
      </c>
      <c r="B274" s="101">
        <f t="shared" si="24"/>
        <v>2</v>
      </c>
      <c r="C274" s="101">
        <f t="shared" si="25"/>
        <v>244.5</v>
      </c>
      <c r="D274" s="144">
        <v>44896</v>
      </c>
      <c r="E274" s="76">
        <v>44904.581250000003</v>
      </c>
      <c r="F274" s="6" t="s">
        <v>127</v>
      </c>
      <c r="G274" s="5" t="str">
        <f>IFERROR(VLOOKUP(SUMIFS(MSOLICITADA!$I:$I,MSOLICITADA!$B:$B,D274,MSOLICITADA!$F:$F,F274),CODIGOSPLACAS!$A$64:$B$89,2,FALSE),"")</f>
        <v>EVERTON</v>
      </c>
      <c r="H274" s="77">
        <v>1227376</v>
      </c>
      <c r="I274" s="77">
        <v>1227621</v>
      </c>
      <c r="J274" s="7">
        <v>153.572</v>
      </c>
      <c r="K274" s="78">
        <v>950.6</v>
      </c>
      <c r="L274" s="79" t="s">
        <v>111</v>
      </c>
      <c r="M274" s="6">
        <v>122</v>
      </c>
      <c r="N274" s="5">
        <f t="shared" si="28"/>
        <v>123</v>
      </c>
      <c r="O274" s="80">
        <f t="shared" si="29"/>
        <v>6.1899304560727213</v>
      </c>
      <c r="P274" s="8">
        <f t="shared" si="30"/>
        <v>1.5953429010496705</v>
      </c>
      <c r="Q274" s="8">
        <f t="shared" si="26"/>
        <v>1.9282732243128911</v>
      </c>
      <c r="R274" s="81">
        <f t="shared" si="31"/>
        <v>0.49795918367346936</v>
      </c>
      <c r="S274" s="113" t="str">
        <f>IF(F274="","",IF(H274="",TEXT(_xlfn.MAXIFS($I$1:I274,$F$1:F274,F274,$H$1:H274,"&gt;"&amp;0),"000.000"),F274))</f>
        <v>OPM8J51</v>
      </c>
      <c r="T274" s="101">
        <f t="shared" si="27"/>
        <v>122.5</v>
      </c>
      <c r="U274" s="82" t="s">
        <v>220</v>
      </c>
      <c r="V274" s="98" t="s">
        <v>166</v>
      </c>
      <c r="W274" s="82" t="s">
        <v>225</v>
      </c>
      <c r="X274" s="98" t="s">
        <v>284</v>
      </c>
      <c r="Y274" s="82" t="s">
        <v>221</v>
      </c>
      <c r="Z274" s="98" t="s">
        <v>168</v>
      </c>
      <c r="AA274" s="82" t="s">
        <v>225</v>
      </c>
      <c r="AB274" s="98" t="s">
        <v>284</v>
      </c>
      <c r="AC274" s="82" t="s">
        <v>220</v>
      </c>
      <c r="AD274" s="98" t="s">
        <v>165</v>
      </c>
      <c r="AE274" s="117"/>
      <c r="AF274" s="98"/>
      <c r="AG274" s="82"/>
      <c r="AH274" s="98"/>
      <c r="AI274" s="82"/>
      <c r="AJ274" s="98"/>
      <c r="AK274" s="83"/>
      <c r="AL274" s="84" t="str">
        <f>IF(F274&lt;&gt;0,IF(_xlfn.MAXIFS($I$1:I274,$F$1:F274,F274,$H$1:H274,"&gt;"&amp;0)=0,"KM NÃO ENCONTRADO",IF(H274=0,CONCATENATE("SUGESTÃO DE KM PARA PLACA ",F274," *",_xlfn.MAXIFS($I$1:I274,$F$1:F274,F274,$H$1:H274,"&gt;"&amp;0),"*"),"")),"")</f>
        <v/>
      </c>
      <c r="AM274" s="85" t="str" cm="1">
        <f t="array" ref="AM274">IFERROR(IF(M274&lt;&gt;"","",CONCATENATE("https://btx.brasiltrack.com/logistica/trajeto.php?idveiculo=",VLOOKUP(F274,DATAS!$A$221:$B$250,2,FALSE),"&amp;lat=-22.204247","&amp;data_ini=",TEXT(IF(E274&lt;&gt;"",IF(COUNTIF($F$2:$F274,F274)&gt;1,MAX(IF($F$1:$F273=F274,$E$1:$E273)),""),""),"DD/MM/AAAA"),"&amp;data_fim=",TEXT(E274,"DD/MM/AAAA"),"&amp;hora_inicial=",HOUR(IF(E274&lt;&gt;"",IF(COUNTIF($F$2:$F274,F274)&gt;1,MAX(IF($F$1:$F273=F274,$E$1:$E273)),""),"")),"&amp;minuto_inicial=",MINUTE(IF(E274&lt;&gt;"",IF(COUNTIF($F$2:$F274,F274)&gt;1,MAX(IF($F$1:$F273=F274,$E$1:$E273)),""),"")),"&amp;hora_final=",HOUR(E274),"&amp;minuto_final=",MINUTE(E274),"&amp;periodo=6&amp;tipo=por_data&amp;upos=false&amp;outequip=0")),"")</f>
        <v/>
      </c>
      <c r="AN274" s="100" t="str">
        <f t="shared" si="32"/>
        <v xml:space="preserve">ABASTECEU no 22 SUL PASSOU em SÃO PAULO-SP CARREGOU em CUBATAO-SP PASSOU em SÃO PAULO-SP ABASTECEU no 22 NORTE      </v>
      </c>
    </row>
    <row r="275" spans="1:40" x14ac:dyDescent="0.25">
      <c r="A275" s="101">
        <f>IFERROR(VLOOKUP(AN275,ROTAS!$A:$B,2,FALSE),0)</f>
        <v>51</v>
      </c>
      <c r="B275" s="101">
        <f t="shared" si="24"/>
        <v>1</v>
      </c>
      <c r="C275" s="101">
        <f t="shared" si="25"/>
        <v>929</v>
      </c>
      <c r="D275" s="144">
        <v>44896</v>
      </c>
      <c r="E275" s="76">
        <v>44904.873611111114</v>
      </c>
      <c r="F275" s="6" t="s">
        <v>26</v>
      </c>
      <c r="G275" s="5" t="str">
        <f>IFERROR(VLOOKUP(SUMIFS(MSOLICITADA!$I:$I,MSOLICITADA!$B:$B,D275,MSOLICITADA!$F:$F,F275),CODIGOSPLACAS!$A$64:$B$89,2,FALSE),"")</f>
        <v>DIEGO</v>
      </c>
      <c r="H275" s="77">
        <v>397764</v>
      </c>
      <c r="I275" s="77">
        <v>398693</v>
      </c>
      <c r="J275" s="7">
        <v>100</v>
      </c>
      <c r="K275" s="78">
        <v>619</v>
      </c>
      <c r="L275" s="79" t="s">
        <v>111</v>
      </c>
      <c r="M275" s="6">
        <v>500</v>
      </c>
      <c r="N275" s="5">
        <f t="shared" si="28"/>
        <v>429</v>
      </c>
      <c r="O275" s="80">
        <f t="shared" si="29"/>
        <v>6.19</v>
      </c>
      <c r="P275" s="8">
        <f t="shared" si="30"/>
        <v>9.2899999999999991</v>
      </c>
      <c r="Q275" s="8">
        <f t="shared" si="26"/>
        <v>1.42982167893118</v>
      </c>
      <c r="R275" s="81">
        <f t="shared" si="31"/>
        <v>0.53821313240043056</v>
      </c>
      <c r="S275" s="113" t="str">
        <f>IF(F275="","",IF(H275="",TEXT(_xlfn.MAXIFS($I$1:I275,$F$1:F275,F275,$H$1:H275,"&gt;"&amp;0),"000.000"),F275))</f>
        <v>BZA3587</v>
      </c>
      <c r="T275" s="101">
        <f t="shared" si="27"/>
        <v>429</v>
      </c>
      <c r="U275" s="82" t="s">
        <v>220</v>
      </c>
      <c r="V275" s="98" t="s">
        <v>226</v>
      </c>
      <c r="W275" s="82" t="s">
        <v>221</v>
      </c>
      <c r="X275" s="98" t="s">
        <v>230</v>
      </c>
      <c r="Y275" s="82" t="s">
        <v>220</v>
      </c>
      <c r="Z275" s="98" t="s">
        <v>228</v>
      </c>
      <c r="AA275" s="82"/>
      <c r="AB275" s="98"/>
      <c r="AC275" s="82"/>
      <c r="AD275" s="98"/>
      <c r="AE275" s="117"/>
      <c r="AF275" s="98"/>
      <c r="AG275" s="82"/>
      <c r="AH275" s="98"/>
      <c r="AI275" s="82"/>
      <c r="AJ275" s="98"/>
      <c r="AK275" s="83"/>
      <c r="AL275" s="84" t="str">
        <f>IF(F275&lt;&gt;0,IF(_xlfn.MAXIFS($I$1:I275,$F$1:F275,F275,$H$1:H275,"&gt;"&amp;0)=0,"KM NÃO ENCONTRADO",IF(H275=0,CONCATENATE("SUGESTÃO DE KM PARA PLACA ",F275," *",_xlfn.MAXIFS($I$1:I275,$F$1:F275,F275,$H$1:H275,"&gt;"&amp;0),"*"),"")),"")</f>
        <v/>
      </c>
      <c r="AM275" s="85" t="str" cm="1">
        <f t="array" ref="AM275">IFERROR(IF(M275&lt;&gt;"","",CONCATENATE("https://btx.brasiltrack.com/logistica/trajeto.php?idveiculo=",VLOOKUP(F275,DATAS!$A$221:$B$250,2,FALSE),"&amp;lat=-22.204247","&amp;data_ini=",TEXT(IF(E275&lt;&gt;"",IF(COUNTIF($F$2:$F275,F275)&gt;1,MAX(IF($F$1:$F274=F275,$E$1:$E274)),""),""),"DD/MM/AAAA"),"&amp;data_fim=",TEXT(E275,"DD/MM/AAAA"),"&amp;hora_inicial=",HOUR(IF(E275&lt;&gt;"",IF(COUNTIF($F$2:$F275,F275)&gt;1,MAX(IF($F$1:$F274=F275,$E$1:$E274)),""),"")),"&amp;minuto_inicial=",MINUTE(IF(E275&lt;&gt;"",IF(COUNTIF($F$2:$F275,F275)&gt;1,MAX(IF($F$1:$F274=F275,$E$1:$E274)),""),"")),"&amp;hora_final=",HOUR(E275),"&amp;minuto_final=",MINUTE(E275),"&amp;periodo=6&amp;tipo=por_data&amp;upos=false&amp;outequip=0")),"")</f>
        <v/>
      </c>
      <c r="AN275" s="100" t="str">
        <f t="shared" si="32"/>
        <v xml:space="preserve">ABASTECEU no PRODOESTE UBA CARREGOU em IPAMERI-GO ABASTECEU no DP SALES OLIVEIRA          </v>
      </c>
    </row>
    <row r="276" spans="1:40" x14ac:dyDescent="0.25">
      <c r="A276" s="101">
        <f>IFERROR(VLOOKUP(AN276,ROTAS!$A:$B,2,FALSE),0)</f>
        <v>52</v>
      </c>
      <c r="B276" s="101">
        <f t="shared" ref="B276:B339" si="33">COUNTIFS(A:A,A276)</f>
        <v>3</v>
      </c>
      <c r="C276" s="101">
        <f t="shared" ref="C276:C339" si="34">(SUMIFS(M:M,A:A,A276)+SUMIFS(N:N,A:A,A276))/B276</f>
        <v>1067.3333333333333</v>
      </c>
      <c r="D276" s="144">
        <v>44896</v>
      </c>
      <c r="E276" s="76">
        <v>44904.979861111111</v>
      </c>
      <c r="F276" s="6" t="s">
        <v>29</v>
      </c>
      <c r="G276" s="5" t="str">
        <f>IFERROR(VLOOKUP(SUMIFS(MSOLICITADA!$I:$I,MSOLICITADA!$B:$B,D276,MSOLICITADA!$F:$F,F276),CODIGOSPLACAS!$A$64:$B$89,2,FALSE),"")</f>
        <v>EDNILSON</v>
      </c>
      <c r="H276" s="77">
        <v>233808</v>
      </c>
      <c r="I276" s="77">
        <v>234889</v>
      </c>
      <c r="J276" s="7">
        <v>638.72</v>
      </c>
      <c r="K276" s="78">
        <v>4062.26</v>
      </c>
      <c r="L276" s="79" t="s">
        <v>111</v>
      </c>
      <c r="M276" s="6">
        <v>448</v>
      </c>
      <c r="N276" s="5">
        <f t="shared" si="28"/>
        <v>633</v>
      </c>
      <c r="O276" s="80">
        <f t="shared" si="29"/>
        <v>6.3600012525050102</v>
      </c>
      <c r="P276" s="8">
        <f t="shared" si="30"/>
        <v>1.6924473947895791</v>
      </c>
      <c r="Q276" s="8">
        <f t="shared" ref="Q276:Q339" si="35">IFERROR((SUMIFS(M:M,D:D,D276,F:F,F276)+SUMIFS(N:N,D:D,D276,F:F,F276)-SUMIFS(AK:AK,D:D,D276,F:F,F276))/(SUMIFS(J:J,D:D,D276,F:F,F276)-(SUMIFS(AK:AK,D:D,D276,F:F,F276)/5)),0)</f>
        <v>1.5750677554084309</v>
      </c>
      <c r="R276" s="81">
        <f t="shared" si="31"/>
        <v>0.41443108233117482</v>
      </c>
      <c r="S276" s="113" t="str">
        <f>IF(F276="","",IF(H276="",TEXT(_xlfn.MAXIFS($I$1:I276,$F$1:F276,F276,$H$1:H276,"&gt;"&amp;0),"000.000"),F276))</f>
        <v>GKA2J56</v>
      </c>
      <c r="T276" s="101">
        <f t="shared" ref="T276:T339" si="36">IF(E276&lt;&gt;"",IF(A276=0,"ERRO",IFERROR(AVERAGEIFS(N:N,A:A,A276,M:M,"&gt;"&amp;0),"")),"")</f>
        <v>633</v>
      </c>
      <c r="U276" s="82" t="s">
        <v>220</v>
      </c>
      <c r="V276" s="98" t="s">
        <v>226</v>
      </c>
      <c r="W276" s="82" t="s">
        <v>221</v>
      </c>
      <c r="X276" s="98" t="s">
        <v>230</v>
      </c>
      <c r="Y276" s="82" t="s">
        <v>220</v>
      </c>
      <c r="Z276" s="98" t="s">
        <v>227</v>
      </c>
      <c r="AA276" s="82"/>
      <c r="AB276" s="98"/>
      <c r="AC276" s="82"/>
      <c r="AD276" s="98"/>
      <c r="AE276" s="117"/>
      <c r="AF276" s="98"/>
      <c r="AG276" s="82"/>
      <c r="AH276" s="98"/>
      <c r="AI276" s="82"/>
      <c r="AJ276" s="98"/>
      <c r="AK276" s="83"/>
      <c r="AL276" s="84" t="str">
        <f>IF(F276&lt;&gt;0,IF(_xlfn.MAXIFS($I$1:I276,$F$1:F276,F276,$H$1:H276,"&gt;"&amp;0)=0,"KM NÃO ENCONTRADO",IF(H276=0,CONCATENATE("SUGESTÃO DE KM PARA PLACA ",F276," *",_xlfn.MAXIFS($I$1:I276,$F$1:F276,F276,$H$1:H276,"&gt;"&amp;0),"*"),"")),"")</f>
        <v/>
      </c>
      <c r="AM276" s="85" t="str" cm="1">
        <f t="array" ref="AM276">IFERROR(IF(M276&lt;&gt;"","",CONCATENATE("https://btx.brasiltrack.com/logistica/trajeto.php?idveiculo=",VLOOKUP(F276,DATAS!$A$221:$B$250,2,FALSE),"&amp;lat=-22.204247","&amp;data_ini=",TEXT(IF(E276&lt;&gt;"",IF(COUNTIF($F$2:$F276,F276)&gt;1,MAX(IF($F$1:$F275=F276,$E$1:$E275)),""),""),"DD/MM/AAAA"),"&amp;data_fim=",TEXT(E276,"DD/MM/AAAA"),"&amp;hora_inicial=",HOUR(IF(E276&lt;&gt;"",IF(COUNTIF($F$2:$F276,F276)&gt;1,MAX(IF($F$1:$F275=F276,$E$1:$E275)),""),"")),"&amp;minuto_inicial=",MINUTE(IF(E276&lt;&gt;"",IF(COUNTIF($F$2:$F276,F276)&gt;1,MAX(IF($F$1:$F275=F276,$E$1:$E275)),""),"")),"&amp;hora_final=",HOUR(E276),"&amp;minuto_final=",MINUTE(E276),"&amp;periodo=6&amp;tipo=por_data&amp;upos=false&amp;outequip=0")),"")</f>
        <v/>
      </c>
      <c r="AN276" s="100" t="str">
        <f t="shared" si="32"/>
        <v xml:space="preserve">ABASTECEU no PRODOESTE UBA CARREGOU em IPAMERI-GO ABASTECEU no PICA PAU NORTE          </v>
      </c>
    </row>
    <row r="277" spans="1:40" x14ac:dyDescent="0.25">
      <c r="A277" s="101">
        <f>IFERROR(VLOOKUP(AN277,ROTAS!$A:$B,2,FALSE),0)</f>
        <v>52</v>
      </c>
      <c r="B277" s="101">
        <f t="shared" si="33"/>
        <v>3</v>
      </c>
      <c r="C277" s="101">
        <f t="shared" si="34"/>
        <v>1067.3333333333333</v>
      </c>
      <c r="D277" s="144">
        <v>44896</v>
      </c>
      <c r="E277" s="76">
        <v>44904.981944444444</v>
      </c>
      <c r="F277" s="6" t="s">
        <v>124</v>
      </c>
      <c r="G277" s="5" t="str">
        <f>IFERROR(VLOOKUP(SUMIFS(MSOLICITADA!$I:$I,MSOLICITADA!$B:$B,D277,MSOLICITADA!$F:$F,F277),CODIGOSPLACAS!$A$64:$B$89,2,FALSE),"")</f>
        <v>ISRAEL</v>
      </c>
      <c r="H277" s="77">
        <v>134825</v>
      </c>
      <c r="I277" s="77">
        <v>135916</v>
      </c>
      <c r="J277" s="7">
        <v>643.01</v>
      </c>
      <c r="K277" s="78">
        <v>4089.54</v>
      </c>
      <c r="L277" s="79" t="s">
        <v>111</v>
      </c>
      <c r="M277" s="6">
        <v>425</v>
      </c>
      <c r="N277" s="5">
        <f t="shared" si="28"/>
        <v>666</v>
      </c>
      <c r="O277" s="80">
        <f t="shared" si="29"/>
        <v>6.3599944013312388</v>
      </c>
      <c r="P277" s="8">
        <f t="shared" si="30"/>
        <v>1.6967076717313883</v>
      </c>
      <c r="Q277" s="8">
        <f t="shared" si="35"/>
        <v>1.6396894062131062</v>
      </c>
      <c r="R277" s="81">
        <f t="shared" si="31"/>
        <v>0.38955087076076994</v>
      </c>
      <c r="S277" s="113" t="str">
        <f>IF(F277="","",IF(H277="",TEXT(_xlfn.MAXIFS($I$1:I277,$F$1:F277,F277,$H$1:H277,"&gt;"&amp;0),"000.000"),F277))</f>
        <v>GHH9B64</v>
      </c>
      <c r="T277" s="101">
        <f t="shared" si="36"/>
        <v>633</v>
      </c>
      <c r="U277" s="82" t="s">
        <v>220</v>
      </c>
      <c r="V277" s="98" t="s">
        <v>226</v>
      </c>
      <c r="W277" s="82" t="s">
        <v>221</v>
      </c>
      <c r="X277" s="98" t="s">
        <v>230</v>
      </c>
      <c r="Y277" s="82" t="s">
        <v>220</v>
      </c>
      <c r="Z277" s="98" t="s">
        <v>227</v>
      </c>
      <c r="AA277" s="82"/>
      <c r="AB277" s="98"/>
      <c r="AC277" s="82"/>
      <c r="AD277" s="98"/>
      <c r="AE277" s="117"/>
      <c r="AF277" s="98"/>
      <c r="AG277" s="82"/>
      <c r="AH277" s="98"/>
      <c r="AI277" s="82"/>
      <c r="AJ277" s="98"/>
      <c r="AK277" s="83"/>
      <c r="AL277" s="84" t="str">
        <f>IF(F277&lt;&gt;0,IF(_xlfn.MAXIFS($I$1:I277,$F$1:F277,F277,$H$1:H277,"&gt;"&amp;0)=0,"KM NÃO ENCONTRADO",IF(H277=0,CONCATENATE("SUGESTÃO DE KM PARA PLACA ",F277," *",_xlfn.MAXIFS($I$1:I277,$F$1:F277,F277,$H$1:H277,"&gt;"&amp;0),"*"),"")),"")</f>
        <v/>
      </c>
      <c r="AM277" s="85" t="str" cm="1">
        <f t="array" ref="AM277">IFERROR(IF(M277&lt;&gt;"","",CONCATENATE("https://btx.brasiltrack.com/logistica/trajeto.php?idveiculo=",VLOOKUP(F277,DATAS!$A$221:$B$250,2,FALSE),"&amp;lat=-22.204247","&amp;data_ini=",TEXT(IF(E277&lt;&gt;"",IF(COUNTIF($F$2:$F277,F277)&gt;1,MAX(IF($F$1:$F276=F277,$E$1:$E276)),""),""),"DD/MM/AAAA"),"&amp;data_fim=",TEXT(E277,"DD/MM/AAAA"),"&amp;hora_inicial=",HOUR(IF(E277&lt;&gt;"",IF(COUNTIF($F$2:$F277,F277)&gt;1,MAX(IF($F$1:$F276=F277,$E$1:$E276)),""),"")),"&amp;minuto_inicial=",MINUTE(IF(E277&lt;&gt;"",IF(COUNTIF($F$2:$F277,F277)&gt;1,MAX(IF($F$1:$F276=F277,$E$1:$E276)),""),"")),"&amp;hora_final=",HOUR(E277),"&amp;minuto_final=",MINUTE(E277),"&amp;periodo=6&amp;tipo=por_data&amp;upos=false&amp;outequip=0")),"")</f>
        <v/>
      </c>
      <c r="AN277" s="100" t="str">
        <f t="shared" si="32"/>
        <v xml:space="preserve">ABASTECEU no PRODOESTE UBA CARREGOU em IPAMERI-GO ABASTECEU no PICA PAU NORTE          </v>
      </c>
    </row>
    <row r="278" spans="1:40" x14ac:dyDescent="0.25">
      <c r="A278" s="101">
        <f>IFERROR(VLOOKUP(AN278,ROTAS!$A:$B,2,FALSE),0)</f>
        <v>21</v>
      </c>
      <c r="B278" s="101">
        <f t="shared" si="33"/>
        <v>2</v>
      </c>
      <c r="C278" s="101">
        <f t="shared" si="34"/>
        <v>171.5</v>
      </c>
      <c r="D278" s="144">
        <v>44896</v>
      </c>
      <c r="E278" s="76">
        <v>44904.987500000003</v>
      </c>
      <c r="F278" s="6" t="s">
        <v>26</v>
      </c>
      <c r="G278" s="5" t="str">
        <f>IFERROR(VLOOKUP(SUMIFS(MSOLICITADA!$I:$I,MSOLICITADA!$B:$B,D278,MSOLICITADA!$F:$F,F278),CODIGOSPLACAS!$A$64:$B$89,2,FALSE),"")</f>
        <v>DIEGO</v>
      </c>
      <c r="H278" s="77">
        <v>398693</v>
      </c>
      <c r="I278" s="77">
        <v>398866</v>
      </c>
      <c r="J278" s="7">
        <v>636.19000000000005</v>
      </c>
      <c r="K278" s="78">
        <v>4046.17</v>
      </c>
      <c r="L278" s="79" t="s">
        <v>111</v>
      </c>
      <c r="M278" s="6">
        <v>173</v>
      </c>
      <c r="N278" s="5" t="str">
        <f t="shared" si="28"/>
        <v/>
      </c>
      <c r="O278" s="80">
        <f t="shared" si="29"/>
        <v>6.3600025149719421</v>
      </c>
      <c r="P278" s="8">
        <f t="shared" si="30"/>
        <v>0.27193134126597396</v>
      </c>
      <c r="Q278" s="8">
        <f t="shared" si="35"/>
        <v>1.42982167893118</v>
      </c>
      <c r="R278" s="81">
        <f t="shared" si="31"/>
        <v>1</v>
      </c>
      <c r="S278" s="113" t="str">
        <f>IF(F278="","",IF(H278="",TEXT(_xlfn.MAXIFS($I$1:I278,$F$1:F278,F278,$H$1:H278,"&gt;"&amp;0),"000.000"),F278))</f>
        <v>BZA3587</v>
      </c>
      <c r="T278" s="101" t="str">
        <f t="shared" si="36"/>
        <v/>
      </c>
      <c r="U278" s="82" t="s">
        <v>220</v>
      </c>
      <c r="V278" s="98" t="s">
        <v>228</v>
      </c>
      <c r="W278" s="82" t="s">
        <v>220</v>
      </c>
      <c r="X278" s="98" t="s">
        <v>227</v>
      </c>
      <c r="Y278" s="82"/>
      <c r="Z278" s="98"/>
      <c r="AA278" s="82"/>
      <c r="AB278" s="98"/>
      <c r="AC278" s="82"/>
      <c r="AD278" s="98"/>
      <c r="AE278" s="117"/>
      <c r="AF278" s="98"/>
      <c r="AG278" s="82"/>
      <c r="AH278" s="98"/>
      <c r="AI278" s="82"/>
      <c r="AJ278" s="98"/>
      <c r="AK278" s="83"/>
      <c r="AL278" s="84" t="str">
        <f>IF(F278&lt;&gt;0,IF(_xlfn.MAXIFS($I$1:I278,$F$1:F278,F278,$H$1:H278,"&gt;"&amp;0)=0,"KM NÃO ENCONTRADO",IF(H278=0,CONCATENATE("SUGESTÃO DE KM PARA PLACA ",F278," *",_xlfn.MAXIFS($I$1:I278,$F$1:F278,F278,$H$1:H278,"&gt;"&amp;0),"*"),"")),"")</f>
        <v/>
      </c>
      <c r="AM278" s="85" t="str" cm="1">
        <f t="array" ref="AM278">IFERROR(IF(M278&lt;&gt;"","",CONCATENATE("https://btx.brasiltrack.com/logistica/trajeto.php?idveiculo=",VLOOKUP(F278,DATAS!$A$221:$B$250,2,FALSE),"&amp;lat=-22.204247","&amp;data_ini=",TEXT(IF(E278&lt;&gt;"",IF(COUNTIF($F$2:$F278,F278)&gt;1,MAX(IF($F$1:$F277=F278,$E$1:$E277)),""),""),"DD/MM/AAAA"),"&amp;data_fim=",TEXT(E278,"DD/MM/AAAA"),"&amp;hora_inicial=",HOUR(IF(E278&lt;&gt;"",IF(COUNTIF($F$2:$F278,F278)&gt;1,MAX(IF($F$1:$F277=F278,$E$1:$E277)),""),"")),"&amp;minuto_inicial=",MINUTE(IF(E278&lt;&gt;"",IF(COUNTIF($F$2:$F278,F278)&gt;1,MAX(IF($F$1:$F277=F278,$E$1:$E277)),""),"")),"&amp;hora_final=",HOUR(E278),"&amp;minuto_final=",MINUTE(E278),"&amp;periodo=6&amp;tipo=por_data&amp;upos=false&amp;outequip=0")),"")</f>
        <v/>
      </c>
      <c r="AN278" s="100" t="str">
        <f t="shared" si="32"/>
        <v xml:space="preserve">ABASTECEU no DP SALES OLIVEIRA ABASTECEU no PICA PAU NORTE            </v>
      </c>
    </row>
    <row r="279" spans="1:40" x14ac:dyDescent="0.25">
      <c r="A279" s="101">
        <f>IFERROR(VLOOKUP(AN279,ROTAS!$A:$B,2,FALSE),0)</f>
        <v>53</v>
      </c>
      <c r="B279" s="101">
        <f t="shared" si="33"/>
        <v>4</v>
      </c>
      <c r="C279" s="101">
        <f t="shared" si="34"/>
        <v>747.75</v>
      </c>
      <c r="D279" s="144">
        <v>44896</v>
      </c>
      <c r="E279" s="76">
        <v>44905.055555555555</v>
      </c>
      <c r="F279" s="6" t="s">
        <v>131</v>
      </c>
      <c r="G279" s="5" t="str">
        <f>IFERROR(VLOOKUP(SUMIFS(MSOLICITADA!$I:$I,MSOLICITADA!$B:$B,D279,MSOLICITADA!$F:$F,F279),CODIGOSPLACAS!$A$64:$B$89,2,FALSE),"")</f>
        <v>ALTIELIS</v>
      </c>
      <c r="H279" s="77">
        <v>42418</v>
      </c>
      <c r="I279" s="77">
        <v>43158</v>
      </c>
      <c r="J279" s="7">
        <v>428.00099999999998</v>
      </c>
      <c r="K279" s="78">
        <v>2649.32</v>
      </c>
      <c r="L279" s="79" t="s">
        <v>111</v>
      </c>
      <c r="M279" s="6">
        <v>370</v>
      </c>
      <c r="N279" s="5">
        <f t="shared" si="28"/>
        <v>370</v>
      </c>
      <c r="O279" s="80">
        <f t="shared" si="29"/>
        <v>6.1899855374169697</v>
      </c>
      <c r="P279" s="8">
        <f t="shared" si="30"/>
        <v>1.7289679229721426</v>
      </c>
      <c r="Q279" s="8">
        <f t="shared" si="35"/>
        <v>1.6628833870031143</v>
      </c>
      <c r="R279" s="81">
        <f t="shared" si="31"/>
        <v>0.5</v>
      </c>
      <c r="S279" s="113" t="str">
        <f>IF(F279="","",IF(H279="",TEXT(_xlfn.MAXIFS($I$1:I279,$F$1:F279,F279,$H$1:H279,"&gt;"&amp;0),"000.000"),F279))</f>
        <v>GGN4J86</v>
      </c>
      <c r="T279" s="101">
        <f t="shared" si="36"/>
        <v>374</v>
      </c>
      <c r="U279" s="82" t="s">
        <v>220</v>
      </c>
      <c r="V279" s="98" t="s">
        <v>165</v>
      </c>
      <c r="W279" s="82" t="s">
        <v>222</v>
      </c>
      <c r="X279" s="98" t="s">
        <v>201</v>
      </c>
      <c r="Y279" s="82" t="s">
        <v>225</v>
      </c>
      <c r="Z279" s="98" t="s">
        <v>284</v>
      </c>
      <c r="AA279" s="82" t="s">
        <v>221</v>
      </c>
      <c r="AB279" s="98" t="s">
        <v>175</v>
      </c>
      <c r="AC279" s="82" t="s">
        <v>225</v>
      </c>
      <c r="AD279" s="98" t="s">
        <v>284</v>
      </c>
      <c r="AE279" s="117" t="s">
        <v>220</v>
      </c>
      <c r="AF279" s="98" t="s">
        <v>165</v>
      </c>
      <c r="AG279" s="82"/>
      <c r="AH279" s="98"/>
      <c r="AI279" s="82"/>
      <c r="AJ279" s="98"/>
      <c r="AK279" s="83"/>
      <c r="AL279" s="84" t="str">
        <f>IF(F279&lt;&gt;0,IF(_xlfn.MAXIFS($I$1:I279,$F$1:F279,F279,$H$1:H279,"&gt;"&amp;0)=0,"KM NÃO ENCONTRADO",IF(H279=0,CONCATENATE("SUGESTÃO DE KM PARA PLACA ",F279," *",_xlfn.MAXIFS($I$1:I279,$F$1:F279,F279,$H$1:H279,"&gt;"&amp;0),"*"),"")),"")</f>
        <v/>
      </c>
      <c r="AM279" s="85" t="str" cm="1">
        <f t="array" ref="AM279">IFERROR(IF(M279&lt;&gt;"","",CONCATENATE("https://btx.brasiltrack.com/logistica/trajeto.php?idveiculo=",VLOOKUP(F279,DATAS!$A$221:$B$250,2,FALSE),"&amp;lat=-22.204247","&amp;data_ini=",TEXT(IF(E279&lt;&gt;"",IF(COUNTIF($F$2:$F279,F279)&gt;1,MAX(IF($F$1:$F278=F279,$E$1:$E278)),""),""),"DD/MM/AAAA"),"&amp;data_fim=",TEXT(E279,"DD/MM/AAAA"),"&amp;hora_inicial=",HOUR(IF(E279&lt;&gt;"",IF(COUNTIF($F$2:$F279,F279)&gt;1,MAX(IF($F$1:$F278=F279,$E$1:$E278)),""),"")),"&amp;minuto_inicial=",MINUTE(IF(E279&lt;&gt;"",IF(COUNTIF($F$2:$F279,F279)&gt;1,MAX(IF($F$1:$F278=F279,$E$1:$E278)),""),"")),"&amp;hora_final=",HOUR(E279),"&amp;minuto_final=",MINUTE(E279),"&amp;periodo=6&amp;tipo=por_data&amp;upos=false&amp;outequip=0")),"")</f>
        <v/>
      </c>
      <c r="AN279" s="100" t="str">
        <f t="shared" si="32"/>
        <v xml:space="preserve">ABASTECEU no 22 NORTE DESCARREGOU em TRES CORACOES-MG PASSOU em SÃO PAULO-SP CARREGOU em SANTOS-SP PASSOU em SÃO PAULO-SP ABASTECEU no 22 NORTE    </v>
      </c>
    </row>
    <row r="280" spans="1:40" x14ac:dyDescent="0.25">
      <c r="A280" s="101">
        <f>IFERROR(VLOOKUP(AN280,ROTAS!$A:$B,2,FALSE),0)</f>
        <v>53</v>
      </c>
      <c r="B280" s="101">
        <f t="shared" si="33"/>
        <v>4</v>
      </c>
      <c r="C280" s="101">
        <f t="shared" si="34"/>
        <v>747.75</v>
      </c>
      <c r="D280" s="144">
        <v>44896</v>
      </c>
      <c r="E280" s="76">
        <v>44905.217361111114</v>
      </c>
      <c r="F280" s="6" t="s">
        <v>32</v>
      </c>
      <c r="G280" s="5" t="str">
        <f>IFERROR(VLOOKUP(SUMIFS(MSOLICITADA!$I:$I,MSOLICITADA!$B:$B,D280,MSOLICITADA!$F:$F,F280),CODIGOSPLACAS!$A$64:$B$89,2,FALSE),"")</f>
        <v>ADILSON</v>
      </c>
      <c r="H280" s="77">
        <v>195741</v>
      </c>
      <c r="I280" s="77">
        <v>196488</v>
      </c>
      <c r="J280" s="7">
        <v>407.00099999999998</v>
      </c>
      <c r="K280" s="78">
        <v>2519.33</v>
      </c>
      <c r="L280" s="79" t="s">
        <v>111</v>
      </c>
      <c r="M280" s="6">
        <v>373</v>
      </c>
      <c r="N280" s="5">
        <f t="shared" si="28"/>
        <v>374</v>
      </c>
      <c r="O280" s="80">
        <f t="shared" si="29"/>
        <v>6.1899847911921597</v>
      </c>
      <c r="P280" s="8">
        <f t="shared" si="30"/>
        <v>1.8353763258566933</v>
      </c>
      <c r="Q280" s="8">
        <f t="shared" si="35"/>
        <v>1.7045945118851598</v>
      </c>
      <c r="R280" s="81">
        <f t="shared" si="31"/>
        <v>0.49933065595716197</v>
      </c>
      <c r="S280" s="113" t="str">
        <f>IF(F280="","",IF(H280="",TEXT(_xlfn.MAXIFS($I$1:I280,$F$1:F280,F280,$H$1:H280,"&gt;"&amp;0),"000.000"),F280))</f>
        <v>GJU9A22</v>
      </c>
      <c r="T280" s="101">
        <f t="shared" si="36"/>
        <v>374</v>
      </c>
      <c r="U280" s="82" t="s">
        <v>220</v>
      </c>
      <c r="V280" s="98" t="s">
        <v>165</v>
      </c>
      <c r="W280" s="82" t="s">
        <v>222</v>
      </c>
      <c r="X280" s="98" t="s">
        <v>201</v>
      </c>
      <c r="Y280" s="82" t="s">
        <v>225</v>
      </c>
      <c r="Z280" s="98" t="s">
        <v>284</v>
      </c>
      <c r="AA280" s="82" t="s">
        <v>221</v>
      </c>
      <c r="AB280" s="98" t="s">
        <v>175</v>
      </c>
      <c r="AC280" s="82" t="s">
        <v>225</v>
      </c>
      <c r="AD280" s="98" t="s">
        <v>284</v>
      </c>
      <c r="AE280" s="117" t="s">
        <v>220</v>
      </c>
      <c r="AF280" s="98" t="s">
        <v>165</v>
      </c>
      <c r="AG280" s="82"/>
      <c r="AH280" s="98"/>
      <c r="AI280" s="82"/>
      <c r="AJ280" s="98"/>
      <c r="AK280" s="83"/>
      <c r="AL280" s="84" t="str">
        <f>IF(F280&lt;&gt;0,IF(_xlfn.MAXIFS($I$1:I280,$F$1:F280,F280,$H$1:H280,"&gt;"&amp;0)=0,"KM NÃO ENCONTRADO",IF(H280=0,CONCATENATE("SUGESTÃO DE KM PARA PLACA ",F280," *",_xlfn.MAXIFS($I$1:I280,$F$1:F280,F280,$H$1:H280,"&gt;"&amp;0),"*"),"")),"")</f>
        <v/>
      </c>
      <c r="AM280" s="85" t="str" cm="1">
        <f t="array" ref="AM280">IFERROR(IF(M280&lt;&gt;"","",CONCATENATE("https://btx.brasiltrack.com/logistica/trajeto.php?idveiculo=",VLOOKUP(F280,DATAS!$A$221:$B$250,2,FALSE),"&amp;lat=-22.204247","&amp;data_ini=",TEXT(IF(E280&lt;&gt;"",IF(COUNTIF($F$2:$F280,F280)&gt;1,MAX(IF($F$1:$F279=F280,$E$1:$E279)),""),""),"DD/MM/AAAA"),"&amp;data_fim=",TEXT(E280,"DD/MM/AAAA"),"&amp;hora_inicial=",HOUR(IF(E280&lt;&gt;"",IF(COUNTIF($F$2:$F280,F280)&gt;1,MAX(IF($F$1:$F279=F280,$E$1:$E279)),""),"")),"&amp;minuto_inicial=",MINUTE(IF(E280&lt;&gt;"",IF(COUNTIF($F$2:$F280,F280)&gt;1,MAX(IF($F$1:$F279=F280,$E$1:$E279)),""),"")),"&amp;hora_final=",HOUR(E280),"&amp;minuto_final=",MINUTE(E280),"&amp;periodo=6&amp;tipo=por_data&amp;upos=false&amp;outequip=0")),"")</f>
        <v/>
      </c>
      <c r="AN280" s="100" t="str">
        <f t="shared" si="32"/>
        <v xml:space="preserve">ABASTECEU no 22 NORTE DESCARREGOU em TRES CORACOES-MG PASSOU em SÃO PAULO-SP CARREGOU em SANTOS-SP PASSOU em SÃO PAULO-SP ABASTECEU no 22 NORTE    </v>
      </c>
    </row>
    <row r="281" spans="1:40" x14ac:dyDescent="0.25">
      <c r="A281" s="101">
        <f>IFERROR(VLOOKUP(AN281,ROTAS!$A:$B,2,FALSE),0)</f>
        <v>53</v>
      </c>
      <c r="B281" s="101">
        <f t="shared" si="33"/>
        <v>4</v>
      </c>
      <c r="C281" s="101">
        <f t="shared" si="34"/>
        <v>747.75</v>
      </c>
      <c r="D281" s="144">
        <v>44896</v>
      </c>
      <c r="E281" s="76">
        <v>44905.220138888886</v>
      </c>
      <c r="F281" s="6" t="s">
        <v>28</v>
      </c>
      <c r="G281" s="5" t="str">
        <f>IFERROR(VLOOKUP(SUMIFS(MSOLICITADA!$I:$I,MSOLICITADA!$B:$B,D281,MSOLICITADA!$F:$F,F281),CODIGOSPLACAS!$A$64:$B$89,2,FALSE),"")</f>
        <v>RONY</v>
      </c>
      <c r="H281" s="77">
        <v>240669</v>
      </c>
      <c r="I281" s="77">
        <v>241416</v>
      </c>
      <c r="J281" s="7">
        <v>447.00099999999998</v>
      </c>
      <c r="K281" s="78">
        <v>2766.93</v>
      </c>
      <c r="L281" s="79" t="s">
        <v>111</v>
      </c>
      <c r="M281" s="6">
        <v>374</v>
      </c>
      <c r="N281" s="5">
        <f t="shared" si="28"/>
        <v>373</v>
      </c>
      <c r="O281" s="80">
        <f t="shared" si="29"/>
        <v>6.1899861521562594</v>
      </c>
      <c r="P281" s="8">
        <f t="shared" si="30"/>
        <v>1.6711372010353445</v>
      </c>
      <c r="Q281" s="8">
        <f t="shared" si="35"/>
        <v>1.5503831077411701</v>
      </c>
      <c r="R281" s="81">
        <f t="shared" si="31"/>
        <v>0.50066934404283803</v>
      </c>
      <c r="S281" s="113" t="str">
        <f>IF(F281="","",IF(H281="",TEXT(_xlfn.MAXIFS($I$1:I281,$F$1:F281,F281,$H$1:H281,"&gt;"&amp;0),"000.000"),F281))</f>
        <v>FZA3E94</v>
      </c>
      <c r="T281" s="101">
        <f t="shared" si="36"/>
        <v>374</v>
      </c>
      <c r="U281" s="82" t="s">
        <v>220</v>
      </c>
      <c r="V281" s="98" t="s">
        <v>165</v>
      </c>
      <c r="W281" s="82" t="s">
        <v>222</v>
      </c>
      <c r="X281" s="98" t="s">
        <v>201</v>
      </c>
      <c r="Y281" s="82" t="s">
        <v>225</v>
      </c>
      <c r="Z281" s="98" t="s">
        <v>284</v>
      </c>
      <c r="AA281" s="82" t="s">
        <v>221</v>
      </c>
      <c r="AB281" s="98" t="s">
        <v>175</v>
      </c>
      <c r="AC281" s="82" t="s">
        <v>225</v>
      </c>
      <c r="AD281" s="98" t="s">
        <v>284</v>
      </c>
      <c r="AE281" s="117" t="s">
        <v>220</v>
      </c>
      <c r="AF281" s="98" t="s">
        <v>165</v>
      </c>
      <c r="AG281" s="82"/>
      <c r="AH281" s="98"/>
      <c r="AI281" s="82"/>
      <c r="AJ281" s="98"/>
      <c r="AK281" s="83"/>
      <c r="AL281" s="84" t="str">
        <f>IF(F281&lt;&gt;0,IF(_xlfn.MAXIFS($I$1:I281,$F$1:F281,F281,$H$1:H281,"&gt;"&amp;0)=0,"KM NÃO ENCONTRADO",IF(H281=0,CONCATENATE("SUGESTÃO DE KM PARA PLACA ",F281," *",_xlfn.MAXIFS($I$1:I281,$F$1:F281,F281,$H$1:H281,"&gt;"&amp;0),"*"),"")),"")</f>
        <v/>
      </c>
      <c r="AM281" s="85" t="str" cm="1">
        <f t="array" ref="AM281">IFERROR(IF(M281&lt;&gt;"","",CONCATENATE("https://btx.brasiltrack.com/logistica/trajeto.php?idveiculo=",VLOOKUP(F281,DATAS!$A$221:$B$250,2,FALSE),"&amp;lat=-22.204247","&amp;data_ini=",TEXT(IF(E281&lt;&gt;"",IF(COUNTIF($F$2:$F281,F281)&gt;1,MAX(IF($F$1:$F280=F281,$E$1:$E280)),""),""),"DD/MM/AAAA"),"&amp;data_fim=",TEXT(E281,"DD/MM/AAAA"),"&amp;hora_inicial=",HOUR(IF(E281&lt;&gt;"",IF(COUNTIF($F$2:$F281,F281)&gt;1,MAX(IF($F$1:$F280=F281,$E$1:$E280)),""),"")),"&amp;minuto_inicial=",MINUTE(IF(E281&lt;&gt;"",IF(COUNTIF($F$2:$F281,F281)&gt;1,MAX(IF($F$1:$F280=F281,$E$1:$E280)),""),"")),"&amp;hora_final=",HOUR(E281),"&amp;minuto_final=",MINUTE(E281),"&amp;periodo=6&amp;tipo=por_data&amp;upos=false&amp;outequip=0")),"")</f>
        <v/>
      </c>
      <c r="AN281" s="100" t="str">
        <f t="shared" si="32"/>
        <v xml:space="preserve">ABASTECEU no 22 NORTE DESCARREGOU em TRES CORACOES-MG PASSOU em SÃO PAULO-SP CARREGOU em SANTOS-SP PASSOU em SÃO PAULO-SP ABASTECEU no 22 NORTE    </v>
      </c>
    </row>
    <row r="282" spans="1:40" x14ac:dyDescent="0.25">
      <c r="A282" s="101">
        <f>IFERROR(VLOOKUP(AN282,ROTAS!$A:$B,2,FALSE),0)</f>
        <v>54</v>
      </c>
      <c r="B282" s="101">
        <f t="shared" si="33"/>
        <v>2</v>
      </c>
      <c r="C282" s="101">
        <f t="shared" si="34"/>
        <v>559.5</v>
      </c>
      <c r="D282" s="144">
        <v>44896</v>
      </c>
      <c r="E282" s="76">
        <v>44905.416666666664</v>
      </c>
      <c r="F282" s="6" t="s">
        <v>126</v>
      </c>
      <c r="G282" s="5" t="str">
        <f>IFERROR(VLOOKUP(SUMIFS(MSOLICITADA!$I:$I,MSOLICITADA!$B:$B,D282,MSOLICITADA!$F:$F,F282),CODIGOSPLACAS!$A$64:$B$89,2,FALSE),"")</f>
        <v>IZAIAS</v>
      </c>
      <c r="H282" s="77">
        <v>485519</v>
      </c>
      <c r="I282" s="77">
        <v>486079</v>
      </c>
      <c r="J282" s="7">
        <v>116.2</v>
      </c>
      <c r="K282" s="78">
        <v>715.79</v>
      </c>
      <c r="L282" s="79" t="s">
        <v>112</v>
      </c>
      <c r="M282" s="6">
        <v>341</v>
      </c>
      <c r="N282" s="5">
        <f t="shared" si="28"/>
        <v>219</v>
      </c>
      <c r="O282" s="80">
        <f t="shared" si="29"/>
        <v>6.1599827882960412</v>
      </c>
      <c r="P282" s="8">
        <f t="shared" si="30"/>
        <v>4.8192771084337345</v>
      </c>
      <c r="Q282" s="8">
        <f t="shared" si="35"/>
        <v>1.5097907680030693</v>
      </c>
      <c r="R282" s="81">
        <f t="shared" si="31"/>
        <v>0.60892857142857137</v>
      </c>
      <c r="S282" s="113" t="str">
        <f>IF(F282="","",IF(H282="",TEXT(_xlfn.MAXIFS($I$1:I282,$F$1:F282,F282,$H$1:H282,"&gt;"&amp;0),"000.000"),F282))</f>
        <v>GHX4D71</v>
      </c>
      <c r="T282" s="101">
        <f t="shared" si="36"/>
        <v>219</v>
      </c>
      <c r="U282" s="82" t="s">
        <v>220</v>
      </c>
      <c r="V282" s="98" t="s">
        <v>165</v>
      </c>
      <c r="W282" s="82" t="s">
        <v>222</v>
      </c>
      <c r="X282" s="98" t="s">
        <v>167</v>
      </c>
      <c r="Y282" s="82" t="s">
        <v>221</v>
      </c>
      <c r="Z282" s="98" t="s">
        <v>195</v>
      </c>
      <c r="AA282" s="82" t="s">
        <v>220</v>
      </c>
      <c r="AB282" s="98" t="s">
        <v>206</v>
      </c>
      <c r="AC282" s="82"/>
      <c r="AD282" s="98"/>
      <c r="AE282" s="117"/>
      <c r="AF282" s="98"/>
      <c r="AG282" s="82"/>
      <c r="AH282" s="98"/>
      <c r="AI282" s="82"/>
      <c r="AJ282" s="98"/>
      <c r="AK282" s="83"/>
      <c r="AL282" s="84" t="str">
        <f>IF(F282&lt;&gt;0,IF(_xlfn.MAXIFS($I$1:I282,$F$1:F282,F282,$H$1:H282,"&gt;"&amp;0)=0,"KM NÃO ENCONTRADO",IF(H282=0,CONCATENATE("SUGESTÃO DE KM PARA PLACA ",F282," *",_xlfn.MAXIFS($I$1:I282,$F$1:F282,F282,$H$1:H282,"&gt;"&amp;0),"*"),"")),"")</f>
        <v/>
      </c>
      <c r="AM282" s="85" t="str" cm="1">
        <f t="array" ref="AM282">IFERROR(IF(M282&lt;&gt;"","",CONCATENATE("https://btx.brasiltrack.com/logistica/trajeto.php?idveiculo=",VLOOKUP(F282,DATAS!$A$221:$B$250,2,FALSE),"&amp;lat=-22.204247","&amp;data_ini=",TEXT(IF(E282&lt;&gt;"",IF(COUNTIF($F$2:$F282,F282)&gt;1,MAX(IF($F$1:$F281=F282,$E$1:$E281)),""),""),"DD/MM/AAAA"),"&amp;data_fim=",TEXT(E282,"DD/MM/AAAA"),"&amp;hora_inicial=",HOUR(IF(E282&lt;&gt;"",IF(COUNTIF($F$2:$F282,F282)&gt;1,MAX(IF($F$1:$F281=F282,$E$1:$E281)),""),"")),"&amp;minuto_inicial=",MINUTE(IF(E282&lt;&gt;"",IF(COUNTIF($F$2:$F282,F282)&gt;1,MAX(IF($F$1:$F281=F282,$E$1:$E281)),""),"")),"&amp;hora_final=",HOUR(E282),"&amp;minuto_final=",MINUTE(E282),"&amp;periodo=6&amp;tipo=por_data&amp;upos=false&amp;outequip=0")),"")</f>
        <v/>
      </c>
      <c r="AN282" s="100" t="str">
        <f t="shared" si="32"/>
        <v xml:space="preserve">ABASTECEU no 22 NORTE DESCARREGOU em VARGINHA-MG CARREGOU em CORREGO FUNDO-MG ABASTECEU no CANDEIAS-MG        </v>
      </c>
    </row>
    <row r="283" spans="1:40" x14ac:dyDescent="0.25">
      <c r="A283" s="101">
        <f>IFERROR(VLOOKUP(AN283,ROTAS!$A:$B,2,FALSE),0)</f>
        <v>52</v>
      </c>
      <c r="B283" s="101">
        <f t="shared" si="33"/>
        <v>3</v>
      </c>
      <c r="C283" s="101">
        <f t="shared" si="34"/>
        <v>1067.3333333333333</v>
      </c>
      <c r="D283" s="144">
        <v>44896</v>
      </c>
      <c r="E283" s="76">
        <v>44905.417361111111</v>
      </c>
      <c r="F283" s="6" t="s">
        <v>31</v>
      </c>
      <c r="G283" s="5" t="str">
        <f>IFERROR(VLOOKUP(SUMIFS(MSOLICITADA!$I:$I,MSOLICITADA!$B:$B,D283,MSOLICITADA!$F:$F,F283),CODIGOSPLACAS!$A$64:$B$89,2,FALSE),"")</f>
        <v>CELIO</v>
      </c>
      <c r="H283" s="77">
        <v>208755</v>
      </c>
      <c r="I283" s="77">
        <v>209785</v>
      </c>
      <c r="J283" s="7">
        <v>605</v>
      </c>
      <c r="K283" s="78">
        <v>3847.8</v>
      </c>
      <c r="L283" s="79" t="s">
        <v>111</v>
      </c>
      <c r="M283" s="6">
        <v>430</v>
      </c>
      <c r="N283" s="5">
        <f t="shared" si="28"/>
        <v>600</v>
      </c>
      <c r="O283" s="80">
        <f t="shared" si="29"/>
        <v>6.36</v>
      </c>
      <c r="P283" s="8">
        <f t="shared" si="30"/>
        <v>1.7024793388429753</v>
      </c>
      <c r="Q283" s="8">
        <f t="shared" si="35"/>
        <v>1.4905351021016544</v>
      </c>
      <c r="R283" s="81">
        <f t="shared" si="31"/>
        <v>0.41747572815533979</v>
      </c>
      <c r="S283" s="113" t="str">
        <f>IF(F283="","",IF(H283="",TEXT(_xlfn.MAXIFS($I$1:I283,$F$1:F283,F283,$H$1:H283,"&gt;"&amp;0),"000.000"),F283))</f>
        <v>GGZ3G38</v>
      </c>
      <c r="T283" s="101">
        <f t="shared" si="36"/>
        <v>633</v>
      </c>
      <c r="U283" s="82" t="s">
        <v>220</v>
      </c>
      <c r="V283" s="98" t="s">
        <v>226</v>
      </c>
      <c r="W283" s="82" t="s">
        <v>221</v>
      </c>
      <c r="X283" s="98" t="s">
        <v>230</v>
      </c>
      <c r="Y283" s="82" t="s">
        <v>220</v>
      </c>
      <c r="Z283" s="121" t="s">
        <v>227</v>
      </c>
      <c r="AA283" s="121"/>
      <c r="AB283" s="98"/>
      <c r="AC283" s="82"/>
      <c r="AD283" s="98"/>
      <c r="AE283" s="117"/>
      <c r="AF283" s="98"/>
      <c r="AG283" s="82"/>
      <c r="AH283" s="98"/>
      <c r="AI283" s="82"/>
      <c r="AJ283" s="98"/>
      <c r="AK283" s="83"/>
      <c r="AL283" s="84" t="str">
        <f>IF(F283&lt;&gt;0,IF(_xlfn.MAXIFS($I$1:I283,$F$1:F283,F283,$H$1:H283,"&gt;"&amp;0)=0,"KM NÃO ENCONTRADO",IF(H283=0,CONCATENATE("SUGESTÃO DE KM PARA PLACA ",F283," *",_xlfn.MAXIFS($I$1:I283,$F$1:F283,F283,$H$1:H283,"&gt;"&amp;0),"*"),"")),"")</f>
        <v/>
      </c>
      <c r="AM283" s="85" t="str" cm="1">
        <f t="array" ref="AM283">IFERROR(IF(M283&lt;&gt;"","",CONCATENATE("https://btx.brasiltrack.com/logistica/trajeto.php?idveiculo=",VLOOKUP(F283,DATAS!$A$221:$B$250,2,FALSE),"&amp;lat=-22.204247","&amp;data_ini=",TEXT(IF(E283&lt;&gt;"",IF(COUNTIF($F$2:$F283,F283)&gt;1,MAX(IF($F$1:$F282=F283,$E$1:$E282)),""),""),"DD/MM/AAAA"),"&amp;data_fim=",TEXT(E283,"DD/MM/AAAA"),"&amp;hora_inicial=",HOUR(IF(E283&lt;&gt;"",IF(COUNTIF($F$2:$F283,F283)&gt;1,MAX(IF($F$1:$F282=F283,$E$1:$E282)),""),"")),"&amp;minuto_inicial=",MINUTE(IF(E283&lt;&gt;"",IF(COUNTIF($F$2:$F283,F283)&gt;1,MAX(IF($F$1:$F282=F283,$E$1:$E282)),""),"")),"&amp;hora_final=",HOUR(E283),"&amp;minuto_final=",MINUTE(E283),"&amp;periodo=6&amp;tipo=por_data&amp;upos=false&amp;outequip=0")),"")</f>
        <v/>
      </c>
      <c r="AN283" s="100" t="str">
        <f t="shared" si="32"/>
        <v xml:space="preserve">ABASTECEU no PRODOESTE UBA CARREGOU em IPAMERI-GO ABASTECEU no PICA PAU NORTE          </v>
      </c>
    </row>
    <row r="284" spans="1:40" x14ac:dyDescent="0.25">
      <c r="A284" s="101">
        <f>IFERROR(VLOOKUP(AN284,ROTAS!$A:$B,2,FALSE),0)</f>
        <v>55</v>
      </c>
      <c r="B284" s="101">
        <f t="shared" si="33"/>
        <v>3</v>
      </c>
      <c r="C284" s="101">
        <f t="shared" si="34"/>
        <v>480</v>
      </c>
      <c r="D284" s="144">
        <v>44896</v>
      </c>
      <c r="E284" s="76">
        <v>44906.080555555556</v>
      </c>
      <c r="F284" s="6" t="s">
        <v>124</v>
      </c>
      <c r="G284" s="5" t="str">
        <f>IFERROR(VLOOKUP(SUMIFS(MSOLICITADA!$I:$I,MSOLICITADA!$B:$B,D284,MSOLICITADA!$F:$F,F284),CODIGOSPLACAS!$A$64:$B$89,2,FALSE),"")</f>
        <v>ISRAEL</v>
      </c>
      <c r="H284" s="77">
        <v>135916</v>
      </c>
      <c r="I284" s="77">
        <v>136395</v>
      </c>
      <c r="J284" s="7">
        <v>352.00099999999998</v>
      </c>
      <c r="K284" s="78">
        <v>2178.88</v>
      </c>
      <c r="L284" s="79" t="s">
        <v>111</v>
      </c>
      <c r="M284" s="6">
        <v>456</v>
      </c>
      <c r="N284" s="5">
        <f t="shared" si="28"/>
        <v>23</v>
      </c>
      <c r="O284" s="80">
        <f t="shared" si="29"/>
        <v>6.1899824148226861</v>
      </c>
      <c r="P284" s="8">
        <f t="shared" si="30"/>
        <v>1.3607915886602595</v>
      </c>
      <c r="Q284" s="8">
        <f t="shared" si="35"/>
        <v>1.6396894062131062</v>
      </c>
      <c r="R284" s="81">
        <f t="shared" si="31"/>
        <v>0.95198329853862218</v>
      </c>
      <c r="S284" s="113" t="str">
        <f>IF(F284="","",IF(H284="",TEXT(_xlfn.MAXIFS($I$1:I284,$F$1:F284,F284,$H$1:H284,"&gt;"&amp;0),"000.000"),F284))</f>
        <v>GHH9B64</v>
      </c>
      <c r="T284" s="101">
        <f t="shared" si="36"/>
        <v>24.333333333333332</v>
      </c>
      <c r="U284" s="82" t="s">
        <v>220</v>
      </c>
      <c r="V284" s="98" t="s">
        <v>227</v>
      </c>
      <c r="W284" s="82" t="s">
        <v>225</v>
      </c>
      <c r="X284" s="98" t="s">
        <v>284</v>
      </c>
      <c r="Y284" s="82" t="s">
        <v>222</v>
      </c>
      <c r="Z284" s="98" t="s">
        <v>175</v>
      </c>
      <c r="AA284" s="82" t="s">
        <v>221</v>
      </c>
      <c r="AB284" s="98" t="s">
        <v>168</v>
      </c>
      <c r="AC284" s="82" t="s">
        <v>225</v>
      </c>
      <c r="AD284" s="98" t="s">
        <v>284</v>
      </c>
      <c r="AE284" s="82" t="s">
        <v>220</v>
      </c>
      <c r="AF284" s="98" t="s">
        <v>165</v>
      </c>
      <c r="AG284" s="82"/>
      <c r="AH284" s="98"/>
      <c r="AI284" s="82"/>
      <c r="AJ284" s="98"/>
      <c r="AK284" s="83"/>
      <c r="AL284" s="84" t="str">
        <f>IF(F284&lt;&gt;0,IF(_xlfn.MAXIFS($I$1:I284,$F$1:F284,F284,$H$1:H284,"&gt;"&amp;0)=0,"KM NÃO ENCONTRADO",IF(H284=0,CONCATENATE("SUGESTÃO DE KM PARA PLACA ",F284," *",_xlfn.MAXIFS($I$1:I284,$F$1:F284,F284,$H$1:H284,"&gt;"&amp;0),"*"),"")),"")</f>
        <v/>
      </c>
      <c r="AM284" s="85" t="str" cm="1">
        <f t="array" ref="AM284">IFERROR(IF(M284&lt;&gt;"","",CONCATENATE("https://btx.brasiltrack.com/logistica/trajeto.php?idveiculo=",VLOOKUP(F284,DATAS!$A$221:$B$250,2,FALSE),"&amp;lat=-22.204247","&amp;data_ini=",TEXT(IF(E284&lt;&gt;"",IF(COUNTIF($F$2:$F284,F284)&gt;1,MAX(IF($F$1:$F283=F284,$E$1:$E283)),""),""),"DD/MM/AAAA"),"&amp;data_fim=",TEXT(E284,"DD/MM/AAAA"),"&amp;hora_inicial=",HOUR(IF(E284&lt;&gt;"",IF(COUNTIF($F$2:$F284,F284)&gt;1,MAX(IF($F$1:$F283=F284,$E$1:$E283)),""),"")),"&amp;minuto_inicial=",MINUTE(IF(E284&lt;&gt;"",IF(COUNTIF($F$2:$F284,F284)&gt;1,MAX(IF($F$1:$F283=F284,$E$1:$E283)),""),"")),"&amp;hora_final=",HOUR(E284),"&amp;minuto_final=",MINUTE(E284),"&amp;periodo=6&amp;tipo=por_data&amp;upos=false&amp;outequip=0")),"")</f>
        <v/>
      </c>
      <c r="AN284" s="100" t="str">
        <f t="shared" si="32"/>
        <v xml:space="preserve">ABASTECEU no PICA PAU NORTE PASSOU em SÃO PAULO-SP DESCARREGOU em SANTOS-SP CARREGOU em CUBATAO-SP PASSOU em SÃO PAULO-SP ABASTECEU no 22 NORTE    </v>
      </c>
    </row>
    <row r="285" spans="1:40" x14ac:dyDescent="0.25">
      <c r="A285" s="101">
        <f>IFERROR(VLOOKUP(AN285,ROTAS!$A:$B,2,FALSE),0)</f>
        <v>49</v>
      </c>
      <c r="B285" s="101">
        <f t="shared" si="33"/>
        <v>4</v>
      </c>
      <c r="C285" s="101">
        <f t="shared" si="34"/>
        <v>759.5</v>
      </c>
      <c r="D285" s="144">
        <v>44896</v>
      </c>
      <c r="E285" s="76">
        <v>44906.081944444442</v>
      </c>
      <c r="F285" s="6" t="s">
        <v>131</v>
      </c>
      <c r="G285" s="5" t="str">
        <f>IFERROR(VLOOKUP(SUMIFS(MSOLICITADA!$I:$I,MSOLICITADA!$B:$B,D285,MSOLICITADA!$F:$F,F285),CODIGOSPLACAS!$A$64:$B$89,2,FALSE),"")</f>
        <v>ALTIELIS</v>
      </c>
      <c r="H285" s="77">
        <v>43158</v>
      </c>
      <c r="I285" s="77">
        <v>43917</v>
      </c>
      <c r="J285" s="7">
        <v>383.971</v>
      </c>
      <c r="K285" s="78">
        <v>2376.7800000000002</v>
      </c>
      <c r="L285" s="79" t="s">
        <v>111</v>
      </c>
      <c r="M285" s="6">
        <v>380</v>
      </c>
      <c r="N285" s="5">
        <f t="shared" si="28"/>
        <v>379</v>
      </c>
      <c r="O285" s="80">
        <f t="shared" si="29"/>
        <v>6.1899987238619589</v>
      </c>
      <c r="P285" s="8">
        <f t="shared" si="30"/>
        <v>1.9767117829211061</v>
      </c>
      <c r="Q285" s="8">
        <f t="shared" si="35"/>
        <v>1.6628833870031143</v>
      </c>
      <c r="R285" s="81">
        <f t="shared" si="31"/>
        <v>0.50065876152832678</v>
      </c>
      <c r="S285" s="113" t="str">
        <f>IF(F285="","",IF(H285="",TEXT(_xlfn.MAXIFS($I$1:I285,$F$1:F285,F285,$H$1:H285,"&gt;"&amp;0),"000.000"),F285))</f>
        <v>GGN4J86</v>
      </c>
      <c r="T285" s="101">
        <f t="shared" si="36"/>
        <v>380.75</v>
      </c>
      <c r="U285" s="82" t="s">
        <v>220</v>
      </c>
      <c r="V285" s="98" t="s">
        <v>165</v>
      </c>
      <c r="W285" s="82" t="s">
        <v>222</v>
      </c>
      <c r="X285" s="98" t="s">
        <v>167</v>
      </c>
      <c r="Y285" s="82" t="s">
        <v>225</v>
      </c>
      <c r="Z285" s="98" t="s">
        <v>284</v>
      </c>
      <c r="AA285" s="82" t="s">
        <v>221</v>
      </c>
      <c r="AB285" s="98" t="s">
        <v>168</v>
      </c>
      <c r="AC285" s="82" t="s">
        <v>225</v>
      </c>
      <c r="AD285" s="98" t="s">
        <v>284</v>
      </c>
      <c r="AE285" s="82" t="s">
        <v>220</v>
      </c>
      <c r="AF285" s="98" t="s">
        <v>165</v>
      </c>
      <c r="AG285" s="82"/>
      <c r="AH285" s="98"/>
      <c r="AI285" s="82"/>
      <c r="AJ285" s="98"/>
      <c r="AK285" s="83"/>
      <c r="AL285" s="84" t="str">
        <f>IF(F285&lt;&gt;0,IF(_xlfn.MAXIFS($I$1:I285,$F$1:F285,F285,$H$1:H285,"&gt;"&amp;0)=0,"KM NÃO ENCONTRADO",IF(H285=0,CONCATENATE("SUGESTÃO DE KM PARA PLACA ",F285," *",_xlfn.MAXIFS($I$1:I285,$F$1:F285,F285,$H$1:H285,"&gt;"&amp;0),"*"),"")),"")</f>
        <v/>
      </c>
      <c r="AM285" s="85" t="str" cm="1">
        <f t="array" ref="AM285">IFERROR(IF(M285&lt;&gt;"","",CONCATENATE("https://btx.brasiltrack.com/logistica/trajeto.php?idveiculo=",VLOOKUP(F285,DATAS!$A$221:$B$250,2,FALSE),"&amp;lat=-22.204247","&amp;data_ini=",TEXT(IF(E285&lt;&gt;"",IF(COUNTIF($F$2:$F285,F285)&gt;1,MAX(IF($F$1:$F284=F285,$E$1:$E284)),""),""),"DD/MM/AAAA"),"&amp;data_fim=",TEXT(E285,"DD/MM/AAAA"),"&amp;hora_inicial=",HOUR(IF(E285&lt;&gt;"",IF(COUNTIF($F$2:$F285,F285)&gt;1,MAX(IF($F$1:$F284=F285,$E$1:$E284)),""),"")),"&amp;minuto_inicial=",MINUTE(IF(E285&lt;&gt;"",IF(COUNTIF($F$2:$F285,F285)&gt;1,MAX(IF($F$1:$F284=F285,$E$1:$E284)),""),"")),"&amp;hora_final=",HOUR(E285),"&amp;minuto_final=",MINUTE(E285),"&amp;periodo=6&amp;tipo=por_data&amp;upos=false&amp;outequip=0")),"")</f>
        <v/>
      </c>
      <c r="AN285" s="100" t="str">
        <f t="shared" si="32"/>
        <v xml:space="preserve">ABASTECEU no 22 NORTE DESCARREGOU em VARGINHA-MG PASSOU em SÃO PAULO-SP CARREGOU em CUBATAO-SP PASSOU em SÃO PAULO-SP ABASTECEU no 22 NORTE    </v>
      </c>
    </row>
    <row r="286" spans="1:40" x14ac:dyDescent="0.25">
      <c r="A286" s="101">
        <f>IFERROR(VLOOKUP(AN286,ROTAS!$A:$B,2,FALSE),0)</f>
        <v>55</v>
      </c>
      <c r="B286" s="101">
        <f t="shared" si="33"/>
        <v>3</v>
      </c>
      <c r="C286" s="101">
        <f t="shared" si="34"/>
        <v>480</v>
      </c>
      <c r="D286" s="144">
        <v>44896</v>
      </c>
      <c r="E286" s="76">
        <v>44906.13958333333</v>
      </c>
      <c r="F286" s="6" t="s">
        <v>29</v>
      </c>
      <c r="G286" s="5" t="str">
        <f>IFERROR(VLOOKUP(SUMIFS(MSOLICITADA!$I:$I,MSOLICITADA!$B:$B,D286,MSOLICITADA!$F:$F,F286),CODIGOSPLACAS!$A$64:$B$89,2,FALSE),"")</f>
        <v>EDNILSON</v>
      </c>
      <c r="H286" s="77">
        <v>234889</v>
      </c>
      <c r="I286" s="77">
        <v>235365</v>
      </c>
      <c r="J286" s="7">
        <v>362.01100000000002</v>
      </c>
      <c r="K286" s="78">
        <v>2240.84</v>
      </c>
      <c r="L286" s="79" t="s">
        <v>111</v>
      </c>
      <c r="M286" s="6">
        <v>451</v>
      </c>
      <c r="N286" s="5">
        <f t="shared" si="28"/>
        <v>25</v>
      </c>
      <c r="O286" s="80">
        <f t="shared" si="29"/>
        <v>6.1899776526127663</v>
      </c>
      <c r="P286" s="8">
        <f t="shared" si="30"/>
        <v>1.3148771722406225</v>
      </c>
      <c r="Q286" s="8">
        <f t="shared" si="35"/>
        <v>1.5750677554084309</v>
      </c>
      <c r="R286" s="81">
        <f t="shared" si="31"/>
        <v>0.94747899159663862</v>
      </c>
      <c r="S286" s="113" t="str">
        <f>IF(F286="","",IF(H286="",TEXT(_xlfn.MAXIFS($I$1:I286,$F$1:F286,F286,$H$1:H286,"&gt;"&amp;0),"000.000"),F286))</f>
        <v>GKA2J56</v>
      </c>
      <c r="T286" s="101">
        <f t="shared" si="36"/>
        <v>24.333333333333332</v>
      </c>
      <c r="U286" s="82" t="s">
        <v>220</v>
      </c>
      <c r="V286" s="98" t="s">
        <v>227</v>
      </c>
      <c r="W286" s="82" t="s">
        <v>225</v>
      </c>
      <c r="X286" s="98" t="s">
        <v>284</v>
      </c>
      <c r="Y286" s="82" t="s">
        <v>222</v>
      </c>
      <c r="Z286" s="98" t="s">
        <v>175</v>
      </c>
      <c r="AA286" s="82" t="s">
        <v>221</v>
      </c>
      <c r="AB286" s="98" t="s">
        <v>168</v>
      </c>
      <c r="AC286" s="82" t="s">
        <v>225</v>
      </c>
      <c r="AD286" s="98" t="s">
        <v>284</v>
      </c>
      <c r="AE286" s="82" t="s">
        <v>220</v>
      </c>
      <c r="AF286" s="98" t="s">
        <v>165</v>
      </c>
      <c r="AG286" s="82"/>
      <c r="AH286" s="98"/>
      <c r="AI286" s="82"/>
      <c r="AJ286" s="98"/>
      <c r="AK286" s="83"/>
      <c r="AL286" s="84" t="str">
        <f>IF(F286&lt;&gt;0,IF(_xlfn.MAXIFS($I$1:I286,$F$1:F286,F286,$H$1:H286,"&gt;"&amp;0)=0,"KM NÃO ENCONTRADO",IF(H286=0,CONCATENATE("SUGESTÃO DE KM PARA PLACA ",F286," *",_xlfn.MAXIFS($I$1:I286,$F$1:F286,F286,$H$1:H286,"&gt;"&amp;0),"*"),"")),"")</f>
        <v/>
      </c>
      <c r="AM286" s="85" t="str" cm="1">
        <f t="array" ref="AM286">IFERROR(IF(M286&lt;&gt;"","",CONCATENATE("https://btx.brasiltrack.com/logistica/trajeto.php?idveiculo=",VLOOKUP(F286,DATAS!$A$221:$B$250,2,FALSE),"&amp;lat=-22.204247","&amp;data_ini=",TEXT(IF(E286&lt;&gt;"",IF(COUNTIF($F$2:$F286,F286)&gt;1,MAX(IF($F$1:$F285=F286,$E$1:$E285)),""),""),"DD/MM/AAAA"),"&amp;data_fim=",TEXT(E286,"DD/MM/AAAA"),"&amp;hora_inicial=",HOUR(IF(E286&lt;&gt;"",IF(COUNTIF($F$2:$F286,F286)&gt;1,MAX(IF($F$1:$F285=F286,$E$1:$E285)),""),"")),"&amp;minuto_inicial=",MINUTE(IF(E286&lt;&gt;"",IF(COUNTIF($F$2:$F286,F286)&gt;1,MAX(IF($F$1:$F285=F286,$E$1:$E285)),""),"")),"&amp;hora_final=",HOUR(E286),"&amp;minuto_final=",MINUTE(E286),"&amp;periodo=6&amp;tipo=por_data&amp;upos=false&amp;outequip=0")),"")</f>
        <v/>
      </c>
      <c r="AN286" s="100" t="str">
        <f t="shared" si="32"/>
        <v xml:space="preserve">ABASTECEU no PICA PAU NORTE PASSOU em SÃO PAULO-SP DESCARREGOU em SANTOS-SP CARREGOU em CUBATAO-SP PASSOU em SÃO PAULO-SP ABASTECEU no 22 NORTE    </v>
      </c>
    </row>
    <row r="287" spans="1:40" x14ac:dyDescent="0.25">
      <c r="A287" s="101">
        <f>IFERROR(VLOOKUP(AN287,ROTAS!$A:$B,2,FALSE),0)</f>
        <v>55</v>
      </c>
      <c r="B287" s="101">
        <f t="shared" si="33"/>
        <v>3</v>
      </c>
      <c r="C287" s="101">
        <f t="shared" si="34"/>
        <v>480</v>
      </c>
      <c r="D287" s="144">
        <v>44896</v>
      </c>
      <c r="E287" s="76">
        <v>44906.140277777777</v>
      </c>
      <c r="F287" s="6" t="s">
        <v>26</v>
      </c>
      <c r="G287" s="5" t="str">
        <f>IFERROR(VLOOKUP(SUMIFS(MSOLICITADA!$I:$I,MSOLICITADA!$B:$B,D287,MSOLICITADA!$F:$F,F287),CODIGOSPLACAS!$A$64:$B$89,2,FALSE),"")</f>
        <v>DIEGO</v>
      </c>
      <c r="H287" s="77">
        <v>398866</v>
      </c>
      <c r="I287" s="77">
        <v>399351</v>
      </c>
      <c r="J287" s="7">
        <v>402.01100000000002</v>
      </c>
      <c r="K287" s="78">
        <v>2488.44</v>
      </c>
      <c r="L287" s="79" t="s">
        <v>111</v>
      </c>
      <c r="M287" s="6">
        <v>460</v>
      </c>
      <c r="N287" s="5">
        <f t="shared" si="28"/>
        <v>25</v>
      </c>
      <c r="O287" s="80">
        <f t="shared" si="29"/>
        <v>6.1899798761725426</v>
      </c>
      <c r="P287" s="8">
        <f t="shared" si="30"/>
        <v>1.2064346497981397</v>
      </c>
      <c r="Q287" s="8">
        <f t="shared" si="35"/>
        <v>1.42982167893118</v>
      </c>
      <c r="R287" s="81">
        <f t="shared" si="31"/>
        <v>0.94845360824742264</v>
      </c>
      <c r="S287" s="113" t="str">
        <f>IF(F287="","",IF(H287="",TEXT(_xlfn.MAXIFS($I$1:I287,$F$1:F287,F287,$H$1:H287,"&gt;"&amp;0),"000.000"),F287))</f>
        <v>BZA3587</v>
      </c>
      <c r="T287" s="101">
        <f t="shared" si="36"/>
        <v>24.333333333333332</v>
      </c>
      <c r="U287" s="82" t="s">
        <v>220</v>
      </c>
      <c r="V287" s="98" t="s">
        <v>227</v>
      </c>
      <c r="W287" s="82" t="s">
        <v>225</v>
      </c>
      <c r="X287" s="98" t="s">
        <v>284</v>
      </c>
      <c r="Y287" s="82" t="s">
        <v>222</v>
      </c>
      <c r="Z287" s="98" t="s">
        <v>175</v>
      </c>
      <c r="AA287" s="82" t="s">
        <v>221</v>
      </c>
      <c r="AB287" s="98" t="s">
        <v>168</v>
      </c>
      <c r="AC287" s="82" t="s">
        <v>225</v>
      </c>
      <c r="AD287" s="98" t="s">
        <v>284</v>
      </c>
      <c r="AE287" s="82" t="s">
        <v>220</v>
      </c>
      <c r="AF287" s="98" t="s">
        <v>165</v>
      </c>
      <c r="AG287" s="82"/>
      <c r="AH287" s="98"/>
      <c r="AI287" s="82"/>
      <c r="AJ287" s="98"/>
      <c r="AK287" s="83"/>
      <c r="AL287" s="84" t="str">
        <f>IF(F287&lt;&gt;0,IF(_xlfn.MAXIFS($I$1:I287,$F$1:F287,F287,$H$1:H287,"&gt;"&amp;0)=0,"KM NÃO ENCONTRADO",IF(H287=0,CONCATENATE("SUGESTÃO DE KM PARA PLACA ",F287," *",_xlfn.MAXIFS($I$1:I287,$F$1:F287,F287,$H$1:H287,"&gt;"&amp;0),"*"),"")),"")</f>
        <v/>
      </c>
      <c r="AM287" s="85" t="str" cm="1">
        <f t="array" ref="AM287">IFERROR(IF(M287&lt;&gt;"","",CONCATENATE("https://btx.brasiltrack.com/logistica/trajeto.php?idveiculo=",VLOOKUP(F287,DATAS!$A$221:$B$250,2,FALSE),"&amp;lat=-22.204247","&amp;data_ini=",TEXT(IF(E287&lt;&gt;"",IF(COUNTIF($F$2:$F287,F287)&gt;1,MAX(IF($F$1:$F286=F287,$E$1:$E286)),""),""),"DD/MM/AAAA"),"&amp;data_fim=",TEXT(E287,"DD/MM/AAAA"),"&amp;hora_inicial=",HOUR(IF(E287&lt;&gt;"",IF(COUNTIF($F$2:$F287,F287)&gt;1,MAX(IF($F$1:$F286=F287,$E$1:$E286)),""),"")),"&amp;minuto_inicial=",MINUTE(IF(E287&lt;&gt;"",IF(COUNTIF($F$2:$F287,F287)&gt;1,MAX(IF($F$1:$F286=F287,$E$1:$E286)),""),"")),"&amp;hora_final=",HOUR(E287),"&amp;minuto_final=",MINUTE(E287),"&amp;periodo=6&amp;tipo=por_data&amp;upos=false&amp;outequip=0")),"")</f>
        <v/>
      </c>
      <c r="AN287" s="100" t="str">
        <f t="shared" si="32"/>
        <v xml:space="preserve">ABASTECEU no PICA PAU NORTE PASSOU em SÃO PAULO-SP DESCARREGOU em SANTOS-SP CARREGOU em CUBATAO-SP PASSOU em SÃO PAULO-SP ABASTECEU no 22 NORTE    </v>
      </c>
    </row>
    <row r="288" spans="1:40" x14ac:dyDescent="0.25">
      <c r="A288" s="101">
        <f>IFERROR(VLOOKUP(AN288,ROTAS!$A:$B,2,FALSE),0)</f>
        <v>49</v>
      </c>
      <c r="B288" s="101">
        <f t="shared" si="33"/>
        <v>4</v>
      </c>
      <c r="C288" s="101">
        <f t="shared" si="34"/>
        <v>759.5</v>
      </c>
      <c r="D288" s="144">
        <v>44896</v>
      </c>
      <c r="E288" s="76">
        <v>44906.15</v>
      </c>
      <c r="F288" s="6" t="s">
        <v>28</v>
      </c>
      <c r="G288" s="5" t="str">
        <f>IFERROR(VLOOKUP(SUMIFS(MSOLICITADA!$I:$I,MSOLICITADA!$B:$B,D288,MSOLICITADA!$F:$F,F288),CODIGOSPLACAS!$A$64:$B$89,2,FALSE),"")</f>
        <v>RONY</v>
      </c>
      <c r="H288" s="77">
        <v>241416</v>
      </c>
      <c r="I288" s="77">
        <v>242180</v>
      </c>
      <c r="J288" s="7">
        <v>441.25200000000001</v>
      </c>
      <c r="K288" s="78">
        <v>2731.33</v>
      </c>
      <c r="L288" s="79" t="s">
        <v>111</v>
      </c>
      <c r="M288" s="6">
        <v>380</v>
      </c>
      <c r="N288" s="5">
        <f t="shared" si="28"/>
        <v>384</v>
      </c>
      <c r="O288" s="80">
        <f t="shared" si="29"/>
        <v>6.1899549463798458</v>
      </c>
      <c r="P288" s="8">
        <f t="shared" si="30"/>
        <v>1.7314369113341128</v>
      </c>
      <c r="Q288" s="8">
        <f t="shared" si="35"/>
        <v>1.5503831077411701</v>
      </c>
      <c r="R288" s="81">
        <f t="shared" si="31"/>
        <v>0.49738219895287961</v>
      </c>
      <c r="S288" s="113" t="str">
        <f>IF(F288="","",IF(H288="",TEXT(_xlfn.MAXIFS($I$1:I288,$F$1:F288,F288,$H$1:H288,"&gt;"&amp;0),"000.000"),F288))</f>
        <v>FZA3E94</v>
      </c>
      <c r="T288" s="101">
        <f t="shared" si="36"/>
        <v>380.75</v>
      </c>
      <c r="U288" s="82" t="s">
        <v>220</v>
      </c>
      <c r="V288" s="98" t="s">
        <v>165</v>
      </c>
      <c r="W288" s="82" t="s">
        <v>222</v>
      </c>
      <c r="X288" s="98" t="s">
        <v>167</v>
      </c>
      <c r="Y288" s="82" t="s">
        <v>225</v>
      </c>
      <c r="Z288" s="98" t="s">
        <v>284</v>
      </c>
      <c r="AA288" s="82" t="s">
        <v>221</v>
      </c>
      <c r="AB288" s="98" t="s">
        <v>168</v>
      </c>
      <c r="AC288" s="82" t="s">
        <v>225</v>
      </c>
      <c r="AD288" s="98" t="s">
        <v>284</v>
      </c>
      <c r="AE288" s="82" t="s">
        <v>220</v>
      </c>
      <c r="AF288" s="98" t="s">
        <v>165</v>
      </c>
      <c r="AG288" s="82"/>
      <c r="AH288" s="98"/>
      <c r="AI288" s="82"/>
      <c r="AJ288" s="98"/>
      <c r="AK288" s="83"/>
      <c r="AL288" s="84" t="str">
        <f>IF(F288&lt;&gt;0,IF(_xlfn.MAXIFS($I$1:I288,$F$1:F288,F288,$H$1:H288,"&gt;"&amp;0)=0,"KM NÃO ENCONTRADO",IF(H288=0,CONCATENATE("SUGESTÃO DE KM PARA PLACA ",F288," *",_xlfn.MAXIFS($I$1:I288,$F$1:F288,F288,$H$1:H288,"&gt;"&amp;0),"*"),"")),"")</f>
        <v/>
      </c>
      <c r="AM288" s="85" t="str" cm="1">
        <f t="array" ref="AM288">IFERROR(IF(M288&lt;&gt;"","",CONCATENATE("https://btx.brasiltrack.com/logistica/trajeto.php?idveiculo=",VLOOKUP(F288,DATAS!$A$221:$B$250,2,FALSE),"&amp;lat=-22.204247","&amp;data_ini=",TEXT(IF(E288&lt;&gt;"",IF(COUNTIF($F$2:$F288,F288)&gt;1,MAX(IF($F$1:$F287=F288,$E$1:$E287)),""),""),"DD/MM/AAAA"),"&amp;data_fim=",TEXT(E288,"DD/MM/AAAA"),"&amp;hora_inicial=",HOUR(IF(E288&lt;&gt;"",IF(COUNTIF($F$2:$F288,F288)&gt;1,MAX(IF($F$1:$F287=F288,$E$1:$E287)),""),"")),"&amp;minuto_inicial=",MINUTE(IF(E288&lt;&gt;"",IF(COUNTIF($F$2:$F288,F288)&gt;1,MAX(IF($F$1:$F287=F288,$E$1:$E287)),""),"")),"&amp;hora_final=",HOUR(E288),"&amp;minuto_final=",MINUTE(E288),"&amp;periodo=6&amp;tipo=por_data&amp;upos=false&amp;outequip=0")),"")</f>
        <v/>
      </c>
      <c r="AN288" s="100" t="str">
        <f t="shared" si="32"/>
        <v xml:space="preserve">ABASTECEU no 22 NORTE DESCARREGOU em VARGINHA-MG PASSOU em SÃO PAULO-SP CARREGOU em CUBATAO-SP PASSOU em SÃO PAULO-SP ABASTECEU no 22 NORTE    </v>
      </c>
    </row>
    <row r="289" spans="1:40" x14ac:dyDescent="0.25">
      <c r="A289" s="101">
        <f>IFERROR(VLOOKUP(AN289,ROTAS!$A:$B,2,FALSE),0)</f>
        <v>49</v>
      </c>
      <c r="B289" s="101">
        <f t="shared" si="33"/>
        <v>4</v>
      </c>
      <c r="C289" s="101">
        <f t="shared" si="34"/>
        <v>759.5</v>
      </c>
      <c r="D289" s="144">
        <v>44896</v>
      </c>
      <c r="E289" s="76">
        <v>44906.15</v>
      </c>
      <c r="F289" s="6" t="s">
        <v>32</v>
      </c>
      <c r="G289" s="5" t="str">
        <f>IFERROR(VLOOKUP(SUMIFS(MSOLICITADA!$I:$I,MSOLICITADA!$B:$B,D289,MSOLICITADA!$F:$F,F289),CODIGOSPLACAS!$A$64:$B$89,2,FALSE),"")</f>
        <v>ADILSON</v>
      </c>
      <c r="H289" s="77">
        <v>196488</v>
      </c>
      <c r="I289" s="77">
        <v>197249</v>
      </c>
      <c r="J289" s="7">
        <v>425.00099999999998</v>
      </c>
      <c r="K289" s="78">
        <v>2630.75</v>
      </c>
      <c r="L289" s="79" t="s">
        <v>111</v>
      </c>
      <c r="M289" s="6">
        <v>380</v>
      </c>
      <c r="N289" s="5">
        <f t="shared" si="28"/>
        <v>381</v>
      </c>
      <c r="O289" s="80">
        <f t="shared" si="29"/>
        <v>6.1899854353283876</v>
      </c>
      <c r="P289" s="8">
        <f t="shared" si="30"/>
        <v>1.790584022155242</v>
      </c>
      <c r="Q289" s="8">
        <f t="shared" si="35"/>
        <v>1.7045945118851598</v>
      </c>
      <c r="R289" s="81">
        <f t="shared" si="31"/>
        <v>0.49934296977660975</v>
      </c>
      <c r="S289" s="113" t="str">
        <f>IF(F289="","",IF(H289="",TEXT(_xlfn.MAXIFS($I$1:I289,$F$1:F289,F289,$H$1:H289,"&gt;"&amp;0),"000.000"),F289))</f>
        <v>GJU9A22</v>
      </c>
      <c r="T289" s="101">
        <f t="shared" si="36"/>
        <v>380.75</v>
      </c>
      <c r="U289" s="82" t="s">
        <v>220</v>
      </c>
      <c r="V289" s="98" t="s">
        <v>165</v>
      </c>
      <c r="W289" s="82" t="s">
        <v>222</v>
      </c>
      <c r="X289" s="98" t="s">
        <v>167</v>
      </c>
      <c r="Y289" s="82" t="s">
        <v>225</v>
      </c>
      <c r="Z289" s="98" t="s">
        <v>284</v>
      </c>
      <c r="AA289" s="82" t="s">
        <v>221</v>
      </c>
      <c r="AB289" s="98" t="s">
        <v>168</v>
      </c>
      <c r="AC289" s="82" t="s">
        <v>225</v>
      </c>
      <c r="AD289" s="98" t="s">
        <v>284</v>
      </c>
      <c r="AE289" s="82" t="s">
        <v>220</v>
      </c>
      <c r="AF289" s="98" t="s">
        <v>165</v>
      </c>
      <c r="AG289" s="82"/>
      <c r="AH289" s="98"/>
      <c r="AI289" s="82"/>
      <c r="AJ289" s="98"/>
      <c r="AK289" s="83"/>
      <c r="AL289" s="84" t="str">
        <f>IF(F289&lt;&gt;0,IF(_xlfn.MAXIFS($I$1:I289,$F$1:F289,F289,$H$1:H289,"&gt;"&amp;0)=0,"KM NÃO ENCONTRADO",IF(H289=0,CONCATENATE("SUGESTÃO DE KM PARA PLACA ",F289," *",_xlfn.MAXIFS($I$1:I289,$F$1:F289,F289,$H$1:H289,"&gt;"&amp;0),"*"),"")),"")</f>
        <v/>
      </c>
      <c r="AM289" s="85" t="str" cm="1">
        <f t="array" ref="AM289">IFERROR(IF(M289&lt;&gt;"","",CONCATENATE("https://btx.brasiltrack.com/logistica/trajeto.php?idveiculo=",VLOOKUP(F289,DATAS!$A$221:$B$250,2,FALSE),"&amp;lat=-22.204247","&amp;data_ini=",TEXT(IF(E289&lt;&gt;"",IF(COUNTIF($F$2:$F289,F289)&gt;1,MAX(IF($F$1:$F288=F289,$E$1:$E288)),""),""),"DD/MM/AAAA"),"&amp;data_fim=",TEXT(E289,"DD/MM/AAAA"),"&amp;hora_inicial=",HOUR(IF(E289&lt;&gt;"",IF(COUNTIF($F$2:$F289,F289)&gt;1,MAX(IF($F$1:$F288=F289,$E$1:$E288)),""),"")),"&amp;minuto_inicial=",MINUTE(IF(E289&lt;&gt;"",IF(COUNTIF($F$2:$F289,F289)&gt;1,MAX(IF($F$1:$F288=F289,$E$1:$E288)),""),"")),"&amp;hora_final=",HOUR(E289),"&amp;minuto_final=",MINUTE(E289),"&amp;periodo=6&amp;tipo=por_data&amp;upos=false&amp;outequip=0")),"")</f>
        <v/>
      </c>
      <c r="AN289" s="100" t="str">
        <f t="shared" si="32"/>
        <v xml:space="preserve">ABASTECEU no 22 NORTE DESCARREGOU em VARGINHA-MG PASSOU em SÃO PAULO-SP CARREGOU em CUBATAO-SP PASSOU em SÃO PAULO-SP ABASTECEU no 22 NORTE    </v>
      </c>
    </row>
    <row r="290" spans="1:40" x14ac:dyDescent="0.25">
      <c r="A290" s="101">
        <f>IFERROR(VLOOKUP(AN290,ROTAS!$A:$B,2,FALSE),0)</f>
        <v>56</v>
      </c>
      <c r="B290" s="101">
        <f t="shared" si="33"/>
        <v>7</v>
      </c>
      <c r="C290" s="101">
        <f t="shared" si="34"/>
        <v>379.28571428571428</v>
      </c>
      <c r="D290" s="144">
        <v>44896</v>
      </c>
      <c r="E290" s="76">
        <v>44906.381944444445</v>
      </c>
      <c r="F290" s="6" t="s">
        <v>124</v>
      </c>
      <c r="G290" s="5" t="str">
        <f>IFERROR(VLOOKUP(SUMIFS(MSOLICITADA!$I:$I,MSOLICITADA!$B:$B,D290,MSOLICITADA!$F:$F,F290),CODIGOSPLACAS!$A$64:$B$89,2,FALSE),"")</f>
        <v>ISRAEL</v>
      </c>
      <c r="H290" s="77">
        <v>136395</v>
      </c>
      <c r="I290" s="77">
        <v>136771</v>
      </c>
      <c r="J290" s="7">
        <v>184.1</v>
      </c>
      <c r="K290" s="78">
        <v>1134.05</v>
      </c>
      <c r="L290" s="79" t="s">
        <v>112</v>
      </c>
      <c r="M290" s="6">
        <v>0</v>
      </c>
      <c r="N290" s="5">
        <f t="shared" si="28"/>
        <v>376</v>
      </c>
      <c r="O290" s="80">
        <f t="shared" si="29"/>
        <v>6.159967409016839</v>
      </c>
      <c r="P290" s="8">
        <f t="shared" si="30"/>
        <v>2.042368278109723</v>
      </c>
      <c r="Q290" s="8">
        <f t="shared" si="35"/>
        <v>1.6396894062131062</v>
      </c>
      <c r="R290" s="81">
        <f t="shared" si="31"/>
        <v>0</v>
      </c>
      <c r="S290" s="113" t="str">
        <f>IF(F290="","",IF(H290="",TEXT(_xlfn.MAXIFS($I$1:I290,$F$1:F290,F290,$H$1:H290,"&gt;"&amp;0),"000.000"),F290))</f>
        <v>GHH9B64</v>
      </c>
      <c r="T290" s="101" t="str">
        <f t="shared" si="36"/>
        <v/>
      </c>
      <c r="U290" s="82" t="s">
        <v>220</v>
      </c>
      <c r="V290" s="98" t="s">
        <v>165</v>
      </c>
      <c r="W290" s="82" t="s">
        <v>220</v>
      </c>
      <c r="X290" s="98" t="s">
        <v>206</v>
      </c>
      <c r="Y290" s="82"/>
      <c r="Z290" s="98"/>
      <c r="AA290" s="82"/>
      <c r="AB290" s="98"/>
      <c r="AC290" s="82"/>
      <c r="AD290" s="98"/>
      <c r="AE290" s="117"/>
      <c r="AF290" s="98"/>
      <c r="AG290" s="82"/>
      <c r="AH290" s="98"/>
      <c r="AI290" s="82"/>
      <c r="AJ290" s="98"/>
      <c r="AK290" s="83"/>
      <c r="AL290" s="84" t="str">
        <f>IF(F290&lt;&gt;0,IF(_xlfn.MAXIFS($I$1:I290,$F$1:F290,F290,$H$1:H290,"&gt;"&amp;0)=0,"KM NÃO ENCONTRADO",IF(H290=0,CONCATENATE("SUGESTÃO DE KM PARA PLACA ",F290," *",_xlfn.MAXIFS($I$1:I290,$F$1:F290,F290,$H$1:H290,"&gt;"&amp;0),"*"),"")),"")</f>
        <v/>
      </c>
      <c r="AM290" s="85" t="str" cm="1">
        <f t="array" ref="AM290">IFERROR(IF(M290&lt;&gt;"","",CONCATENATE("https://btx.brasiltrack.com/logistica/trajeto.php?idveiculo=",VLOOKUP(F290,DATAS!$A$221:$B$250,2,FALSE),"&amp;lat=-22.204247","&amp;data_ini=",TEXT(IF(E290&lt;&gt;"",IF(COUNTIF($F$2:$F290,F290)&gt;1,MAX(IF($F$1:$F289=F290,$E$1:$E289)),""),""),"DD/MM/AAAA"),"&amp;data_fim=",TEXT(E290,"DD/MM/AAAA"),"&amp;hora_inicial=",HOUR(IF(E290&lt;&gt;"",IF(COUNTIF($F$2:$F290,F290)&gt;1,MAX(IF($F$1:$F289=F290,$E$1:$E289)),""),"")),"&amp;minuto_inicial=",MINUTE(IF(E290&lt;&gt;"",IF(COUNTIF($F$2:$F290,F290)&gt;1,MAX(IF($F$1:$F289=F290,$E$1:$E289)),""),"")),"&amp;hora_final=",HOUR(E290),"&amp;minuto_final=",MINUTE(E290),"&amp;periodo=6&amp;tipo=por_data&amp;upos=false&amp;outequip=0")),"")</f>
        <v/>
      </c>
      <c r="AN290" s="100" t="str">
        <f t="shared" si="32"/>
        <v xml:space="preserve">ABASTECEU no 22 NORTE ABASTECEU no CANDEIAS-MG            </v>
      </c>
    </row>
    <row r="291" spans="1:40" x14ac:dyDescent="0.25">
      <c r="A291" s="101">
        <f>IFERROR(VLOOKUP(AN291,ROTAS!$A:$B,2,FALSE),0)</f>
        <v>57</v>
      </c>
      <c r="B291" s="101">
        <f t="shared" si="33"/>
        <v>1</v>
      </c>
      <c r="C291" s="101">
        <f t="shared" si="34"/>
        <v>363</v>
      </c>
      <c r="D291" s="144">
        <v>44896</v>
      </c>
      <c r="E291" s="76">
        <v>44906.559027777781</v>
      </c>
      <c r="F291" s="6" t="s">
        <v>30</v>
      </c>
      <c r="G291" s="5" t="str">
        <f>IFERROR(VLOOKUP(SUMIFS(MSOLICITADA!$I:$I,MSOLICITADA!$B:$B,D291,MSOLICITADA!$F:$F,F291),CODIGOSPLACAS!$A$64:$B$89,2,FALSE),"")</f>
        <v>RONILSON</v>
      </c>
      <c r="H291" s="77">
        <v>216598</v>
      </c>
      <c r="I291" s="77">
        <v>216961</v>
      </c>
      <c r="J291" s="7">
        <v>504.09</v>
      </c>
      <c r="K291" s="78">
        <v>3288.74</v>
      </c>
      <c r="L291" s="79" t="s">
        <v>111</v>
      </c>
      <c r="M291" s="6">
        <v>306</v>
      </c>
      <c r="N291" s="5">
        <f t="shared" si="28"/>
        <v>57</v>
      </c>
      <c r="O291" s="80">
        <f t="shared" si="29"/>
        <v>6.5241127576424844</v>
      </c>
      <c r="P291" s="8">
        <f t="shared" si="30"/>
        <v>0.7201095042551926</v>
      </c>
      <c r="Q291" s="8">
        <f t="shared" si="35"/>
        <v>1.5093777841757006</v>
      </c>
      <c r="R291" s="81">
        <f t="shared" si="31"/>
        <v>0.84297520661157022</v>
      </c>
      <c r="S291" s="113" t="str">
        <f>IF(F291="","",IF(H291="",TEXT(_xlfn.MAXIFS($I$1:I291,$F$1:F291,F291,$H$1:H291,"&gt;"&amp;0),"000.000"),F291))</f>
        <v>GFB0I37</v>
      </c>
      <c r="T291" s="101">
        <f t="shared" si="36"/>
        <v>57</v>
      </c>
      <c r="U291" s="118" t="s">
        <v>220</v>
      </c>
      <c r="V291" s="120" t="s">
        <v>226</v>
      </c>
      <c r="W291" s="118" t="s">
        <v>221</v>
      </c>
      <c r="X291" s="120" t="s">
        <v>282</v>
      </c>
      <c r="Y291" s="118" t="s">
        <v>220</v>
      </c>
      <c r="Z291" s="120" t="s">
        <v>224</v>
      </c>
      <c r="AA291" s="115"/>
      <c r="AB291" s="116"/>
      <c r="AC291" s="115"/>
      <c r="AD291" s="116"/>
      <c r="AE291" s="118"/>
      <c r="AF291" s="116"/>
      <c r="AG291" s="82"/>
      <c r="AH291" s="98"/>
      <c r="AI291" s="82"/>
      <c r="AJ291" s="98"/>
      <c r="AK291" s="83"/>
      <c r="AL291" s="84" t="str">
        <f>IF(F291&lt;&gt;0,IF(_xlfn.MAXIFS($I$1:I291,$F$1:F291,F291,$H$1:H291,"&gt;"&amp;0)=0,"KM NÃO ENCONTRADO",IF(H291=0,CONCATENATE("SUGESTÃO DE KM PARA PLACA ",F291," *",_xlfn.MAXIFS($I$1:I291,$F$1:F291,F291,$H$1:H291,"&gt;"&amp;0),"*"),"")),"")</f>
        <v/>
      </c>
      <c r="AM291" s="85" t="str" cm="1">
        <f t="array" ref="AM291">IFERROR(IF(M291&lt;&gt;"","",CONCATENATE("https://btx.brasiltrack.com/logistica/trajeto.php?idveiculo=",VLOOKUP(F291,DATAS!$A$221:$B$250,2,FALSE),"&amp;lat=-22.204247","&amp;data_ini=",TEXT(IF(E291&lt;&gt;"",IF(COUNTIF($F$2:$F291,F291)&gt;1,MAX(IF($F$1:$F290=F291,$E$1:$E290)),""),""),"DD/MM/AAAA"),"&amp;data_fim=",TEXT(E291,"DD/MM/AAAA"),"&amp;hora_inicial=",HOUR(IF(E291&lt;&gt;"",IF(COUNTIF($F$2:$F291,F291)&gt;1,MAX(IF($F$1:$F290=F291,$E$1:$E290)),""),"")),"&amp;minuto_inicial=",MINUTE(IF(E291&lt;&gt;"",IF(COUNTIF($F$2:$F291,F291)&gt;1,MAX(IF($F$1:$F290=F291,$E$1:$E290)),""),"")),"&amp;hora_final=",HOUR(E291),"&amp;minuto_final=",MINUTE(E291),"&amp;periodo=6&amp;tipo=por_data&amp;upos=false&amp;outequip=0")),"")</f>
        <v/>
      </c>
      <c r="AN291" s="100" t="str">
        <f t="shared" si="32"/>
        <v xml:space="preserve">ABASTECEU no PRODOESTE UBA CARREGOU em CONC. DAS ALAGOAS-MG ABASTECEU no PICA PAU SUL          </v>
      </c>
    </row>
    <row r="292" spans="1:40" x14ac:dyDescent="0.25">
      <c r="A292" s="101">
        <f>IFERROR(VLOOKUP(AN292,ROTAS!$A:$B,2,FALSE),0)</f>
        <v>58</v>
      </c>
      <c r="B292" s="101">
        <f t="shared" si="33"/>
        <v>1</v>
      </c>
      <c r="C292" s="101">
        <f t="shared" si="34"/>
        <v>871</v>
      </c>
      <c r="D292" s="144">
        <v>44896</v>
      </c>
      <c r="E292" s="76">
        <v>44908.911805555559</v>
      </c>
      <c r="F292" s="6" t="s">
        <v>128</v>
      </c>
      <c r="G292" s="5" t="str">
        <f>IFERROR(VLOOKUP(SUMIFS(MSOLICITADA!$I:$I,MSOLICITADA!$B:$B,D292,MSOLICITADA!$F:$F,F292),CODIGOSPLACAS!$A$64:$B$89,2,FALSE),"")</f>
        <v>ELI RICARDO</v>
      </c>
      <c r="H292" s="77">
        <v>88300</v>
      </c>
      <c r="I292" s="77">
        <v>89171</v>
      </c>
      <c r="J292" s="7">
        <v>468.43</v>
      </c>
      <c r="K292" s="78">
        <v>2862.12</v>
      </c>
      <c r="L292" s="79" t="s">
        <v>111</v>
      </c>
      <c r="M292" s="6">
        <v>435</v>
      </c>
      <c r="N292" s="5">
        <f t="shared" si="28"/>
        <v>436</v>
      </c>
      <c r="O292" s="80">
        <f t="shared" si="29"/>
        <v>6.110027111841684</v>
      </c>
      <c r="P292" s="8">
        <f t="shared" si="30"/>
        <v>1.8594026855666801</v>
      </c>
      <c r="Q292" s="8">
        <f t="shared" si="35"/>
        <v>1.703484050067618</v>
      </c>
      <c r="R292" s="81">
        <f t="shared" si="31"/>
        <v>0.49942594718714123</v>
      </c>
      <c r="S292" s="113" t="str">
        <f>IF(F292="","",IF(H292="",TEXT(_xlfn.MAXIFS($I$1:I292,$F$1:F292,F292,$H$1:H292,"&gt;"&amp;0),"000.000"),F292))</f>
        <v>GFR0D47</v>
      </c>
      <c r="T292" s="101">
        <f t="shared" si="36"/>
        <v>436</v>
      </c>
      <c r="U292" s="82" t="s">
        <v>220</v>
      </c>
      <c r="V292" s="98" t="s">
        <v>165</v>
      </c>
      <c r="W292" s="82" t="s">
        <v>222</v>
      </c>
      <c r="X292" s="98" t="s">
        <v>167</v>
      </c>
      <c r="Y292" s="82" t="s">
        <v>225</v>
      </c>
      <c r="Z292" s="98" t="s">
        <v>237</v>
      </c>
      <c r="AA292" s="82" t="s">
        <v>221</v>
      </c>
      <c r="AB292" s="98" t="s">
        <v>168</v>
      </c>
      <c r="AC292" s="82" t="s">
        <v>225</v>
      </c>
      <c r="AD292" s="98" t="s">
        <v>237</v>
      </c>
      <c r="AE292" s="118" t="s">
        <v>220</v>
      </c>
      <c r="AF292" s="98" t="s">
        <v>165</v>
      </c>
      <c r="AG292" s="82"/>
      <c r="AH292" s="98"/>
      <c r="AI292" s="82"/>
      <c r="AJ292" s="98"/>
      <c r="AK292" s="83"/>
      <c r="AL292" s="84" t="str">
        <f>IF(F292&lt;&gt;0,IF(_xlfn.MAXIFS($I$1:I292,$F$1:F292,F292,$H$1:H292,"&gt;"&amp;0)=0,"KM NÃO ENCONTRADO",IF(H292=0,CONCATENATE("SUGESTÃO DE KM PARA PLACA ",F292," *",_xlfn.MAXIFS($I$1:I292,$F$1:F292,F292,$H$1:H292,"&gt;"&amp;0),"*"),"")),"")</f>
        <v/>
      </c>
      <c r="AM292" s="85" t="str" cm="1">
        <f t="array" ref="AM292">IFERROR(IF(M292&lt;&gt;"","",CONCATENATE("https://btx.brasiltrack.com/logistica/trajeto.php?idveiculo=",VLOOKUP(F292,DATAS!$A$221:$B$250,2,FALSE),"&amp;lat=-22.204247","&amp;data_ini=",TEXT(IF(E292&lt;&gt;"",IF(COUNTIF($F$2:$F292,F292)&gt;1,MAX(IF($F$1:$F291=F292,$E$1:$E291)),""),""),"DD/MM/AAAA"),"&amp;data_fim=",TEXT(E292,"DD/MM/AAAA"),"&amp;hora_inicial=",HOUR(IF(E292&lt;&gt;"",IF(COUNTIF($F$2:$F292,F292)&gt;1,MAX(IF($F$1:$F291=F292,$E$1:$E291)),""),"")),"&amp;minuto_inicial=",MINUTE(IF(E292&lt;&gt;"",IF(COUNTIF($F$2:$F292,F292)&gt;1,MAX(IF($F$1:$F291=F292,$E$1:$E291)),""),"")),"&amp;hora_final=",HOUR(E292),"&amp;minuto_final=",MINUTE(E292),"&amp;periodo=6&amp;tipo=por_data&amp;upos=false&amp;outequip=0")),"")</f>
        <v/>
      </c>
      <c r="AN292" s="100" t="str">
        <f t="shared" si="32"/>
        <v xml:space="preserve">ABASTECEU no 22 NORTE DESCARREGOU em VARGINHA-MG PASSOU em ARUJÁ-SP CARREGOU em CUBATAO-SP PASSOU em ARUJÁ-SP ABASTECEU no 22 NORTE    </v>
      </c>
    </row>
    <row r="293" spans="1:40" x14ac:dyDescent="0.25">
      <c r="A293" s="101">
        <f>IFERROR(VLOOKUP(AN293,ROTAS!$A:$B,2,FALSE),0)</f>
        <v>59</v>
      </c>
      <c r="B293" s="101">
        <f t="shared" si="33"/>
        <v>6</v>
      </c>
      <c r="C293" s="101">
        <f t="shared" si="34"/>
        <v>783.16666666666663</v>
      </c>
      <c r="D293" s="144">
        <v>44896</v>
      </c>
      <c r="E293" s="76">
        <v>44908.959722222222</v>
      </c>
      <c r="F293" s="6" t="s">
        <v>127</v>
      </c>
      <c r="G293" s="5" t="str">
        <f>IFERROR(VLOOKUP(SUMIFS(MSOLICITADA!$I:$I,MSOLICITADA!$B:$B,D293,MSOLICITADA!$F:$F,F293),CODIGOSPLACAS!$A$64:$B$89,2,FALSE),"")</f>
        <v>EVERTON</v>
      </c>
      <c r="H293" s="77">
        <v>1227621</v>
      </c>
      <c r="I293" s="77">
        <v>1228424</v>
      </c>
      <c r="J293" s="7">
        <v>400.00099999999998</v>
      </c>
      <c r="K293" s="78">
        <v>2444</v>
      </c>
      <c r="L293" s="79" t="s">
        <v>111</v>
      </c>
      <c r="M293" s="6">
        <v>368</v>
      </c>
      <c r="N293" s="5">
        <f t="shared" si="28"/>
        <v>435</v>
      </c>
      <c r="O293" s="80">
        <f t="shared" si="29"/>
        <v>6.1099847250381876</v>
      </c>
      <c r="P293" s="8">
        <f t="shared" si="30"/>
        <v>2.0074949812625471</v>
      </c>
      <c r="Q293" s="8">
        <f t="shared" si="35"/>
        <v>1.9282732243128911</v>
      </c>
      <c r="R293" s="81">
        <f t="shared" si="31"/>
        <v>0.45828144458281445</v>
      </c>
      <c r="S293" s="113" t="str">
        <f>IF(F293="","",IF(H293="",TEXT(_xlfn.MAXIFS($I$1:I293,$F$1:F293,F293,$H$1:H293,"&gt;"&amp;0),"000.000"),F293))</f>
        <v>OPM8J51</v>
      </c>
      <c r="T293" s="101">
        <f t="shared" si="36"/>
        <v>432.66666666666669</v>
      </c>
      <c r="U293" s="82" t="s">
        <v>220</v>
      </c>
      <c r="V293" s="98" t="s">
        <v>165</v>
      </c>
      <c r="W293" s="82" t="s">
        <v>222</v>
      </c>
      <c r="X293" s="98" t="s">
        <v>201</v>
      </c>
      <c r="Y293" s="82" t="s">
        <v>225</v>
      </c>
      <c r="Z293" s="98" t="s">
        <v>237</v>
      </c>
      <c r="AA293" s="82" t="s">
        <v>221</v>
      </c>
      <c r="AB293" s="98" t="s">
        <v>168</v>
      </c>
      <c r="AC293" s="82" t="s">
        <v>225</v>
      </c>
      <c r="AD293" s="98" t="s">
        <v>284</v>
      </c>
      <c r="AE293" s="118" t="s">
        <v>220</v>
      </c>
      <c r="AF293" s="98" t="s">
        <v>165</v>
      </c>
      <c r="AG293" s="82"/>
      <c r="AH293" s="98"/>
      <c r="AI293" s="82"/>
      <c r="AJ293" s="98"/>
      <c r="AK293" s="83"/>
      <c r="AL293" s="84" t="str">
        <f>IF(F293&lt;&gt;0,IF(_xlfn.MAXIFS($I$1:I293,$F$1:F293,F293,$H$1:H293,"&gt;"&amp;0)=0,"KM NÃO ENCONTRADO",IF(H293=0,CONCATENATE("SUGESTÃO DE KM PARA PLACA ",F293," *",_xlfn.MAXIFS($I$1:I293,$F$1:F293,F293,$H$1:H293,"&gt;"&amp;0),"*"),"")),"")</f>
        <v/>
      </c>
      <c r="AM293" s="85" t="str" cm="1">
        <f t="array" ref="AM293">IFERROR(IF(M293&lt;&gt;"","",CONCATENATE("https://btx.brasiltrack.com/logistica/trajeto.php?idveiculo=",VLOOKUP(F293,DATAS!$A$221:$B$250,2,FALSE),"&amp;lat=-22.204247","&amp;data_ini=",TEXT(IF(E293&lt;&gt;"",IF(COUNTIF($F$2:$F293,F293)&gt;1,MAX(IF($F$1:$F292=F293,$E$1:$E292)),""),""),"DD/MM/AAAA"),"&amp;data_fim=",TEXT(E293,"DD/MM/AAAA"),"&amp;hora_inicial=",HOUR(IF(E293&lt;&gt;"",IF(COUNTIF($F$2:$F293,F293)&gt;1,MAX(IF($F$1:$F292=F293,$E$1:$E292)),""),"")),"&amp;minuto_inicial=",MINUTE(IF(E293&lt;&gt;"",IF(COUNTIF($F$2:$F293,F293)&gt;1,MAX(IF($F$1:$F292=F293,$E$1:$E292)),""),"")),"&amp;hora_final=",HOUR(E293),"&amp;minuto_final=",MINUTE(E293),"&amp;periodo=6&amp;tipo=por_data&amp;upos=false&amp;outequip=0")),"")</f>
        <v/>
      </c>
      <c r="AN293" s="100" t="str">
        <f t="shared" si="32"/>
        <v xml:space="preserve">ABASTECEU no 22 NORTE DESCARREGOU em TRES CORACOES-MG PASSOU em ARUJÁ-SP CARREGOU em CUBATAO-SP PASSOU em SÃO PAULO-SP ABASTECEU no 22 NORTE    </v>
      </c>
    </row>
    <row r="294" spans="1:40" x14ac:dyDescent="0.25">
      <c r="A294" s="101">
        <f>IFERROR(VLOOKUP(AN294,ROTAS!$A:$B,2,FALSE),0)</f>
        <v>59</v>
      </c>
      <c r="B294" s="101">
        <f t="shared" si="33"/>
        <v>6</v>
      </c>
      <c r="C294" s="101">
        <f t="shared" si="34"/>
        <v>783.16666666666663</v>
      </c>
      <c r="D294" s="144">
        <v>44896</v>
      </c>
      <c r="E294" s="76">
        <v>44908.968055555553</v>
      </c>
      <c r="F294" s="6" t="s">
        <v>27</v>
      </c>
      <c r="G294" s="5" t="str">
        <f>IFERROR(VLOOKUP(SUMIFS(MSOLICITADA!$I:$I,MSOLICITADA!$B:$B,D294,MSOLICITADA!$F:$F,F294),CODIGOSPLACAS!$A$64:$B$89,2,FALSE),"")</f>
        <v>ANTONIO</v>
      </c>
      <c r="H294" s="77">
        <v>244917</v>
      </c>
      <c r="I294" s="77">
        <v>245684</v>
      </c>
      <c r="J294" s="7">
        <v>487.00099999999998</v>
      </c>
      <c r="K294" s="78">
        <v>2975.57</v>
      </c>
      <c r="L294" s="79" t="s">
        <v>111</v>
      </c>
      <c r="M294" s="6">
        <v>332</v>
      </c>
      <c r="N294" s="5">
        <f t="shared" si="28"/>
        <v>435</v>
      </c>
      <c r="O294" s="80">
        <f t="shared" si="29"/>
        <v>6.1099874538245311</v>
      </c>
      <c r="P294" s="8">
        <f t="shared" si="30"/>
        <v>1.5749454313235498</v>
      </c>
      <c r="Q294" s="8">
        <f t="shared" si="35"/>
        <v>1.4435398773633086</v>
      </c>
      <c r="R294" s="81">
        <f t="shared" si="31"/>
        <v>0.43285528031290743</v>
      </c>
      <c r="S294" s="113" t="str">
        <f>IF(F294="","",IF(H294="",TEXT(_xlfn.MAXIFS($I$1:I294,$F$1:F294,F294,$H$1:H294,"&gt;"&amp;0),"000.000"),F294))</f>
        <v>GHS4J57</v>
      </c>
      <c r="T294" s="101">
        <f t="shared" si="36"/>
        <v>432.66666666666669</v>
      </c>
      <c r="U294" s="82" t="s">
        <v>220</v>
      </c>
      <c r="V294" s="98" t="s">
        <v>165</v>
      </c>
      <c r="W294" s="82" t="s">
        <v>222</v>
      </c>
      <c r="X294" s="98" t="s">
        <v>201</v>
      </c>
      <c r="Y294" s="82" t="s">
        <v>225</v>
      </c>
      <c r="Z294" s="98" t="s">
        <v>237</v>
      </c>
      <c r="AA294" s="82" t="s">
        <v>221</v>
      </c>
      <c r="AB294" s="98" t="s">
        <v>168</v>
      </c>
      <c r="AC294" s="82" t="s">
        <v>225</v>
      </c>
      <c r="AD294" s="98" t="s">
        <v>284</v>
      </c>
      <c r="AE294" s="118" t="s">
        <v>220</v>
      </c>
      <c r="AF294" s="98" t="s">
        <v>165</v>
      </c>
      <c r="AG294" s="82"/>
      <c r="AH294" s="98"/>
      <c r="AI294" s="82"/>
      <c r="AJ294" s="98"/>
      <c r="AK294" s="83"/>
      <c r="AL294" s="84" t="str">
        <f>IF(F294&lt;&gt;0,IF(_xlfn.MAXIFS($I$1:I294,$F$1:F294,F294,$H$1:H294,"&gt;"&amp;0)=0,"KM NÃO ENCONTRADO",IF(H294=0,CONCATENATE("SUGESTÃO DE KM PARA PLACA ",F294," *",_xlfn.MAXIFS($I$1:I294,$F$1:F294,F294,$H$1:H294,"&gt;"&amp;0),"*"),"")),"")</f>
        <v/>
      </c>
      <c r="AM294" s="85" t="str" cm="1">
        <f t="array" ref="AM294">IFERROR(IF(M294&lt;&gt;"","",CONCATENATE("https://btx.brasiltrack.com/logistica/trajeto.php?idveiculo=",VLOOKUP(F294,DATAS!$A$221:$B$250,2,FALSE),"&amp;lat=-22.204247","&amp;data_ini=",TEXT(IF(E294&lt;&gt;"",IF(COUNTIF($F$2:$F294,F294)&gt;1,MAX(IF($F$1:$F293=F294,$E$1:$E293)),""),""),"DD/MM/AAAA"),"&amp;data_fim=",TEXT(E294,"DD/MM/AAAA"),"&amp;hora_inicial=",HOUR(IF(E294&lt;&gt;"",IF(COUNTIF($F$2:$F294,F294)&gt;1,MAX(IF($F$1:$F293=F294,$E$1:$E293)),""),"")),"&amp;minuto_inicial=",MINUTE(IF(E294&lt;&gt;"",IF(COUNTIF($F$2:$F294,F294)&gt;1,MAX(IF($F$1:$F293=F294,$E$1:$E293)),""),"")),"&amp;hora_final=",HOUR(E294),"&amp;minuto_final=",MINUTE(E294),"&amp;periodo=6&amp;tipo=por_data&amp;upos=false&amp;outequip=0")),"")</f>
        <v/>
      </c>
      <c r="AN294" s="100" t="str">
        <f t="shared" si="32"/>
        <v xml:space="preserve">ABASTECEU no 22 NORTE DESCARREGOU em TRES CORACOES-MG PASSOU em ARUJÁ-SP CARREGOU em CUBATAO-SP PASSOU em SÃO PAULO-SP ABASTECEU no 22 NORTE    </v>
      </c>
    </row>
    <row r="295" spans="1:40" x14ac:dyDescent="0.25">
      <c r="A295" s="101">
        <f>IFERROR(VLOOKUP(AN295,ROTAS!$A:$B,2,FALSE),0)</f>
        <v>59</v>
      </c>
      <c r="B295" s="101">
        <f t="shared" si="33"/>
        <v>6</v>
      </c>
      <c r="C295" s="101">
        <f t="shared" si="34"/>
        <v>783.16666666666663</v>
      </c>
      <c r="D295" s="144">
        <v>44896</v>
      </c>
      <c r="E295" s="76">
        <v>44909.011111111111</v>
      </c>
      <c r="F295" s="6" t="s">
        <v>32</v>
      </c>
      <c r="G295" s="5" t="str">
        <f>IFERROR(VLOOKUP(SUMIFS(MSOLICITADA!$I:$I,MSOLICITADA!$B:$B,D295,MSOLICITADA!$F:$F,F295),CODIGOSPLACAS!$A$64:$B$89,2,FALSE),"")</f>
        <v>ADILSON</v>
      </c>
      <c r="H295" s="77">
        <v>197249</v>
      </c>
      <c r="I295" s="77">
        <v>198028</v>
      </c>
      <c r="J295" s="7">
        <v>426.64</v>
      </c>
      <c r="K295" s="78">
        <v>2606.7800000000002</v>
      </c>
      <c r="L295" s="79" t="s">
        <v>111</v>
      </c>
      <c r="M295" s="6">
        <v>344</v>
      </c>
      <c r="N295" s="5">
        <f t="shared" si="28"/>
        <v>435</v>
      </c>
      <c r="O295" s="80">
        <f t="shared" si="29"/>
        <v>6.1100225014063385</v>
      </c>
      <c r="P295" s="8">
        <f t="shared" si="30"/>
        <v>1.8258953684605288</v>
      </c>
      <c r="Q295" s="8">
        <f t="shared" si="35"/>
        <v>1.7045945118851598</v>
      </c>
      <c r="R295" s="81">
        <f t="shared" si="31"/>
        <v>0.44159178433889601</v>
      </c>
      <c r="S295" s="113" t="str">
        <f>IF(F295="","",IF(H295="",TEXT(_xlfn.MAXIFS($I$1:I295,$F$1:F295,F295,$H$1:H295,"&gt;"&amp;0),"000.000"),F295))</f>
        <v>GJU9A22</v>
      </c>
      <c r="T295" s="101">
        <f t="shared" si="36"/>
        <v>432.66666666666669</v>
      </c>
      <c r="U295" s="82" t="s">
        <v>220</v>
      </c>
      <c r="V295" s="98" t="s">
        <v>165</v>
      </c>
      <c r="W295" s="82" t="s">
        <v>222</v>
      </c>
      <c r="X295" s="98" t="s">
        <v>201</v>
      </c>
      <c r="Y295" s="82" t="s">
        <v>225</v>
      </c>
      <c r="Z295" s="98" t="s">
        <v>237</v>
      </c>
      <c r="AA295" s="82" t="s">
        <v>221</v>
      </c>
      <c r="AB295" s="98" t="s">
        <v>168</v>
      </c>
      <c r="AC295" s="82" t="s">
        <v>225</v>
      </c>
      <c r="AD295" s="98" t="s">
        <v>284</v>
      </c>
      <c r="AE295" s="118" t="s">
        <v>220</v>
      </c>
      <c r="AF295" s="98" t="s">
        <v>165</v>
      </c>
      <c r="AG295" s="82"/>
      <c r="AH295" s="98"/>
      <c r="AI295" s="82"/>
      <c r="AJ295" s="98"/>
      <c r="AK295" s="83"/>
      <c r="AL295" s="84" t="str">
        <f>IF(F295&lt;&gt;0,IF(_xlfn.MAXIFS($I$1:I295,$F$1:F295,F295,$H$1:H295,"&gt;"&amp;0)=0,"KM NÃO ENCONTRADO",IF(H295=0,CONCATENATE("SUGESTÃO DE KM PARA PLACA ",F295," *",_xlfn.MAXIFS($I$1:I295,$F$1:F295,F295,$H$1:H295,"&gt;"&amp;0),"*"),"")),"")</f>
        <v/>
      </c>
      <c r="AM295" s="85" t="str" cm="1">
        <f t="array" ref="AM295">IFERROR(IF(M295&lt;&gt;"","",CONCATENATE("https://btx.brasiltrack.com/logistica/trajeto.php?idveiculo=",VLOOKUP(F295,DATAS!$A$221:$B$250,2,FALSE),"&amp;lat=-22.204247","&amp;data_ini=",TEXT(IF(E295&lt;&gt;"",IF(COUNTIF($F$2:$F295,F295)&gt;1,MAX(IF($F$1:$F294=F295,$E$1:$E294)),""),""),"DD/MM/AAAA"),"&amp;data_fim=",TEXT(E295,"DD/MM/AAAA"),"&amp;hora_inicial=",HOUR(IF(E295&lt;&gt;"",IF(COUNTIF($F$2:$F295,F295)&gt;1,MAX(IF($F$1:$F294=F295,$E$1:$E294)),""),"")),"&amp;minuto_inicial=",MINUTE(IF(E295&lt;&gt;"",IF(COUNTIF($F$2:$F295,F295)&gt;1,MAX(IF($F$1:$F294=F295,$E$1:$E294)),""),"")),"&amp;hora_final=",HOUR(E295),"&amp;minuto_final=",MINUTE(E295),"&amp;periodo=6&amp;tipo=por_data&amp;upos=false&amp;outequip=0")),"")</f>
        <v/>
      </c>
      <c r="AN295" s="100" t="str">
        <f t="shared" si="32"/>
        <v xml:space="preserve">ABASTECEU no 22 NORTE DESCARREGOU em TRES CORACOES-MG PASSOU em ARUJÁ-SP CARREGOU em CUBATAO-SP PASSOU em SÃO PAULO-SP ABASTECEU no 22 NORTE    </v>
      </c>
    </row>
    <row r="296" spans="1:40" x14ac:dyDescent="0.25">
      <c r="A296" s="101">
        <f>IFERROR(VLOOKUP(AN296,ROTAS!$A:$B,2,FALSE),0)</f>
        <v>60</v>
      </c>
      <c r="B296" s="101">
        <f t="shared" si="33"/>
        <v>1</v>
      </c>
      <c r="C296" s="101">
        <f t="shared" si="34"/>
        <v>937</v>
      </c>
      <c r="D296" s="144">
        <v>44896</v>
      </c>
      <c r="E296" s="76">
        <v>44909.031944444447</v>
      </c>
      <c r="F296" s="6" t="s">
        <v>33</v>
      </c>
      <c r="G296" s="5" t="str">
        <f>IFERROR(VLOOKUP(SUMIFS(MSOLICITADA!$I:$I,MSOLICITADA!$B:$B,D296,MSOLICITADA!$F:$F,F296),CODIGOSPLACAS!$A$64:$B$89,2,FALSE),"")</f>
        <v>JULIO</v>
      </c>
      <c r="H296" s="77">
        <v>162867</v>
      </c>
      <c r="I296" s="77">
        <v>163804</v>
      </c>
      <c r="J296" s="7">
        <v>540</v>
      </c>
      <c r="K296" s="78">
        <v>3300</v>
      </c>
      <c r="L296" s="79" t="s">
        <v>111</v>
      </c>
      <c r="M296" s="6">
        <v>529</v>
      </c>
      <c r="N296" s="5">
        <f t="shared" si="28"/>
        <v>408</v>
      </c>
      <c r="O296" s="80">
        <f t="shared" si="29"/>
        <v>6.1111111111111107</v>
      </c>
      <c r="P296" s="8">
        <f t="shared" si="30"/>
        <v>1.7351851851851852</v>
      </c>
      <c r="Q296" s="8">
        <f t="shared" si="35"/>
        <v>1.6210900048214474</v>
      </c>
      <c r="R296" s="81">
        <f t="shared" si="31"/>
        <v>0.56456776947705445</v>
      </c>
      <c r="S296" s="113" t="str">
        <f>IF(F296="","",IF(H296="",TEXT(_xlfn.MAXIFS($I$1:I296,$F$1:F296,F296,$H$1:H296,"&gt;"&amp;0),"000.000"),F296))</f>
        <v>GGF7G26</v>
      </c>
      <c r="T296" s="101">
        <f t="shared" si="36"/>
        <v>408</v>
      </c>
      <c r="U296" s="82" t="s">
        <v>220</v>
      </c>
      <c r="V296" s="98" t="s">
        <v>165</v>
      </c>
      <c r="W296" s="82" t="s">
        <v>222</v>
      </c>
      <c r="X296" s="98" t="s">
        <v>201</v>
      </c>
      <c r="Y296" s="82" t="s">
        <v>225</v>
      </c>
      <c r="Z296" s="98" t="s">
        <v>237</v>
      </c>
      <c r="AA296" s="82" t="s">
        <v>221</v>
      </c>
      <c r="AB296" s="98" t="s">
        <v>168</v>
      </c>
      <c r="AC296" s="82" t="s">
        <v>225</v>
      </c>
      <c r="AD296" s="98" t="s">
        <v>284</v>
      </c>
      <c r="AE296" s="118" t="s">
        <v>220</v>
      </c>
      <c r="AF296" s="98" t="s">
        <v>218</v>
      </c>
      <c r="AG296" s="82"/>
      <c r="AH296" s="98"/>
      <c r="AI296" s="82"/>
      <c r="AJ296" s="98"/>
      <c r="AK296" s="83"/>
      <c r="AL296" s="84" t="str">
        <f>IF(F296&lt;&gt;0,IF(_xlfn.MAXIFS($I$1:I296,$F$1:F296,F296,$H$1:H296,"&gt;"&amp;0)=0,"KM NÃO ENCONTRADO",IF(H296=0,CONCATENATE("SUGESTÃO DE KM PARA PLACA ",F296," *",_xlfn.MAXIFS($I$1:I296,$F$1:F296,F296,$H$1:H296,"&gt;"&amp;0),"*"),"")),"")</f>
        <v/>
      </c>
      <c r="AM296" s="85" t="str" cm="1">
        <f t="array" ref="AM296">IFERROR(IF(M296&lt;&gt;"","",CONCATENATE("https://btx.brasiltrack.com/logistica/trajeto.php?idveiculo=",VLOOKUP(F296,DATAS!$A$221:$B$250,2,FALSE),"&amp;lat=-22.204247","&amp;data_ini=",TEXT(IF(E296&lt;&gt;"",IF(COUNTIF($F$2:$F296,F296)&gt;1,MAX(IF($F$1:$F295=F296,$E$1:$E295)),""),""),"DD/MM/AAAA"),"&amp;data_fim=",TEXT(E296,"DD/MM/AAAA"),"&amp;hora_inicial=",HOUR(IF(E296&lt;&gt;"",IF(COUNTIF($F$2:$F296,F296)&gt;1,MAX(IF($F$1:$F295=F296,$E$1:$E295)),""),"")),"&amp;minuto_inicial=",MINUTE(IF(E296&lt;&gt;"",IF(COUNTIF($F$2:$F296,F296)&gt;1,MAX(IF($F$1:$F295=F296,$E$1:$E295)),""),"")),"&amp;hora_final=",HOUR(E296),"&amp;minuto_final=",MINUTE(E296),"&amp;periodo=6&amp;tipo=por_data&amp;upos=false&amp;outequip=0")),"")</f>
        <v/>
      </c>
      <c r="AN296" s="100" t="str">
        <f t="shared" si="32"/>
        <v xml:space="preserve">ABASTECEU no 22 NORTE DESCARREGOU em TRES CORACOES-MG PASSOU em ARUJÁ-SP CARREGOU em CUBATAO-SP PASSOU em SÃO PAULO-SP ABASTECEU no DP PA NORTE    </v>
      </c>
    </row>
    <row r="297" spans="1:40" x14ac:dyDescent="0.25">
      <c r="A297" s="101">
        <f>IFERROR(VLOOKUP(AN297,ROTAS!$A:$B,2,FALSE),0)</f>
        <v>61</v>
      </c>
      <c r="B297" s="101">
        <f t="shared" si="33"/>
        <v>1</v>
      </c>
      <c r="C297" s="101">
        <f t="shared" si="34"/>
        <v>708</v>
      </c>
      <c r="D297" s="144">
        <v>44896</v>
      </c>
      <c r="E297" s="76">
        <v>44909.059027777781</v>
      </c>
      <c r="F297" s="6" t="s">
        <v>126</v>
      </c>
      <c r="G297" s="5" t="str">
        <f>IFERROR(VLOOKUP(SUMIFS(MSOLICITADA!$I:$I,MSOLICITADA!$B:$B,D297,MSOLICITADA!$F:$F,F297),CODIGOSPLACAS!$A$64:$B$89,2,FALSE),"")</f>
        <v>IZAIAS</v>
      </c>
      <c r="H297" s="77">
        <v>486079</v>
      </c>
      <c r="I297" s="77">
        <v>486787</v>
      </c>
      <c r="J297" s="7">
        <v>708.01099999999997</v>
      </c>
      <c r="K297" s="78">
        <v>4325.9399999999996</v>
      </c>
      <c r="L297" s="79" t="s">
        <v>111</v>
      </c>
      <c r="M297" s="6">
        <v>288</v>
      </c>
      <c r="N297" s="5">
        <f t="shared" si="28"/>
        <v>420</v>
      </c>
      <c r="O297" s="80">
        <f t="shared" si="29"/>
        <v>6.1099898165423978</v>
      </c>
      <c r="P297" s="8">
        <f t="shared" si="30"/>
        <v>0.99998446351822223</v>
      </c>
      <c r="Q297" s="8">
        <f t="shared" si="35"/>
        <v>1.5097907680030693</v>
      </c>
      <c r="R297" s="81">
        <f t="shared" si="31"/>
        <v>0.40677966101694918</v>
      </c>
      <c r="S297" s="113" t="str">
        <f>IF(F297="","",IF(H297="",TEXT(_xlfn.MAXIFS($I$1:I297,$F$1:F297,F297,$H$1:H297,"&gt;"&amp;0),"000.000"),F297))</f>
        <v>GHX4D71</v>
      </c>
      <c r="T297" s="101">
        <f t="shared" si="36"/>
        <v>420</v>
      </c>
      <c r="U297" s="82" t="s">
        <v>220</v>
      </c>
      <c r="V297" s="98" t="s">
        <v>206</v>
      </c>
      <c r="W297" s="82" t="s">
        <v>222</v>
      </c>
      <c r="X297" s="98" t="s">
        <v>167</v>
      </c>
      <c r="Y297" s="82" t="s">
        <v>225</v>
      </c>
      <c r="Z297" s="98" t="s">
        <v>237</v>
      </c>
      <c r="AA297" s="82" t="s">
        <v>221</v>
      </c>
      <c r="AB297" s="98" t="s">
        <v>168</v>
      </c>
      <c r="AC297" s="82" t="s">
        <v>225</v>
      </c>
      <c r="AD297" s="98" t="s">
        <v>284</v>
      </c>
      <c r="AE297" s="118" t="s">
        <v>220</v>
      </c>
      <c r="AF297" s="98" t="s">
        <v>165</v>
      </c>
      <c r="AG297" s="82"/>
      <c r="AH297" s="98"/>
      <c r="AI297" s="82"/>
      <c r="AJ297" s="98"/>
      <c r="AK297" s="83"/>
      <c r="AL297" s="84" t="str">
        <f>IF(F297&lt;&gt;0,IF(_xlfn.MAXIFS($I$1:I297,$F$1:F297,F297,$H$1:H297,"&gt;"&amp;0)=0,"KM NÃO ENCONTRADO",IF(H297=0,CONCATENATE("SUGESTÃO DE KM PARA PLACA ",F297," *",_xlfn.MAXIFS($I$1:I297,$F$1:F297,F297,$H$1:H297,"&gt;"&amp;0),"*"),"")),"")</f>
        <v/>
      </c>
      <c r="AM297" s="85" t="str" cm="1">
        <f t="array" ref="AM297">IFERROR(IF(M297&lt;&gt;"","",CONCATENATE("https://btx.brasiltrack.com/logistica/trajeto.php?idveiculo=",VLOOKUP(F297,DATAS!$A$221:$B$250,2,FALSE),"&amp;lat=-22.204247","&amp;data_ini=",TEXT(IF(E297&lt;&gt;"",IF(COUNTIF($F$2:$F297,F297)&gt;1,MAX(IF($F$1:$F296=F297,$E$1:$E296)),""),""),"DD/MM/AAAA"),"&amp;data_fim=",TEXT(E297,"DD/MM/AAAA"),"&amp;hora_inicial=",HOUR(IF(E297&lt;&gt;"",IF(COUNTIF($F$2:$F297,F297)&gt;1,MAX(IF($F$1:$F296=F297,$E$1:$E296)),""),"")),"&amp;minuto_inicial=",MINUTE(IF(E297&lt;&gt;"",IF(COUNTIF($F$2:$F297,F297)&gt;1,MAX(IF($F$1:$F296=F297,$E$1:$E296)),""),"")),"&amp;hora_final=",HOUR(E297),"&amp;minuto_final=",MINUTE(E297),"&amp;periodo=6&amp;tipo=por_data&amp;upos=false&amp;outequip=0")),"")</f>
        <v/>
      </c>
      <c r="AN297" s="100" t="str">
        <f t="shared" si="32"/>
        <v xml:space="preserve">ABASTECEU no CANDEIAS-MG DESCARREGOU em VARGINHA-MG PASSOU em ARUJÁ-SP CARREGOU em CUBATAO-SP PASSOU em SÃO PAULO-SP ABASTECEU no 22 NORTE    </v>
      </c>
    </row>
    <row r="298" spans="1:40" x14ac:dyDescent="0.25">
      <c r="A298" s="101">
        <f>IFERROR(VLOOKUP(AN298,ROTAS!$A:$B,2,FALSE),0)</f>
        <v>62</v>
      </c>
      <c r="B298" s="101">
        <f t="shared" si="33"/>
        <v>1</v>
      </c>
      <c r="C298" s="101">
        <f t="shared" si="34"/>
        <v>532</v>
      </c>
      <c r="D298" s="144">
        <v>44896</v>
      </c>
      <c r="E298" s="76">
        <v>44909.458333333336</v>
      </c>
      <c r="F298" s="6" t="s">
        <v>25</v>
      </c>
      <c r="G298" s="5" t="str">
        <f>IFERROR(VLOOKUP(SUMIFS(MSOLICITADA!$I:$I,MSOLICITADA!$B:$B,D298,MSOLICITADA!$F:$F,F298),CODIGOSPLACAS!$A$64:$B$89,2,FALSE),"")</f>
        <v>EDUALDO</v>
      </c>
      <c r="H298" s="77">
        <v>1008694</v>
      </c>
      <c r="I298" s="77">
        <v>1009226</v>
      </c>
      <c r="J298" s="7">
        <v>351.9</v>
      </c>
      <c r="K298" s="78">
        <v>2166.46</v>
      </c>
      <c r="L298" s="79" t="s">
        <v>112</v>
      </c>
      <c r="M298" s="6">
        <v>335</v>
      </c>
      <c r="N298" s="5">
        <f t="shared" si="28"/>
        <v>197</v>
      </c>
      <c r="O298" s="80">
        <f t="shared" si="29"/>
        <v>6.1564649048025011</v>
      </c>
      <c r="P298" s="8">
        <f t="shared" si="30"/>
        <v>1.51179312304632</v>
      </c>
      <c r="Q298" s="8">
        <f t="shared" si="35"/>
        <v>1.5016619403177309</v>
      </c>
      <c r="R298" s="81">
        <f t="shared" si="31"/>
        <v>0.62969924812030076</v>
      </c>
      <c r="S298" s="113" t="str">
        <f>IF(F298="","",IF(H298="",TEXT(_xlfn.MAXIFS($I$1:I298,$F$1:F298,F298,$H$1:H298,"&gt;"&amp;0),"000.000"),F298))</f>
        <v>QHE9735</v>
      </c>
      <c r="T298" s="101">
        <f t="shared" si="36"/>
        <v>197</v>
      </c>
      <c r="U298" s="82" t="s">
        <v>220</v>
      </c>
      <c r="V298" s="98" t="s">
        <v>165</v>
      </c>
      <c r="W298" s="82" t="s">
        <v>222</v>
      </c>
      <c r="X298" s="98" t="s">
        <v>201</v>
      </c>
      <c r="Y298" s="82" t="s">
        <v>221</v>
      </c>
      <c r="Z298" s="98" t="s">
        <v>195</v>
      </c>
      <c r="AA298" s="82" t="s">
        <v>220</v>
      </c>
      <c r="AB298" s="98" t="s">
        <v>206</v>
      </c>
      <c r="AC298" s="82"/>
      <c r="AD298" s="98"/>
      <c r="AE298" s="118"/>
      <c r="AF298" s="98"/>
      <c r="AG298" s="82"/>
      <c r="AH298" s="98"/>
      <c r="AI298" s="82"/>
      <c r="AJ298" s="98"/>
      <c r="AK298" s="83"/>
      <c r="AL298" s="84" t="str">
        <f>IF(F298&lt;&gt;0,IF(_xlfn.MAXIFS($I$1:I298,$F$1:F298,F298,$H$1:H298,"&gt;"&amp;0)=0,"KM NÃO ENCONTRADO",IF(H298=0,CONCATENATE("SUGESTÃO DE KM PARA PLACA ",F298," *",_xlfn.MAXIFS($I$1:I298,$F$1:F298,F298,$H$1:H298,"&gt;"&amp;0),"*"),"")),"")</f>
        <v/>
      </c>
      <c r="AM298" s="85" t="str" cm="1">
        <f t="array" ref="AM298">IFERROR(IF(M298&lt;&gt;"","",CONCATENATE("https://btx.brasiltrack.com/logistica/trajeto.php?idveiculo=",VLOOKUP(F298,DATAS!$A$221:$B$250,2,FALSE),"&amp;lat=-22.204247","&amp;data_ini=",TEXT(IF(E298&lt;&gt;"",IF(COUNTIF($F$2:$F298,F298)&gt;1,MAX(IF($F$1:$F297=F298,$E$1:$E297)),""),""),"DD/MM/AAAA"),"&amp;data_fim=",TEXT(E298,"DD/MM/AAAA"),"&amp;hora_inicial=",HOUR(IF(E298&lt;&gt;"",IF(COUNTIF($F$2:$F298,F298)&gt;1,MAX(IF($F$1:$F297=F298,$E$1:$E297)),""),"")),"&amp;minuto_inicial=",MINUTE(IF(E298&lt;&gt;"",IF(COUNTIF($F$2:$F298,F298)&gt;1,MAX(IF($F$1:$F297=F298,$E$1:$E297)),""),"")),"&amp;hora_final=",HOUR(E298),"&amp;minuto_final=",MINUTE(E298),"&amp;periodo=6&amp;tipo=por_data&amp;upos=false&amp;outequip=0")),"")</f>
        <v/>
      </c>
      <c r="AN298" s="100" t="str">
        <f t="shared" si="32"/>
        <v xml:space="preserve">ABASTECEU no 22 NORTE DESCARREGOU em TRES CORACOES-MG CARREGOU em CORREGO FUNDO-MG ABASTECEU no CANDEIAS-MG        </v>
      </c>
    </row>
    <row r="299" spans="1:40" x14ac:dyDescent="0.25">
      <c r="A299" s="101">
        <f>IFERROR(VLOOKUP(AN299,ROTAS!$A:$B,2,FALSE),0)</f>
        <v>63</v>
      </c>
      <c r="B299" s="101">
        <f t="shared" si="33"/>
        <v>1</v>
      </c>
      <c r="C299" s="101">
        <f t="shared" si="34"/>
        <v>893</v>
      </c>
      <c r="D299" s="144">
        <v>44896</v>
      </c>
      <c r="E299" s="76">
        <v>44909.511805555558</v>
      </c>
      <c r="F299" s="6" t="s">
        <v>124</v>
      </c>
      <c r="G299" s="5" t="str">
        <f>IFERROR(VLOOKUP(SUMIFS(MSOLICITADA!$I:$I,MSOLICITADA!$B:$B,D299,MSOLICITADA!$F:$F,F299),CODIGOSPLACAS!$A$64:$B$89,2,FALSE),"")</f>
        <v>ISRAEL</v>
      </c>
      <c r="H299" s="77">
        <v>136771</v>
      </c>
      <c r="I299" s="77">
        <v>137664</v>
      </c>
      <c r="J299" s="7">
        <v>505.02</v>
      </c>
      <c r="K299" s="78">
        <v>3479.59</v>
      </c>
      <c r="L299" s="79" t="s">
        <v>111</v>
      </c>
      <c r="M299" s="6">
        <v>546</v>
      </c>
      <c r="N299" s="5">
        <f t="shared" si="28"/>
        <v>347</v>
      </c>
      <c r="O299" s="80">
        <f t="shared" si="29"/>
        <v>6.8900043562631188</v>
      </c>
      <c r="P299" s="8">
        <f t="shared" si="30"/>
        <v>1.7682468021068474</v>
      </c>
      <c r="Q299" s="8">
        <f t="shared" si="35"/>
        <v>1.6396894062131062</v>
      </c>
      <c r="R299" s="81">
        <f t="shared" si="31"/>
        <v>0.6114221724524076</v>
      </c>
      <c r="S299" s="113" t="str">
        <f>IF(F299="","",IF(H299="",TEXT(_xlfn.MAXIFS($I$1:I299,$F$1:F299,F299,$H$1:H299,"&gt;"&amp;0),"000.000"),F299))</f>
        <v>GHH9B64</v>
      </c>
      <c r="T299" s="101">
        <f t="shared" si="36"/>
        <v>347</v>
      </c>
      <c r="U299" s="82" t="s">
        <v>220</v>
      </c>
      <c r="V299" s="98" t="s">
        <v>206</v>
      </c>
      <c r="W299" s="82" t="s">
        <v>222</v>
      </c>
      <c r="X299" s="98" t="s">
        <v>201</v>
      </c>
      <c r="Y299" s="82" t="s">
        <v>221</v>
      </c>
      <c r="Z299" s="98" t="s">
        <v>176</v>
      </c>
      <c r="AA299" s="82" t="s">
        <v>222</v>
      </c>
      <c r="AB299" s="98" t="s">
        <v>199</v>
      </c>
      <c r="AC299" s="82" t="s">
        <v>220</v>
      </c>
      <c r="AD299" s="98" t="s">
        <v>226</v>
      </c>
      <c r="AE299" s="118"/>
      <c r="AF299" s="98"/>
      <c r="AG299" s="82"/>
      <c r="AH299" s="98"/>
      <c r="AI299" s="82"/>
      <c r="AJ299" s="98"/>
      <c r="AK299" s="83"/>
      <c r="AL299" s="84" t="str">
        <f>IF(F299&lt;&gt;0,IF(_xlfn.MAXIFS($I$1:I299,$F$1:F299,F299,$H$1:H299,"&gt;"&amp;0)=0,"KM NÃO ENCONTRADO",IF(H299=0,CONCATENATE("SUGESTÃO DE KM PARA PLACA ",F299," *",_xlfn.MAXIFS($I$1:I299,$F$1:F299,F299,$H$1:H299,"&gt;"&amp;0),"*"),"")),"")</f>
        <v/>
      </c>
      <c r="AM299" s="85" t="str" cm="1">
        <f t="array" ref="AM299">IFERROR(IF(M299&lt;&gt;"","",CONCATENATE("https://btx.brasiltrack.com/logistica/trajeto.php?idveiculo=",VLOOKUP(F299,DATAS!$A$221:$B$250,2,FALSE),"&amp;lat=-22.204247","&amp;data_ini=",TEXT(IF(E299&lt;&gt;"",IF(COUNTIF($F$2:$F299,F299)&gt;1,MAX(IF($F$1:$F298=F299,$E$1:$E298)),""),""),"DD/MM/AAAA"),"&amp;data_fim=",TEXT(E299,"DD/MM/AAAA"),"&amp;hora_inicial=",HOUR(IF(E299&lt;&gt;"",IF(COUNTIF($F$2:$F299,F299)&gt;1,MAX(IF($F$1:$F298=F299,$E$1:$E298)),""),"")),"&amp;minuto_inicial=",MINUTE(IF(E299&lt;&gt;"",IF(COUNTIF($F$2:$F299,F299)&gt;1,MAX(IF($F$1:$F298=F299,$E$1:$E298)),""),"")),"&amp;hora_final=",HOUR(E299),"&amp;minuto_final=",MINUTE(E299),"&amp;periodo=6&amp;tipo=por_data&amp;upos=false&amp;outequip=0")),"")</f>
        <v/>
      </c>
      <c r="AN299" s="100" t="str">
        <f t="shared" si="32"/>
        <v xml:space="preserve">ABASTECEU no CANDEIAS-MG DESCARREGOU em TRES CORACOES-MG CARREGOU em ALFENAS-MG DESCARREGOU em CATANDUVA-SP ABASTECEU no PRODOESTE UBA      </v>
      </c>
    </row>
    <row r="300" spans="1:40" x14ac:dyDescent="0.25">
      <c r="A300" s="101">
        <f>IFERROR(VLOOKUP(AN300,ROTAS!$A:$B,2,FALSE),0)</f>
        <v>64</v>
      </c>
      <c r="B300" s="101">
        <f t="shared" si="33"/>
        <v>2</v>
      </c>
      <c r="C300" s="101">
        <f t="shared" si="34"/>
        <v>994.5</v>
      </c>
      <c r="D300" s="144">
        <v>44896</v>
      </c>
      <c r="E300" s="76">
        <v>44909.51666666667</v>
      </c>
      <c r="F300" s="6" t="s">
        <v>29</v>
      </c>
      <c r="G300" s="5" t="str">
        <f>IFERROR(VLOOKUP(SUMIFS(MSOLICITADA!$I:$I,MSOLICITADA!$B:$B,D300,MSOLICITADA!$F:$F,F300),CODIGOSPLACAS!$A$64:$B$89,2,FALSE),"")</f>
        <v>EDNILSON</v>
      </c>
      <c r="H300" s="77">
        <v>235365</v>
      </c>
      <c r="I300" s="77">
        <v>236366</v>
      </c>
      <c r="J300" s="7">
        <v>657</v>
      </c>
      <c r="K300" s="78">
        <v>4526.7299999999996</v>
      </c>
      <c r="L300" s="79" t="s">
        <v>111</v>
      </c>
      <c r="M300" s="6">
        <v>647</v>
      </c>
      <c r="N300" s="5">
        <f t="shared" si="28"/>
        <v>354</v>
      </c>
      <c r="O300" s="80">
        <f t="shared" si="29"/>
        <v>6.89</v>
      </c>
      <c r="P300" s="8">
        <f t="shared" si="30"/>
        <v>1.5235920852359208</v>
      </c>
      <c r="Q300" s="8">
        <f t="shared" si="35"/>
        <v>1.5750677554084309</v>
      </c>
      <c r="R300" s="81">
        <f t="shared" si="31"/>
        <v>0.64635364635364634</v>
      </c>
      <c r="S300" s="113" t="str">
        <f>IF(F300="","",IF(H300="",TEXT(_xlfn.MAXIFS($I$1:I300,$F$1:F300,F300,$H$1:H300,"&gt;"&amp;0),"000.000"),F300))</f>
        <v>GKA2J56</v>
      </c>
      <c r="T300" s="101">
        <f t="shared" si="36"/>
        <v>347.5</v>
      </c>
      <c r="U300" s="82" t="s">
        <v>220</v>
      </c>
      <c r="V300" s="98" t="s">
        <v>165</v>
      </c>
      <c r="W300" s="82" t="s">
        <v>222</v>
      </c>
      <c r="X300" s="98" t="s">
        <v>201</v>
      </c>
      <c r="Y300" s="82" t="s">
        <v>221</v>
      </c>
      <c r="Z300" s="98" t="s">
        <v>176</v>
      </c>
      <c r="AA300" s="82" t="s">
        <v>222</v>
      </c>
      <c r="AB300" s="98" t="s">
        <v>199</v>
      </c>
      <c r="AC300" s="82" t="s">
        <v>220</v>
      </c>
      <c r="AD300" s="98" t="s">
        <v>226</v>
      </c>
      <c r="AE300" s="118"/>
      <c r="AF300" s="98"/>
      <c r="AG300" s="82"/>
      <c r="AH300" s="98"/>
      <c r="AI300" s="82"/>
      <c r="AJ300" s="98"/>
      <c r="AK300" s="83"/>
      <c r="AL300" s="84" t="str">
        <f>IF(F300&lt;&gt;0,IF(_xlfn.MAXIFS($I$1:I300,$F$1:F300,F300,$H$1:H300,"&gt;"&amp;0)=0,"KM NÃO ENCONTRADO",IF(H300=0,CONCATENATE("SUGESTÃO DE KM PARA PLACA ",F300," *",_xlfn.MAXIFS($I$1:I300,$F$1:F300,F300,$H$1:H300,"&gt;"&amp;0),"*"),"")),"")</f>
        <v/>
      </c>
      <c r="AM300" s="85" t="str" cm="1">
        <f t="array" ref="AM300">IFERROR(IF(M300&lt;&gt;"","",CONCATENATE("https://btx.brasiltrack.com/logistica/trajeto.php?idveiculo=",VLOOKUP(F300,DATAS!$A$221:$B$250,2,FALSE),"&amp;lat=-22.204247","&amp;data_ini=",TEXT(IF(E300&lt;&gt;"",IF(COUNTIF($F$2:$F300,F300)&gt;1,MAX(IF($F$1:$F299=F300,$E$1:$E299)),""),""),"DD/MM/AAAA"),"&amp;data_fim=",TEXT(E300,"DD/MM/AAAA"),"&amp;hora_inicial=",HOUR(IF(E300&lt;&gt;"",IF(COUNTIF($F$2:$F300,F300)&gt;1,MAX(IF($F$1:$F299=F300,$E$1:$E299)),""),"")),"&amp;minuto_inicial=",MINUTE(IF(E300&lt;&gt;"",IF(COUNTIF($F$2:$F300,F300)&gt;1,MAX(IF($F$1:$F299=F300,$E$1:$E299)),""),"")),"&amp;hora_final=",HOUR(E300),"&amp;minuto_final=",MINUTE(E300),"&amp;periodo=6&amp;tipo=por_data&amp;upos=false&amp;outequip=0")),"")</f>
        <v/>
      </c>
      <c r="AN300" s="100" t="str">
        <f t="shared" si="32"/>
        <v xml:space="preserve">ABASTECEU no 22 NORTE DESCARREGOU em TRES CORACOES-MG CARREGOU em ALFENAS-MG DESCARREGOU em CATANDUVA-SP ABASTECEU no PRODOESTE UBA      </v>
      </c>
    </row>
    <row r="301" spans="1:40" x14ac:dyDescent="0.25">
      <c r="A301" s="101">
        <f>IFERROR(VLOOKUP(AN301,ROTAS!$A:$B,2,FALSE),0)</f>
        <v>64</v>
      </c>
      <c r="B301" s="101">
        <f t="shared" si="33"/>
        <v>2</v>
      </c>
      <c r="C301" s="101">
        <f t="shared" si="34"/>
        <v>994.5</v>
      </c>
      <c r="D301" s="144">
        <v>44896</v>
      </c>
      <c r="E301" s="76">
        <v>44909.517361111109</v>
      </c>
      <c r="F301" s="6" t="s">
        <v>131</v>
      </c>
      <c r="G301" s="5" t="str">
        <f>IFERROR(VLOOKUP(SUMIFS(MSOLICITADA!$I:$I,MSOLICITADA!$B:$B,D301,MSOLICITADA!$F:$F,F301),CODIGOSPLACAS!$A$64:$B$89,2,FALSE),"")</f>
        <v>ALTIELIS</v>
      </c>
      <c r="H301" s="77">
        <v>43917</v>
      </c>
      <c r="I301" s="77">
        <v>44905</v>
      </c>
      <c r="J301" s="7">
        <v>680</v>
      </c>
      <c r="K301" s="78">
        <v>4685.2</v>
      </c>
      <c r="L301" s="79" t="s">
        <v>111</v>
      </c>
      <c r="M301" s="6">
        <v>647</v>
      </c>
      <c r="N301" s="5">
        <f t="shared" si="28"/>
        <v>341</v>
      </c>
      <c r="O301" s="80">
        <f t="shared" si="29"/>
        <v>6.89</v>
      </c>
      <c r="P301" s="8">
        <f t="shared" si="30"/>
        <v>1.4529411764705882</v>
      </c>
      <c r="Q301" s="8">
        <f t="shared" si="35"/>
        <v>1.6628833870031143</v>
      </c>
      <c r="R301" s="81">
        <f t="shared" si="31"/>
        <v>0.65485829959514175</v>
      </c>
      <c r="S301" s="113" t="str">
        <f>IF(F301="","",IF(H301="",TEXT(_xlfn.MAXIFS($I$1:I301,$F$1:F301,F301,$H$1:H301,"&gt;"&amp;0),"000.000"),F301))</f>
        <v>GGN4J86</v>
      </c>
      <c r="T301" s="101">
        <f t="shared" si="36"/>
        <v>347.5</v>
      </c>
      <c r="U301" s="82" t="s">
        <v>220</v>
      </c>
      <c r="V301" s="98" t="s">
        <v>165</v>
      </c>
      <c r="W301" s="82" t="s">
        <v>222</v>
      </c>
      <c r="X301" s="98" t="s">
        <v>201</v>
      </c>
      <c r="Y301" s="82" t="s">
        <v>221</v>
      </c>
      <c r="Z301" s="98" t="s">
        <v>176</v>
      </c>
      <c r="AA301" s="82" t="s">
        <v>222</v>
      </c>
      <c r="AB301" s="98" t="s">
        <v>199</v>
      </c>
      <c r="AC301" s="82" t="s">
        <v>220</v>
      </c>
      <c r="AD301" s="98" t="s">
        <v>226</v>
      </c>
      <c r="AE301" s="118"/>
      <c r="AF301" s="98"/>
      <c r="AG301" s="82"/>
      <c r="AH301" s="98"/>
      <c r="AI301" s="82"/>
      <c r="AJ301" s="98"/>
      <c r="AK301" s="83"/>
      <c r="AL301" s="84" t="str">
        <f>IF(F301&lt;&gt;0,IF(_xlfn.MAXIFS($I$1:I301,$F$1:F301,F301,$H$1:H301,"&gt;"&amp;0)=0,"KM NÃO ENCONTRADO",IF(H301=0,CONCATENATE("SUGESTÃO DE KM PARA PLACA ",F301," *",_xlfn.MAXIFS($I$1:I301,$F$1:F301,F301,$H$1:H301,"&gt;"&amp;0),"*"),"")),"")</f>
        <v/>
      </c>
      <c r="AM301" s="85" t="str" cm="1">
        <f t="array" ref="AM301">IFERROR(IF(M301&lt;&gt;"","",CONCATENATE("https://btx.brasiltrack.com/logistica/trajeto.php?idveiculo=",VLOOKUP(F301,DATAS!$A$221:$B$250,2,FALSE),"&amp;lat=-22.204247","&amp;data_ini=",TEXT(IF(E301&lt;&gt;"",IF(COUNTIF($F$2:$F301,F301)&gt;1,MAX(IF($F$1:$F300=F301,$E$1:$E300)),""),""),"DD/MM/AAAA"),"&amp;data_fim=",TEXT(E301,"DD/MM/AAAA"),"&amp;hora_inicial=",HOUR(IF(E301&lt;&gt;"",IF(COUNTIF($F$2:$F301,F301)&gt;1,MAX(IF($F$1:$F300=F301,$E$1:$E300)),""),"")),"&amp;minuto_inicial=",MINUTE(IF(E301&lt;&gt;"",IF(COUNTIF($F$2:$F301,F301)&gt;1,MAX(IF($F$1:$F300=F301,$E$1:$E300)),""),"")),"&amp;hora_final=",HOUR(E301),"&amp;minuto_final=",MINUTE(E301),"&amp;periodo=6&amp;tipo=por_data&amp;upos=false&amp;outequip=0")),"")</f>
        <v/>
      </c>
      <c r="AN301" s="100" t="str">
        <f t="shared" si="32"/>
        <v xml:space="preserve">ABASTECEU no 22 NORTE DESCARREGOU em TRES CORACOES-MG CARREGOU em ALFENAS-MG DESCARREGOU em CATANDUVA-SP ABASTECEU no PRODOESTE UBA      </v>
      </c>
    </row>
    <row r="302" spans="1:40" x14ac:dyDescent="0.25">
      <c r="A302" s="101">
        <f>IFERROR(VLOOKUP(AN302,ROTAS!$A:$B,2,FALSE),0)</f>
        <v>24</v>
      </c>
      <c r="B302" s="101">
        <f t="shared" si="33"/>
        <v>2</v>
      </c>
      <c r="C302" s="101">
        <f t="shared" si="34"/>
        <v>654.5</v>
      </c>
      <c r="D302" s="144">
        <v>44896</v>
      </c>
      <c r="E302" s="76">
        <v>44909.611111111109</v>
      </c>
      <c r="F302" s="6" t="s">
        <v>22</v>
      </c>
      <c r="G302" s="5" t="str">
        <f>IFERROR(VLOOKUP(SUMIFS(MSOLICITADA!$I:$I,MSOLICITADA!$B:$B,D302,MSOLICITADA!$F:$F,F302),CODIGOSPLACAS!$A$64:$B$89,2,FALSE),"")</f>
        <v/>
      </c>
      <c r="H302" s="77">
        <v>1204245</v>
      </c>
      <c r="I302" s="77">
        <v>1204804</v>
      </c>
      <c r="J302" s="7">
        <v>50</v>
      </c>
      <c r="K302" s="78">
        <v>307.82</v>
      </c>
      <c r="L302" s="79" t="s">
        <v>112</v>
      </c>
      <c r="M302" s="6">
        <v>489</v>
      </c>
      <c r="N302" s="5">
        <f t="shared" si="28"/>
        <v>70</v>
      </c>
      <c r="O302" s="80">
        <f t="shared" si="29"/>
        <v>6.1563999999999997</v>
      </c>
      <c r="P302" s="8">
        <f t="shared" si="30"/>
        <v>11.18</v>
      </c>
      <c r="Q302" s="8">
        <f t="shared" si="35"/>
        <v>3.6561679790026247</v>
      </c>
      <c r="R302" s="81">
        <f t="shared" si="31"/>
        <v>0.87477638640429334</v>
      </c>
      <c r="S302" s="113" t="str">
        <f>IF(F302="","",IF(H302="",TEXT(_xlfn.MAXIFS($I$1:I302,$F$1:F302,F302,$H$1:H302,"&gt;"&amp;0),"000.000"),F302))</f>
        <v>OQC0C33</v>
      </c>
      <c r="T302" s="101">
        <f t="shared" si="36"/>
        <v>60</v>
      </c>
      <c r="U302" s="82" t="s">
        <v>220</v>
      </c>
      <c r="V302" s="98" t="s">
        <v>165</v>
      </c>
      <c r="W302" s="82" t="s">
        <v>222</v>
      </c>
      <c r="X302" s="98" t="s">
        <v>171</v>
      </c>
      <c r="Y302" s="82" t="s">
        <v>221</v>
      </c>
      <c r="Z302" s="98" t="s">
        <v>169</v>
      </c>
      <c r="AA302" s="82" t="s">
        <v>220</v>
      </c>
      <c r="AB302" s="98" t="s">
        <v>206</v>
      </c>
      <c r="AC302" s="82"/>
      <c r="AD302" s="98"/>
      <c r="AE302" s="118"/>
      <c r="AF302" s="98"/>
      <c r="AG302" s="82"/>
      <c r="AH302" s="98"/>
      <c r="AI302" s="82"/>
      <c r="AJ302" s="98"/>
      <c r="AK302" s="83"/>
      <c r="AL302" s="84" t="str">
        <f>IF(F302&lt;&gt;0,IF(_xlfn.MAXIFS($I$1:I302,$F$1:F302,F302,$H$1:H302,"&gt;"&amp;0)=0,"KM NÃO ENCONTRADO",IF(H302=0,CONCATENATE("SUGESTÃO DE KM PARA PLACA ",F302," *",_xlfn.MAXIFS($I$1:I302,$F$1:F302,F302,$H$1:H302,"&gt;"&amp;0),"*"),"")),"")</f>
        <v/>
      </c>
      <c r="AM302" s="85" t="str" cm="1">
        <f t="array" ref="AM302">IFERROR(IF(M302&lt;&gt;"","",CONCATENATE("https://btx.brasiltrack.com/logistica/trajeto.php?idveiculo=",VLOOKUP(F302,DATAS!$A$221:$B$250,2,FALSE),"&amp;lat=-22.204247","&amp;data_ini=",TEXT(IF(E302&lt;&gt;"",IF(COUNTIF($F$2:$F302,F302)&gt;1,MAX(IF($F$1:$F301=F302,$E$1:$E301)),""),""),"DD/MM/AAAA"),"&amp;data_fim=",TEXT(E302,"DD/MM/AAAA"),"&amp;hora_inicial=",HOUR(IF(E302&lt;&gt;"",IF(COUNTIF($F$2:$F302,F302)&gt;1,MAX(IF($F$1:$F301=F302,$E$1:$E301)),""),"")),"&amp;minuto_inicial=",MINUTE(IF(E302&lt;&gt;"",IF(COUNTIF($F$2:$F302,F302)&gt;1,MAX(IF($F$1:$F301=F302,$E$1:$E301)),""),"")),"&amp;hora_final=",HOUR(E302),"&amp;minuto_final=",MINUTE(E302),"&amp;periodo=6&amp;tipo=por_data&amp;upos=false&amp;outequip=0")),"")</f>
        <v/>
      </c>
      <c r="AN302" s="100" t="str">
        <f t="shared" si="32"/>
        <v xml:space="preserve">ABASTECEU no 22 NORTE DESCARREGOU em IGUATAMA-MG CARREGOU em FORMIGA-MG ABASTECEU no CANDEIAS-MG        </v>
      </c>
    </row>
    <row r="303" spans="1:40" x14ac:dyDescent="0.25">
      <c r="A303" s="101">
        <f>IFERROR(VLOOKUP(AN303,ROTAS!$A:$B,2,FALSE),0)</f>
        <v>65</v>
      </c>
      <c r="B303" s="101">
        <f t="shared" si="33"/>
        <v>1</v>
      </c>
      <c r="C303" s="101">
        <f t="shared" si="34"/>
        <v>828</v>
      </c>
      <c r="D303" s="144">
        <v>44896</v>
      </c>
      <c r="E303" s="76">
        <v>44910.321527777778</v>
      </c>
      <c r="F303" s="6" t="s">
        <v>127</v>
      </c>
      <c r="G303" s="5" t="str">
        <f>IFERROR(VLOOKUP(SUMIFS(MSOLICITADA!$I:$I,MSOLICITADA!$B:$B,D303,MSOLICITADA!$F:$F,F303),CODIGOSPLACAS!$A$64:$B$89,2,FALSE),"")</f>
        <v>EVERTON</v>
      </c>
      <c r="H303" s="77">
        <v>1228424</v>
      </c>
      <c r="I303" s="77">
        <v>1229252</v>
      </c>
      <c r="J303" s="7">
        <v>400</v>
      </c>
      <c r="K303" s="78">
        <v>2444.06</v>
      </c>
      <c r="L303" s="79" t="s">
        <v>111</v>
      </c>
      <c r="M303" s="6">
        <v>465</v>
      </c>
      <c r="N303" s="5">
        <f t="shared" si="28"/>
        <v>363</v>
      </c>
      <c r="O303" s="80">
        <f t="shared" si="29"/>
        <v>6.11015</v>
      </c>
      <c r="P303" s="8">
        <f t="shared" si="30"/>
        <v>2.0699999999999998</v>
      </c>
      <c r="Q303" s="8">
        <f t="shared" si="35"/>
        <v>1.9282732243128911</v>
      </c>
      <c r="R303" s="81">
        <f t="shared" si="31"/>
        <v>0.56159420289855078</v>
      </c>
      <c r="S303" s="113" t="str">
        <f>IF(F303="","",IF(H303="",TEXT(_xlfn.MAXIFS($I$1:I303,$F$1:F303,F303,$H$1:H303,"&gt;"&amp;0),"000.000"),F303))</f>
        <v>OPM8J51</v>
      </c>
      <c r="T303" s="101">
        <f t="shared" si="36"/>
        <v>363</v>
      </c>
      <c r="U303" s="82" t="s">
        <v>220</v>
      </c>
      <c r="V303" s="98" t="s">
        <v>165</v>
      </c>
      <c r="W303" s="82" t="s">
        <v>222</v>
      </c>
      <c r="X303" s="98" t="s">
        <v>201</v>
      </c>
      <c r="Y303" s="82" t="s">
        <v>225</v>
      </c>
      <c r="Z303" s="98" t="s">
        <v>284</v>
      </c>
      <c r="AA303" s="82" t="s">
        <v>221</v>
      </c>
      <c r="AB303" s="98" t="s">
        <v>168</v>
      </c>
      <c r="AC303" s="82" t="s">
        <v>225</v>
      </c>
      <c r="AD303" s="98" t="s">
        <v>284</v>
      </c>
      <c r="AE303" s="118" t="s">
        <v>220</v>
      </c>
      <c r="AF303" s="98" t="s">
        <v>216</v>
      </c>
      <c r="AG303" s="82"/>
      <c r="AH303" s="98"/>
      <c r="AI303" s="82"/>
      <c r="AJ303" s="98"/>
      <c r="AK303" s="83"/>
      <c r="AL303" s="84" t="str">
        <f>IF(F303&lt;&gt;0,IF(_xlfn.MAXIFS($I$1:I303,$F$1:F303,F303,$H$1:H303,"&gt;"&amp;0)=0,"KM NÃO ENCONTRADO",IF(H303=0,CONCATENATE("SUGESTÃO DE KM PARA PLACA ",F303," *",_xlfn.MAXIFS($I$1:I303,$F$1:F303,F303,$H$1:H303,"&gt;"&amp;0),"*"),"")),"")</f>
        <v/>
      </c>
      <c r="AM303" s="85" t="str" cm="1">
        <f t="array" ref="AM303">IFERROR(IF(M303&lt;&gt;"","",CONCATENATE("https://btx.brasiltrack.com/logistica/trajeto.php?idveiculo=",VLOOKUP(F303,DATAS!$A$221:$B$250,2,FALSE),"&amp;lat=-22.204247","&amp;data_ini=",TEXT(IF(E303&lt;&gt;"",IF(COUNTIF($F$2:$F303,F303)&gt;1,MAX(IF($F$1:$F302=F303,$E$1:$E302)),""),""),"DD/MM/AAAA"),"&amp;data_fim=",TEXT(E303,"DD/MM/AAAA"),"&amp;hora_inicial=",HOUR(IF(E303&lt;&gt;"",IF(COUNTIF($F$2:$F303,F303)&gt;1,MAX(IF($F$1:$F302=F303,$E$1:$E302)),""),"")),"&amp;minuto_inicial=",MINUTE(IF(E303&lt;&gt;"",IF(COUNTIF($F$2:$F303,F303)&gt;1,MAX(IF($F$1:$F302=F303,$E$1:$E302)),""),"")),"&amp;hora_final=",HOUR(E303),"&amp;minuto_final=",MINUTE(E303),"&amp;periodo=6&amp;tipo=por_data&amp;upos=false&amp;outequip=0")),"")</f>
        <v/>
      </c>
      <c r="AN303" s="100" t="str">
        <f t="shared" si="32"/>
        <v xml:space="preserve">ABASTECEU no 22 NORTE DESCARREGOU em TRES CORACOES-MG PASSOU em SÃO PAULO-SP CARREGOU em CUBATAO-SP PASSOU em SÃO PAULO-SP ABASTECEU no DP PAULINHO    </v>
      </c>
    </row>
    <row r="304" spans="1:40" x14ac:dyDescent="0.25">
      <c r="A304" s="101">
        <f>IFERROR(VLOOKUP(AN304,ROTAS!$A:$B,2,FALSE),0)</f>
        <v>66</v>
      </c>
      <c r="B304" s="101">
        <f t="shared" si="33"/>
        <v>1</v>
      </c>
      <c r="C304" s="101">
        <f t="shared" si="34"/>
        <v>848</v>
      </c>
      <c r="D304" s="144">
        <v>44896</v>
      </c>
      <c r="E304" s="76">
        <v>44910.353472222225</v>
      </c>
      <c r="F304" s="6" t="s">
        <v>32</v>
      </c>
      <c r="G304" s="5" t="str">
        <f>IFERROR(VLOOKUP(SUMIFS(MSOLICITADA!$I:$I,MSOLICITADA!$B:$B,D304,MSOLICITADA!$F:$F,F304),CODIGOSPLACAS!$A$64:$B$89,2,FALSE),"")</f>
        <v>ADILSON</v>
      </c>
      <c r="H304" s="77">
        <v>198028</v>
      </c>
      <c r="I304" s="77">
        <v>198876</v>
      </c>
      <c r="J304" s="7">
        <v>453.87</v>
      </c>
      <c r="K304" s="78">
        <v>2807.25</v>
      </c>
      <c r="L304" s="79" t="s">
        <v>111</v>
      </c>
      <c r="M304" s="6">
        <v>482</v>
      </c>
      <c r="N304" s="5">
        <f t="shared" si="28"/>
        <v>366</v>
      </c>
      <c r="O304" s="80">
        <f t="shared" si="29"/>
        <v>6.1851411197038795</v>
      </c>
      <c r="P304" s="8">
        <f t="shared" si="30"/>
        <v>1.8683764073413092</v>
      </c>
      <c r="Q304" s="8">
        <f t="shared" si="35"/>
        <v>1.7045945118851598</v>
      </c>
      <c r="R304" s="81">
        <f t="shared" si="31"/>
        <v>0.56839622641509435</v>
      </c>
      <c r="S304" s="113" t="str">
        <f>IF(F304="","",IF(H304="",TEXT(_xlfn.MAXIFS($I$1:I304,$F$1:F304,F304,$H$1:H304,"&gt;"&amp;0),"000.000"),F304))</f>
        <v>GJU9A22</v>
      </c>
      <c r="T304" s="101">
        <f t="shared" si="36"/>
        <v>366</v>
      </c>
      <c r="U304" s="82" t="s">
        <v>220</v>
      </c>
      <c r="V304" s="98" t="s">
        <v>165</v>
      </c>
      <c r="W304" s="82" t="s">
        <v>222</v>
      </c>
      <c r="X304" s="98" t="s">
        <v>201</v>
      </c>
      <c r="Y304" s="82" t="s">
        <v>225</v>
      </c>
      <c r="Z304" s="98" t="s">
        <v>284</v>
      </c>
      <c r="AA304" s="82" t="s">
        <v>221</v>
      </c>
      <c r="AB304" s="98" t="s">
        <v>168</v>
      </c>
      <c r="AC304" s="82" t="s">
        <v>225</v>
      </c>
      <c r="AD304" s="98" t="s">
        <v>237</v>
      </c>
      <c r="AE304" s="118" t="s">
        <v>220</v>
      </c>
      <c r="AF304" s="98" t="s">
        <v>216</v>
      </c>
      <c r="AG304" s="82"/>
      <c r="AH304" s="98"/>
      <c r="AI304" s="82"/>
      <c r="AJ304" s="98"/>
      <c r="AK304" s="83"/>
      <c r="AL304" s="84" t="str">
        <f>IF(F304&lt;&gt;0,IF(_xlfn.MAXIFS($I$1:I304,$F$1:F304,F304,$H$1:H304,"&gt;"&amp;0)=0,"KM NÃO ENCONTRADO",IF(H304=0,CONCATENATE("SUGESTÃO DE KM PARA PLACA ",F304," *",_xlfn.MAXIFS($I$1:I304,$F$1:F304,F304,$H$1:H304,"&gt;"&amp;0),"*"),"")),"")</f>
        <v/>
      </c>
      <c r="AM304" s="85" t="str" cm="1">
        <f t="array" ref="AM304">IFERROR(IF(M304&lt;&gt;"","",CONCATENATE("https://btx.brasiltrack.com/logistica/trajeto.php?idveiculo=",VLOOKUP(F304,DATAS!$A$221:$B$250,2,FALSE),"&amp;lat=-22.204247","&amp;data_ini=",TEXT(IF(E304&lt;&gt;"",IF(COUNTIF($F$2:$F304,F304)&gt;1,MAX(IF($F$1:$F303=F304,$E$1:$E303)),""),""),"DD/MM/AAAA"),"&amp;data_fim=",TEXT(E304,"DD/MM/AAAA"),"&amp;hora_inicial=",HOUR(IF(E304&lt;&gt;"",IF(COUNTIF($F$2:$F304,F304)&gt;1,MAX(IF($F$1:$F303=F304,$E$1:$E303)),""),"")),"&amp;minuto_inicial=",MINUTE(IF(E304&lt;&gt;"",IF(COUNTIF($F$2:$F304,F304)&gt;1,MAX(IF($F$1:$F303=F304,$E$1:$E303)),""),"")),"&amp;hora_final=",HOUR(E304),"&amp;minuto_final=",MINUTE(E304),"&amp;periodo=6&amp;tipo=por_data&amp;upos=false&amp;outequip=0")),"")</f>
        <v/>
      </c>
      <c r="AN304" s="100" t="str">
        <f t="shared" si="32"/>
        <v xml:space="preserve">ABASTECEU no 22 NORTE DESCARREGOU em TRES CORACOES-MG PASSOU em SÃO PAULO-SP CARREGOU em CUBATAO-SP PASSOU em ARUJÁ-SP ABASTECEU no DP PAULINHO    </v>
      </c>
    </row>
    <row r="305" spans="1:40" x14ac:dyDescent="0.25">
      <c r="A305" s="101">
        <f>IFERROR(VLOOKUP(AN305,ROTAS!$A:$B,2,FALSE),0)</f>
        <v>67</v>
      </c>
      <c r="B305" s="101">
        <f t="shared" si="33"/>
        <v>1</v>
      </c>
      <c r="C305" s="101">
        <f t="shared" si="34"/>
        <v>777</v>
      </c>
      <c r="D305" s="144">
        <v>44896</v>
      </c>
      <c r="E305" s="76">
        <v>44910.353472222225</v>
      </c>
      <c r="F305" s="6" t="s">
        <v>25</v>
      </c>
      <c r="G305" s="5" t="str">
        <f>IFERROR(VLOOKUP(SUMIFS(MSOLICITADA!$I:$I,MSOLICITADA!$B:$B,D305,MSOLICITADA!$F:$F,F305),CODIGOSPLACAS!$A$64:$B$89,2,FALSE),"")</f>
        <v>EDUALDO</v>
      </c>
      <c r="H305" s="77">
        <v>1009226</v>
      </c>
      <c r="I305" s="77">
        <v>1010003</v>
      </c>
      <c r="J305" s="7">
        <v>509.44443999999999</v>
      </c>
      <c r="K305" s="78">
        <v>3112.68</v>
      </c>
      <c r="L305" s="79" t="s">
        <v>111</v>
      </c>
      <c r="M305" s="6">
        <v>404</v>
      </c>
      <c r="N305" s="5">
        <f t="shared" si="28"/>
        <v>373</v>
      </c>
      <c r="O305" s="80">
        <f t="shared" si="29"/>
        <v>6.1099498897269342</v>
      </c>
      <c r="P305" s="8">
        <f t="shared" si="30"/>
        <v>1.5251908530005744</v>
      </c>
      <c r="Q305" s="8">
        <f t="shared" si="35"/>
        <v>1.5016619403177309</v>
      </c>
      <c r="R305" s="81">
        <f t="shared" si="31"/>
        <v>0.51994851994851998</v>
      </c>
      <c r="S305" s="113" t="str">
        <f>IF(F305="","",IF(H305="",TEXT(_xlfn.MAXIFS($I$1:I305,$F$1:F305,F305,$H$1:H305,"&gt;"&amp;0),"000.000"),F305))</f>
        <v>QHE9735</v>
      </c>
      <c r="T305" s="101">
        <f t="shared" si="36"/>
        <v>373</v>
      </c>
      <c r="U305" s="82" t="s">
        <v>220</v>
      </c>
      <c r="V305" s="98" t="s">
        <v>206</v>
      </c>
      <c r="W305" s="82" t="s">
        <v>222</v>
      </c>
      <c r="X305" s="98" t="s">
        <v>167</v>
      </c>
      <c r="Y305" s="82" t="s">
        <v>225</v>
      </c>
      <c r="Z305" s="98" t="s">
        <v>284</v>
      </c>
      <c r="AA305" s="82" t="s">
        <v>221</v>
      </c>
      <c r="AB305" s="98" t="s">
        <v>168</v>
      </c>
      <c r="AC305" s="82" t="s">
        <v>225</v>
      </c>
      <c r="AD305" s="98" t="s">
        <v>237</v>
      </c>
      <c r="AE305" s="118" t="s">
        <v>220</v>
      </c>
      <c r="AF305" s="98" t="s">
        <v>216</v>
      </c>
      <c r="AG305" s="82"/>
      <c r="AH305" s="98"/>
      <c r="AI305" s="82"/>
      <c r="AJ305" s="98"/>
      <c r="AK305" s="83"/>
      <c r="AL305" s="84" t="str">
        <f>IF(F305&lt;&gt;0,IF(_xlfn.MAXIFS($I$1:I305,$F$1:F305,F305,$H$1:H305,"&gt;"&amp;0)=0,"KM NÃO ENCONTRADO",IF(H305=0,CONCATENATE("SUGESTÃO DE KM PARA PLACA ",F305," *",_xlfn.MAXIFS($I$1:I305,$F$1:F305,F305,$H$1:H305,"&gt;"&amp;0),"*"),"")),"")</f>
        <v/>
      </c>
      <c r="AM305" s="85" t="str" cm="1">
        <f t="array" ref="AM305">IFERROR(IF(M305&lt;&gt;"","",CONCATENATE("https://btx.brasiltrack.com/logistica/trajeto.php?idveiculo=",VLOOKUP(F305,DATAS!$A$221:$B$250,2,FALSE),"&amp;lat=-22.204247","&amp;data_ini=",TEXT(IF(E305&lt;&gt;"",IF(COUNTIF($F$2:$F305,F305)&gt;1,MAX(IF($F$1:$F304=F305,$E$1:$E304)),""),""),"DD/MM/AAAA"),"&amp;data_fim=",TEXT(E305,"DD/MM/AAAA"),"&amp;hora_inicial=",HOUR(IF(E305&lt;&gt;"",IF(COUNTIF($F$2:$F305,F305)&gt;1,MAX(IF($F$1:$F304=F305,$E$1:$E304)),""),"")),"&amp;minuto_inicial=",MINUTE(IF(E305&lt;&gt;"",IF(COUNTIF($F$2:$F305,F305)&gt;1,MAX(IF($F$1:$F304=F305,$E$1:$E304)),""),"")),"&amp;hora_final=",HOUR(E305),"&amp;minuto_final=",MINUTE(E305),"&amp;periodo=6&amp;tipo=por_data&amp;upos=false&amp;outequip=0")),"")</f>
        <v/>
      </c>
      <c r="AN305" s="100" t="str">
        <f t="shared" si="32"/>
        <v xml:space="preserve">ABASTECEU no CANDEIAS-MG DESCARREGOU em VARGINHA-MG PASSOU em SÃO PAULO-SP CARREGOU em CUBATAO-SP PASSOU em ARUJÁ-SP ABASTECEU no DP PAULINHO    </v>
      </c>
    </row>
    <row r="306" spans="1:40" x14ac:dyDescent="0.25">
      <c r="A306" s="101">
        <f>IFERROR(VLOOKUP(AN306,ROTAS!$A:$B,2,FALSE),0)</f>
        <v>68</v>
      </c>
      <c r="B306" s="101">
        <f t="shared" si="33"/>
        <v>1</v>
      </c>
      <c r="C306" s="101">
        <f t="shared" si="34"/>
        <v>705</v>
      </c>
      <c r="D306" s="144">
        <v>44896</v>
      </c>
      <c r="E306" s="76">
        <v>44910.387499999997</v>
      </c>
      <c r="F306" s="6" t="s">
        <v>30</v>
      </c>
      <c r="G306" s="5" t="str">
        <f>IFERROR(VLOOKUP(SUMIFS(MSOLICITADA!$I:$I,MSOLICITADA!$B:$B,D306,MSOLICITADA!$F:$F,F306),CODIGOSPLACAS!$A$64:$B$89,2,FALSE),"")</f>
        <v>RONILSON</v>
      </c>
      <c r="H306" s="77">
        <v>216961</v>
      </c>
      <c r="I306" s="77">
        <v>217666</v>
      </c>
      <c r="J306" s="7">
        <v>557</v>
      </c>
      <c r="K306" s="78">
        <v>3403.27</v>
      </c>
      <c r="L306" s="79" t="s">
        <v>111</v>
      </c>
      <c r="M306" s="6">
        <v>675</v>
      </c>
      <c r="N306" s="5">
        <f t="shared" si="28"/>
        <v>30</v>
      </c>
      <c r="O306" s="80">
        <f t="shared" si="29"/>
        <v>6.11</v>
      </c>
      <c r="P306" s="8">
        <f t="shared" si="30"/>
        <v>1.2657091561938958</v>
      </c>
      <c r="Q306" s="8">
        <f t="shared" si="35"/>
        <v>1.5093777841757006</v>
      </c>
      <c r="R306" s="81">
        <f t="shared" si="31"/>
        <v>0.95744680851063835</v>
      </c>
      <c r="S306" s="113" t="str">
        <f>IF(F306="","",IF(H306="",TEXT(_xlfn.MAXIFS($I$1:I306,$F$1:F306,F306,$H$1:H306,"&gt;"&amp;0),"000.000"),F306))</f>
        <v>GFB0I37</v>
      </c>
      <c r="T306" s="101">
        <f t="shared" si="36"/>
        <v>30</v>
      </c>
      <c r="U306" s="82" t="s">
        <v>220</v>
      </c>
      <c r="V306" s="98" t="s">
        <v>224</v>
      </c>
      <c r="W306" s="82" t="s">
        <v>225</v>
      </c>
      <c r="X306" s="98" t="s">
        <v>284</v>
      </c>
      <c r="Y306" s="82" t="s">
        <v>222</v>
      </c>
      <c r="Z306" s="98" t="s">
        <v>175</v>
      </c>
      <c r="AA306" s="82" t="s">
        <v>221</v>
      </c>
      <c r="AB306" s="98" t="s">
        <v>168</v>
      </c>
      <c r="AC306" s="82" t="s">
        <v>225</v>
      </c>
      <c r="AD306" s="98" t="s">
        <v>237</v>
      </c>
      <c r="AE306" s="118" t="s">
        <v>220</v>
      </c>
      <c r="AF306" s="98" t="s">
        <v>218</v>
      </c>
      <c r="AG306" s="82"/>
      <c r="AH306" s="98"/>
      <c r="AI306" s="82"/>
      <c r="AJ306" s="98"/>
      <c r="AK306" s="83"/>
      <c r="AL306" s="84" t="str">
        <f>IF(F306&lt;&gt;0,IF(_xlfn.MAXIFS($I$1:I306,$F$1:F306,F306,$H$1:H306,"&gt;"&amp;0)=0,"KM NÃO ENCONTRADO",IF(H306=0,CONCATENATE("SUGESTÃO DE KM PARA PLACA ",F306," *",_xlfn.MAXIFS($I$1:I306,$F$1:F306,F306,$H$1:H306,"&gt;"&amp;0),"*"),"")),"")</f>
        <v/>
      </c>
      <c r="AM306" s="85" t="str" cm="1">
        <f t="array" ref="AM306">IFERROR(IF(M306&lt;&gt;"","",CONCATENATE("https://btx.brasiltrack.com/logistica/trajeto.php?idveiculo=",VLOOKUP(F306,DATAS!$A$221:$B$250,2,FALSE),"&amp;lat=-22.204247","&amp;data_ini=",TEXT(IF(E306&lt;&gt;"",IF(COUNTIF($F$2:$F306,F306)&gt;1,MAX(IF($F$1:$F305=F306,$E$1:$E305)),""),""),"DD/MM/AAAA"),"&amp;data_fim=",TEXT(E306,"DD/MM/AAAA"),"&amp;hora_inicial=",HOUR(IF(E306&lt;&gt;"",IF(COUNTIF($F$2:$F306,F306)&gt;1,MAX(IF($F$1:$F305=F306,$E$1:$E305)),""),"")),"&amp;minuto_inicial=",MINUTE(IF(E306&lt;&gt;"",IF(COUNTIF($F$2:$F306,F306)&gt;1,MAX(IF($F$1:$F305=F306,$E$1:$E305)),""),"")),"&amp;hora_final=",HOUR(E306),"&amp;minuto_final=",MINUTE(E306),"&amp;periodo=6&amp;tipo=por_data&amp;upos=false&amp;outequip=0")),"")</f>
        <v/>
      </c>
      <c r="AN306" s="100" t="str">
        <f t="shared" si="32"/>
        <v xml:space="preserve">ABASTECEU no PICA PAU SUL PASSOU em SÃO PAULO-SP DESCARREGOU em SANTOS-SP CARREGOU em CUBATAO-SP PASSOU em ARUJÁ-SP ABASTECEU no DP PA NORTE    </v>
      </c>
    </row>
    <row r="307" spans="1:40" x14ac:dyDescent="0.25">
      <c r="A307" s="101">
        <f>IFERROR(VLOOKUP(AN307,ROTAS!$A:$B,2,FALSE),0)</f>
        <v>54</v>
      </c>
      <c r="B307" s="101">
        <f t="shared" si="33"/>
        <v>2</v>
      </c>
      <c r="C307" s="101">
        <f t="shared" si="34"/>
        <v>559.5</v>
      </c>
      <c r="D307" s="144">
        <v>44896</v>
      </c>
      <c r="E307" s="76">
        <v>44910.440972222219</v>
      </c>
      <c r="F307" s="6" t="s">
        <v>23</v>
      </c>
      <c r="G307" s="5" t="str">
        <f>IFERROR(VLOOKUP(SUMIFS(MSOLICITADA!$I:$I,MSOLICITADA!$B:$B,D307,MSOLICITADA!$F:$F,F307),CODIGOSPLACAS!$A$64:$B$89,2,FALSE),"")</f>
        <v>ISAC</v>
      </c>
      <c r="H307" s="77">
        <v>1202234</v>
      </c>
      <c r="I307" s="77">
        <v>1202793</v>
      </c>
      <c r="J307" s="7">
        <v>357.8</v>
      </c>
      <c r="K307" s="78">
        <v>2202.7800000000002</v>
      </c>
      <c r="L307" s="79" t="s">
        <v>112</v>
      </c>
      <c r="M307" s="6">
        <v>340</v>
      </c>
      <c r="N307" s="5">
        <f t="shared" si="28"/>
        <v>219</v>
      </c>
      <c r="O307" s="80">
        <f t="shared" si="29"/>
        <v>6.1564561207378423</v>
      </c>
      <c r="P307" s="8">
        <f t="shared" si="30"/>
        <v>1.5623253214086081</v>
      </c>
      <c r="Q307" s="8">
        <f t="shared" si="35"/>
        <v>1.5720509549919661</v>
      </c>
      <c r="R307" s="81">
        <f t="shared" si="31"/>
        <v>0.60822898032200357</v>
      </c>
      <c r="S307" s="113" t="str">
        <f>IF(F307="","",IF(H307="",TEXT(_xlfn.MAXIFS($I$1:I307,$F$1:F307,F307,$H$1:H307,"&gt;"&amp;0),"000.000"),F307))</f>
        <v>HNC7I76</v>
      </c>
      <c r="T307" s="101">
        <f t="shared" si="36"/>
        <v>219</v>
      </c>
      <c r="U307" s="82" t="s">
        <v>220</v>
      </c>
      <c r="V307" s="98" t="s">
        <v>165</v>
      </c>
      <c r="W307" s="82" t="s">
        <v>222</v>
      </c>
      <c r="X307" s="98" t="s">
        <v>167</v>
      </c>
      <c r="Y307" s="82" t="s">
        <v>221</v>
      </c>
      <c r="Z307" s="98" t="s">
        <v>195</v>
      </c>
      <c r="AA307" s="82" t="s">
        <v>220</v>
      </c>
      <c r="AB307" s="98" t="s">
        <v>206</v>
      </c>
      <c r="AC307" s="82"/>
      <c r="AD307" s="98"/>
      <c r="AE307" s="118"/>
      <c r="AF307" s="98"/>
      <c r="AG307" s="82"/>
      <c r="AH307" s="98"/>
      <c r="AI307" s="82"/>
      <c r="AJ307" s="98"/>
      <c r="AK307" s="83"/>
      <c r="AL307" s="84" t="str">
        <f>IF(F307&lt;&gt;0,IF(_xlfn.MAXIFS($I$1:I307,$F$1:F307,F307,$H$1:H307,"&gt;"&amp;0)=0,"KM NÃO ENCONTRADO",IF(H307=0,CONCATENATE("SUGESTÃO DE KM PARA PLACA ",F307," *",_xlfn.MAXIFS($I$1:I307,$F$1:F307,F307,$H$1:H307,"&gt;"&amp;0),"*"),"")),"")</f>
        <v/>
      </c>
      <c r="AM307" s="85" t="str" cm="1">
        <f t="array" ref="AM307">IFERROR(IF(M307&lt;&gt;"","",CONCATENATE("https://btx.brasiltrack.com/logistica/trajeto.php?idveiculo=",VLOOKUP(F307,DATAS!$A$221:$B$250,2,FALSE),"&amp;lat=-22.204247","&amp;data_ini=",TEXT(IF(E307&lt;&gt;"",IF(COUNTIF($F$2:$F307,F307)&gt;1,MAX(IF($F$1:$F306=F307,$E$1:$E306)),""),""),"DD/MM/AAAA"),"&amp;data_fim=",TEXT(E307,"DD/MM/AAAA"),"&amp;hora_inicial=",HOUR(IF(E307&lt;&gt;"",IF(COUNTIF($F$2:$F307,F307)&gt;1,MAX(IF($F$1:$F306=F307,$E$1:$E306)),""),"")),"&amp;minuto_inicial=",MINUTE(IF(E307&lt;&gt;"",IF(COUNTIF($F$2:$F307,F307)&gt;1,MAX(IF($F$1:$F306=F307,$E$1:$E306)),""),"")),"&amp;hora_final=",HOUR(E307),"&amp;minuto_final=",MINUTE(E307),"&amp;periodo=6&amp;tipo=por_data&amp;upos=false&amp;outequip=0")),"")</f>
        <v/>
      </c>
      <c r="AN307" s="100" t="str">
        <f t="shared" si="32"/>
        <v xml:space="preserve">ABASTECEU no 22 NORTE DESCARREGOU em VARGINHA-MG CARREGOU em CORREGO FUNDO-MG ABASTECEU no CANDEIAS-MG        </v>
      </c>
    </row>
    <row r="308" spans="1:40" x14ac:dyDescent="0.25">
      <c r="A308" s="101">
        <f>IFERROR(VLOOKUP(AN308,ROTAS!$A:$B,2,FALSE),0)</f>
        <v>69</v>
      </c>
      <c r="B308" s="101">
        <f t="shared" si="33"/>
        <v>1</v>
      </c>
      <c r="C308" s="101">
        <f t="shared" si="34"/>
        <v>292</v>
      </c>
      <c r="D308" s="144">
        <v>44896</v>
      </c>
      <c r="E308" s="76">
        <v>44910.84375</v>
      </c>
      <c r="F308" s="6" t="s">
        <v>23</v>
      </c>
      <c r="G308" s="5" t="str">
        <f>IFERROR(VLOOKUP(SUMIFS(MSOLICITADA!$I:$I,MSOLICITADA!$B:$B,D308,MSOLICITADA!$F:$F,F308),CODIGOSPLACAS!$A$64:$B$89,2,FALSE),"")</f>
        <v>ISAC</v>
      </c>
      <c r="H308" s="77">
        <v>1202793</v>
      </c>
      <c r="I308" s="77">
        <v>1203085</v>
      </c>
      <c r="J308" s="7">
        <v>173</v>
      </c>
      <c r="K308" s="78">
        <v>1057.03</v>
      </c>
      <c r="L308" s="79" t="s">
        <v>111</v>
      </c>
      <c r="M308" s="6">
        <v>132</v>
      </c>
      <c r="N308" s="5">
        <f t="shared" si="28"/>
        <v>160</v>
      </c>
      <c r="O308" s="80">
        <f t="shared" si="29"/>
        <v>6.1099999999999994</v>
      </c>
      <c r="P308" s="8">
        <f t="shared" si="30"/>
        <v>1.6878612716763006</v>
      </c>
      <c r="Q308" s="8">
        <f t="shared" si="35"/>
        <v>1.5720509549919661</v>
      </c>
      <c r="R308" s="81">
        <f t="shared" si="31"/>
        <v>0.45205479452054792</v>
      </c>
      <c r="S308" s="113" t="str">
        <f>IF(F308="","",IF(H308="",TEXT(_xlfn.MAXIFS($I$1:I308,$F$1:F308,F308,$H$1:H308,"&gt;"&amp;0),"000.000"),F308))</f>
        <v>HNC7I76</v>
      </c>
      <c r="T308" s="101">
        <f t="shared" si="36"/>
        <v>160</v>
      </c>
      <c r="U308" s="82" t="s">
        <v>220</v>
      </c>
      <c r="V308" s="98" t="s">
        <v>206</v>
      </c>
      <c r="W308" s="82" t="s">
        <v>222</v>
      </c>
      <c r="X308" s="98" t="s">
        <v>167</v>
      </c>
      <c r="Y308" s="82" t="s">
        <v>220</v>
      </c>
      <c r="Z308" s="98" t="s">
        <v>217</v>
      </c>
      <c r="AA308" s="82"/>
      <c r="AB308" s="98"/>
      <c r="AC308" s="82"/>
      <c r="AD308" s="98"/>
      <c r="AE308" s="118"/>
      <c r="AF308" s="98"/>
      <c r="AG308" s="82"/>
      <c r="AH308" s="98"/>
      <c r="AI308" s="82"/>
      <c r="AJ308" s="98"/>
      <c r="AK308" s="83"/>
      <c r="AL308" s="84" t="str">
        <f>IF(F308&lt;&gt;0,IF(_xlfn.MAXIFS($I$1:I308,$F$1:F308,F308,$H$1:H308,"&gt;"&amp;0)=0,"KM NÃO ENCONTRADO",IF(H308=0,CONCATENATE("SUGESTÃO DE KM PARA PLACA ",F308," *",_xlfn.MAXIFS($I$1:I308,$F$1:F308,F308,$H$1:H308,"&gt;"&amp;0),"*"),"")),"")</f>
        <v/>
      </c>
      <c r="AM308" s="85" t="str" cm="1">
        <f t="array" ref="AM308">IFERROR(IF(M308&lt;&gt;"","",CONCATENATE("https://btx.brasiltrack.com/logistica/trajeto.php?idveiculo=",VLOOKUP(F308,DATAS!$A$221:$B$250,2,FALSE),"&amp;lat=-22.204247","&amp;data_ini=",TEXT(IF(E308&lt;&gt;"",IF(COUNTIF($F$2:$F308,F308)&gt;1,MAX(IF($F$1:$F307=F308,$E$1:$E307)),""),""),"DD/MM/AAAA"),"&amp;data_fim=",TEXT(E308,"DD/MM/AAAA"),"&amp;hora_inicial=",HOUR(IF(E308&lt;&gt;"",IF(COUNTIF($F$2:$F308,F308)&gt;1,MAX(IF($F$1:$F307=F308,$E$1:$E307)),""),"")),"&amp;minuto_inicial=",MINUTE(IF(E308&lt;&gt;"",IF(COUNTIF($F$2:$F308,F308)&gt;1,MAX(IF($F$1:$F307=F308,$E$1:$E307)),""),"")),"&amp;hora_final=",HOUR(E308),"&amp;minuto_final=",MINUTE(E308),"&amp;periodo=6&amp;tipo=por_data&amp;upos=false&amp;outequip=0")),"")</f>
        <v/>
      </c>
      <c r="AN308" s="100" t="str">
        <f t="shared" si="32"/>
        <v xml:space="preserve">ABASTECEU no CANDEIAS-MG DESCARREGOU em VARGINHA-MG ABASTECEU no DP JK SUL          </v>
      </c>
    </row>
    <row r="309" spans="1:40" x14ac:dyDescent="0.25">
      <c r="A309" s="101">
        <f>IFERROR(VLOOKUP(AN309,ROTAS!$A:$B,2,FALSE),0)</f>
        <v>70</v>
      </c>
      <c r="B309" s="101">
        <f t="shared" si="33"/>
        <v>1</v>
      </c>
      <c r="C309" s="101">
        <f t="shared" si="34"/>
        <v>622</v>
      </c>
      <c r="D309" s="144">
        <v>44896</v>
      </c>
      <c r="E309" s="76">
        <v>44910.951388888891</v>
      </c>
      <c r="F309" s="6" t="s">
        <v>33</v>
      </c>
      <c r="G309" s="5" t="str">
        <f>IFERROR(VLOOKUP(SUMIFS(MSOLICITADA!$I:$I,MSOLICITADA!$B:$B,D309,MSOLICITADA!$F:$F,F309),CODIGOSPLACAS!$A$64:$B$89,2,FALSE),"")</f>
        <v>JULIO</v>
      </c>
      <c r="H309" s="77">
        <v>163804</v>
      </c>
      <c r="I309" s="77">
        <v>164426</v>
      </c>
      <c r="J309" s="7">
        <v>361.64</v>
      </c>
      <c r="K309" s="78">
        <v>2209.63</v>
      </c>
      <c r="L309" s="79" t="s">
        <v>111</v>
      </c>
      <c r="M309" s="6">
        <v>251</v>
      </c>
      <c r="N309" s="5">
        <f t="shared" si="28"/>
        <v>371</v>
      </c>
      <c r="O309" s="80">
        <f t="shared" si="29"/>
        <v>6.1100265457360914</v>
      </c>
      <c r="P309" s="8">
        <f t="shared" si="30"/>
        <v>1.7199424842384692</v>
      </c>
      <c r="Q309" s="8">
        <f t="shared" si="35"/>
        <v>1.6210900048214474</v>
      </c>
      <c r="R309" s="81">
        <f t="shared" si="31"/>
        <v>0.40353697749196143</v>
      </c>
      <c r="S309" s="113" t="str">
        <f>IF(F309="","",IF(H309="",TEXT(_xlfn.MAXIFS($I$1:I309,$F$1:F309,F309,$H$1:H309,"&gt;"&amp;0),"000.000"),F309))</f>
        <v>GGF7G26</v>
      </c>
      <c r="T309" s="101">
        <f t="shared" si="36"/>
        <v>371</v>
      </c>
      <c r="U309" s="82" t="s">
        <v>220</v>
      </c>
      <c r="V309" s="98" t="s">
        <v>218</v>
      </c>
      <c r="W309" s="82" t="s">
        <v>222</v>
      </c>
      <c r="X309" s="98" t="s">
        <v>201</v>
      </c>
      <c r="Y309" s="82" t="s">
        <v>225</v>
      </c>
      <c r="Z309" s="98" t="s">
        <v>284</v>
      </c>
      <c r="AA309" s="82" t="s">
        <v>221</v>
      </c>
      <c r="AB309" s="98" t="s">
        <v>168</v>
      </c>
      <c r="AC309" s="82" t="s">
        <v>225</v>
      </c>
      <c r="AD309" s="98" t="s">
        <v>284</v>
      </c>
      <c r="AE309" s="82" t="s">
        <v>220</v>
      </c>
      <c r="AF309" s="98" t="s">
        <v>165</v>
      </c>
      <c r="AG309" s="82"/>
      <c r="AH309" s="98"/>
      <c r="AI309" s="82"/>
      <c r="AJ309" s="98"/>
      <c r="AK309" s="83"/>
      <c r="AL309" s="84" t="str">
        <f>IF(F309&lt;&gt;0,IF(_xlfn.MAXIFS($I$1:I309,$F$1:F309,F309,$H$1:H309,"&gt;"&amp;0)=0,"KM NÃO ENCONTRADO",IF(H309=0,CONCATENATE("SUGESTÃO DE KM PARA PLACA ",F309," *",_xlfn.MAXIFS($I$1:I309,$F$1:F309,F309,$H$1:H309,"&gt;"&amp;0),"*"),"")),"")</f>
        <v/>
      </c>
      <c r="AM309" s="85" t="str" cm="1">
        <f t="array" ref="AM309">IFERROR(IF(M309&lt;&gt;"","",CONCATENATE("https://btx.brasiltrack.com/logistica/trajeto.php?idveiculo=",VLOOKUP(F309,DATAS!$A$221:$B$250,2,FALSE),"&amp;lat=-22.204247","&amp;data_ini=",TEXT(IF(E309&lt;&gt;"",IF(COUNTIF($F$2:$F309,F309)&gt;1,MAX(IF($F$1:$F308=F309,$E$1:$E308)),""),""),"DD/MM/AAAA"),"&amp;data_fim=",TEXT(E309,"DD/MM/AAAA"),"&amp;hora_inicial=",HOUR(IF(E309&lt;&gt;"",IF(COUNTIF($F$2:$F309,F309)&gt;1,MAX(IF($F$1:$F308=F309,$E$1:$E308)),""),"")),"&amp;minuto_inicial=",MINUTE(IF(E309&lt;&gt;"",IF(COUNTIF($F$2:$F309,F309)&gt;1,MAX(IF($F$1:$F308=F309,$E$1:$E308)),""),"")),"&amp;hora_final=",HOUR(E309),"&amp;minuto_final=",MINUTE(E309),"&amp;periodo=6&amp;tipo=por_data&amp;upos=false&amp;outequip=0")),"")</f>
        <v/>
      </c>
      <c r="AN309" s="100" t="str">
        <f t="shared" si="32"/>
        <v xml:space="preserve">ABASTECEU no DP PA NORTE DESCARREGOU em TRES CORACOES-MG PASSOU em SÃO PAULO-SP CARREGOU em CUBATAO-SP PASSOU em SÃO PAULO-SP ABASTECEU no 22 NORTE    </v>
      </c>
    </row>
    <row r="310" spans="1:40" x14ac:dyDescent="0.25">
      <c r="A310" s="101">
        <f>IFERROR(VLOOKUP(AN310,ROTAS!$A:$B,2,FALSE),0)</f>
        <v>71</v>
      </c>
      <c r="B310" s="101">
        <f t="shared" si="33"/>
        <v>5</v>
      </c>
      <c r="C310" s="101">
        <f t="shared" si="34"/>
        <v>737.6</v>
      </c>
      <c r="D310" s="144">
        <v>44896</v>
      </c>
      <c r="E310" s="76">
        <v>44910.977777777778</v>
      </c>
      <c r="F310" s="6" t="s">
        <v>27</v>
      </c>
      <c r="G310" s="5" t="str">
        <f>IFERROR(VLOOKUP(SUMIFS(MSOLICITADA!$I:$I,MSOLICITADA!$B:$B,D310,MSOLICITADA!$F:$F,F310),CODIGOSPLACAS!$A$64:$B$89,2,FALSE),"")</f>
        <v>ANTONIO</v>
      </c>
      <c r="H310" s="77">
        <v>245684</v>
      </c>
      <c r="I310" s="77">
        <v>246418</v>
      </c>
      <c r="J310" s="7">
        <v>476.00099999999998</v>
      </c>
      <c r="K310" s="78">
        <v>2908.36</v>
      </c>
      <c r="L310" s="79" t="s">
        <v>111</v>
      </c>
      <c r="M310" s="6">
        <v>367</v>
      </c>
      <c r="N310" s="5">
        <f t="shared" si="28"/>
        <v>367</v>
      </c>
      <c r="O310" s="80">
        <f t="shared" si="29"/>
        <v>6.1099871638925132</v>
      </c>
      <c r="P310" s="8">
        <f t="shared" si="30"/>
        <v>1.5420135671983883</v>
      </c>
      <c r="Q310" s="8">
        <f t="shared" si="35"/>
        <v>1.4435398773633086</v>
      </c>
      <c r="R310" s="81">
        <f t="shared" si="31"/>
        <v>0.5</v>
      </c>
      <c r="S310" s="113" t="str">
        <f>IF(F310="","",IF(H310="",TEXT(_xlfn.MAXIFS($I$1:I310,$F$1:F310,F310,$H$1:H310,"&gt;"&amp;0),"000.000"),F310))</f>
        <v>GHS4J57</v>
      </c>
      <c r="T310" s="101">
        <f t="shared" si="36"/>
        <v>369</v>
      </c>
      <c r="U310" s="82" t="s">
        <v>220</v>
      </c>
      <c r="V310" s="98" t="s">
        <v>165</v>
      </c>
      <c r="W310" s="82" t="s">
        <v>222</v>
      </c>
      <c r="X310" s="98" t="s">
        <v>201</v>
      </c>
      <c r="Y310" s="82" t="s">
        <v>225</v>
      </c>
      <c r="Z310" s="98" t="s">
        <v>284</v>
      </c>
      <c r="AA310" s="82" t="s">
        <v>221</v>
      </c>
      <c r="AB310" s="98" t="s">
        <v>168</v>
      </c>
      <c r="AC310" s="82" t="s">
        <v>225</v>
      </c>
      <c r="AD310" s="98" t="s">
        <v>284</v>
      </c>
      <c r="AE310" s="82" t="s">
        <v>220</v>
      </c>
      <c r="AF310" s="98" t="s">
        <v>165</v>
      </c>
      <c r="AG310" s="82"/>
      <c r="AH310" s="98"/>
      <c r="AI310" s="82"/>
      <c r="AJ310" s="98"/>
      <c r="AK310" s="83"/>
      <c r="AL310" s="84" t="str">
        <f>IF(F310&lt;&gt;0,IF(_xlfn.MAXIFS($I$1:I310,$F$1:F310,F310,$H$1:H310,"&gt;"&amp;0)=0,"KM NÃO ENCONTRADO",IF(H310=0,CONCATENATE("SUGESTÃO DE KM PARA PLACA ",F310," *",_xlfn.MAXIFS($I$1:I310,$F$1:F310,F310,$H$1:H310,"&gt;"&amp;0),"*"),"")),"")</f>
        <v/>
      </c>
      <c r="AM310" s="85" t="str" cm="1">
        <f t="array" ref="AM310">IFERROR(IF(M310&lt;&gt;"","",CONCATENATE("https://btx.brasiltrack.com/logistica/trajeto.php?idveiculo=",VLOOKUP(F310,DATAS!$A$221:$B$250,2,FALSE),"&amp;lat=-22.204247","&amp;data_ini=",TEXT(IF(E310&lt;&gt;"",IF(COUNTIF($F$2:$F310,F310)&gt;1,MAX(IF($F$1:$F309=F310,$E$1:$E309)),""),""),"DD/MM/AAAA"),"&amp;data_fim=",TEXT(E310,"DD/MM/AAAA"),"&amp;hora_inicial=",HOUR(IF(E310&lt;&gt;"",IF(COUNTIF($F$2:$F310,F310)&gt;1,MAX(IF($F$1:$F309=F310,$E$1:$E309)),""),"")),"&amp;minuto_inicial=",MINUTE(IF(E310&lt;&gt;"",IF(COUNTIF($F$2:$F310,F310)&gt;1,MAX(IF($F$1:$F309=F310,$E$1:$E309)),""),"")),"&amp;hora_final=",HOUR(E310),"&amp;minuto_final=",MINUTE(E310),"&amp;periodo=6&amp;tipo=por_data&amp;upos=false&amp;outequip=0")),"")</f>
        <v/>
      </c>
      <c r="AN310" s="100" t="str">
        <f t="shared" si="32"/>
        <v xml:space="preserve">ABASTECEU no 22 NORTE DESCARREGOU em TRES CORACOES-MG PASSOU em SÃO PAULO-SP CARREGOU em CUBATAO-SP PASSOU em SÃO PAULO-SP ABASTECEU no 22 NORTE    </v>
      </c>
    </row>
    <row r="311" spans="1:40" x14ac:dyDescent="0.25">
      <c r="A311" s="101">
        <f>IFERROR(VLOOKUP(AN311,ROTAS!$A:$B,2,FALSE),0)</f>
        <v>59</v>
      </c>
      <c r="B311" s="101">
        <f t="shared" si="33"/>
        <v>6</v>
      </c>
      <c r="C311" s="101">
        <f t="shared" si="34"/>
        <v>783.16666666666663</v>
      </c>
      <c r="D311" s="144">
        <v>44896</v>
      </c>
      <c r="E311" s="76">
        <v>44911.001388888886</v>
      </c>
      <c r="F311" s="6" t="s">
        <v>126</v>
      </c>
      <c r="G311" s="5" t="str">
        <f>IFERROR(VLOOKUP(SUMIFS(MSOLICITADA!$I:$I,MSOLICITADA!$B:$B,D311,MSOLICITADA!$F:$F,F311),CODIGOSPLACAS!$A$64:$B$89,2,FALSE),"")</f>
        <v>IZAIAS</v>
      </c>
      <c r="H311" s="77">
        <v>486787</v>
      </c>
      <c r="I311" s="77">
        <v>487580</v>
      </c>
      <c r="J311" s="7">
        <v>503.00099999999998</v>
      </c>
      <c r="K311" s="78">
        <v>3073.33</v>
      </c>
      <c r="L311" s="79" t="s">
        <v>111</v>
      </c>
      <c r="M311" s="6">
        <v>368</v>
      </c>
      <c r="N311" s="5">
        <f t="shared" si="28"/>
        <v>425</v>
      </c>
      <c r="O311" s="80">
        <f t="shared" si="29"/>
        <v>6.109987852906853</v>
      </c>
      <c r="P311" s="8">
        <f t="shared" si="30"/>
        <v>1.5765376211975723</v>
      </c>
      <c r="Q311" s="8">
        <f t="shared" si="35"/>
        <v>1.5097907680030693</v>
      </c>
      <c r="R311" s="81">
        <f t="shared" si="31"/>
        <v>0.46406052963430011</v>
      </c>
      <c r="S311" s="113" t="str">
        <f>IF(F311="","",IF(H311="",TEXT(_xlfn.MAXIFS($I$1:I311,$F$1:F311,F311,$H$1:H311,"&gt;"&amp;0),"000.000"),F311))</f>
        <v>GHX4D71</v>
      </c>
      <c r="T311" s="101">
        <f t="shared" si="36"/>
        <v>432.66666666666669</v>
      </c>
      <c r="U311" s="82" t="s">
        <v>220</v>
      </c>
      <c r="V311" s="98" t="s">
        <v>165</v>
      </c>
      <c r="W311" s="82" t="s">
        <v>222</v>
      </c>
      <c r="X311" s="98" t="s">
        <v>201</v>
      </c>
      <c r="Y311" s="82" t="s">
        <v>225</v>
      </c>
      <c r="Z311" s="98" t="s">
        <v>237</v>
      </c>
      <c r="AA311" s="82" t="s">
        <v>221</v>
      </c>
      <c r="AB311" s="98" t="s">
        <v>168</v>
      </c>
      <c r="AC311" s="82" t="s">
        <v>225</v>
      </c>
      <c r="AD311" s="98" t="s">
        <v>284</v>
      </c>
      <c r="AE311" s="82" t="s">
        <v>220</v>
      </c>
      <c r="AF311" s="98" t="s">
        <v>165</v>
      </c>
      <c r="AG311" s="82"/>
      <c r="AH311" s="98"/>
      <c r="AI311" s="82"/>
      <c r="AJ311" s="98"/>
      <c r="AK311" s="83"/>
      <c r="AL311" s="84" t="str">
        <f>IF(F311&lt;&gt;0,IF(_xlfn.MAXIFS($I$1:I311,$F$1:F311,F311,$H$1:H311,"&gt;"&amp;0)=0,"KM NÃO ENCONTRADO",IF(H311=0,CONCATENATE("SUGESTÃO DE KM PARA PLACA ",F311," *",_xlfn.MAXIFS($I$1:I311,$F$1:F311,F311,$H$1:H311,"&gt;"&amp;0),"*"),"")),"")</f>
        <v/>
      </c>
      <c r="AM311" s="85" t="str" cm="1">
        <f t="array" ref="AM311">IFERROR(IF(M311&lt;&gt;"","",CONCATENATE("https://btx.brasiltrack.com/logistica/trajeto.php?idveiculo=",VLOOKUP(F311,DATAS!$A$221:$B$250,2,FALSE),"&amp;lat=-22.204247","&amp;data_ini=",TEXT(IF(E311&lt;&gt;"",IF(COUNTIF($F$2:$F311,F311)&gt;1,MAX(IF($F$1:$F310=F311,$E$1:$E310)),""),""),"DD/MM/AAAA"),"&amp;data_fim=",TEXT(E311,"DD/MM/AAAA"),"&amp;hora_inicial=",HOUR(IF(E311&lt;&gt;"",IF(COUNTIF($F$2:$F311,F311)&gt;1,MAX(IF($F$1:$F310=F311,$E$1:$E310)),""),"")),"&amp;minuto_inicial=",MINUTE(IF(E311&lt;&gt;"",IF(COUNTIF($F$2:$F311,F311)&gt;1,MAX(IF($F$1:$F310=F311,$E$1:$E310)),""),"")),"&amp;hora_final=",HOUR(E311),"&amp;minuto_final=",MINUTE(E311),"&amp;periodo=6&amp;tipo=por_data&amp;upos=false&amp;outequip=0")),"")</f>
        <v/>
      </c>
      <c r="AN311" s="100" t="str">
        <f t="shared" si="32"/>
        <v xml:space="preserve">ABASTECEU no 22 NORTE DESCARREGOU em TRES CORACOES-MG PASSOU em ARUJÁ-SP CARREGOU em CUBATAO-SP PASSOU em SÃO PAULO-SP ABASTECEU no 22 NORTE    </v>
      </c>
    </row>
    <row r="312" spans="1:40" x14ac:dyDescent="0.25">
      <c r="A312" s="101">
        <f>IFERROR(VLOOKUP(AN312,ROTAS!$A:$B,2,FALSE),0)</f>
        <v>72</v>
      </c>
      <c r="B312" s="101">
        <f t="shared" si="33"/>
        <v>1</v>
      </c>
      <c r="C312" s="101">
        <f t="shared" si="34"/>
        <v>959</v>
      </c>
      <c r="D312" s="144">
        <v>44896</v>
      </c>
      <c r="E312" s="76">
        <v>44911.058333333334</v>
      </c>
      <c r="F312" s="6" t="s">
        <v>128</v>
      </c>
      <c r="G312" s="5" t="str">
        <f>IFERROR(VLOOKUP(SUMIFS(MSOLICITADA!$I:$I,MSOLICITADA!$B:$B,D312,MSOLICITADA!$F:$F,F312),CODIGOSPLACAS!$A$64:$B$89,2,FALSE),"")</f>
        <v>ELI RICARDO</v>
      </c>
      <c r="H312" s="77">
        <v>89171</v>
      </c>
      <c r="I312" s="77">
        <v>90130</v>
      </c>
      <c r="J312" s="7">
        <v>527</v>
      </c>
      <c r="K312" s="78">
        <v>3220</v>
      </c>
      <c r="L312" s="79" t="s">
        <v>111</v>
      </c>
      <c r="M312" s="6">
        <v>564</v>
      </c>
      <c r="N312" s="5">
        <f t="shared" si="28"/>
        <v>395</v>
      </c>
      <c r="O312" s="80">
        <f t="shared" si="29"/>
        <v>6.1100569259962052</v>
      </c>
      <c r="P312" s="8">
        <f t="shared" si="30"/>
        <v>1.8197343453510437</v>
      </c>
      <c r="Q312" s="8">
        <f t="shared" si="35"/>
        <v>1.703484050067618</v>
      </c>
      <c r="R312" s="81">
        <f t="shared" si="31"/>
        <v>0.58811261730969755</v>
      </c>
      <c r="S312" s="113" t="str">
        <f>IF(F312="","",IF(H312="",TEXT(_xlfn.MAXIFS($I$1:I312,$F$1:F312,F312,$H$1:H312,"&gt;"&amp;0),"000.000"),F312))</f>
        <v>GFR0D47</v>
      </c>
      <c r="T312" s="101">
        <f t="shared" si="36"/>
        <v>395</v>
      </c>
      <c r="U312" s="82" t="s">
        <v>220</v>
      </c>
      <c r="V312" s="98" t="s">
        <v>165</v>
      </c>
      <c r="W312" s="82" t="s">
        <v>222</v>
      </c>
      <c r="X312" s="98" t="s">
        <v>201</v>
      </c>
      <c r="Y312" s="82" t="s">
        <v>225</v>
      </c>
      <c r="Z312" s="98" t="s">
        <v>237</v>
      </c>
      <c r="AA312" s="82" t="s">
        <v>221</v>
      </c>
      <c r="AB312" s="98" t="s">
        <v>168</v>
      </c>
      <c r="AC312" s="82" t="s">
        <v>225</v>
      </c>
      <c r="AD312" s="98" t="s">
        <v>284</v>
      </c>
      <c r="AE312" s="82" t="s">
        <v>220</v>
      </c>
      <c r="AF312" s="98" t="s">
        <v>239</v>
      </c>
      <c r="AG312" s="82"/>
      <c r="AH312" s="98"/>
      <c r="AI312" s="82"/>
      <c r="AJ312" s="98"/>
      <c r="AK312" s="83"/>
      <c r="AL312" s="84" t="str">
        <f>IF(F312&lt;&gt;0,IF(_xlfn.MAXIFS($I$1:I312,$F$1:F312,F312,$H$1:H312,"&gt;"&amp;0)=0,"KM NÃO ENCONTRADO",IF(H312=0,CONCATENATE("SUGESTÃO DE KM PARA PLACA ",F312," *",_xlfn.MAXIFS($I$1:I312,$F$1:F312,F312,$H$1:H312,"&gt;"&amp;0),"*"),"")),"")</f>
        <v/>
      </c>
      <c r="AM312" s="85" t="str" cm="1">
        <f t="array" ref="AM312">IFERROR(IF(M312&lt;&gt;"","",CONCATENATE("https://btx.brasiltrack.com/logistica/trajeto.php?idveiculo=",VLOOKUP(F312,DATAS!$A$221:$B$250,2,FALSE),"&amp;lat=-22.204247","&amp;data_ini=",TEXT(IF(E312&lt;&gt;"",IF(COUNTIF($F$2:$F312,F312)&gt;1,MAX(IF($F$1:$F311=F312,$E$1:$E311)),""),""),"DD/MM/AAAA"),"&amp;data_fim=",TEXT(E312,"DD/MM/AAAA"),"&amp;hora_inicial=",HOUR(IF(E312&lt;&gt;"",IF(COUNTIF($F$2:$F312,F312)&gt;1,MAX(IF($F$1:$F311=F312,$E$1:$E311)),""),"")),"&amp;minuto_inicial=",MINUTE(IF(E312&lt;&gt;"",IF(COUNTIF($F$2:$F312,F312)&gt;1,MAX(IF($F$1:$F311=F312,$E$1:$E311)),""),"")),"&amp;hora_final=",HOUR(E312),"&amp;minuto_final=",MINUTE(E312),"&amp;periodo=6&amp;tipo=por_data&amp;upos=false&amp;outequip=0")),"")</f>
        <v/>
      </c>
      <c r="AN312" s="100" t="str">
        <f t="shared" si="32"/>
        <v xml:space="preserve">ABASTECEU no 22 NORTE DESCARREGOU em TRES CORACOES-MG PASSOU em ARUJÁ-SP CARREGOU em CUBATAO-SP PASSOU em SÃO PAULO-SP ABASTECEU no DP ALIANCA PA    </v>
      </c>
    </row>
    <row r="313" spans="1:40" x14ac:dyDescent="0.25">
      <c r="A313" s="101">
        <f>IFERROR(VLOOKUP(AN313,ROTAS!$A:$B,2,FALSE),0)</f>
        <v>13</v>
      </c>
      <c r="B313" s="101">
        <f t="shared" si="33"/>
        <v>16</v>
      </c>
      <c r="C313" s="101">
        <f t="shared" si="34"/>
        <v>363.3125</v>
      </c>
      <c r="D313" s="144">
        <v>44896</v>
      </c>
      <c r="E313" s="76">
        <v>44911.736111111109</v>
      </c>
      <c r="F313" s="6" t="s">
        <v>35</v>
      </c>
      <c r="G313" s="5" t="str">
        <f>IFERROR(VLOOKUP(SUMIFS(MSOLICITADA!$I:$I,MSOLICITADA!$B:$B,D313,MSOLICITADA!$F:$F,F313),CODIGOSPLACAS!$A$64:$B$89,2,FALSE),"")</f>
        <v>JOEL</v>
      </c>
      <c r="H313" s="77">
        <v>228749</v>
      </c>
      <c r="I313" s="77">
        <v>229810</v>
      </c>
      <c r="J313" s="7">
        <v>285.3</v>
      </c>
      <c r="K313" s="78">
        <v>1756.44</v>
      </c>
      <c r="L313" s="79" t="s">
        <v>112</v>
      </c>
      <c r="M313" s="6">
        <v>530</v>
      </c>
      <c r="N313" s="5">
        <f t="shared" si="28"/>
        <v>531</v>
      </c>
      <c r="O313" s="80">
        <f t="shared" si="29"/>
        <v>6.1564668769716091</v>
      </c>
      <c r="P313" s="8">
        <f t="shared" si="30"/>
        <v>3.7188923939712581</v>
      </c>
      <c r="Q313" s="8">
        <f t="shared" si="35"/>
        <v>2.5478603603603602</v>
      </c>
      <c r="R313" s="81">
        <f t="shared" si="31"/>
        <v>0.49952874646559847</v>
      </c>
      <c r="S313" s="113" t="str">
        <f>IF(F313="","",IF(H313="",TEXT(_xlfn.MAXIFS($I$1:I313,$F$1:F313,F313,$H$1:H313,"&gt;"&amp;0),"000.000"),F313))</f>
        <v>QNP3A97</v>
      </c>
      <c r="T313" s="101">
        <f t="shared" si="36"/>
        <v>186.5</v>
      </c>
      <c r="U313" s="82" t="s">
        <v>220</v>
      </c>
      <c r="V313" s="98" t="s">
        <v>206</v>
      </c>
      <c r="W313" s="82" t="s">
        <v>220</v>
      </c>
      <c r="X313" s="98" t="s">
        <v>206</v>
      </c>
      <c r="Y313" s="82"/>
      <c r="Z313" s="98"/>
      <c r="AA313" s="82"/>
      <c r="AB313" s="98"/>
      <c r="AC313" s="82"/>
      <c r="AD313" s="98"/>
      <c r="AE313" s="82"/>
      <c r="AF313" s="98"/>
      <c r="AG313" s="82"/>
      <c r="AH313" s="98"/>
      <c r="AI313" s="82"/>
      <c r="AJ313" s="98"/>
      <c r="AK313" s="83"/>
      <c r="AL313" s="84" t="str">
        <f>IF(F313&lt;&gt;0,IF(_xlfn.MAXIFS($I$1:I313,$F$1:F313,F313,$H$1:H313,"&gt;"&amp;0)=0,"KM NÃO ENCONTRADO",IF(H313=0,CONCATENATE("SUGESTÃO DE KM PARA PLACA ",F313," *",_xlfn.MAXIFS($I$1:I313,$F$1:F313,F313,$H$1:H313,"&gt;"&amp;0),"*"),"")),"")</f>
        <v/>
      </c>
      <c r="AM313" s="85" t="str" cm="1">
        <f t="array" ref="AM313">IFERROR(IF(M313&lt;&gt;"","",CONCATENATE("https://btx.brasiltrack.com/logistica/trajeto.php?idveiculo=",VLOOKUP(F313,DATAS!$A$221:$B$250,2,FALSE),"&amp;lat=-22.204247","&amp;data_ini=",TEXT(IF(E313&lt;&gt;"",IF(COUNTIF($F$2:$F313,F313)&gt;1,MAX(IF($F$1:$F312=F313,$E$1:$E312)),""),""),"DD/MM/AAAA"),"&amp;data_fim=",TEXT(E313,"DD/MM/AAAA"),"&amp;hora_inicial=",HOUR(IF(E313&lt;&gt;"",IF(COUNTIF($F$2:$F313,F313)&gt;1,MAX(IF($F$1:$F312=F313,$E$1:$E312)),""),"")),"&amp;minuto_inicial=",MINUTE(IF(E313&lt;&gt;"",IF(COUNTIF($F$2:$F313,F313)&gt;1,MAX(IF($F$1:$F312=F313,$E$1:$E312)),""),"")),"&amp;hora_final=",HOUR(E313),"&amp;minuto_final=",MINUTE(E313),"&amp;periodo=6&amp;tipo=por_data&amp;upos=false&amp;outequip=0")),"")</f>
        <v/>
      </c>
      <c r="AN313" s="100" t="str">
        <f t="shared" si="32"/>
        <v xml:space="preserve">ABASTECEU no CANDEIAS-MG ABASTECEU no CANDEIAS-MG            </v>
      </c>
    </row>
    <row r="314" spans="1:40" x14ac:dyDescent="0.25">
      <c r="A314" s="101">
        <f>IFERROR(VLOOKUP(AN314,ROTAS!$A:$B,2,FALSE),0)</f>
        <v>73</v>
      </c>
      <c r="B314" s="101">
        <f t="shared" si="33"/>
        <v>2</v>
      </c>
      <c r="C314" s="101">
        <f t="shared" si="34"/>
        <v>416.5</v>
      </c>
      <c r="D314" s="144">
        <v>44896</v>
      </c>
      <c r="E314" s="76">
        <v>44911.821527777778</v>
      </c>
      <c r="F314" s="6" t="s">
        <v>23</v>
      </c>
      <c r="G314" s="5" t="str">
        <f>IFERROR(VLOOKUP(SUMIFS(MSOLICITADA!$I:$I,MSOLICITADA!$B:$B,D314,MSOLICITADA!$F:$F,F314),CODIGOSPLACAS!$A$64:$B$89,2,FALSE),"")</f>
        <v>ISAC</v>
      </c>
      <c r="H314" s="77">
        <v>1203085</v>
      </c>
      <c r="I314" s="77">
        <v>1203501</v>
      </c>
      <c r="J314" s="7">
        <v>238</v>
      </c>
      <c r="K314" s="78">
        <v>1454.18</v>
      </c>
      <c r="L314" s="79" t="s">
        <v>111</v>
      </c>
      <c r="M314" s="6">
        <v>177</v>
      </c>
      <c r="N314" s="5">
        <f t="shared" si="28"/>
        <v>239</v>
      </c>
      <c r="O314" s="80">
        <f t="shared" si="29"/>
        <v>6.11</v>
      </c>
      <c r="P314" s="8">
        <f t="shared" si="30"/>
        <v>1.7478991596638656</v>
      </c>
      <c r="Q314" s="8">
        <f t="shared" si="35"/>
        <v>1.5720509549919661</v>
      </c>
      <c r="R314" s="81">
        <f t="shared" si="31"/>
        <v>0.42548076923076922</v>
      </c>
      <c r="S314" s="113" t="str">
        <f>IF(F314="","",IF(H314="",TEXT(_xlfn.MAXIFS($I$1:I314,$F$1:F314,F314,$H$1:H314,"&gt;"&amp;0),"000.000"),F314))</f>
        <v>HNC7I76</v>
      </c>
      <c r="T314" s="101">
        <f t="shared" si="36"/>
        <v>239</v>
      </c>
      <c r="U314" s="82" t="s">
        <v>220</v>
      </c>
      <c r="V314" s="98" t="s">
        <v>217</v>
      </c>
      <c r="W314" s="82" t="s">
        <v>225</v>
      </c>
      <c r="X314" s="98" t="s">
        <v>284</v>
      </c>
      <c r="Y314" s="82" t="s">
        <v>221</v>
      </c>
      <c r="Z314" s="98" t="s">
        <v>168</v>
      </c>
      <c r="AA314" s="82" t="s">
        <v>225</v>
      </c>
      <c r="AB314" s="98" t="s">
        <v>237</v>
      </c>
      <c r="AC314" s="82" t="s">
        <v>220</v>
      </c>
      <c r="AD314" s="98" t="s">
        <v>165</v>
      </c>
      <c r="AE314" s="118"/>
      <c r="AF314" s="98"/>
      <c r="AG314" s="82"/>
      <c r="AH314" s="98"/>
      <c r="AI314" s="82"/>
      <c r="AJ314" s="98"/>
      <c r="AK314" s="83"/>
      <c r="AL314" s="84" t="str">
        <f>IF(F314&lt;&gt;0,IF(_xlfn.MAXIFS($I$1:I314,$F$1:F314,F314,$H$1:H314,"&gt;"&amp;0)=0,"KM NÃO ENCONTRADO",IF(H314=0,CONCATENATE("SUGESTÃO DE KM PARA PLACA ",F314," *",_xlfn.MAXIFS($I$1:I314,$F$1:F314,F314,$H$1:H314,"&gt;"&amp;0),"*"),"")),"")</f>
        <v/>
      </c>
      <c r="AM314" s="85" t="str" cm="1">
        <f t="array" ref="AM314">IFERROR(IF(M314&lt;&gt;"","",CONCATENATE("https://btx.brasiltrack.com/logistica/trajeto.php?idveiculo=",VLOOKUP(F314,DATAS!$A$221:$B$250,2,FALSE),"&amp;lat=-22.204247","&amp;data_ini=",TEXT(IF(E314&lt;&gt;"",IF(COUNTIF($F$2:$F314,F314)&gt;1,MAX(IF($F$1:$F313=F314,$E$1:$E313)),""),""),"DD/MM/AAAA"),"&amp;data_fim=",TEXT(E314,"DD/MM/AAAA"),"&amp;hora_inicial=",HOUR(IF(E314&lt;&gt;"",IF(COUNTIF($F$2:$F314,F314)&gt;1,MAX(IF($F$1:$F313=F314,$E$1:$E313)),""),"")),"&amp;minuto_inicial=",MINUTE(IF(E314&lt;&gt;"",IF(COUNTIF($F$2:$F314,F314)&gt;1,MAX(IF($F$1:$F313=F314,$E$1:$E313)),""),"")),"&amp;hora_final=",HOUR(E314),"&amp;minuto_final=",MINUTE(E314),"&amp;periodo=6&amp;tipo=por_data&amp;upos=false&amp;outequip=0")),"")</f>
        <v/>
      </c>
      <c r="AN314" s="100" t="str">
        <f t="shared" si="32"/>
        <v xml:space="preserve">ABASTECEU no DP JK SUL PASSOU em SÃO PAULO-SP CARREGOU em CUBATAO-SP PASSOU em ARUJÁ-SP ABASTECEU no 22 NORTE      </v>
      </c>
    </row>
    <row r="315" spans="1:40" x14ac:dyDescent="0.25">
      <c r="A315" s="101">
        <f>IFERROR(VLOOKUP(AN315,ROTAS!$A:$B,2,FALSE),0)</f>
        <v>74</v>
      </c>
      <c r="B315" s="101">
        <f t="shared" si="33"/>
        <v>3</v>
      </c>
      <c r="C315" s="101">
        <f t="shared" si="34"/>
        <v>1212.6666666666667</v>
      </c>
      <c r="D315" s="144">
        <v>44896</v>
      </c>
      <c r="E315" s="76">
        <v>44912.852777777778</v>
      </c>
      <c r="F315" s="6" t="s">
        <v>124</v>
      </c>
      <c r="G315" s="5" t="str">
        <f>IFERROR(VLOOKUP(SUMIFS(MSOLICITADA!$I:$I,MSOLICITADA!$B:$B,D315,MSOLICITADA!$F:$F,F315),CODIGOSPLACAS!$A$64:$B$89,2,FALSE),"")</f>
        <v>ISRAEL</v>
      </c>
      <c r="H315" s="77">
        <v>137664</v>
      </c>
      <c r="I315" s="77">
        <v>138891</v>
      </c>
      <c r="J315" s="7">
        <v>469</v>
      </c>
      <c r="K315" s="78">
        <v>2856.21</v>
      </c>
      <c r="L315" s="79" t="s">
        <v>111</v>
      </c>
      <c r="M315" s="6">
        <v>547</v>
      </c>
      <c r="N315" s="5">
        <f t="shared" si="28"/>
        <v>680</v>
      </c>
      <c r="O315" s="80">
        <f t="shared" si="29"/>
        <v>6.09</v>
      </c>
      <c r="P315" s="8">
        <f t="shared" si="30"/>
        <v>2.6162046908315566</v>
      </c>
      <c r="Q315" s="8">
        <f t="shared" si="35"/>
        <v>1.6396894062131062</v>
      </c>
      <c r="R315" s="81">
        <f t="shared" si="31"/>
        <v>0.44580277098614507</v>
      </c>
      <c r="S315" s="113" t="str">
        <f>IF(F315="","",IF(H315="",TEXT(_xlfn.MAXIFS($I$1:I315,$F$1:F315,F315,$H$1:H315,"&gt;"&amp;0),"000.000"),F315))</f>
        <v>GHH9B64</v>
      </c>
      <c r="T315" s="101">
        <f t="shared" si="36"/>
        <v>680</v>
      </c>
      <c r="U315" s="82" t="s">
        <v>220</v>
      </c>
      <c r="V315" s="98" t="s">
        <v>226</v>
      </c>
      <c r="W315" s="82" t="s">
        <v>221</v>
      </c>
      <c r="X315" s="98" t="s">
        <v>283</v>
      </c>
      <c r="Y315" s="82" t="s">
        <v>220</v>
      </c>
      <c r="Z315" s="98" t="s">
        <v>240</v>
      </c>
      <c r="AA315" s="82"/>
      <c r="AB315" s="98"/>
      <c r="AC315" s="82"/>
      <c r="AD315" s="98"/>
      <c r="AE315" s="118"/>
      <c r="AF315" s="98"/>
      <c r="AG315" s="82"/>
      <c r="AH315" s="98"/>
      <c r="AI315" s="82"/>
      <c r="AJ315" s="98"/>
      <c r="AK315" s="83"/>
      <c r="AL315" s="84" t="str">
        <f>IF(F315&lt;&gt;0,IF(_xlfn.MAXIFS($I$1:I315,$F$1:F315,F315,$H$1:H315,"&gt;"&amp;0)=0,"KM NÃO ENCONTRADO",IF(H315=0,CONCATENATE("SUGESTÃO DE KM PARA PLACA ",F315," *",_xlfn.MAXIFS($I$1:I315,$F$1:F315,F315,$H$1:H315,"&gt;"&amp;0),"*"),"")),"")</f>
        <v/>
      </c>
      <c r="AM315" s="85" t="str" cm="1">
        <f t="array" ref="AM315">IFERROR(IF(M315&lt;&gt;"","",CONCATENATE("https://btx.brasiltrack.com/logistica/trajeto.php?idveiculo=",VLOOKUP(F315,DATAS!$A$221:$B$250,2,FALSE),"&amp;lat=-22.204247","&amp;data_ini=",TEXT(IF(E315&lt;&gt;"",IF(COUNTIF($F$2:$F315,F315)&gt;1,MAX(IF($F$1:$F314=F315,$E$1:$E314)),""),""),"DD/MM/AAAA"),"&amp;data_fim=",TEXT(E315,"DD/MM/AAAA"),"&amp;hora_inicial=",HOUR(IF(E315&lt;&gt;"",IF(COUNTIF($F$2:$F315,F315)&gt;1,MAX(IF($F$1:$F314=F315,$E$1:$E314)),""),"")),"&amp;minuto_inicial=",MINUTE(IF(E315&lt;&gt;"",IF(COUNTIF($F$2:$F315,F315)&gt;1,MAX(IF($F$1:$F314=F315,$E$1:$E314)),""),"")),"&amp;hora_final=",HOUR(E315),"&amp;minuto_final=",MINUTE(E315),"&amp;periodo=6&amp;tipo=por_data&amp;upos=false&amp;outequip=0")),"")</f>
        <v/>
      </c>
      <c r="AN315" s="100" t="str">
        <f t="shared" si="32"/>
        <v xml:space="preserve">ABASTECEU no PRODOESTE UBA CARREGOU em SÃO JOAO DALIANCA-GO ABASTECEU no BRASILEIRAO ARAGUARI          </v>
      </c>
    </row>
    <row r="316" spans="1:40" x14ac:dyDescent="0.25">
      <c r="A316" s="101">
        <f>IFERROR(VLOOKUP(AN316,ROTAS!$A:$B,2,FALSE),0)</f>
        <v>74</v>
      </c>
      <c r="B316" s="101">
        <f t="shared" si="33"/>
        <v>3</v>
      </c>
      <c r="C316" s="101">
        <f t="shared" si="34"/>
        <v>1212.6666666666667</v>
      </c>
      <c r="D316" s="144">
        <v>44896</v>
      </c>
      <c r="E316" s="76">
        <v>44912.853472222225</v>
      </c>
      <c r="F316" s="6" t="s">
        <v>29</v>
      </c>
      <c r="G316" s="5" t="str">
        <f>IFERROR(VLOOKUP(SUMIFS(MSOLICITADA!$I:$I,MSOLICITADA!$B:$B,D316,MSOLICITADA!$F:$F,F316),CODIGOSPLACAS!$A$64:$B$89,2,FALSE),"")</f>
        <v>EDNILSON</v>
      </c>
      <c r="H316" s="77">
        <v>236366</v>
      </c>
      <c r="I316" s="77">
        <v>237579</v>
      </c>
      <c r="J316" s="7">
        <v>449</v>
      </c>
      <c r="K316" s="78">
        <v>2734.41</v>
      </c>
      <c r="L316" s="79" t="s">
        <v>111</v>
      </c>
      <c r="M316" s="6">
        <v>533</v>
      </c>
      <c r="N316" s="5">
        <f t="shared" si="28"/>
        <v>680</v>
      </c>
      <c r="O316" s="80">
        <f t="shared" si="29"/>
        <v>6.09</v>
      </c>
      <c r="P316" s="8">
        <f t="shared" si="30"/>
        <v>2.7015590200445434</v>
      </c>
      <c r="Q316" s="8">
        <f t="shared" si="35"/>
        <v>1.5750677554084309</v>
      </c>
      <c r="R316" s="81">
        <f t="shared" si="31"/>
        <v>0.43940643033800497</v>
      </c>
      <c r="S316" s="113" t="str">
        <f>IF(F316="","",IF(H316="",TEXT(_xlfn.MAXIFS($I$1:I316,$F$1:F316,F316,$H$1:H316,"&gt;"&amp;0),"000.000"),F316))</f>
        <v>GKA2J56</v>
      </c>
      <c r="T316" s="101">
        <f t="shared" si="36"/>
        <v>680</v>
      </c>
      <c r="U316" s="82" t="s">
        <v>220</v>
      </c>
      <c r="V316" s="98" t="s">
        <v>226</v>
      </c>
      <c r="W316" s="82" t="s">
        <v>221</v>
      </c>
      <c r="X316" s="98" t="s">
        <v>283</v>
      </c>
      <c r="Y316" s="82" t="s">
        <v>220</v>
      </c>
      <c r="Z316" s="98" t="s">
        <v>240</v>
      </c>
      <c r="AA316" s="82"/>
      <c r="AB316" s="98"/>
      <c r="AC316" s="82"/>
      <c r="AD316" s="98"/>
      <c r="AE316" s="118"/>
      <c r="AF316" s="98"/>
      <c r="AG316" s="82"/>
      <c r="AH316" s="98"/>
      <c r="AI316" s="82"/>
      <c r="AJ316" s="98"/>
      <c r="AK316" s="83"/>
      <c r="AL316" s="84" t="str">
        <f>IF(F316&lt;&gt;0,IF(_xlfn.MAXIFS($I$1:I316,$F$1:F316,F316,$H$1:H316,"&gt;"&amp;0)=0,"KM NÃO ENCONTRADO",IF(H316=0,CONCATENATE("SUGESTÃO DE KM PARA PLACA ",F316," *",_xlfn.MAXIFS($I$1:I316,$F$1:F316,F316,$H$1:H316,"&gt;"&amp;0),"*"),"")),"")</f>
        <v/>
      </c>
      <c r="AM316" s="85" t="str" cm="1">
        <f t="array" ref="AM316">IFERROR(IF(M316&lt;&gt;"","",CONCATENATE("https://btx.brasiltrack.com/logistica/trajeto.php?idveiculo=",VLOOKUP(F316,DATAS!$A$221:$B$250,2,FALSE),"&amp;lat=-22.204247","&amp;data_ini=",TEXT(IF(E316&lt;&gt;"",IF(COUNTIF($F$2:$F316,F316)&gt;1,MAX(IF($F$1:$F315=F316,$E$1:$E315)),""),""),"DD/MM/AAAA"),"&amp;data_fim=",TEXT(E316,"DD/MM/AAAA"),"&amp;hora_inicial=",HOUR(IF(E316&lt;&gt;"",IF(COUNTIF($F$2:$F316,F316)&gt;1,MAX(IF($F$1:$F315=F316,$E$1:$E315)),""),"")),"&amp;minuto_inicial=",MINUTE(IF(E316&lt;&gt;"",IF(COUNTIF($F$2:$F316,F316)&gt;1,MAX(IF($F$1:$F315=F316,$E$1:$E315)),""),"")),"&amp;hora_final=",HOUR(E316),"&amp;minuto_final=",MINUTE(E316),"&amp;periodo=6&amp;tipo=por_data&amp;upos=false&amp;outequip=0")),"")</f>
        <v/>
      </c>
      <c r="AN316" s="100" t="str">
        <f t="shared" si="32"/>
        <v xml:space="preserve">ABASTECEU no PRODOESTE UBA CARREGOU em SÃO JOAO DALIANCA-GO ABASTECEU no BRASILEIRAO ARAGUARI          </v>
      </c>
    </row>
    <row r="317" spans="1:40" x14ac:dyDescent="0.25">
      <c r="A317" s="101">
        <f>IFERROR(VLOOKUP(AN317,ROTAS!$A:$B,2,FALSE),0)</f>
        <v>74</v>
      </c>
      <c r="B317" s="101">
        <f t="shared" si="33"/>
        <v>3</v>
      </c>
      <c r="C317" s="101">
        <f t="shared" si="34"/>
        <v>1212.6666666666667</v>
      </c>
      <c r="D317" s="144">
        <v>44896</v>
      </c>
      <c r="E317" s="76">
        <v>44912.854166666664</v>
      </c>
      <c r="F317" s="6" t="s">
        <v>131</v>
      </c>
      <c r="G317" s="5" t="str">
        <f>IFERROR(VLOOKUP(SUMIFS(MSOLICITADA!$I:$I,MSOLICITADA!$B:$B,D317,MSOLICITADA!$F:$F,F317),CODIGOSPLACAS!$A$64:$B$89,2,FALSE),"")</f>
        <v>ALTIELIS</v>
      </c>
      <c r="H317" s="77">
        <v>44905</v>
      </c>
      <c r="I317" s="77">
        <v>46103</v>
      </c>
      <c r="J317" s="7">
        <v>471</v>
      </c>
      <c r="K317" s="78">
        <v>2868.39</v>
      </c>
      <c r="L317" s="79" t="s">
        <v>111</v>
      </c>
      <c r="M317" s="6">
        <v>518</v>
      </c>
      <c r="N317" s="5">
        <f t="shared" si="28"/>
        <v>680</v>
      </c>
      <c r="O317" s="80">
        <f t="shared" si="29"/>
        <v>6.09</v>
      </c>
      <c r="P317" s="8">
        <f t="shared" si="30"/>
        <v>2.543524416135881</v>
      </c>
      <c r="Q317" s="8">
        <f t="shared" si="35"/>
        <v>1.6628833870031143</v>
      </c>
      <c r="R317" s="81">
        <f t="shared" si="31"/>
        <v>0.43238731218697829</v>
      </c>
      <c r="S317" s="113" t="str">
        <f>IF(F317="","",IF(H317="",TEXT(_xlfn.MAXIFS($I$1:I317,$F$1:F317,F317,$H$1:H317,"&gt;"&amp;0),"000.000"),F317))</f>
        <v>GGN4J86</v>
      </c>
      <c r="T317" s="101">
        <f t="shared" si="36"/>
        <v>680</v>
      </c>
      <c r="U317" s="82" t="s">
        <v>220</v>
      </c>
      <c r="V317" s="98" t="s">
        <v>226</v>
      </c>
      <c r="W317" s="82" t="s">
        <v>221</v>
      </c>
      <c r="X317" s="98" t="s">
        <v>283</v>
      </c>
      <c r="Y317" s="82" t="s">
        <v>220</v>
      </c>
      <c r="Z317" s="98" t="s">
        <v>240</v>
      </c>
      <c r="AA317" s="82"/>
      <c r="AB317" s="98"/>
      <c r="AC317" s="82"/>
      <c r="AD317" s="98"/>
      <c r="AE317" s="118"/>
      <c r="AF317" s="98"/>
      <c r="AG317" s="82"/>
      <c r="AH317" s="98"/>
      <c r="AI317" s="82"/>
      <c r="AJ317" s="98"/>
      <c r="AK317" s="83"/>
      <c r="AL317" s="84" t="str">
        <f>IF(F317&lt;&gt;0,IF(_xlfn.MAXIFS($I$1:I317,$F$1:F317,F317,$H$1:H317,"&gt;"&amp;0)=0,"KM NÃO ENCONTRADO",IF(H317=0,CONCATENATE("SUGESTÃO DE KM PARA PLACA ",F317," *",_xlfn.MAXIFS($I$1:I317,$F$1:F317,F317,$H$1:H317,"&gt;"&amp;0),"*"),"")),"")</f>
        <v/>
      </c>
      <c r="AM317" s="85" t="str" cm="1">
        <f t="array" ref="AM317">IFERROR(IF(M317&lt;&gt;"","",CONCATENATE("https://btx.brasiltrack.com/logistica/trajeto.php?idveiculo=",VLOOKUP(F317,DATAS!$A$221:$B$250,2,FALSE),"&amp;lat=-22.204247","&amp;data_ini=",TEXT(IF(E317&lt;&gt;"",IF(COUNTIF($F$2:$F317,F317)&gt;1,MAX(IF($F$1:$F316=F317,$E$1:$E316)),""),""),"DD/MM/AAAA"),"&amp;data_fim=",TEXT(E317,"DD/MM/AAAA"),"&amp;hora_inicial=",HOUR(IF(E317&lt;&gt;"",IF(COUNTIF($F$2:$F317,F317)&gt;1,MAX(IF($F$1:$F316=F317,$E$1:$E316)),""),"")),"&amp;minuto_inicial=",MINUTE(IF(E317&lt;&gt;"",IF(COUNTIF($F$2:$F317,F317)&gt;1,MAX(IF($F$1:$F316=F317,$E$1:$E316)),""),"")),"&amp;hora_final=",HOUR(E317),"&amp;minuto_final=",MINUTE(E317),"&amp;periodo=6&amp;tipo=por_data&amp;upos=false&amp;outequip=0")),"")</f>
        <v/>
      </c>
      <c r="AN317" s="100" t="str">
        <f t="shared" si="32"/>
        <v xml:space="preserve">ABASTECEU no PRODOESTE UBA CARREGOU em SÃO JOAO DALIANCA-GO ABASTECEU no BRASILEIRAO ARAGUARI          </v>
      </c>
    </row>
    <row r="318" spans="1:40" x14ac:dyDescent="0.25">
      <c r="A318" s="101">
        <f>IFERROR(VLOOKUP(AN318,ROTAS!$A:$B,2,FALSE),0)</f>
        <v>75</v>
      </c>
      <c r="B318" s="101">
        <f t="shared" si="33"/>
        <v>3</v>
      </c>
      <c r="C318" s="101">
        <f t="shared" si="34"/>
        <v>452.66666666666669</v>
      </c>
      <c r="D318" s="144">
        <v>44896</v>
      </c>
      <c r="E318" s="76">
        <v>44913.443749999999</v>
      </c>
      <c r="F318" s="6" t="s">
        <v>29</v>
      </c>
      <c r="G318" s="5" t="str">
        <f>IFERROR(VLOOKUP(SUMIFS(MSOLICITADA!$I:$I,MSOLICITADA!$B:$B,D318,MSOLICITADA!$F:$F,F318),CODIGOSPLACAS!$A$64:$B$89,2,FALSE),"")</f>
        <v>EDNILSON</v>
      </c>
      <c r="H318" s="77">
        <v>237579</v>
      </c>
      <c r="I318" s="77">
        <v>238032</v>
      </c>
      <c r="J318" s="7">
        <v>546.33699999999999</v>
      </c>
      <c r="K318" s="78">
        <v>3327.19</v>
      </c>
      <c r="L318" s="79" t="s">
        <v>111</v>
      </c>
      <c r="M318" s="6">
        <v>453</v>
      </c>
      <c r="N318" s="5" t="str">
        <f t="shared" si="28"/>
        <v/>
      </c>
      <c r="O318" s="80">
        <f t="shared" si="29"/>
        <v>6.0899957352330158</v>
      </c>
      <c r="P318" s="8">
        <f t="shared" si="30"/>
        <v>0.82915855964358998</v>
      </c>
      <c r="Q318" s="8">
        <f t="shared" si="35"/>
        <v>1.5750677554084309</v>
      </c>
      <c r="R318" s="81">
        <f t="shared" si="31"/>
        <v>1</v>
      </c>
      <c r="S318" s="113" t="str">
        <f>IF(F318="","",IF(H318="",TEXT(_xlfn.MAXIFS($I$1:I318,$F$1:F318,F318,$H$1:H318,"&gt;"&amp;0),"000.000"),F318))</f>
        <v>GKA2J56</v>
      </c>
      <c r="T318" s="101" t="str">
        <f t="shared" si="36"/>
        <v/>
      </c>
      <c r="U318" s="82" t="s">
        <v>220</v>
      </c>
      <c r="V318" s="98" t="s">
        <v>240</v>
      </c>
      <c r="W318" s="82" t="s">
        <v>220</v>
      </c>
      <c r="X318" s="98" t="s">
        <v>241</v>
      </c>
      <c r="Y318" s="82"/>
      <c r="Z318" s="98"/>
      <c r="AA318" s="82"/>
      <c r="AB318" s="98"/>
      <c r="AC318" s="82"/>
      <c r="AD318" s="98"/>
      <c r="AE318" s="118"/>
      <c r="AF318" s="98"/>
      <c r="AG318" s="82"/>
      <c r="AH318" s="98"/>
      <c r="AI318" s="82"/>
      <c r="AJ318" s="98"/>
      <c r="AK318" s="83"/>
      <c r="AL318" s="84" t="str">
        <f>IF(F318&lt;&gt;0,IF(_xlfn.MAXIFS($I$1:I318,$F$1:F318,F318,$H$1:H318,"&gt;"&amp;0)=0,"KM NÃO ENCONTRADO",IF(H318=0,CONCATENATE("SUGESTÃO DE KM PARA PLACA ",F318," *",_xlfn.MAXIFS($I$1:I318,$F$1:F318,F318,$H$1:H318,"&gt;"&amp;0),"*"),"")),"")</f>
        <v/>
      </c>
      <c r="AM318" s="85" t="str" cm="1">
        <f t="array" ref="AM318">IFERROR(IF(M318&lt;&gt;"","",CONCATENATE("https://btx.brasiltrack.com/logistica/trajeto.php?idveiculo=",VLOOKUP(F318,DATAS!$A$221:$B$250,2,FALSE),"&amp;lat=-22.204247","&amp;data_ini=",TEXT(IF(E318&lt;&gt;"",IF(COUNTIF($F$2:$F318,F318)&gt;1,MAX(IF($F$1:$F317=F318,$E$1:$E317)),""),""),"DD/MM/AAAA"),"&amp;data_fim=",TEXT(E318,"DD/MM/AAAA"),"&amp;hora_inicial=",HOUR(IF(E318&lt;&gt;"",IF(COUNTIF($F$2:$F318,F318)&gt;1,MAX(IF($F$1:$F317=F318,$E$1:$E317)),""),"")),"&amp;minuto_inicial=",MINUTE(IF(E318&lt;&gt;"",IF(COUNTIF($F$2:$F318,F318)&gt;1,MAX(IF($F$1:$F317=F318,$E$1:$E317)),""),"")),"&amp;hora_final=",HOUR(E318),"&amp;minuto_final=",MINUTE(E318),"&amp;periodo=6&amp;tipo=por_data&amp;upos=false&amp;outequip=0")),"")</f>
        <v/>
      </c>
      <c r="AN318" s="100" t="str">
        <f t="shared" si="32"/>
        <v xml:space="preserve">ABASTECEU no BRASILEIRAO ARAGUARI ABASTECEU no DP LEME SUL            </v>
      </c>
    </row>
    <row r="319" spans="1:40" x14ac:dyDescent="0.25">
      <c r="A319" s="101">
        <f>IFERROR(VLOOKUP(AN319,ROTAS!$A:$B,2,FALSE),0)</f>
        <v>75</v>
      </c>
      <c r="B319" s="101">
        <f t="shared" si="33"/>
        <v>3</v>
      </c>
      <c r="C319" s="101">
        <f t="shared" si="34"/>
        <v>452.66666666666669</v>
      </c>
      <c r="D319" s="144">
        <v>44896</v>
      </c>
      <c r="E319" s="76">
        <v>44913.445138888892</v>
      </c>
      <c r="F319" s="6" t="s">
        <v>131</v>
      </c>
      <c r="G319" s="5" t="str">
        <f>IFERROR(VLOOKUP(SUMIFS(MSOLICITADA!$I:$I,MSOLICITADA!$B:$B,D319,MSOLICITADA!$F:$F,F319),CODIGOSPLACAS!$A$64:$B$89,2,FALSE),"")</f>
        <v>ALTIELIS</v>
      </c>
      <c r="H319" s="77">
        <v>46103</v>
      </c>
      <c r="I319" s="77">
        <v>46551</v>
      </c>
      <c r="J319" s="7">
        <v>490.05500000000001</v>
      </c>
      <c r="K319" s="78">
        <v>2984.43</v>
      </c>
      <c r="L319" s="79" t="s">
        <v>111</v>
      </c>
      <c r="M319" s="6">
        <v>448</v>
      </c>
      <c r="N319" s="5" t="str">
        <f t="shared" si="28"/>
        <v/>
      </c>
      <c r="O319" s="80">
        <f t="shared" si="29"/>
        <v>6.0899898990929584</v>
      </c>
      <c r="P319" s="8">
        <f t="shared" si="30"/>
        <v>0.91418310189672591</v>
      </c>
      <c r="Q319" s="8">
        <f t="shared" si="35"/>
        <v>1.6628833870031143</v>
      </c>
      <c r="R319" s="81">
        <f t="shared" si="31"/>
        <v>1</v>
      </c>
      <c r="S319" s="113" t="str">
        <f>IF(F319="","",IF(H319="",TEXT(_xlfn.MAXIFS($I$1:I319,$F$1:F319,F319,$H$1:H319,"&gt;"&amp;0),"000.000"),F319))</f>
        <v>GGN4J86</v>
      </c>
      <c r="T319" s="101" t="str">
        <f t="shared" si="36"/>
        <v/>
      </c>
      <c r="U319" s="82" t="s">
        <v>220</v>
      </c>
      <c r="V319" s="98" t="s">
        <v>240</v>
      </c>
      <c r="W319" s="82" t="s">
        <v>220</v>
      </c>
      <c r="X319" s="98" t="s">
        <v>241</v>
      </c>
      <c r="Y319" s="82"/>
      <c r="Z319" s="98"/>
      <c r="AA319" s="82"/>
      <c r="AB319" s="98"/>
      <c r="AC319" s="82"/>
      <c r="AD319" s="98"/>
      <c r="AE319" s="118"/>
      <c r="AF319" s="98"/>
      <c r="AG319" s="82"/>
      <c r="AH319" s="98"/>
      <c r="AI319" s="82"/>
      <c r="AJ319" s="98"/>
      <c r="AK319" s="83"/>
      <c r="AL319" s="84" t="str">
        <f>IF(F319&lt;&gt;0,IF(_xlfn.MAXIFS($I$1:I319,$F$1:F319,F319,$H$1:H319,"&gt;"&amp;0)=0,"KM NÃO ENCONTRADO",IF(H319=0,CONCATENATE("SUGESTÃO DE KM PARA PLACA ",F319," *",_xlfn.MAXIFS($I$1:I319,$F$1:F319,F319,$H$1:H319,"&gt;"&amp;0),"*"),"")),"")</f>
        <v/>
      </c>
      <c r="AM319" s="85" t="str" cm="1">
        <f t="array" ref="AM319">IFERROR(IF(M319&lt;&gt;"","",CONCATENATE("https://btx.brasiltrack.com/logistica/trajeto.php?idveiculo=",VLOOKUP(F319,DATAS!$A$221:$B$250,2,FALSE),"&amp;lat=-22.204247","&amp;data_ini=",TEXT(IF(E319&lt;&gt;"",IF(COUNTIF($F$2:$F319,F319)&gt;1,MAX(IF($F$1:$F318=F319,$E$1:$E318)),""),""),"DD/MM/AAAA"),"&amp;data_fim=",TEXT(E319,"DD/MM/AAAA"),"&amp;hora_inicial=",HOUR(IF(E319&lt;&gt;"",IF(COUNTIF($F$2:$F319,F319)&gt;1,MAX(IF($F$1:$F318=F319,$E$1:$E318)),""),"")),"&amp;minuto_inicial=",MINUTE(IF(E319&lt;&gt;"",IF(COUNTIF($F$2:$F319,F319)&gt;1,MAX(IF($F$1:$F318=F319,$E$1:$E318)),""),"")),"&amp;hora_final=",HOUR(E319),"&amp;minuto_final=",MINUTE(E319),"&amp;periodo=6&amp;tipo=por_data&amp;upos=false&amp;outequip=0")),"")</f>
        <v/>
      </c>
      <c r="AN319" s="100" t="str">
        <f t="shared" si="32"/>
        <v xml:space="preserve">ABASTECEU no BRASILEIRAO ARAGUARI ABASTECEU no DP LEME SUL            </v>
      </c>
    </row>
    <row r="320" spans="1:40" x14ac:dyDescent="0.25">
      <c r="A320" s="101">
        <f>IFERROR(VLOOKUP(AN320,ROTAS!$A:$B,2,FALSE),0)</f>
        <v>75</v>
      </c>
      <c r="B320" s="101">
        <f t="shared" si="33"/>
        <v>3</v>
      </c>
      <c r="C320" s="101">
        <f t="shared" si="34"/>
        <v>452.66666666666669</v>
      </c>
      <c r="D320" s="144">
        <v>44896</v>
      </c>
      <c r="E320" s="76">
        <v>44913.445833333331</v>
      </c>
      <c r="F320" s="6" t="s">
        <v>124</v>
      </c>
      <c r="G320" s="5" t="str">
        <f>IFERROR(VLOOKUP(SUMIFS(MSOLICITADA!$I:$I,MSOLICITADA!$B:$B,D320,MSOLICITADA!$F:$F,F320),CODIGOSPLACAS!$A$64:$B$89,2,FALSE),"")</f>
        <v>ISRAEL</v>
      </c>
      <c r="H320" s="77">
        <v>138891</v>
      </c>
      <c r="I320" s="77">
        <v>139348</v>
      </c>
      <c r="J320" s="7">
        <v>536</v>
      </c>
      <c r="K320" s="78">
        <v>3252.1</v>
      </c>
      <c r="L320" s="79" t="s">
        <v>111</v>
      </c>
      <c r="M320" s="6">
        <v>457</v>
      </c>
      <c r="N320" s="5" t="str">
        <f t="shared" si="28"/>
        <v/>
      </c>
      <c r="O320" s="80">
        <f t="shared" si="29"/>
        <v>6.0673507462686569</v>
      </c>
      <c r="P320" s="8">
        <f t="shared" si="30"/>
        <v>0.85261194029850751</v>
      </c>
      <c r="Q320" s="8">
        <f t="shared" si="35"/>
        <v>1.6396894062131062</v>
      </c>
      <c r="R320" s="81">
        <f t="shared" si="31"/>
        <v>1</v>
      </c>
      <c r="S320" s="113" t="str">
        <f>IF(F320="","",IF(H320="",TEXT(_xlfn.MAXIFS($I$1:I320,$F$1:F320,F320,$H$1:H320,"&gt;"&amp;0),"000.000"),F320))</f>
        <v>GHH9B64</v>
      </c>
      <c r="T320" s="101" t="str">
        <f t="shared" si="36"/>
        <v/>
      </c>
      <c r="U320" s="82" t="s">
        <v>220</v>
      </c>
      <c r="V320" s="98" t="s">
        <v>240</v>
      </c>
      <c r="W320" s="82" t="s">
        <v>220</v>
      </c>
      <c r="X320" s="98" t="s">
        <v>241</v>
      </c>
      <c r="Y320" s="82"/>
      <c r="Z320" s="98"/>
      <c r="AA320" s="82"/>
      <c r="AB320" s="98"/>
      <c r="AC320" s="82"/>
      <c r="AD320" s="98"/>
      <c r="AE320" s="118"/>
      <c r="AF320" s="98"/>
      <c r="AG320" s="82"/>
      <c r="AH320" s="98"/>
      <c r="AI320" s="82"/>
      <c r="AJ320" s="98"/>
      <c r="AK320" s="83"/>
      <c r="AL320" s="84" t="str">
        <f>IF(F320&lt;&gt;0,IF(_xlfn.MAXIFS($I$1:I320,$F$1:F320,F320,$H$1:H320,"&gt;"&amp;0)=0,"KM NÃO ENCONTRADO",IF(H320=0,CONCATENATE("SUGESTÃO DE KM PARA PLACA ",F320," *",_xlfn.MAXIFS($I$1:I320,$F$1:F320,F320,$H$1:H320,"&gt;"&amp;0),"*"),"")),"")</f>
        <v/>
      </c>
      <c r="AM320" s="85" t="str" cm="1">
        <f t="array" ref="AM320">IFERROR(IF(M320&lt;&gt;"","",CONCATENATE("https://btx.brasiltrack.com/logistica/trajeto.php?idveiculo=",VLOOKUP(F320,DATAS!$A$221:$B$250,2,FALSE),"&amp;lat=-22.204247","&amp;data_ini=",TEXT(IF(E320&lt;&gt;"",IF(COUNTIF($F$2:$F320,F320)&gt;1,MAX(IF($F$1:$F319=F320,$E$1:$E319)),""),""),"DD/MM/AAAA"),"&amp;data_fim=",TEXT(E320,"DD/MM/AAAA"),"&amp;hora_inicial=",HOUR(IF(E320&lt;&gt;"",IF(COUNTIF($F$2:$F320,F320)&gt;1,MAX(IF($F$1:$F319=F320,$E$1:$E319)),""),"")),"&amp;minuto_inicial=",MINUTE(IF(E320&lt;&gt;"",IF(COUNTIF($F$2:$F320,F320)&gt;1,MAX(IF($F$1:$F319=F320,$E$1:$E319)),""),"")),"&amp;hora_final=",HOUR(E320),"&amp;minuto_final=",MINUTE(E320),"&amp;periodo=6&amp;tipo=por_data&amp;upos=false&amp;outequip=0")),"")</f>
        <v/>
      </c>
      <c r="AN320" s="100" t="str">
        <f t="shared" si="32"/>
        <v xml:space="preserve">ABASTECEU no BRASILEIRAO ARAGUARI ABASTECEU no DP LEME SUL            </v>
      </c>
    </row>
    <row r="321" spans="1:40" x14ac:dyDescent="0.25">
      <c r="A321" s="101">
        <f>IFERROR(VLOOKUP(AN321,ROTAS!$A:$B,2,FALSE),0)</f>
        <v>13</v>
      </c>
      <c r="B321" s="101">
        <f t="shared" si="33"/>
        <v>16</v>
      </c>
      <c r="C321" s="101">
        <f t="shared" si="34"/>
        <v>363.3125</v>
      </c>
      <c r="D321" s="144">
        <v>44896</v>
      </c>
      <c r="E321" s="76">
        <v>44914.309027777781</v>
      </c>
      <c r="F321" s="6" t="s">
        <v>34</v>
      </c>
      <c r="G321" s="5" t="str">
        <f>IFERROR(VLOOKUP(SUMIFS(MSOLICITADA!$I:$I,MSOLICITADA!$B:$B,D321,MSOLICITADA!$F:$F,F321),CODIGOSPLACAS!$A$64:$B$89,2,FALSE),"")</f>
        <v>TOINZINHO</v>
      </c>
      <c r="H321" s="77">
        <v>110163</v>
      </c>
      <c r="I321" s="77">
        <v>110510</v>
      </c>
      <c r="J321" s="7">
        <v>183</v>
      </c>
      <c r="K321" s="78">
        <v>1126.6300000000001</v>
      </c>
      <c r="L321" s="79" t="s">
        <v>112</v>
      </c>
      <c r="M321" s="6">
        <v>173</v>
      </c>
      <c r="N321" s="5">
        <f t="shared" si="28"/>
        <v>174</v>
      </c>
      <c r="O321" s="80">
        <f t="shared" si="29"/>
        <v>6.1564480874316949</v>
      </c>
      <c r="P321" s="8">
        <f t="shared" si="30"/>
        <v>1.8961748633879782</v>
      </c>
      <c r="Q321" s="8">
        <f t="shared" si="35"/>
        <v>1.8961748633879782</v>
      </c>
      <c r="R321" s="81">
        <f t="shared" si="31"/>
        <v>0.49855907780979825</v>
      </c>
      <c r="S321" s="113" t="str">
        <f>IF(F321="","",IF(H321="",TEXT(_xlfn.MAXIFS($I$1:I321,$F$1:F321,F321,$H$1:H321,"&gt;"&amp;0),"000.000"),F321))</f>
        <v>QXI8065</v>
      </c>
      <c r="T321" s="101">
        <f t="shared" si="36"/>
        <v>186.5</v>
      </c>
      <c r="U321" s="82" t="s">
        <v>220</v>
      </c>
      <c r="V321" s="98" t="s">
        <v>206</v>
      </c>
      <c r="W321" s="82" t="s">
        <v>220</v>
      </c>
      <c r="X321" s="98" t="s">
        <v>206</v>
      </c>
      <c r="Y321" s="82"/>
      <c r="Z321" s="98"/>
      <c r="AA321" s="82"/>
      <c r="AB321" s="98"/>
      <c r="AC321" s="82"/>
      <c r="AD321" s="98"/>
      <c r="AE321" s="118"/>
      <c r="AF321" s="98"/>
      <c r="AG321" s="82"/>
      <c r="AH321" s="98"/>
      <c r="AI321" s="82"/>
      <c r="AJ321" s="98"/>
      <c r="AK321" s="83"/>
      <c r="AL321" s="84" t="str">
        <f>IF(F321&lt;&gt;0,IF(_xlfn.MAXIFS($I$1:I321,$F$1:F321,F321,$H$1:H321,"&gt;"&amp;0)=0,"KM NÃO ENCONTRADO",IF(H321=0,CONCATENATE("SUGESTÃO DE KM PARA PLACA ",F321," *",_xlfn.MAXIFS($I$1:I321,$F$1:F321,F321,$H$1:H321,"&gt;"&amp;0),"*"),"")),"")</f>
        <v/>
      </c>
      <c r="AM321" s="85" t="str" cm="1">
        <f t="array" ref="AM321">IFERROR(IF(M321&lt;&gt;"","",CONCATENATE("https://btx.brasiltrack.com/logistica/trajeto.php?idveiculo=",VLOOKUP(F321,DATAS!$A$221:$B$250,2,FALSE),"&amp;lat=-22.204247","&amp;data_ini=",TEXT(IF(E321&lt;&gt;"",IF(COUNTIF($F$2:$F321,F321)&gt;1,MAX(IF($F$1:$F320=F321,$E$1:$E320)),""),""),"DD/MM/AAAA"),"&amp;data_fim=",TEXT(E321,"DD/MM/AAAA"),"&amp;hora_inicial=",HOUR(IF(E321&lt;&gt;"",IF(COUNTIF($F$2:$F321,F321)&gt;1,MAX(IF($F$1:$F320=F321,$E$1:$E320)),""),"")),"&amp;minuto_inicial=",MINUTE(IF(E321&lt;&gt;"",IF(COUNTIF($F$2:$F321,F321)&gt;1,MAX(IF($F$1:$F320=F321,$E$1:$E320)),""),"")),"&amp;hora_final=",HOUR(E321),"&amp;minuto_final=",MINUTE(E321),"&amp;periodo=6&amp;tipo=por_data&amp;upos=false&amp;outequip=0")),"")</f>
        <v/>
      </c>
      <c r="AN321" s="100" t="str">
        <f t="shared" si="32"/>
        <v xml:space="preserve">ABASTECEU no CANDEIAS-MG ABASTECEU no CANDEIAS-MG            </v>
      </c>
    </row>
    <row r="322" spans="1:40" x14ac:dyDescent="0.25">
      <c r="A322" s="101">
        <f>IFERROR(VLOOKUP(AN322,ROTAS!$A:$B,2,FALSE),0)</f>
        <v>76</v>
      </c>
      <c r="B322" s="101">
        <f t="shared" si="33"/>
        <v>1</v>
      </c>
      <c r="C322" s="101">
        <f t="shared" si="34"/>
        <v>715</v>
      </c>
      <c r="D322" s="144">
        <v>44896</v>
      </c>
      <c r="E322" s="76">
        <v>44914.493750000001</v>
      </c>
      <c r="F322" s="6" t="s">
        <v>23</v>
      </c>
      <c r="G322" s="5" t="str">
        <f>IFERROR(VLOOKUP(SUMIFS(MSOLICITADA!$I:$I,MSOLICITADA!$B:$B,D322,MSOLICITADA!$F:$F,F322),CODIGOSPLACAS!$A$64:$B$89,2,FALSE),"")</f>
        <v>ISAC</v>
      </c>
      <c r="H322" s="77">
        <v>1203501</v>
      </c>
      <c r="I322" s="77">
        <v>1204216</v>
      </c>
      <c r="J322" s="7">
        <v>328</v>
      </c>
      <c r="K322" s="78">
        <v>2004.08</v>
      </c>
      <c r="L322" s="79" t="s">
        <v>111</v>
      </c>
      <c r="M322" s="6">
        <v>268</v>
      </c>
      <c r="N322" s="5">
        <f t="shared" si="28"/>
        <v>447</v>
      </c>
      <c r="O322" s="80">
        <f t="shared" si="29"/>
        <v>6.1099999999999994</v>
      </c>
      <c r="P322" s="8">
        <f t="shared" si="30"/>
        <v>2.1798780487804876</v>
      </c>
      <c r="Q322" s="8">
        <f t="shared" si="35"/>
        <v>1.5720509549919661</v>
      </c>
      <c r="R322" s="81">
        <f t="shared" si="31"/>
        <v>0.3748251748251748</v>
      </c>
      <c r="S322" s="113" t="str">
        <f>IF(F322="","",IF(H322="",TEXT(_xlfn.MAXIFS($I$1:I322,$F$1:F322,F322,$H$1:H322,"&gt;"&amp;0),"000.000"),F322))</f>
        <v>HNC7I76</v>
      </c>
      <c r="T322" s="101">
        <f t="shared" si="36"/>
        <v>447</v>
      </c>
      <c r="U322" s="82" t="s">
        <v>220</v>
      </c>
      <c r="V322" s="98" t="s">
        <v>165</v>
      </c>
      <c r="W322" s="82" t="s">
        <v>222</v>
      </c>
      <c r="X322" s="98" t="s">
        <v>167</v>
      </c>
      <c r="Y322" s="82" t="s">
        <v>225</v>
      </c>
      <c r="Z322" s="98" t="s">
        <v>206</v>
      </c>
      <c r="AA322" s="82" t="s">
        <v>220</v>
      </c>
      <c r="AB322" s="98" t="s">
        <v>217</v>
      </c>
      <c r="AC322" s="82"/>
      <c r="AD322" s="98"/>
      <c r="AE322" s="118"/>
      <c r="AF322" s="98"/>
      <c r="AG322" s="82"/>
      <c r="AH322" s="98"/>
      <c r="AI322" s="82"/>
      <c r="AJ322" s="98"/>
      <c r="AK322" s="83"/>
      <c r="AL322" s="84" t="str">
        <f>IF(F322&lt;&gt;0,IF(_xlfn.MAXIFS($I$1:I322,$F$1:F322,F322,$H$1:H322,"&gt;"&amp;0)=0,"KM NÃO ENCONTRADO",IF(H322=0,CONCATENATE("SUGESTÃO DE KM PARA PLACA ",F322," *",_xlfn.MAXIFS($I$1:I322,$F$1:F322,F322,$H$1:H322,"&gt;"&amp;0),"*"),"")),"")</f>
        <v/>
      </c>
      <c r="AM322" s="85" t="str" cm="1">
        <f t="array" ref="AM322">IFERROR(IF(M322&lt;&gt;"","",CONCATENATE("https://btx.brasiltrack.com/logistica/trajeto.php?idveiculo=",VLOOKUP(F322,DATAS!$A$221:$B$250,2,FALSE),"&amp;lat=-22.204247","&amp;data_ini=",TEXT(IF(E322&lt;&gt;"",IF(COUNTIF($F$2:$F322,F322)&gt;1,MAX(IF($F$1:$F321=F322,$E$1:$E321)),""),""),"DD/MM/AAAA"),"&amp;data_fim=",TEXT(E322,"DD/MM/AAAA"),"&amp;hora_inicial=",HOUR(IF(E322&lt;&gt;"",IF(COUNTIF($F$2:$F322,F322)&gt;1,MAX(IF($F$1:$F321=F322,$E$1:$E321)),""),"")),"&amp;minuto_inicial=",MINUTE(IF(E322&lt;&gt;"",IF(COUNTIF($F$2:$F322,F322)&gt;1,MAX(IF($F$1:$F321=F322,$E$1:$E321)),""),"")),"&amp;hora_final=",HOUR(E322),"&amp;minuto_final=",MINUTE(E322),"&amp;periodo=6&amp;tipo=por_data&amp;upos=false&amp;outequip=0")),"")</f>
        <v/>
      </c>
      <c r="AN322" s="100" t="str">
        <f t="shared" si="32"/>
        <v xml:space="preserve">ABASTECEU no 22 NORTE DESCARREGOU em VARGINHA-MG PASSOU em CANDEIAS-MG ABASTECEU no DP JK SUL        </v>
      </c>
    </row>
    <row r="323" spans="1:40" x14ac:dyDescent="0.25">
      <c r="A323" s="101">
        <f>IFERROR(VLOOKUP(AN323,ROTAS!$A:$B,2,FALSE),0)</f>
        <v>77</v>
      </c>
      <c r="B323" s="101">
        <f t="shared" si="33"/>
        <v>1</v>
      </c>
      <c r="C323" s="101">
        <f t="shared" si="34"/>
        <v>845</v>
      </c>
      <c r="D323" s="144">
        <v>44896</v>
      </c>
      <c r="E323" s="76">
        <v>44914.704861111109</v>
      </c>
      <c r="F323" s="6" t="s">
        <v>24</v>
      </c>
      <c r="G323" s="5" t="str">
        <f>IFERROR(VLOOKUP(SUMIFS(MSOLICITADA!$I:$I,MSOLICITADA!$B:$B,D323,MSOLICITADA!$F:$F,F323),CODIGOSPLACAS!$A$64:$B$89,2,FALSE),"")</f>
        <v>PAULO HENR.</v>
      </c>
      <c r="H323" s="77">
        <v>945550</v>
      </c>
      <c r="I323" s="77">
        <v>946395</v>
      </c>
      <c r="J323" s="7">
        <v>361.06</v>
      </c>
      <c r="K323" s="78">
        <v>2206.08</v>
      </c>
      <c r="L323" s="79" t="s">
        <v>111</v>
      </c>
      <c r="M323" s="6">
        <v>270</v>
      </c>
      <c r="N323" s="5">
        <f t="shared" ref="N323:N386" si="37">IF(IF((I323-H323-M323)&lt;0,"ERRO",I323-H323-M323)=0,"",IF((I323-H323-M323)&lt;0,"ERRO",I323-H323-M323))</f>
        <v>575</v>
      </c>
      <c r="O323" s="80">
        <f t="shared" ref="O323:O386" si="38">IFERROR(K323/J323,"")</f>
        <v>6.1100094167174426</v>
      </c>
      <c r="P323" s="8">
        <f t="shared" ref="P323:P386" si="39">IF(F323&lt;&gt;"",(SUM(M323:N323)-AK323)/(J323-(AK323/5)),0)</f>
        <v>1.3215352792461503</v>
      </c>
      <c r="Q323" s="8">
        <f t="shared" si="35"/>
        <v>1.5280797985385988</v>
      </c>
      <c r="R323" s="81">
        <f t="shared" ref="R323:R386" si="40">IFERROR(IF(M323/(I323-H323)=0,0,M323/(I323-H323)),0)</f>
        <v>0.31952662721893493</v>
      </c>
      <c r="S323" s="113" t="str">
        <f>IF(F323="","",IF(H323="",TEXT(_xlfn.MAXIFS($I$1:I323,$F$1:F323,F323,$H$1:H323,"&gt;"&amp;0),"000.000"),F323))</f>
        <v>FKS0J24</v>
      </c>
      <c r="T323" s="101">
        <f t="shared" si="36"/>
        <v>575</v>
      </c>
      <c r="U323" s="82" t="s">
        <v>220</v>
      </c>
      <c r="V323" s="98" t="s">
        <v>165</v>
      </c>
      <c r="W323" s="82" t="s">
        <v>222</v>
      </c>
      <c r="X323" s="98" t="s">
        <v>167</v>
      </c>
      <c r="Y323" s="82" t="s">
        <v>225</v>
      </c>
      <c r="Z323" s="98" t="s">
        <v>169</v>
      </c>
      <c r="AA323" s="82" t="s">
        <v>220</v>
      </c>
      <c r="AB323" s="98" t="s">
        <v>217</v>
      </c>
      <c r="AC323" s="82"/>
      <c r="AD323" s="98"/>
      <c r="AE323" s="118"/>
      <c r="AF323" s="98"/>
      <c r="AG323" s="82"/>
      <c r="AH323" s="98"/>
      <c r="AI323" s="82"/>
      <c r="AJ323" s="98"/>
      <c r="AK323" s="83">
        <v>500</v>
      </c>
      <c r="AL323" s="84" t="str">
        <f>IF(F323&lt;&gt;0,IF(_xlfn.MAXIFS($I$1:I323,$F$1:F323,F323,$H$1:H323,"&gt;"&amp;0)=0,"KM NÃO ENCONTRADO",IF(H323=0,CONCATENATE("SUGESTÃO DE KM PARA PLACA ",F323," *",_xlfn.MAXIFS($I$1:I323,$F$1:F323,F323,$H$1:H323,"&gt;"&amp;0),"*"),"")),"")</f>
        <v/>
      </c>
      <c r="AM323" s="85" t="str" cm="1">
        <f t="array" ref="AM323">IFERROR(IF(M323&lt;&gt;"","",CONCATENATE("https://btx.brasiltrack.com/logistica/trajeto.php?idveiculo=",VLOOKUP(F323,DATAS!$A$221:$B$250,2,FALSE),"&amp;lat=-22.204247","&amp;data_ini=",TEXT(IF(E323&lt;&gt;"",IF(COUNTIF($F$2:$F323,F323)&gt;1,MAX(IF($F$1:$F322=F323,$E$1:$E322)),""),""),"DD/MM/AAAA"),"&amp;data_fim=",TEXT(E323,"DD/MM/AAAA"),"&amp;hora_inicial=",HOUR(IF(E323&lt;&gt;"",IF(COUNTIF($F$2:$F323,F323)&gt;1,MAX(IF($F$1:$F322=F323,$E$1:$E322)),""),"")),"&amp;minuto_inicial=",MINUTE(IF(E323&lt;&gt;"",IF(COUNTIF($F$2:$F323,F323)&gt;1,MAX(IF($F$1:$F322=F323,$E$1:$E322)),""),"")),"&amp;hora_final=",HOUR(E323),"&amp;minuto_final=",MINUTE(E323),"&amp;periodo=6&amp;tipo=por_data&amp;upos=false&amp;outequip=0")),"")</f>
        <v/>
      </c>
      <c r="AN323" s="100" t="str">
        <f t="shared" ref="AN323:AN386" si="41">CONCATENATE(U323," ",V323," ",W323," ",X323," ",Y323," ",Z323," ",AA323," ",AB323," ",AC323," ",AD323," ",AE323," ",AF323," ",AG323," ",AH323," ",AI323," ",AJ323)</f>
        <v xml:space="preserve">ABASTECEU no 22 NORTE DESCARREGOU em VARGINHA-MG PASSOU em FORMIGA-MG ABASTECEU no DP JK SUL        </v>
      </c>
    </row>
    <row r="324" spans="1:40" x14ac:dyDescent="0.25">
      <c r="A324" s="101">
        <f>IFERROR(VLOOKUP(AN324,ROTAS!$A:$B,2,FALSE),0)</f>
        <v>78</v>
      </c>
      <c r="B324" s="101">
        <f t="shared" si="33"/>
        <v>3</v>
      </c>
      <c r="C324" s="101">
        <f t="shared" si="34"/>
        <v>477.66666666666669</v>
      </c>
      <c r="D324" s="144">
        <v>44896</v>
      </c>
      <c r="E324" s="76">
        <v>44914.951388888891</v>
      </c>
      <c r="F324" s="6" t="s">
        <v>124</v>
      </c>
      <c r="G324" s="5" t="str">
        <f>IFERROR(VLOOKUP(SUMIFS(MSOLICITADA!$I:$I,MSOLICITADA!$B:$B,D324,MSOLICITADA!$F:$F,F324),CODIGOSPLACAS!$A$64:$B$89,2,FALSE),"")</f>
        <v>ISRAEL</v>
      </c>
      <c r="H324" s="77">
        <v>139348</v>
      </c>
      <c r="I324" s="77">
        <v>139829</v>
      </c>
      <c r="J324" s="7">
        <v>361</v>
      </c>
      <c r="K324" s="78">
        <v>2137.59</v>
      </c>
      <c r="L324" s="79" t="s">
        <v>111</v>
      </c>
      <c r="M324" s="6">
        <v>456</v>
      </c>
      <c r="N324" s="5">
        <f t="shared" si="37"/>
        <v>25</v>
      </c>
      <c r="O324" s="80">
        <f t="shared" si="38"/>
        <v>5.9213019390581723</v>
      </c>
      <c r="P324" s="8">
        <f t="shared" si="39"/>
        <v>1.3324099722991689</v>
      </c>
      <c r="Q324" s="8">
        <f t="shared" si="35"/>
        <v>1.6396894062131062</v>
      </c>
      <c r="R324" s="81">
        <f t="shared" si="40"/>
        <v>0.94802494802494808</v>
      </c>
      <c r="S324" s="113" t="str">
        <f>IF(F324="","",IF(H324="",TEXT(_xlfn.MAXIFS($I$1:I324,$F$1:F324,F324,$H$1:H324,"&gt;"&amp;0),"000.000"),F324))</f>
        <v>GHH9B64</v>
      </c>
      <c r="T324" s="101">
        <f t="shared" si="36"/>
        <v>25</v>
      </c>
      <c r="U324" s="82" t="s">
        <v>220</v>
      </c>
      <c r="V324" s="98" t="s">
        <v>241</v>
      </c>
      <c r="W324" s="82" t="s">
        <v>225</v>
      </c>
      <c r="X324" s="98" t="s">
        <v>281</v>
      </c>
      <c r="Y324" s="82" t="s">
        <v>222</v>
      </c>
      <c r="Z324" s="98" t="s">
        <v>175</v>
      </c>
      <c r="AA324" s="82" t="s">
        <v>221</v>
      </c>
      <c r="AB324" s="98" t="s">
        <v>168</v>
      </c>
      <c r="AC324" s="82" t="s">
        <v>225</v>
      </c>
      <c r="AD324" s="98" t="s">
        <v>284</v>
      </c>
      <c r="AE324" s="82" t="s">
        <v>220</v>
      </c>
      <c r="AF324" s="98" t="s">
        <v>165</v>
      </c>
      <c r="AG324" s="82"/>
      <c r="AH324" s="98"/>
      <c r="AI324" s="82"/>
      <c r="AJ324" s="98"/>
      <c r="AK324" s="83"/>
      <c r="AL324" s="84" t="str">
        <f>IF(F324&lt;&gt;0,IF(_xlfn.MAXIFS($I$1:I324,$F$1:F324,F324,$H$1:H324,"&gt;"&amp;0)=0,"KM NÃO ENCONTRADO",IF(H324=0,CONCATENATE("SUGESTÃO DE KM PARA PLACA ",F324," *",_xlfn.MAXIFS($I$1:I324,$F$1:F324,F324,$H$1:H324,"&gt;"&amp;0),"*"),"")),"")</f>
        <v/>
      </c>
      <c r="AM324" s="85" t="str" cm="1">
        <f t="array" ref="AM324">IFERROR(IF(M324&lt;&gt;"","",CONCATENATE("https://btx.brasiltrack.com/logistica/trajeto.php?idveiculo=",VLOOKUP(F324,DATAS!$A$221:$B$250,2,FALSE),"&amp;lat=-22.204247","&amp;data_ini=",TEXT(IF(E324&lt;&gt;"",IF(COUNTIF($F$2:$F324,F324)&gt;1,MAX(IF($F$1:$F323=F324,$E$1:$E323)),""),""),"DD/MM/AAAA"),"&amp;data_fim=",TEXT(E324,"DD/MM/AAAA"),"&amp;hora_inicial=",HOUR(IF(E324&lt;&gt;"",IF(COUNTIF($F$2:$F324,F324)&gt;1,MAX(IF($F$1:$F323=F324,$E$1:$E323)),""),"")),"&amp;minuto_inicial=",MINUTE(IF(E324&lt;&gt;"",IF(COUNTIF($F$2:$F324,F324)&gt;1,MAX(IF($F$1:$F323=F324,$E$1:$E323)),""),"")),"&amp;hora_final=",HOUR(E324),"&amp;minuto_final=",MINUTE(E324),"&amp;periodo=6&amp;tipo=por_data&amp;upos=false&amp;outequip=0")),"")</f>
        <v/>
      </c>
      <c r="AN324" s="100" t="str">
        <f t="shared" si="41"/>
        <v xml:space="preserve">ABASTECEU no DP LEME SUL PASSOU em OSASCO-SP DESCARREGOU em SANTOS-SP CARREGOU em CUBATAO-SP PASSOU em SÃO PAULO-SP ABASTECEU no 22 NORTE    </v>
      </c>
    </row>
    <row r="325" spans="1:40" x14ac:dyDescent="0.25">
      <c r="A325" s="101">
        <f>IFERROR(VLOOKUP(AN325,ROTAS!$A:$B,2,FALSE),0)</f>
        <v>78</v>
      </c>
      <c r="B325" s="101">
        <f t="shared" si="33"/>
        <v>3</v>
      </c>
      <c r="C325" s="101">
        <f t="shared" si="34"/>
        <v>477.66666666666669</v>
      </c>
      <c r="D325" s="144">
        <v>44896</v>
      </c>
      <c r="E325" s="76">
        <v>44915.075694444444</v>
      </c>
      <c r="F325" s="6" t="s">
        <v>29</v>
      </c>
      <c r="G325" s="5" t="str">
        <f>IFERROR(VLOOKUP(SUMIFS(MSOLICITADA!$I:$I,MSOLICITADA!$B:$B,D325,MSOLICITADA!$F:$F,F325),CODIGOSPLACAS!$A$64:$B$89,2,FALSE),"")</f>
        <v>EDNILSON</v>
      </c>
      <c r="H325" s="77">
        <v>238032</v>
      </c>
      <c r="I325" s="77">
        <v>238509</v>
      </c>
      <c r="J325" s="7">
        <v>355.44</v>
      </c>
      <c r="K325" s="78">
        <v>2164.64</v>
      </c>
      <c r="L325" s="79" t="s">
        <v>111</v>
      </c>
      <c r="M325" s="6">
        <v>452</v>
      </c>
      <c r="N325" s="5">
        <f t="shared" si="37"/>
        <v>25</v>
      </c>
      <c r="O325" s="80">
        <f t="shared" si="38"/>
        <v>6.0900292595093406</v>
      </c>
      <c r="P325" s="8">
        <f t="shared" si="39"/>
        <v>1.3419986495611074</v>
      </c>
      <c r="Q325" s="8">
        <f t="shared" si="35"/>
        <v>1.5750677554084309</v>
      </c>
      <c r="R325" s="81">
        <f t="shared" si="40"/>
        <v>0.94758909853249473</v>
      </c>
      <c r="S325" s="113" t="str">
        <f>IF(F325="","",IF(H325="",TEXT(_xlfn.MAXIFS($I$1:I325,$F$1:F325,F325,$H$1:H325,"&gt;"&amp;0),"000.000"),F325))</f>
        <v>GKA2J56</v>
      </c>
      <c r="T325" s="101">
        <f t="shared" si="36"/>
        <v>25</v>
      </c>
      <c r="U325" s="82" t="s">
        <v>220</v>
      </c>
      <c r="V325" s="98" t="s">
        <v>241</v>
      </c>
      <c r="W325" s="82" t="s">
        <v>225</v>
      </c>
      <c r="X325" s="98" t="s">
        <v>281</v>
      </c>
      <c r="Y325" s="82" t="s">
        <v>222</v>
      </c>
      <c r="Z325" s="98" t="s">
        <v>175</v>
      </c>
      <c r="AA325" s="82" t="s">
        <v>221</v>
      </c>
      <c r="AB325" s="98" t="s">
        <v>168</v>
      </c>
      <c r="AC325" s="82" t="s">
        <v>225</v>
      </c>
      <c r="AD325" s="98" t="s">
        <v>284</v>
      </c>
      <c r="AE325" s="82" t="s">
        <v>220</v>
      </c>
      <c r="AF325" s="98" t="s">
        <v>165</v>
      </c>
      <c r="AG325" s="82"/>
      <c r="AH325" s="98"/>
      <c r="AI325" s="82"/>
      <c r="AJ325" s="98"/>
      <c r="AK325" s="83"/>
      <c r="AL325" s="84" t="str">
        <f>IF(F325&lt;&gt;0,IF(_xlfn.MAXIFS($I$1:I325,$F$1:F325,F325,$H$1:H325,"&gt;"&amp;0)=0,"KM NÃO ENCONTRADO",IF(H325=0,CONCATENATE("SUGESTÃO DE KM PARA PLACA ",F325," *",_xlfn.MAXIFS($I$1:I325,$F$1:F325,F325,$H$1:H325,"&gt;"&amp;0),"*"),"")),"")</f>
        <v/>
      </c>
      <c r="AM325" s="85" t="str" cm="1">
        <f t="array" ref="AM325">IFERROR(IF(M325&lt;&gt;"","",CONCATENATE("https://btx.brasiltrack.com/logistica/trajeto.php?idveiculo=",VLOOKUP(F325,DATAS!$A$221:$B$250,2,FALSE),"&amp;lat=-22.204247","&amp;data_ini=",TEXT(IF(E325&lt;&gt;"",IF(COUNTIF($F$2:$F325,F325)&gt;1,MAX(IF($F$1:$F324=F325,$E$1:$E324)),""),""),"DD/MM/AAAA"),"&amp;data_fim=",TEXT(E325,"DD/MM/AAAA"),"&amp;hora_inicial=",HOUR(IF(E325&lt;&gt;"",IF(COUNTIF($F$2:$F325,F325)&gt;1,MAX(IF($F$1:$F324=F325,$E$1:$E324)),""),"")),"&amp;minuto_inicial=",MINUTE(IF(E325&lt;&gt;"",IF(COUNTIF($F$2:$F325,F325)&gt;1,MAX(IF($F$1:$F324=F325,$E$1:$E324)),""),"")),"&amp;hora_final=",HOUR(E325),"&amp;minuto_final=",MINUTE(E325),"&amp;periodo=6&amp;tipo=por_data&amp;upos=false&amp;outequip=0")),"")</f>
        <v/>
      </c>
      <c r="AN325" s="100" t="str">
        <f t="shared" si="41"/>
        <v xml:space="preserve">ABASTECEU no DP LEME SUL PASSOU em OSASCO-SP DESCARREGOU em SANTOS-SP CARREGOU em CUBATAO-SP PASSOU em SÃO PAULO-SP ABASTECEU no 22 NORTE    </v>
      </c>
    </row>
    <row r="326" spans="1:40" x14ac:dyDescent="0.25">
      <c r="A326" s="101">
        <f>IFERROR(VLOOKUP(AN326,ROTAS!$A:$B,2,FALSE),0)</f>
        <v>78</v>
      </c>
      <c r="B326" s="101">
        <f t="shared" si="33"/>
        <v>3</v>
      </c>
      <c r="C326" s="101">
        <f t="shared" si="34"/>
        <v>477.66666666666669</v>
      </c>
      <c r="D326" s="144">
        <v>44896</v>
      </c>
      <c r="E326" s="76">
        <v>44915.127083333333</v>
      </c>
      <c r="F326" s="6" t="s">
        <v>131</v>
      </c>
      <c r="G326" s="5" t="str">
        <f>IFERROR(VLOOKUP(SUMIFS(MSOLICITADA!$I:$I,MSOLICITADA!$B:$B,D326,MSOLICITADA!$F:$F,F326),CODIGOSPLACAS!$A$64:$B$89,2,FALSE),"")</f>
        <v>ALTIELIS</v>
      </c>
      <c r="H326" s="77">
        <v>46551</v>
      </c>
      <c r="I326" s="77">
        <v>47026</v>
      </c>
      <c r="J326" s="7">
        <v>361</v>
      </c>
      <c r="K326" s="78">
        <v>2198.4899999999998</v>
      </c>
      <c r="L326" s="79" t="s">
        <v>111</v>
      </c>
      <c r="M326" s="6">
        <v>450</v>
      </c>
      <c r="N326" s="5">
        <f t="shared" si="37"/>
        <v>25</v>
      </c>
      <c r="O326" s="80">
        <f t="shared" si="38"/>
        <v>6.089999999999999</v>
      </c>
      <c r="P326" s="8">
        <f t="shared" si="39"/>
        <v>1.3157894736842106</v>
      </c>
      <c r="Q326" s="8">
        <f t="shared" si="35"/>
        <v>1.6628833870031143</v>
      </c>
      <c r="R326" s="81">
        <f t="shared" si="40"/>
        <v>0.94736842105263153</v>
      </c>
      <c r="S326" s="113" t="str">
        <f>IF(F326="","",IF(H326="",TEXT(_xlfn.MAXIFS($I$1:I326,$F$1:F326,F326,$H$1:H326,"&gt;"&amp;0),"000.000"),F326))</f>
        <v>GGN4J86</v>
      </c>
      <c r="T326" s="101">
        <f t="shared" si="36"/>
        <v>25</v>
      </c>
      <c r="U326" s="82" t="s">
        <v>220</v>
      </c>
      <c r="V326" s="98" t="s">
        <v>241</v>
      </c>
      <c r="W326" s="82" t="s">
        <v>225</v>
      </c>
      <c r="X326" s="98" t="s">
        <v>281</v>
      </c>
      <c r="Y326" s="82" t="s">
        <v>222</v>
      </c>
      <c r="Z326" s="98" t="s">
        <v>175</v>
      </c>
      <c r="AA326" s="82" t="s">
        <v>221</v>
      </c>
      <c r="AB326" s="98" t="s">
        <v>168</v>
      </c>
      <c r="AC326" s="82" t="s">
        <v>225</v>
      </c>
      <c r="AD326" s="98" t="s">
        <v>284</v>
      </c>
      <c r="AE326" s="82" t="s">
        <v>220</v>
      </c>
      <c r="AF326" s="98" t="s">
        <v>165</v>
      </c>
      <c r="AG326" s="82"/>
      <c r="AH326" s="98"/>
      <c r="AI326" s="82"/>
      <c r="AJ326" s="98"/>
      <c r="AK326" s="83"/>
      <c r="AL326" s="84" t="str">
        <f>IF(F326&lt;&gt;0,IF(_xlfn.MAXIFS($I$1:I326,$F$1:F326,F326,$H$1:H326,"&gt;"&amp;0)=0,"KM NÃO ENCONTRADO",IF(H326=0,CONCATENATE("SUGESTÃO DE KM PARA PLACA ",F326," *",_xlfn.MAXIFS($I$1:I326,$F$1:F326,F326,$H$1:H326,"&gt;"&amp;0),"*"),"")),"")</f>
        <v/>
      </c>
      <c r="AM326" s="85" t="str" cm="1">
        <f t="array" ref="AM326">IFERROR(IF(M326&lt;&gt;"","",CONCATENATE("https://btx.brasiltrack.com/logistica/trajeto.php?idveiculo=",VLOOKUP(F326,DATAS!$A$221:$B$250,2,FALSE),"&amp;lat=-22.204247","&amp;data_ini=",TEXT(IF(E326&lt;&gt;"",IF(COUNTIF($F$2:$F326,F326)&gt;1,MAX(IF($F$1:$F325=F326,$E$1:$E325)),""),""),"DD/MM/AAAA"),"&amp;data_fim=",TEXT(E326,"DD/MM/AAAA"),"&amp;hora_inicial=",HOUR(IF(E326&lt;&gt;"",IF(COUNTIF($F$2:$F326,F326)&gt;1,MAX(IF($F$1:$F325=F326,$E$1:$E325)),""),"")),"&amp;minuto_inicial=",MINUTE(IF(E326&lt;&gt;"",IF(COUNTIF($F$2:$F326,F326)&gt;1,MAX(IF($F$1:$F325=F326,$E$1:$E325)),""),"")),"&amp;hora_final=",HOUR(E326),"&amp;minuto_final=",MINUTE(E326),"&amp;periodo=6&amp;tipo=por_data&amp;upos=false&amp;outequip=0")),"")</f>
        <v/>
      </c>
      <c r="AN326" s="100" t="str">
        <f t="shared" si="41"/>
        <v xml:space="preserve">ABASTECEU no DP LEME SUL PASSOU em OSASCO-SP DESCARREGOU em SANTOS-SP CARREGOU em CUBATAO-SP PASSOU em SÃO PAULO-SP ABASTECEU no 22 NORTE    </v>
      </c>
    </row>
    <row r="327" spans="1:40" x14ac:dyDescent="0.25">
      <c r="A327" s="101">
        <f>IFERROR(VLOOKUP(AN327,ROTAS!$A:$B,2,FALSE),0)</f>
        <v>79</v>
      </c>
      <c r="B327" s="101">
        <f t="shared" si="33"/>
        <v>5</v>
      </c>
      <c r="C327" s="101">
        <f t="shared" si="34"/>
        <v>807</v>
      </c>
      <c r="D327" s="144">
        <v>44896</v>
      </c>
      <c r="E327" s="76">
        <v>44915.538888888892</v>
      </c>
      <c r="F327" s="6" t="s">
        <v>26</v>
      </c>
      <c r="G327" s="5" t="str">
        <f>IFERROR(VLOOKUP(SUMIFS(MSOLICITADA!$I:$I,MSOLICITADA!$B:$B,D327,MSOLICITADA!$F:$F,F327),CODIGOSPLACAS!$A$64:$B$89,2,FALSE),"")</f>
        <v>DIEGO</v>
      </c>
      <c r="H327" s="77">
        <v>399351</v>
      </c>
      <c r="I327" s="77">
        <v>400162</v>
      </c>
      <c r="J327" s="7">
        <v>530</v>
      </c>
      <c r="K327" s="78">
        <v>3227.7</v>
      </c>
      <c r="L327" s="79" t="s">
        <v>111</v>
      </c>
      <c r="M327" s="6">
        <v>434</v>
      </c>
      <c r="N327" s="5">
        <f t="shared" si="37"/>
        <v>377</v>
      </c>
      <c r="O327" s="80">
        <f t="shared" si="38"/>
        <v>6.09</v>
      </c>
      <c r="P327" s="8">
        <f t="shared" si="39"/>
        <v>1.530188679245283</v>
      </c>
      <c r="Q327" s="8">
        <f t="shared" si="35"/>
        <v>1.42982167893118</v>
      </c>
      <c r="R327" s="81">
        <f t="shared" si="40"/>
        <v>0.53514180024660918</v>
      </c>
      <c r="S327" s="113" t="str">
        <f>IF(F327="","",IF(H327="",TEXT(_xlfn.MAXIFS($I$1:I327,$F$1:F327,F327,$H$1:H327,"&gt;"&amp;0),"000.000"),F327))</f>
        <v>BZA3587</v>
      </c>
      <c r="T327" s="101">
        <f t="shared" si="36"/>
        <v>377</v>
      </c>
      <c r="U327" s="82" t="s">
        <v>220</v>
      </c>
      <c r="V327" s="98" t="s">
        <v>165</v>
      </c>
      <c r="W327" s="82" t="s">
        <v>222</v>
      </c>
      <c r="X327" s="98" t="s">
        <v>201</v>
      </c>
      <c r="Y327" s="82" t="s">
        <v>225</v>
      </c>
      <c r="Z327" s="98" t="s">
        <v>284</v>
      </c>
      <c r="AA327" s="82" t="s">
        <v>221</v>
      </c>
      <c r="AB327" s="98" t="s">
        <v>168</v>
      </c>
      <c r="AC327" s="82" t="s">
        <v>225</v>
      </c>
      <c r="AD327" s="98" t="s">
        <v>237</v>
      </c>
      <c r="AE327" s="118" t="s">
        <v>220</v>
      </c>
      <c r="AF327" s="98" t="s">
        <v>165</v>
      </c>
      <c r="AG327" s="82"/>
      <c r="AH327" s="98"/>
      <c r="AI327" s="82"/>
      <c r="AJ327" s="98"/>
      <c r="AK327" s="83"/>
      <c r="AL327" s="84" t="str">
        <f>IF(F327&lt;&gt;0,IF(_xlfn.MAXIFS($I$1:I327,$F$1:F327,F327,$H$1:H327,"&gt;"&amp;0)=0,"KM NÃO ENCONTRADO",IF(H327=0,CONCATENATE("SUGESTÃO DE KM PARA PLACA ",F327," *",_xlfn.MAXIFS($I$1:I327,$F$1:F327,F327,$H$1:H327,"&gt;"&amp;0),"*"),"")),"")</f>
        <v/>
      </c>
      <c r="AM327" s="85" t="str" cm="1">
        <f t="array" ref="AM327">IFERROR(IF(M327&lt;&gt;"","",CONCATENATE("https://btx.brasiltrack.com/logistica/trajeto.php?idveiculo=",VLOOKUP(F327,DATAS!$A$221:$B$250,2,FALSE),"&amp;lat=-22.204247","&amp;data_ini=",TEXT(IF(E327&lt;&gt;"",IF(COUNTIF($F$2:$F327,F327)&gt;1,MAX(IF($F$1:$F326=F327,$E$1:$E326)),""),""),"DD/MM/AAAA"),"&amp;data_fim=",TEXT(E327,"DD/MM/AAAA"),"&amp;hora_inicial=",HOUR(IF(E327&lt;&gt;"",IF(COUNTIF($F$2:$F327,F327)&gt;1,MAX(IF($F$1:$F326=F327,$E$1:$E326)),""),"")),"&amp;minuto_inicial=",MINUTE(IF(E327&lt;&gt;"",IF(COUNTIF($F$2:$F327,F327)&gt;1,MAX(IF($F$1:$F326=F327,$E$1:$E326)),""),"")),"&amp;hora_final=",HOUR(E327),"&amp;minuto_final=",MINUTE(E327),"&amp;periodo=6&amp;tipo=por_data&amp;upos=false&amp;outequip=0")),"")</f>
        <v/>
      </c>
      <c r="AN327" s="100" t="str">
        <f t="shared" si="41"/>
        <v xml:space="preserve">ABASTECEU no 22 NORTE DESCARREGOU em TRES CORACOES-MG PASSOU em SÃO PAULO-SP CARREGOU em CUBATAO-SP PASSOU em ARUJÁ-SP ABASTECEU no 22 NORTE    </v>
      </c>
    </row>
    <row r="328" spans="1:40" x14ac:dyDescent="0.25">
      <c r="A328" s="101">
        <f>IFERROR(VLOOKUP(AN328,ROTAS!$A:$B,2,FALSE),0)</f>
        <v>80</v>
      </c>
      <c r="B328" s="101">
        <f t="shared" si="33"/>
        <v>1</v>
      </c>
      <c r="C328" s="101">
        <f t="shared" si="34"/>
        <v>622</v>
      </c>
      <c r="D328" s="144">
        <v>44896</v>
      </c>
      <c r="E328" s="76">
        <v>44915.541666666664</v>
      </c>
      <c r="F328" s="6" t="s">
        <v>27</v>
      </c>
      <c r="G328" s="5" t="str">
        <f>IFERROR(VLOOKUP(SUMIFS(MSOLICITADA!$I:$I,MSOLICITADA!$B:$B,D328,MSOLICITADA!$F:$F,F328),CODIGOSPLACAS!$A$64:$B$89,2,FALSE),"")</f>
        <v>ANTONIO</v>
      </c>
      <c r="H328" s="77">
        <v>246418</v>
      </c>
      <c r="I328" s="77">
        <v>247040</v>
      </c>
      <c r="J328" s="7">
        <v>418.3</v>
      </c>
      <c r="K328" s="78">
        <v>2576.7280000000001</v>
      </c>
      <c r="L328" s="79" t="s">
        <v>112</v>
      </c>
      <c r="M328" s="6">
        <v>372</v>
      </c>
      <c r="N328" s="5">
        <f t="shared" si="37"/>
        <v>250</v>
      </c>
      <c r="O328" s="80">
        <f t="shared" si="38"/>
        <v>6.16</v>
      </c>
      <c r="P328" s="8">
        <f t="shared" si="39"/>
        <v>1.4869710733923021</v>
      </c>
      <c r="Q328" s="8">
        <f t="shared" si="35"/>
        <v>1.4435398773633086</v>
      </c>
      <c r="R328" s="81">
        <f t="shared" si="40"/>
        <v>0.59807073954983925</v>
      </c>
      <c r="S328" s="113" t="str">
        <f>IF(F328="","",IF(H328="",TEXT(_xlfn.MAXIFS($I$1:I328,$F$1:F328,F328,$H$1:H328,"&gt;"&amp;0),"000.000"),F328))</f>
        <v>GHS4J57</v>
      </c>
      <c r="T328" s="101">
        <f t="shared" si="36"/>
        <v>250</v>
      </c>
      <c r="U328" s="82" t="s">
        <v>220</v>
      </c>
      <c r="V328" s="98" t="s">
        <v>165</v>
      </c>
      <c r="W328" s="82" t="s">
        <v>222</v>
      </c>
      <c r="X328" s="98" t="s">
        <v>167</v>
      </c>
      <c r="Y328" s="82" t="s">
        <v>221</v>
      </c>
      <c r="Z328" s="98" t="s">
        <v>173</v>
      </c>
      <c r="AA328" s="82" t="s">
        <v>220</v>
      </c>
      <c r="AB328" s="98" t="s">
        <v>206</v>
      </c>
      <c r="AC328" s="82"/>
      <c r="AD328" s="98"/>
      <c r="AE328" s="118"/>
      <c r="AF328" s="98"/>
      <c r="AG328" s="82"/>
      <c r="AH328" s="98"/>
      <c r="AI328" s="82"/>
      <c r="AJ328" s="98"/>
      <c r="AK328" s="83"/>
      <c r="AL328" s="84" t="str">
        <f>IF(F328&lt;&gt;0,IF(_xlfn.MAXIFS($I$1:I328,$F$1:F328,F328,$H$1:H328,"&gt;"&amp;0)=0,"KM NÃO ENCONTRADO",IF(H328=0,CONCATENATE("SUGESTÃO DE KM PARA PLACA ",F328," *",_xlfn.MAXIFS($I$1:I328,$F$1:F328,F328,$H$1:H328,"&gt;"&amp;0),"*"),"")),"")</f>
        <v/>
      </c>
      <c r="AM328" s="85" t="str" cm="1">
        <f t="array" ref="AM328">IFERROR(IF(M328&lt;&gt;"","",CONCATENATE("https://btx.brasiltrack.com/logistica/trajeto.php?idveiculo=",VLOOKUP(F328,DATAS!$A$221:$B$250,2,FALSE),"&amp;lat=-22.204247","&amp;data_ini=",TEXT(IF(E328&lt;&gt;"",IF(COUNTIF($F$2:$F328,F328)&gt;1,MAX(IF($F$1:$F327=F328,$E$1:$E327)),""),""),"DD/MM/AAAA"),"&amp;data_fim=",TEXT(E328,"DD/MM/AAAA"),"&amp;hora_inicial=",HOUR(IF(E328&lt;&gt;"",IF(COUNTIF($F$2:$F328,F328)&gt;1,MAX(IF($F$1:$F327=F328,$E$1:$E327)),""),"")),"&amp;minuto_inicial=",MINUTE(IF(E328&lt;&gt;"",IF(COUNTIF($F$2:$F328,F328)&gt;1,MAX(IF($F$1:$F327=F328,$E$1:$E327)),""),"")),"&amp;hora_final=",HOUR(E328),"&amp;minuto_final=",MINUTE(E328),"&amp;periodo=6&amp;tipo=por_data&amp;upos=false&amp;outequip=0")),"")</f>
        <v/>
      </c>
      <c r="AN328" s="100" t="str">
        <f t="shared" si="41"/>
        <v xml:space="preserve">ABASTECEU no 22 NORTE DESCARREGOU em VARGINHA-MG CARREGOU em LAGOA DA PRATA-MG ABASTECEU no CANDEIAS-MG        </v>
      </c>
    </row>
    <row r="329" spans="1:40" x14ac:dyDescent="0.25">
      <c r="A329" s="101">
        <f>IFERROR(VLOOKUP(AN329,ROTAS!$A:$B,2,FALSE),0)</f>
        <v>81</v>
      </c>
      <c r="B329" s="101">
        <f t="shared" si="33"/>
        <v>1</v>
      </c>
      <c r="C329" s="101">
        <f t="shared" si="34"/>
        <v>554</v>
      </c>
      <c r="D329" s="144">
        <v>44896</v>
      </c>
      <c r="E329" s="76">
        <v>44915.548611111109</v>
      </c>
      <c r="F329" s="6" t="s">
        <v>32</v>
      </c>
      <c r="G329" s="5" t="str">
        <f>IFERROR(VLOOKUP(SUMIFS(MSOLICITADA!$I:$I,MSOLICITADA!$B:$B,D329,MSOLICITADA!$F:$F,F329),CODIGOSPLACAS!$A$64:$B$89,2,FALSE),"")</f>
        <v>ADILSON</v>
      </c>
      <c r="H329" s="77">
        <v>198876</v>
      </c>
      <c r="I329" s="77">
        <v>199430</v>
      </c>
      <c r="J329" s="7">
        <v>367.2</v>
      </c>
      <c r="K329" s="78">
        <v>2261.9519999999998</v>
      </c>
      <c r="L329" s="79" t="s">
        <v>112</v>
      </c>
      <c r="M329" s="6">
        <v>304</v>
      </c>
      <c r="N329" s="5">
        <f t="shared" si="37"/>
        <v>250</v>
      </c>
      <c r="O329" s="80">
        <f t="shared" si="38"/>
        <v>6.1599999999999993</v>
      </c>
      <c r="P329" s="8">
        <f t="shared" si="39"/>
        <v>1.5087145969498912</v>
      </c>
      <c r="Q329" s="8">
        <f t="shared" si="35"/>
        <v>1.7045945118851598</v>
      </c>
      <c r="R329" s="81">
        <f t="shared" si="40"/>
        <v>0.54873646209386284</v>
      </c>
      <c r="S329" s="113" t="str">
        <f>IF(F329="","",IF(H329="",TEXT(_xlfn.MAXIFS($I$1:I329,$F$1:F329,F329,$H$1:H329,"&gt;"&amp;0),"000.000"),F329))</f>
        <v>GJU9A22</v>
      </c>
      <c r="T329" s="101">
        <f t="shared" si="36"/>
        <v>250</v>
      </c>
      <c r="U329" s="82" t="s">
        <v>220</v>
      </c>
      <c r="V329" s="98" t="s">
        <v>216</v>
      </c>
      <c r="W329" s="82" t="s">
        <v>222</v>
      </c>
      <c r="X329" s="98" t="s">
        <v>167</v>
      </c>
      <c r="Y329" s="82" t="s">
        <v>221</v>
      </c>
      <c r="Z329" s="98" t="s">
        <v>173</v>
      </c>
      <c r="AA329" s="82" t="s">
        <v>220</v>
      </c>
      <c r="AB329" s="98" t="s">
        <v>206</v>
      </c>
      <c r="AC329" s="82"/>
      <c r="AD329" s="98"/>
      <c r="AE329" s="118"/>
      <c r="AF329" s="98"/>
      <c r="AG329" s="82"/>
      <c r="AH329" s="98"/>
      <c r="AI329" s="82"/>
      <c r="AJ329" s="98"/>
      <c r="AK329" s="83"/>
      <c r="AL329" s="84" t="str">
        <f>IF(F329&lt;&gt;0,IF(_xlfn.MAXIFS($I$1:I329,$F$1:F329,F329,$H$1:H329,"&gt;"&amp;0)=0,"KM NÃO ENCONTRADO",IF(H329=0,CONCATENATE("SUGESTÃO DE KM PARA PLACA ",F329," *",_xlfn.MAXIFS($I$1:I329,$F$1:F329,F329,$H$1:H329,"&gt;"&amp;0),"*"),"")),"")</f>
        <v/>
      </c>
      <c r="AM329" s="85" t="str" cm="1">
        <f t="array" ref="AM329">IFERROR(IF(M329&lt;&gt;"","",CONCATENATE("https://btx.brasiltrack.com/logistica/trajeto.php?idveiculo=",VLOOKUP(F329,DATAS!$A$221:$B$250,2,FALSE),"&amp;lat=-22.204247","&amp;data_ini=",TEXT(IF(E329&lt;&gt;"",IF(COUNTIF($F$2:$F329,F329)&gt;1,MAX(IF($F$1:$F328=F329,$E$1:$E328)),""),""),"DD/MM/AAAA"),"&amp;data_fim=",TEXT(E329,"DD/MM/AAAA"),"&amp;hora_inicial=",HOUR(IF(E329&lt;&gt;"",IF(COUNTIF($F$2:$F329,F329)&gt;1,MAX(IF($F$1:$F328=F329,$E$1:$E328)),""),"")),"&amp;minuto_inicial=",MINUTE(IF(E329&lt;&gt;"",IF(COUNTIF($F$2:$F329,F329)&gt;1,MAX(IF($F$1:$F328=F329,$E$1:$E328)),""),"")),"&amp;hora_final=",HOUR(E329),"&amp;minuto_final=",MINUTE(E329),"&amp;periodo=6&amp;tipo=por_data&amp;upos=false&amp;outequip=0")),"")</f>
        <v/>
      </c>
      <c r="AN329" s="100" t="str">
        <f t="shared" si="41"/>
        <v xml:space="preserve">ABASTECEU no DP PAULINHO DESCARREGOU em VARGINHA-MG CARREGOU em LAGOA DA PRATA-MG ABASTECEU no CANDEIAS-MG        </v>
      </c>
    </row>
    <row r="330" spans="1:40" x14ac:dyDescent="0.25">
      <c r="A330" s="101">
        <f>IFERROR(VLOOKUP(AN330,ROTAS!$A:$B,2,FALSE),0)</f>
        <v>82</v>
      </c>
      <c r="B330" s="101">
        <f t="shared" si="33"/>
        <v>1</v>
      </c>
      <c r="C330" s="101">
        <f t="shared" si="34"/>
        <v>895</v>
      </c>
      <c r="D330" s="144">
        <v>44896</v>
      </c>
      <c r="E330" s="76">
        <v>44915.695138888892</v>
      </c>
      <c r="F330" s="6" t="s">
        <v>126</v>
      </c>
      <c r="G330" s="5" t="str">
        <f>IFERROR(VLOOKUP(SUMIFS(MSOLICITADA!$I:$I,MSOLICITADA!$B:$B,D330,MSOLICITADA!$F:$F,F330),CODIGOSPLACAS!$A$64:$B$89,2,FALSE),"")</f>
        <v>IZAIAS</v>
      </c>
      <c r="H330" s="77">
        <v>487580</v>
      </c>
      <c r="I330" s="77">
        <v>488475</v>
      </c>
      <c r="J330" s="7">
        <v>550.22</v>
      </c>
      <c r="K330" s="78">
        <v>3359.4</v>
      </c>
      <c r="L330" s="79" t="s">
        <v>111</v>
      </c>
      <c r="M330" s="6">
        <v>528</v>
      </c>
      <c r="N330" s="5">
        <f t="shared" si="37"/>
        <v>367</v>
      </c>
      <c r="O330" s="80">
        <f t="shared" si="38"/>
        <v>6.1055577768892437</v>
      </c>
      <c r="P330" s="8">
        <f t="shared" si="39"/>
        <v>1.6266220784413508</v>
      </c>
      <c r="Q330" s="8">
        <f t="shared" si="35"/>
        <v>1.5097907680030693</v>
      </c>
      <c r="R330" s="81">
        <f t="shared" si="40"/>
        <v>0.58994413407821233</v>
      </c>
      <c r="S330" s="113" t="str">
        <f>IF(F330="","",IF(H330="",TEXT(_xlfn.MAXIFS($I$1:I330,$F$1:F330,F330,$H$1:H330,"&gt;"&amp;0),"000.000"),F330))</f>
        <v>GHX4D71</v>
      </c>
      <c r="T330" s="101">
        <f t="shared" si="36"/>
        <v>367</v>
      </c>
      <c r="U330" s="82" t="s">
        <v>220</v>
      </c>
      <c r="V330" s="98" t="s">
        <v>165</v>
      </c>
      <c r="W330" s="82" t="s">
        <v>222</v>
      </c>
      <c r="X330" s="98" t="s">
        <v>167</v>
      </c>
      <c r="Y330" s="82" t="s">
        <v>225</v>
      </c>
      <c r="Z330" s="98" t="s">
        <v>284</v>
      </c>
      <c r="AA330" s="82" t="s">
        <v>221</v>
      </c>
      <c r="AB330" s="98" t="s">
        <v>168</v>
      </c>
      <c r="AC330" s="82" t="s">
        <v>225</v>
      </c>
      <c r="AD330" s="98" t="s">
        <v>237</v>
      </c>
      <c r="AE330" s="118" t="s">
        <v>220</v>
      </c>
      <c r="AF330" s="98" t="s">
        <v>216</v>
      </c>
      <c r="AG330" s="82"/>
      <c r="AH330" s="98"/>
      <c r="AI330" s="82"/>
      <c r="AJ330" s="98"/>
      <c r="AK330" s="83"/>
      <c r="AL330" s="84" t="str">
        <f>IF(F330&lt;&gt;0,IF(_xlfn.MAXIFS($I$1:I330,$F$1:F330,F330,$H$1:H330,"&gt;"&amp;0)=0,"KM NÃO ENCONTRADO",IF(H330=0,CONCATENATE("SUGESTÃO DE KM PARA PLACA ",F330," *",_xlfn.MAXIFS($I$1:I330,$F$1:F330,F330,$H$1:H330,"&gt;"&amp;0),"*"),"")),"")</f>
        <v/>
      </c>
      <c r="AM330" s="85" t="str" cm="1">
        <f t="array" ref="AM330">IFERROR(IF(M330&lt;&gt;"","",CONCATENATE("https://btx.brasiltrack.com/logistica/trajeto.php?idveiculo=",VLOOKUP(F330,DATAS!$A$221:$B$250,2,FALSE),"&amp;lat=-22.204247","&amp;data_ini=",TEXT(IF(E330&lt;&gt;"",IF(COUNTIF($F$2:$F330,F330)&gt;1,MAX(IF($F$1:$F329=F330,$E$1:$E329)),""),""),"DD/MM/AAAA"),"&amp;data_fim=",TEXT(E330,"DD/MM/AAAA"),"&amp;hora_inicial=",HOUR(IF(E330&lt;&gt;"",IF(COUNTIF($F$2:$F330,F330)&gt;1,MAX(IF($F$1:$F329=F330,$E$1:$E329)),""),"")),"&amp;minuto_inicial=",MINUTE(IF(E330&lt;&gt;"",IF(COUNTIF($F$2:$F330,F330)&gt;1,MAX(IF($F$1:$F329=F330,$E$1:$E329)),""),"")),"&amp;hora_final=",HOUR(E330),"&amp;minuto_final=",MINUTE(E330),"&amp;periodo=6&amp;tipo=por_data&amp;upos=false&amp;outequip=0")),"")</f>
        <v/>
      </c>
      <c r="AN330" s="100" t="str">
        <f t="shared" si="41"/>
        <v xml:space="preserve">ABASTECEU no 22 NORTE DESCARREGOU em VARGINHA-MG PASSOU em SÃO PAULO-SP CARREGOU em CUBATAO-SP PASSOU em ARUJÁ-SP ABASTECEU no DP PAULINHO    </v>
      </c>
    </row>
    <row r="331" spans="1:40" x14ac:dyDescent="0.25">
      <c r="A331" s="101">
        <f>IFERROR(VLOOKUP(AN331,ROTAS!$A:$B,2,FALSE),0)</f>
        <v>73</v>
      </c>
      <c r="B331" s="101">
        <f t="shared" si="33"/>
        <v>2</v>
      </c>
      <c r="C331" s="101">
        <f t="shared" si="34"/>
        <v>416.5</v>
      </c>
      <c r="D331" s="144">
        <v>44896</v>
      </c>
      <c r="E331" s="76">
        <v>44915.695833333331</v>
      </c>
      <c r="F331" s="6" t="s">
        <v>23</v>
      </c>
      <c r="G331" s="5" t="str">
        <f>IFERROR(VLOOKUP(SUMIFS(MSOLICITADA!$I:$I,MSOLICITADA!$B:$B,D331,MSOLICITADA!$F:$F,F331),CODIGOSPLACAS!$A$64:$B$89,2,FALSE),"")</f>
        <v>ISAC</v>
      </c>
      <c r="H331" s="77">
        <v>1204216</v>
      </c>
      <c r="I331" s="77">
        <v>1204633</v>
      </c>
      <c r="J331" s="7">
        <v>260.01</v>
      </c>
      <c r="K331" s="78">
        <v>1583.46</v>
      </c>
      <c r="L331" s="79" t="s">
        <v>111</v>
      </c>
      <c r="M331" s="6">
        <v>178</v>
      </c>
      <c r="N331" s="5">
        <f t="shared" si="37"/>
        <v>239</v>
      </c>
      <c r="O331" s="80">
        <f t="shared" si="38"/>
        <v>6.0899965385946695</v>
      </c>
      <c r="P331" s="8">
        <f t="shared" si="39"/>
        <v>1.6037844698280836</v>
      </c>
      <c r="Q331" s="8">
        <f t="shared" si="35"/>
        <v>1.5720509549919661</v>
      </c>
      <c r="R331" s="81">
        <f t="shared" si="40"/>
        <v>0.42685851318944845</v>
      </c>
      <c r="S331" s="113" t="str">
        <f>IF(F331="","",IF(H331="",TEXT(_xlfn.MAXIFS($I$1:I331,$F$1:F331,F331,$H$1:H331,"&gt;"&amp;0),"000.000"),F331))</f>
        <v>HNC7I76</v>
      </c>
      <c r="T331" s="101">
        <f t="shared" si="36"/>
        <v>239</v>
      </c>
      <c r="U331" s="82" t="s">
        <v>220</v>
      </c>
      <c r="V331" s="98" t="s">
        <v>217</v>
      </c>
      <c r="W331" s="82" t="s">
        <v>225</v>
      </c>
      <c r="X331" s="98" t="s">
        <v>284</v>
      </c>
      <c r="Y331" s="82" t="s">
        <v>221</v>
      </c>
      <c r="Z331" s="98" t="s">
        <v>168</v>
      </c>
      <c r="AA331" s="82" t="s">
        <v>225</v>
      </c>
      <c r="AB331" s="98" t="s">
        <v>237</v>
      </c>
      <c r="AC331" s="118" t="s">
        <v>220</v>
      </c>
      <c r="AD331" s="98" t="s">
        <v>165</v>
      </c>
      <c r="AE331" s="118"/>
      <c r="AF331" s="98"/>
      <c r="AG331" s="82"/>
      <c r="AH331" s="98"/>
      <c r="AI331" s="82"/>
      <c r="AJ331" s="98"/>
      <c r="AK331" s="83"/>
      <c r="AL331" s="84" t="str">
        <f>IF(F331&lt;&gt;0,IF(_xlfn.MAXIFS($I$1:I331,$F$1:F331,F331,$H$1:H331,"&gt;"&amp;0)=0,"KM NÃO ENCONTRADO",IF(H331=0,CONCATENATE("SUGESTÃO DE KM PARA PLACA ",F331," *",_xlfn.MAXIFS($I$1:I331,$F$1:F331,F331,$H$1:H331,"&gt;"&amp;0),"*"),"")),"")</f>
        <v/>
      </c>
      <c r="AM331" s="85" t="str" cm="1">
        <f t="array" ref="AM331">IFERROR(IF(M331&lt;&gt;"","",CONCATENATE("https://btx.brasiltrack.com/logistica/trajeto.php?idveiculo=",VLOOKUP(F331,DATAS!$A$221:$B$250,2,FALSE),"&amp;lat=-22.204247","&amp;data_ini=",TEXT(IF(E331&lt;&gt;"",IF(COUNTIF($F$2:$F331,F331)&gt;1,MAX(IF($F$1:$F330=F331,$E$1:$E330)),""),""),"DD/MM/AAAA"),"&amp;data_fim=",TEXT(E331,"DD/MM/AAAA"),"&amp;hora_inicial=",HOUR(IF(E331&lt;&gt;"",IF(COUNTIF($F$2:$F331,F331)&gt;1,MAX(IF($F$1:$F330=F331,$E$1:$E330)),""),"")),"&amp;minuto_inicial=",MINUTE(IF(E331&lt;&gt;"",IF(COUNTIF($F$2:$F331,F331)&gt;1,MAX(IF($F$1:$F330=F331,$E$1:$E330)),""),"")),"&amp;hora_final=",HOUR(E331),"&amp;minuto_final=",MINUTE(E331),"&amp;periodo=6&amp;tipo=por_data&amp;upos=false&amp;outequip=0")),"")</f>
        <v/>
      </c>
      <c r="AN331" s="100" t="str">
        <f t="shared" si="41"/>
        <v xml:space="preserve">ABASTECEU no DP JK SUL PASSOU em SÃO PAULO-SP CARREGOU em CUBATAO-SP PASSOU em ARUJÁ-SP ABASTECEU no 22 NORTE      </v>
      </c>
    </row>
    <row r="332" spans="1:40" x14ac:dyDescent="0.25">
      <c r="A332" s="101">
        <f>IFERROR(VLOOKUP(AN332,ROTAS!$A:$B,2,FALSE),0)</f>
        <v>83</v>
      </c>
      <c r="B332" s="101">
        <f t="shared" si="33"/>
        <v>2</v>
      </c>
      <c r="C332" s="101">
        <f t="shared" si="34"/>
        <v>816</v>
      </c>
      <c r="D332" s="144">
        <v>44896</v>
      </c>
      <c r="E332" s="76">
        <v>44915.713888888888</v>
      </c>
      <c r="F332" s="6" t="s">
        <v>30</v>
      </c>
      <c r="G332" s="5" t="str">
        <f>IFERROR(VLOOKUP(SUMIFS(MSOLICITADA!$I:$I,MSOLICITADA!$B:$B,D332,MSOLICITADA!$F:$F,F332),CODIGOSPLACAS!$A$64:$B$89,2,FALSE),"")</f>
        <v>RONILSON</v>
      </c>
      <c r="H332" s="77">
        <v>217666</v>
      </c>
      <c r="I332" s="77">
        <v>218480</v>
      </c>
      <c r="J332" s="7">
        <v>486.01</v>
      </c>
      <c r="K332" s="78">
        <v>2969.52</v>
      </c>
      <c r="L332" s="79" t="s">
        <v>111</v>
      </c>
      <c r="M332" s="6">
        <v>444</v>
      </c>
      <c r="N332" s="5">
        <f t="shared" si="37"/>
        <v>370</v>
      </c>
      <c r="O332" s="80">
        <f t="shared" si="38"/>
        <v>6.109997736672085</v>
      </c>
      <c r="P332" s="8">
        <f t="shared" si="39"/>
        <v>1.6748626571469722</v>
      </c>
      <c r="Q332" s="8">
        <f t="shared" si="35"/>
        <v>1.5093777841757006</v>
      </c>
      <c r="R332" s="81">
        <f t="shared" si="40"/>
        <v>0.54545454545454541</v>
      </c>
      <c r="S332" s="113" t="str">
        <f>IF(F332="","",IF(H332="",TEXT(_xlfn.MAXIFS($I$1:I332,$F$1:F332,F332,$H$1:H332,"&gt;"&amp;0),"000.000"),F332))</f>
        <v>GFB0I37</v>
      </c>
      <c r="T332" s="101">
        <f t="shared" si="36"/>
        <v>370</v>
      </c>
      <c r="U332" s="82" t="s">
        <v>220</v>
      </c>
      <c r="V332" s="98" t="s">
        <v>218</v>
      </c>
      <c r="W332" s="82" t="s">
        <v>222</v>
      </c>
      <c r="X332" s="98" t="s">
        <v>167</v>
      </c>
      <c r="Y332" s="82" t="s">
        <v>225</v>
      </c>
      <c r="Z332" s="98" t="s">
        <v>284</v>
      </c>
      <c r="AA332" s="82" t="s">
        <v>221</v>
      </c>
      <c r="AB332" s="98" t="s">
        <v>168</v>
      </c>
      <c r="AC332" s="82" t="s">
        <v>225</v>
      </c>
      <c r="AD332" s="98" t="s">
        <v>237</v>
      </c>
      <c r="AE332" s="82" t="s">
        <v>220</v>
      </c>
      <c r="AF332" s="98" t="s">
        <v>218</v>
      </c>
      <c r="AG332" s="82"/>
      <c r="AH332" s="98"/>
      <c r="AI332" s="82"/>
      <c r="AJ332" s="98"/>
      <c r="AK332" s="83"/>
      <c r="AL332" s="84" t="str">
        <f>IF(F332&lt;&gt;0,IF(_xlfn.MAXIFS($I$1:I332,$F$1:F332,F332,$H$1:H332,"&gt;"&amp;0)=0,"KM NÃO ENCONTRADO",IF(H332=0,CONCATENATE("SUGESTÃO DE KM PARA PLACA ",F332," *",_xlfn.MAXIFS($I$1:I332,$F$1:F332,F332,$H$1:H332,"&gt;"&amp;0),"*"),"")),"")</f>
        <v/>
      </c>
      <c r="AM332" s="85" t="str" cm="1">
        <f t="array" ref="AM332">IFERROR(IF(M332&lt;&gt;"","",CONCATENATE("https://btx.brasiltrack.com/logistica/trajeto.php?idveiculo=",VLOOKUP(F332,DATAS!$A$221:$B$250,2,FALSE),"&amp;lat=-22.204247","&amp;data_ini=",TEXT(IF(E332&lt;&gt;"",IF(COUNTIF($F$2:$F332,F332)&gt;1,MAX(IF($F$1:$F331=F332,$E$1:$E331)),""),""),"DD/MM/AAAA"),"&amp;data_fim=",TEXT(E332,"DD/MM/AAAA"),"&amp;hora_inicial=",HOUR(IF(E332&lt;&gt;"",IF(COUNTIF($F$2:$F332,F332)&gt;1,MAX(IF($F$1:$F331=F332,$E$1:$E331)),""),"")),"&amp;minuto_inicial=",MINUTE(IF(E332&lt;&gt;"",IF(COUNTIF($F$2:$F332,F332)&gt;1,MAX(IF($F$1:$F331=F332,$E$1:$E331)),""),"")),"&amp;hora_final=",HOUR(E332),"&amp;minuto_final=",MINUTE(E332),"&amp;periodo=6&amp;tipo=por_data&amp;upos=false&amp;outequip=0")),"")</f>
        <v/>
      </c>
      <c r="AN332" s="100" t="str">
        <f t="shared" si="41"/>
        <v xml:space="preserve">ABASTECEU no DP PA NORTE DESCARREGOU em VARGINHA-MG PASSOU em SÃO PAULO-SP CARREGOU em CUBATAO-SP PASSOU em ARUJÁ-SP ABASTECEU no DP PA NORTE    </v>
      </c>
    </row>
    <row r="333" spans="1:40" x14ac:dyDescent="0.25">
      <c r="A333" s="101">
        <f>IFERROR(VLOOKUP(AN333,ROTAS!$A:$B,2,FALSE),0)</f>
        <v>84</v>
      </c>
      <c r="B333" s="101">
        <f t="shared" si="33"/>
        <v>1</v>
      </c>
      <c r="C333" s="101">
        <f t="shared" si="34"/>
        <v>880</v>
      </c>
      <c r="D333" s="144">
        <v>44896</v>
      </c>
      <c r="E333" s="76">
        <v>44915.716666666667</v>
      </c>
      <c r="F333" s="6" t="s">
        <v>25</v>
      </c>
      <c r="G333" s="5" t="str">
        <f>IFERROR(VLOOKUP(SUMIFS(MSOLICITADA!$I:$I,MSOLICITADA!$B:$B,D333,MSOLICITADA!$F:$F,F333),CODIGOSPLACAS!$A$64:$B$89,2,FALSE),"")</f>
        <v>EDUALDO</v>
      </c>
      <c r="H333" s="77">
        <v>1010003</v>
      </c>
      <c r="I333" s="77">
        <v>1010883</v>
      </c>
      <c r="J333" s="7">
        <v>549.01</v>
      </c>
      <c r="K333" s="78">
        <v>3354.45</v>
      </c>
      <c r="L333" s="79" t="s">
        <v>111</v>
      </c>
      <c r="M333" s="6">
        <v>510</v>
      </c>
      <c r="N333" s="5">
        <f t="shared" si="37"/>
        <v>370</v>
      </c>
      <c r="O333" s="80">
        <f t="shared" si="38"/>
        <v>6.109997996393508</v>
      </c>
      <c r="P333" s="8">
        <f t="shared" si="39"/>
        <v>1.6028851933480264</v>
      </c>
      <c r="Q333" s="8">
        <f t="shared" si="35"/>
        <v>1.5016619403177309</v>
      </c>
      <c r="R333" s="81">
        <f t="shared" si="40"/>
        <v>0.57954545454545459</v>
      </c>
      <c r="S333" s="113" t="str">
        <f>IF(F333="","",IF(H333="",TEXT(_xlfn.MAXIFS($I$1:I333,$F$1:F333,F333,$H$1:H333,"&gt;"&amp;0),"000.000"),F333))</f>
        <v>QHE9735</v>
      </c>
      <c r="T333" s="101">
        <f t="shared" si="36"/>
        <v>370</v>
      </c>
      <c r="U333" s="82" t="s">
        <v>220</v>
      </c>
      <c r="V333" s="98" t="s">
        <v>216</v>
      </c>
      <c r="W333" s="82" t="s">
        <v>222</v>
      </c>
      <c r="X333" s="98" t="s">
        <v>167</v>
      </c>
      <c r="Y333" s="82" t="s">
        <v>225</v>
      </c>
      <c r="Z333" s="98" t="s">
        <v>284</v>
      </c>
      <c r="AA333" s="82" t="s">
        <v>221</v>
      </c>
      <c r="AB333" s="98" t="s">
        <v>168</v>
      </c>
      <c r="AC333" s="82" t="s">
        <v>225</v>
      </c>
      <c r="AD333" s="98" t="s">
        <v>237</v>
      </c>
      <c r="AE333" s="82" t="s">
        <v>220</v>
      </c>
      <c r="AF333" s="98" t="s">
        <v>218</v>
      </c>
      <c r="AG333" s="82"/>
      <c r="AH333" s="98"/>
      <c r="AI333" s="82"/>
      <c r="AJ333" s="98"/>
      <c r="AK333" s="83"/>
      <c r="AL333" s="84" t="str">
        <f>IF(F333&lt;&gt;0,IF(_xlfn.MAXIFS($I$1:I333,$F$1:F333,F333,$H$1:H333,"&gt;"&amp;0)=0,"KM NÃO ENCONTRADO",IF(H333=0,CONCATENATE("SUGESTÃO DE KM PARA PLACA ",F333," *",_xlfn.MAXIFS($I$1:I333,$F$1:F333,F333,$H$1:H333,"&gt;"&amp;0),"*"),"")),"")</f>
        <v/>
      </c>
      <c r="AM333" s="85" t="str" cm="1">
        <f t="array" ref="AM333">IFERROR(IF(M333&lt;&gt;"","",CONCATENATE("https://btx.brasiltrack.com/logistica/trajeto.php?idveiculo=",VLOOKUP(F333,DATAS!$A$221:$B$250,2,FALSE),"&amp;lat=-22.204247","&amp;data_ini=",TEXT(IF(E333&lt;&gt;"",IF(COUNTIF($F$2:$F333,F333)&gt;1,MAX(IF($F$1:$F332=F333,$E$1:$E332)),""),""),"DD/MM/AAAA"),"&amp;data_fim=",TEXT(E333,"DD/MM/AAAA"),"&amp;hora_inicial=",HOUR(IF(E333&lt;&gt;"",IF(COUNTIF($F$2:$F333,F333)&gt;1,MAX(IF($F$1:$F332=F333,$E$1:$E332)),""),"")),"&amp;minuto_inicial=",MINUTE(IF(E333&lt;&gt;"",IF(COUNTIF($F$2:$F333,F333)&gt;1,MAX(IF($F$1:$F332=F333,$E$1:$E332)),""),"")),"&amp;hora_final=",HOUR(E333),"&amp;minuto_final=",MINUTE(E333),"&amp;periodo=6&amp;tipo=por_data&amp;upos=false&amp;outequip=0")),"")</f>
        <v/>
      </c>
      <c r="AN333" s="100" t="str">
        <f t="shared" si="41"/>
        <v xml:space="preserve">ABASTECEU no DP PAULINHO DESCARREGOU em VARGINHA-MG PASSOU em SÃO PAULO-SP CARREGOU em CUBATAO-SP PASSOU em ARUJÁ-SP ABASTECEU no DP PA NORTE    </v>
      </c>
    </row>
    <row r="334" spans="1:40" x14ac:dyDescent="0.25">
      <c r="A334" s="101">
        <f>IFERROR(VLOOKUP(AN334,ROTAS!$A:$B,2,FALSE),0)</f>
        <v>85</v>
      </c>
      <c r="B334" s="101">
        <f t="shared" si="33"/>
        <v>1</v>
      </c>
      <c r="C334" s="101">
        <f t="shared" si="34"/>
        <v>967</v>
      </c>
      <c r="D334" s="144">
        <v>44896</v>
      </c>
      <c r="E334" s="76">
        <v>44915.719444444447</v>
      </c>
      <c r="F334" s="6" t="s">
        <v>33</v>
      </c>
      <c r="G334" s="5" t="str">
        <f>IFERROR(VLOOKUP(SUMIFS(MSOLICITADA!$I:$I,MSOLICITADA!$B:$B,D334,MSOLICITADA!$F:$F,F334),CODIGOSPLACAS!$A$64:$B$89,2,FALSE),"")</f>
        <v>JULIO</v>
      </c>
      <c r="H334" s="77">
        <v>164426</v>
      </c>
      <c r="I334" s="77">
        <v>165393</v>
      </c>
      <c r="J334" s="7">
        <v>555</v>
      </c>
      <c r="K334" s="78">
        <v>3391.05</v>
      </c>
      <c r="L334" s="79" t="s">
        <v>111</v>
      </c>
      <c r="M334" s="6">
        <v>597</v>
      </c>
      <c r="N334" s="5">
        <f t="shared" si="37"/>
        <v>370</v>
      </c>
      <c r="O334" s="80">
        <f t="shared" si="38"/>
        <v>6.11</v>
      </c>
      <c r="P334" s="8">
        <f t="shared" si="39"/>
        <v>1.7423423423423423</v>
      </c>
      <c r="Q334" s="8">
        <f t="shared" si="35"/>
        <v>1.6210900048214474</v>
      </c>
      <c r="R334" s="81">
        <f t="shared" si="40"/>
        <v>0.61737331954498453</v>
      </c>
      <c r="S334" s="113" t="str">
        <f>IF(F334="","",IF(H334="",TEXT(_xlfn.MAXIFS($I$1:I334,$F$1:F334,F334,$H$1:H334,"&gt;"&amp;0),"000.000"),F334))</f>
        <v>GGF7G26</v>
      </c>
      <c r="T334" s="101">
        <f t="shared" si="36"/>
        <v>370</v>
      </c>
      <c r="U334" s="82" t="s">
        <v>220</v>
      </c>
      <c r="V334" s="98" t="s">
        <v>165</v>
      </c>
      <c r="W334" s="82" t="s">
        <v>222</v>
      </c>
      <c r="X334" s="98" t="s">
        <v>167</v>
      </c>
      <c r="Y334" s="82" t="s">
        <v>225</v>
      </c>
      <c r="Z334" s="98" t="s">
        <v>284</v>
      </c>
      <c r="AA334" s="82" t="s">
        <v>221</v>
      </c>
      <c r="AB334" s="98" t="s">
        <v>168</v>
      </c>
      <c r="AC334" s="82" t="s">
        <v>225</v>
      </c>
      <c r="AD334" s="98" t="s">
        <v>237</v>
      </c>
      <c r="AE334" s="82" t="s">
        <v>220</v>
      </c>
      <c r="AF334" s="98" t="s">
        <v>218</v>
      </c>
      <c r="AG334" s="82"/>
      <c r="AH334" s="98"/>
      <c r="AI334" s="82"/>
      <c r="AJ334" s="98"/>
      <c r="AK334" s="83"/>
      <c r="AL334" s="84" t="str">
        <f>IF(F334&lt;&gt;0,IF(_xlfn.MAXIFS($I$1:I334,$F$1:F334,F334,$H$1:H334,"&gt;"&amp;0)=0,"KM NÃO ENCONTRADO",IF(H334=0,CONCATENATE("SUGESTÃO DE KM PARA PLACA ",F334," *",_xlfn.MAXIFS($I$1:I334,$F$1:F334,F334,$H$1:H334,"&gt;"&amp;0),"*"),"")),"")</f>
        <v/>
      </c>
      <c r="AM334" s="85" t="str" cm="1">
        <f t="array" ref="AM334">IFERROR(IF(M334&lt;&gt;"","",CONCATENATE("https://btx.brasiltrack.com/logistica/trajeto.php?idveiculo=",VLOOKUP(F334,DATAS!$A$221:$B$250,2,FALSE),"&amp;lat=-22.204247","&amp;data_ini=",TEXT(IF(E334&lt;&gt;"",IF(COUNTIF($F$2:$F334,F334)&gt;1,MAX(IF($F$1:$F333=F334,$E$1:$E333)),""),""),"DD/MM/AAAA"),"&amp;data_fim=",TEXT(E334,"DD/MM/AAAA"),"&amp;hora_inicial=",HOUR(IF(E334&lt;&gt;"",IF(COUNTIF($F$2:$F334,F334)&gt;1,MAX(IF($F$1:$F333=F334,$E$1:$E333)),""),"")),"&amp;minuto_inicial=",MINUTE(IF(E334&lt;&gt;"",IF(COUNTIF($F$2:$F334,F334)&gt;1,MAX(IF($F$1:$F333=F334,$E$1:$E333)),""),"")),"&amp;hora_final=",HOUR(E334),"&amp;minuto_final=",MINUTE(E334),"&amp;periodo=6&amp;tipo=por_data&amp;upos=false&amp;outequip=0")),"")</f>
        <v/>
      </c>
      <c r="AN334" s="100" t="str">
        <f t="shared" si="41"/>
        <v xml:space="preserve">ABASTECEU no 22 NORTE DESCARREGOU em VARGINHA-MG PASSOU em SÃO PAULO-SP CARREGOU em CUBATAO-SP PASSOU em ARUJÁ-SP ABASTECEU no DP PA NORTE    </v>
      </c>
    </row>
    <row r="335" spans="1:40" x14ac:dyDescent="0.25">
      <c r="A335" s="101">
        <f>IFERROR(VLOOKUP(AN335,ROTAS!$A:$B,2,FALSE),0)</f>
        <v>86</v>
      </c>
      <c r="B335" s="101">
        <f t="shared" si="33"/>
        <v>1</v>
      </c>
      <c r="C335" s="101">
        <f t="shared" si="34"/>
        <v>825</v>
      </c>
      <c r="D335" s="144">
        <v>44896</v>
      </c>
      <c r="E335" s="76">
        <v>44915.78125</v>
      </c>
      <c r="F335" s="6" t="s">
        <v>128</v>
      </c>
      <c r="G335" s="5" t="str">
        <f>IFERROR(VLOOKUP(SUMIFS(MSOLICITADA!$I:$I,MSOLICITADA!$B:$B,D335,MSOLICITADA!$F:$F,F335),CODIGOSPLACAS!$A$64:$B$89,2,FALSE),"")</f>
        <v>ELI RICARDO</v>
      </c>
      <c r="H335" s="77">
        <v>90130</v>
      </c>
      <c r="I335" s="77">
        <v>90955</v>
      </c>
      <c r="J335" s="7">
        <v>454</v>
      </c>
      <c r="K335" s="78">
        <v>2773.97</v>
      </c>
      <c r="L335" s="79" t="s">
        <v>111</v>
      </c>
      <c r="M335" s="6">
        <v>455</v>
      </c>
      <c r="N335" s="5">
        <f t="shared" si="37"/>
        <v>370</v>
      </c>
      <c r="O335" s="80">
        <f t="shared" si="38"/>
        <v>6.1100660792951533</v>
      </c>
      <c r="P335" s="8">
        <f t="shared" si="39"/>
        <v>1.8171806167400881</v>
      </c>
      <c r="Q335" s="8">
        <f t="shared" si="35"/>
        <v>1.703484050067618</v>
      </c>
      <c r="R335" s="81">
        <f t="shared" si="40"/>
        <v>0.55151515151515151</v>
      </c>
      <c r="S335" s="113" t="str">
        <f>IF(F335="","",IF(H335="",TEXT(_xlfn.MAXIFS($I$1:I335,$F$1:F335,F335,$H$1:H335,"&gt;"&amp;0),"000.000"),F335))</f>
        <v>GFR0D47</v>
      </c>
      <c r="T335" s="101">
        <f t="shared" si="36"/>
        <v>370</v>
      </c>
      <c r="U335" s="82" t="s">
        <v>220</v>
      </c>
      <c r="V335" s="98" t="s">
        <v>239</v>
      </c>
      <c r="W335" s="82" t="s">
        <v>222</v>
      </c>
      <c r="X335" s="98" t="s">
        <v>167</v>
      </c>
      <c r="Y335" s="82" t="s">
        <v>225</v>
      </c>
      <c r="Z335" s="98" t="s">
        <v>284</v>
      </c>
      <c r="AA335" s="82" t="s">
        <v>221</v>
      </c>
      <c r="AB335" s="98" t="s">
        <v>168</v>
      </c>
      <c r="AC335" s="82" t="s">
        <v>225</v>
      </c>
      <c r="AD335" s="98" t="s">
        <v>237</v>
      </c>
      <c r="AE335" s="82" t="s">
        <v>220</v>
      </c>
      <c r="AF335" s="98" t="s">
        <v>239</v>
      </c>
      <c r="AG335" s="82"/>
      <c r="AH335" s="98"/>
      <c r="AI335" s="82"/>
      <c r="AJ335" s="98"/>
      <c r="AK335" s="83"/>
      <c r="AL335" s="84" t="str">
        <f>IF(F335&lt;&gt;0,IF(_xlfn.MAXIFS($I$1:I335,$F$1:F335,F335,$H$1:H335,"&gt;"&amp;0)=0,"KM NÃO ENCONTRADO",IF(H335=0,CONCATENATE("SUGESTÃO DE KM PARA PLACA ",F335," *",_xlfn.MAXIFS($I$1:I335,$F$1:F335,F335,$H$1:H335,"&gt;"&amp;0),"*"),"")),"")</f>
        <v/>
      </c>
      <c r="AM335" s="85" t="str" cm="1">
        <f t="array" ref="AM335">IFERROR(IF(M335&lt;&gt;"","",CONCATENATE("https://btx.brasiltrack.com/logistica/trajeto.php?idveiculo=",VLOOKUP(F335,DATAS!$A$221:$B$250,2,FALSE),"&amp;lat=-22.204247","&amp;data_ini=",TEXT(IF(E335&lt;&gt;"",IF(COUNTIF($F$2:$F335,F335)&gt;1,MAX(IF($F$1:$F334=F335,$E$1:$E334)),""),""),"DD/MM/AAAA"),"&amp;data_fim=",TEXT(E335,"DD/MM/AAAA"),"&amp;hora_inicial=",HOUR(IF(E335&lt;&gt;"",IF(COUNTIF($F$2:$F335,F335)&gt;1,MAX(IF($F$1:$F334=F335,$E$1:$E334)),""),"")),"&amp;minuto_inicial=",MINUTE(IF(E335&lt;&gt;"",IF(COUNTIF($F$2:$F335,F335)&gt;1,MAX(IF($F$1:$F334=F335,$E$1:$E334)),""),"")),"&amp;hora_final=",HOUR(E335),"&amp;minuto_final=",MINUTE(E335),"&amp;periodo=6&amp;tipo=por_data&amp;upos=false&amp;outequip=0")),"")</f>
        <v/>
      </c>
      <c r="AN335" s="100" t="str">
        <f t="shared" si="41"/>
        <v xml:space="preserve">ABASTECEU no DP ALIANCA PA DESCARREGOU em VARGINHA-MG PASSOU em SÃO PAULO-SP CARREGOU em CUBATAO-SP PASSOU em ARUJÁ-SP ABASTECEU no DP ALIANCA PA    </v>
      </c>
    </row>
    <row r="336" spans="1:40" x14ac:dyDescent="0.25">
      <c r="A336" s="101">
        <f>IFERROR(VLOOKUP(AN336,ROTAS!$A:$B,2,FALSE),0)</f>
        <v>87</v>
      </c>
      <c r="B336" s="101">
        <f t="shared" si="33"/>
        <v>1</v>
      </c>
      <c r="C336" s="101">
        <f t="shared" si="34"/>
        <v>821</v>
      </c>
      <c r="D336" s="144">
        <v>44896</v>
      </c>
      <c r="E336" s="76">
        <v>44915.950694444444</v>
      </c>
      <c r="F336" s="6" t="s">
        <v>24</v>
      </c>
      <c r="G336" s="5" t="str">
        <f>IFERROR(VLOOKUP(SUMIFS(MSOLICITADA!$I:$I,MSOLICITADA!$B:$B,D336,MSOLICITADA!$F:$F,F336),CODIGOSPLACAS!$A$64:$B$89,2,FALSE),"")</f>
        <v>PAULO HENR.</v>
      </c>
      <c r="H336" s="77">
        <v>946395</v>
      </c>
      <c r="I336" s="77">
        <v>947216</v>
      </c>
      <c r="J336" s="7">
        <v>506</v>
      </c>
      <c r="K336" s="78">
        <v>3091.66</v>
      </c>
      <c r="L336" s="79" t="s">
        <v>111</v>
      </c>
      <c r="M336" s="6">
        <v>451</v>
      </c>
      <c r="N336" s="5">
        <f t="shared" si="37"/>
        <v>370</v>
      </c>
      <c r="O336" s="80">
        <f t="shared" si="38"/>
        <v>6.1099999999999994</v>
      </c>
      <c r="P336" s="8">
        <f t="shared" si="39"/>
        <v>1.6225296442687747</v>
      </c>
      <c r="Q336" s="8">
        <f t="shared" si="35"/>
        <v>1.5280797985385988</v>
      </c>
      <c r="R336" s="81">
        <f t="shared" si="40"/>
        <v>0.54933008526187577</v>
      </c>
      <c r="S336" s="113" t="str">
        <f>IF(F336="","",IF(H336="",TEXT(_xlfn.MAXIFS($I$1:I336,$F$1:F336,F336,$H$1:H336,"&gt;"&amp;0),"000.000"),F336))</f>
        <v>FKS0J24</v>
      </c>
      <c r="T336" s="101">
        <f t="shared" si="36"/>
        <v>370</v>
      </c>
      <c r="U336" s="82" t="s">
        <v>220</v>
      </c>
      <c r="V336" s="98" t="s">
        <v>217</v>
      </c>
      <c r="W336" s="82" t="s">
        <v>225</v>
      </c>
      <c r="X336" s="98" t="s">
        <v>284</v>
      </c>
      <c r="Y336" s="82" t="s">
        <v>221</v>
      </c>
      <c r="Z336" s="98" t="s">
        <v>168</v>
      </c>
      <c r="AA336" s="82" t="s">
        <v>225</v>
      </c>
      <c r="AB336" s="98" t="s">
        <v>237</v>
      </c>
      <c r="AC336" s="82" t="s">
        <v>222</v>
      </c>
      <c r="AD336" s="98" t="s">
        <v>167</v>
      </c>
      <c r="AE336" s="82" t="s">
        <v>220</v>
      </c>
      <c r="AF336" s="98" t="s">
        <v>233</v>
      </c>
      <c r="AG336" s="82"/>
      <c r="AH336" s="98"/>
      <c r="AI336" s="82"/>
      <c r="AJ336" s="98"/>
      <c r="AK336" s="83"/>
      <c r="AL336" s="84" t="str">
        <f>IF(F336&lt;&gt;0,IF(_xlfn.MAXIFS($I$1:I336,$F$1:F336,F336,$H$1:H336,"&gt;"&amp;0)=0,"KM NÃO ENCONTRADO",IF(H336=0,CONCATENATE("SUGESTÃO DE KM PARA PLACA ",F336," *",_xlfn.MAXIFS($I$1:I336,$F$1:F336,F336,$H$1:H336,"&gt;"&amp;0),"*"),"")),"")</f>
        <v/>
      </c>
      <c r="AM336" s="85" t="str" cm="1">
        <f t="array" ref="AM336">IFERROR(IF(M336&lt;&gt;"","",CONCATENATE("https://btx.brasiltrack.com/logistica/trajeto.php?idveiculo=",VLOOKUP(F336,DATAS!$A$221:$B$250,2,FALSE),"&amp;lat=-22.204247","&amp;data_ini=",TEXT(IF(E336&lt;&gt;"",IF(COUNTIF($F$2:$F336,F336)&gt;1,MAX(IF($F$1:$F335=F336,$E$1:$E335)),""),""),"DD/MM/AAAA"),"&amp;data_fim=",TEXT(E336,"DD/MM/AAAA"),"&amp;hora_inicial=",HOUR(IF(E336&lt;&gt;"",IF(COUNTIF($F$2:$F336,F336)&gt;1,MAX(IF($F$1:$F335=F336,$E$1:$E335)),""),"")),"&amp;minuto_inicial=",MINUTE(IF(E336&lt;&gt;"",IF(COUNTIF($F$2:$F336,F336)&gt;1,MAX(IF($F$1:$F335=F336,$E$1:$E335)),""),"")),"&amp;hora_final=",HOUR(E336),"&amp;minuto_final=",MINUTE(E336),"&amp;periodo=6&amp;tipo=por_data&amp;upos=false&amp;outequip=0")),"")</f>
        <v/>
      </c>
      <c r="AN336" s="100" t="str">
        <f t="shared" si="41"/>
        <v xml:space="preserve">ABASTECEU no DP JK SUL PASSOU em SÃO PAULO-SP CARREGOU em CUBATAO-SP PASSOU em ARUJÁ-SP DESCARREGOU em VARGINHA-MG ABASTECEU no DP ESTIVA    </v>
      </c>
    </row>
    <row r="337" spans="1:40" x14ac:dyDescent="0.25">
      <c r="A337" s="101">
        <f>IFERROR(VLOOKUP(AN337,ROTAS!$A:$B,2,FALSE),0)</f>
        <v>88</v>
      </c>
      <c r="B337" s="101">
        <f t="shared" si="33"/>
        <v>1</v>
      </c>
      <c r="C337" s="101">
        <f t="shared" si="34"/>
        <v>782</v>
      </c>
      <c r="D337" s="144">
        <v>44896</v>
      </c>
      <c r="E337" s="76">
        <v>44916.072916666664</v>
      </c>
      <c r="F337" s="6" t="s">
        <v>127</v>
      </c>
      <c r="G337" s="5" t="str">
        <f>IFERROR(VLOOKUP(SUMIFS(MSOLICITADA!$I:$I,MSOLICITADA!$B:$B,D337,MSOLICITADA!$F:$F,F337),CODIGOSPLACAS!$A$64:$B$89,2,FALSE),"")</f>
        <v>EVERTON</v>
      </c>
      <c r="H337" s="77">
        <v>1229252</v>
      </c>
      <c r="I337" s="77">
        <v>1230034</v>
      </c>
      <c r="J337" s="7">
        <v>383</v>
      </c>
      <c r="K337" s="78">
        <v>2332.4699999999998</v>
      </c>
      <c r="L337" s="79" t="s">
        <v>111</v>
      </c>
      <c r="M337" s="6">
        <v>414</v>
      </c>
      <c r="N337" s="5">
        <f t="shared" si="37"/>
        <v>368</v>
      </c>
      <c r="O337" s="80">
        <f t="shared" si="38"/>
        <v>6.09</v>
      </c>
      <c r="P337" s="8">
        <f t="shared" si="39"/>
        <v>2.0417754569190603</v>
      </c>
      <c r="Q337" s="8">
        <f t="shared" si="35"/>
        <v>1.9282732243128911</v>
      </c>
      <c r="R337" s="81">
        <f t="shared" si="40"/>
        <v>0.52941176470588236</v>
      </c>
      <c r="S337" s="113" t="str">
        <f>IF(F337="","",IF(H337="",TEXT(_xlfn.MAXIFS($I$1:I337,$F$1:F337,F337,$H$1:H337,"&gt;"&amp;0),"000.000"),F337))</f>
        <v>OPM8J51</v>
      </c>
      <c r="T337" s="101">
        <f t="shared" si="36"/>
        <v>368</v>
      </c>
      <c r="U337" s="82" t="s">
        <v>220</v>
      </c>
      <c r="V337" s="98" t="s">
        <v>216</v>
      </c>
      <c r="W337" s="82" t="s">
        <v>222</v>
      </c>
      <c r="X337" s="98" t="s">
        <v>167</v>
      </c>
      <c r="Y337" s="82" t="s">
        <v>225</v>
      </c>
      <c r="Z337" s="98" t="s">
        <v>284</v>
      </c>
      <c r="AA337" s="82" t="s">
        <v>221</v>
      </c>
      <c r="AB337" s="98" t="s">
        <v>168</v>
      </c>
      <c r="AC337" s="82" t="s">
        <v>225</v>
      </c>
      <c r="AD337" s="98" t="s">
        <v>237</v>
      </c>
      <c r="AE337" s="82" t="s">
        <v>220</v>
      </c>
      <c r="AF337" s="98" t="s">
        <v>219</v>
      </c>
      <c r="AG337" s="82"/>
      <c r="AH337" s="98"/>
      <c r="AI337" s="82"/>
      <c r="AJ337" s="98"/>
      <c r="AK337" s="83"/>
      <c r="AL337" s="84" t="str">
        <f>IF(F337&lt;&gt;0,IF(_xlfn.MAXIFS($I$1:I337,$F$1:F337,F337,$H$1:H337,"&gt;"&amp;0)=0,"KM NÃO ENCONTRADO",IF(H337=0,CONCATENATE("SUGESTÃO DE KM PARA PLACA ",F337," *",_xlfn.MAXIFS($I$1:I337,$F$1:F337,F337,$H$1:H337,"&gt;"&amp;0),"*"),"")),"")</f>
        <v/>
      </c>
      <c r="AM337" s="85" t="str" cm="1">
        <f t="array" ref="AM337">IFERROR(IF(M337&lt;&gt;"","",CONCATENATE("https://btx.brasiltrack.com/logistica/trajeto.php?idveiculo=",VLOOKUP(F337,DATAS!$A$221:$B$250,2,FALSE),"&amp;lat=-22.204247","&amp;data_ini=",TEXT(IF(E337&lt;&gt;"",IF(COUNTIF($F$2:$F337,F337)&gt;1,MAX(IF($F$1:$F336=F337,$E$1:$E336)),""),""),"DD/MM/AAAA"),"&amp;data_fim=",TEXT(E337,"DD/MM/AAAA"),"&amp;hora_inicial=",HOUR(IF(E337&lt;&gt;"",IF(COUNTIF($F$2:$F337,F337)&gt;1,MAX(IF($F$1:$F336=F337,$E$1:$E336)),""),"")),"&amp;minuto_inicial=",MINUTE(IF(E337&lt;&gt;"",IF(COUNTIF($F$2:$F337,F337)&gt;1,MAX(IF($F$1:$F336=F337,$E$1:$E336)),""),"")),"&amp;hora_final=",HOUR(E337),"&amp;minuto_final=",MINUTE(E337),"&amp;periodo=6&amp;tipo=por_data&amp;upos=false&amp;outequip=0")),"")</f>
        <v/>
      </c>
      <c r="AN337" s="100" t="str">
        <f t="shared" si="41"/>
        <v xml:space="preserve">ABASTECEU no DP PAULINHO DESCARREGOU em VARGINHA-MG PASSOU em SÃO PAULO-SP CARREGOU em CUBATAO-SP PASSOU em ARUJÁ-SP ABASTECEU no DP ATIBAIA NORTE    </v>
      </c>
    </row>
    <row r="338" spans="1:40" x14ac:dyDescent="0.25">
      <c r="A338" s="101">
        <f>IFERROR(VLOOKUP(AN338,ROTAS!$A:$B,2,FALSE),0)</f>
        <v>89</v>
      </c>
      <c r="B338" s="101">
        <f t="shared" si="33"/>
        <v>1</v>
      </c>
      <c r="C338" s="101">
        <f t="shared" si="34"/>
        <v>405</v>
      </c>
      <c r="D338" s="144">
        <v>44896</v>
      </c>
      <c r="E338" s="76">
        <v>44916.50277777778</v>
      </c>
      <c r="F338" s="6" t="s">
        <v>23</v>
      </c>
      <c r="G338" s="5" t="str">
        <f>IFERROR(VLOOKUP(SUMIFS(MSOLICITADA!$I:$I,MSOLICITADA!$B:$B,D338,MSOLICITADA!$F:$F,F338),CODIGOSPLACAS!$A$64:$B$89,2,FALSE),"")</f>
        <v>ISAC</v>
      </c>
      <c r="H338" s="77">
        <v>1204633</v>
      </c>
      <c r="I338" s="77">
        <v>1205038</v>
      </c>
      <c r="J338" s="7">
        <v>245</v>
      </c>
      <c r="K338" s="78">
        <v>1492.17</v>
      </c>
      <c r="L338" s="79" t="s">
        <v>111</v>
      </c>
      <c r="M338" s="6">
        <v>268</v>
      </c>
      <c r="N338" s="5">
        <f t="shared" si="37"/>
        <v>137</v>
      </c>
      <c r="O338" s="80">
        <f t="shared" si="38"/>
        <v>6.0904897959183675</v>
      </c>
      <c r="P338" s="8">
        <f t="shared" si="39"/>
        <v>1.653061224489796</v>
      </c>
      <c r="Q338" s="8">
        <f t="shared" si="35"/>
        <v>1.5720509549919661</v>
      </c>
      <c r="R338" s="81">
        <f t="shared" si="40"/>
        <v>0.66172839506172842</v>
      </c>
      <c r="S338" s="113" t="str">
        <f>IF(F338="","",IF(H338="",TEXT(_xlfn.MAXIFS($I$1:I338,$F$1:F338,F338,$H$1:H338,"&gt;"&amp;0),"000.000"),F338))</f>
        <v>HNC7I76</v>
      </c>
      <c r="T338" s="101">
        <f t="shared" si="36"/>
        <v>137</v>
      </c>
      <c r="U338" s="82" t="s">
        <v>220</v>
      </c>
      <c r="V338" s="98" t="s">
        <v>165</v>
      </c>
      <c r="W338" s="82" t="s">
        <v>222</v>
      </c>
      <c r="X338" s="98" t="s">
        <v>167</v>
      </c>
      <c r="Y338" s="82" t="s">
        <v>220</v>
      </c>
      <c r="Z338" s="98" t="s">
        <v>217</v>
      </c>
      <c r="AA338" s="82"/>
      <c r="AB338" s="98"/>
      <c r="AC338" s="82"/>
      <c r="AD338" s="98"/>
      <c r="AE338" s="118"/>
      <c r="AF338" s="98"/>
      <c r="AG338" s="82"/>
      <c r="AH338" s="98"/>
      <c r="AI338" s="82"/>
      <c r="AJ338" s="98"/>
      <c r="AK338" s="83"/>
      <c r="AL338" s="84" t="str">
        <f>IF(F338&lt;&gt;0,IF(_xlfn.MAXIFS($I$1:I338,$F$1:F338,F338,$H$1:H338,"&gt;"&amp;0)=0,"KM NÃO ENCONTRADO",IF(H338=0,CONCATENATE("SUGESTÃO DE KM PARA PLACA ",F338," *",_xlfn.MAXIFS($I$1:I338,$F$1:F338,F338,$H$1:H338,"&gt;"&amp;0),"*"),"")),"")</f>
        <v/>
      </c>
      <c r="AM338" s="85" t="str" cm="1">
        <f t="array" ref="AM338">IFERROR(IF(M338&lt;&gt;"","",CONCATENATE("https://btx.brasiltrack.com/logistica/trajeto.php?idveiculo=",VLOOKUP(F338,DATAS!$A$221:$B$250,2,FALSE),"&amp;lat=-22.204247","&amp;data_ini=",TEXT(IF(E338&lt;&gt;"",IF(COUNTIF($F$2:$F338,F338)&gt;1,MAX(IF($F$1:$F337=F338,$E$1:$E337)),""),""),"DD/MM/AAAA"),"&amp;data_fim=",TEXT(E338,"DD/MM/AAAA"),"&amp;hora_inicial=",HOUR(IF(E338&lt;&gt;"",IF(COUNTIF($F$2:$F338,F338)&gt;1,MAX(IF($F$1:$F337=F338,$E$1:$E337)),""),"")),"&amp;minuto_inicial=",MINUTE(IF(E338&lt;&gt;"",IF(COUNTIF($F$2:$F338,F338)&gt;1,MAX(IF($F$1:$F337=F338,$E$1:$E337)),""),"")),"&amp;hora_final=",HOUR(E338),"&amp;minuto_final=",MINUTE(E338),"&amp;periodo=6&amp;tipo=por_data&amp;upos=false&amp;outequip=0")),"")</f>
        <v/>
      </c>
      <c r="AN338" s="100" t="str">
        <f t="shared" si="41"/>
        <v xml:space="preserve">ABASTECEU no 22 NORTE DESCARREGOU em VARGINHA-MG ABASTECEU no DP JK SUL          </v>
      </c>
    </row>
    <row r="339" spans="1:40" x14ac:dyDescent="0.25">
      <c r="A339" s="101">
        <f>IFERROR(VLOOKUP(AN339,ROTAS!$A:$B,2,FALSE),0)</f>
        <v>71</v>
      </c>
      <c r="B339" s="101">
        <f t="shared" si="33"/>
        <v>5</v>
      </c>
      <c r="C339" s="101">
        <f t="shared" si="34"/>
        <v>737.6</v>
      </c>
      <c r="D339" s="144">
        <v>44896</v>
      </c>
      <c r="E339" s="76">
        <v>44917.15347222222</v>
      </c>
      <c r="F339" s="6" t="s">
        <v>28</v>
      </c>
      <c r="G339" s="5" t="str">
        <f>IFERROR(VLOOKUP(SUMIFS(MSOLICITADA!$I:$I,MSOLICITADA!$B:$B,D339,MSOLICITADA!$F:$F,F339),CODIGOSPLACAS!$A$64:$B$89,2,FALSE),"")</f>
        <v>RONY</v>
      </c>
      <c r="H339" s="77">
        <v>242180</v>
      </c>
      <c r="I339" s="77">
        <v>242932</v>
      </c>
      <c r="J339" s="7">
        <v>472</v>
      </c>
      <c r="K339" s="78">
        <v>2874.48</v>
      </c>
      <c r="L339" s="79" t="s">
        <v>111</v>
      </c>
      <c r="M339" s="6">
        <v>376</v>
      </c>
      <c r="N339" s="5">
        <f t="shared" si="37"/>
        <v>376</v>
      </c>
      <c r="O339" s="80">
        <f t="shared" si="38"/>
        <v>6.09</v>
      </c>
      <c r="P339" s="8">
        <f t="shared" si="39"/>
        <v>1.5932203389830508</v>
      </c>
      <c r="Q339" s="8">
        <f t="shared" si="35"/>
        <v>1.5503831077411701</v>
      </c>
      <c r="R339" s="81">
        <f t="shared" si="40"/>
        <v>0.5</v>
      </c>
      <c r="S339" s="113" t="str">
        <f>IF(F339="","",IF(H339="",TEXT(_xlfn.MAXIFS($I$1:I339,$F$1:F339,F339,$H$1:H339,"&gt;"&amp;0),"000.000"),F339))</f>
        <v>FZA3E94</v>
      </c>
      <c r="T339" s="101">
        <f t="shared" si="36"/>
        <v>369</v>
      </c>
      <c r="U339" s="82" t="s">
        <v>220</v>
      </c>
      <c r="V339" s="98" t="s">
        <v>165</v>
      </c>
      <c r="W339" s="82" t="s">
        <v>222</v>
      </c>
      <c r="X339" s="98" t="s">
        <v>201</v>
      </c>
      <c r="Y339" s="82" t="s">
        <v>225</v>
      </c>
      <c r="Z339" s="98" t="s">
        <v>284</v>
      </c>
      <c r="AA339" s="82" t="s">
        <v>221</v>
      </c>
      <c r="AB339" s="98" t="s">
        <v>168</v>
      </c>
      <c r="AC339" s="82" t="s">
        <v>225</v>
      </c>
      <c r="AD339" s="98" t="s">
        <v>284</v>
      </c>
      <c r="AE339" s="82" t="s">
        <v>220</v>
      </c>
      <c r="AF339" s="98" t="s">
        <v>165</v>
      </c>
      <c r="AG339" s="82"/>
      <c r="AH339" s="98"/>
      <c r="AI339" s="82"/>
      <c r="AJ339" s="98"/>
      <c r="AK339" s="83"/>
      <c r="AL339" s="84" t="str">
        <f>IF(F339&lt;&gt;0,IF(_xlfn.MAXIFS($I$1:I339,$F$1:F339,F339,$H$1:H339,"&gt;"&amp;0)=0,"KM NÃO ENCONTRADO",IF(H339=0,CONCATENATE("SUGESTÃO DE KM PARA PLACA ",F339," *",_xlfn.MAXIFS($I$1:I339,$F$1:F339,F339,$H$1:H339,"&gt;"&amp;0),"*"),"")),"")</f>
        <v/>
      </c>
      <c r="AM339" s="85" t="str" cm="1">
        <f t="array" ref="AM339">IFERROR(IF(M339&lt;&gt;"","",CONCATENATE("https://btx.brasiltrack.com/logistica/trajeto.php?idveiculo=",VLOOKUP(F339,DATAS!$A$221:$B$250,2,FALSE),"&amp;lat=-22.204247","&amp;data_ini=",TEXT(IF(E339&lt;&gt;"",IF(COUNTIF($F$2:$F339,F339)&gt;1,MAX(IF($F$1:$F338=F339,$E$1:$E338)),""),""),"DD/MM/AAAA"),"&amp;data_fim=",TEXT(E339,"DD/MM/AAAA"),"&amp;hora_inicial=",HOUR(IF(E339&lt;&gt;"",IF(COUNTIF($F$2:$F339,F339)&gt;1,MAX(IF($F$1:$F338=F339,$E$1:$E338)),""),"")),"&amp;minuto_inicial=",MINUTE(IF(E339&lt;&gt;"",IF(COUNTIF($F$2:$F339,F339)&gt;1,MAX(IF($F$1:$F338=F339,$E$1:$E338)),""),"")),"&amp;hora_final=",HOUR(E339),"&amp;minuto_final=",MINUTE(E339),"&amp;periodo=6&amp;tipo=por_data&amp;upos=false&amp;outequip=0")),"")</f>
        <v/>
      </c>
      <c r="AN339" s="100" t="str">
        <f t="shared" si="41"/>
        <v xml:space="preserve">ABASTECEU no 22 NORTE DESCARREGOU em TRES CORACOES-MG PASSOU em SÃO PAULO-SP CARREGOU em CUBATAO-SP PASSOU em SÃO PAULO-SP ABASTECEU no 22 NORTE    </v>
      </c>
    </row>
    <row r="340" spans="1:40" x14ac:dyDescent="0.25">
      <c r="A340" s="101">
        <f>IFERROR(VLOOKUP(AN340,ROTAS!$A:$B,2,FALSE),0)</f>
        <v>83</v>
      </c>
      <c r="B340" s="101">
        <f t="shared" ref="B340:B403" si="42">COUNTIFS(A:A,A340)</f>
        <v>2</v>
      </c>
      <c r="C340" s="101">
        <f t="shared" ref="C340:C403" si="43">(SUMIFS(M:M,A:A,A340)+SUMIFS(N:N,A:A,A340))/B340</f>
        <v>816</v>
      </c>
      <c r="D340" s="144">
        <v>44896</v>
      </c>
      <c r="E340" s="76">
        <v>44917.642361111109</v>
      </c>
      <c r="F340" s="6" t="s">
        <v>25</v>
      </c>
      <c r="G340" s="5" t="str">
        <f>IFERROR(VLOOKUP(SUMIFS(MSOLICITADA!$I:$I,MSOLICITADA!$B:$B,D340,MSOLICITADA!$F:$F,F340),CODIGOSPLACAS!$A$64:$B$89,2,FALSE),"")</f>
        <v>EDUALDO</v>
      </c>
      <c r="H340" s="77">
        <v>1010883</v>
      </c>
      <c r="I340" s="77">
        <v>1011701</v>
      </c>
      <c r="J340" s="7">
        <v>513</v>
      </c>
      <c r="K340" s="78">
        <v>3124.17</v>
      </c>
      <c r="L340" s="79" t="s">
        <v>111</v>
      </c>
      <c r="M340" s="6">
        <v>448</v>
      </c>
      <c r="N340" s="5">
        <f t="shared" si="37"/>
        <v>370</v>
      </c>
      <c r="O340" s="80">
        <f t="shared" si="38"/>
        <v>6.09</v>
      </c>
      <c r="P340" s="8">
        <f t="shared" si="39"/>
        <v>1.594541910331384</v>
      </c>
      <c r="Q340" s="8">
        <f t="shared" ref="Q340:Q403" si="44">IFERROR((SUMIFS(M:M,D:D,D340,F:F,F340)+SUMIFS(N:N,D:D,D340,F:F,F340)-SUMIFS(AK:AK,D:D,D340,F:F,F340))/(SUMIFS(J:J,D:D,D340,F:F,F340)-(SUMIFS(AK:AK,D:D,D340,F:F,F340)/5)),0)</f>
        <v>1.5016619403177309</v>
      </c>
      <c r="R340" s="81">
        <f t="shared" si="40"/>
        <v>0.5476772616136919</v>
      </c>
      <c r="S340" s="113" t="str">
        <f>IF(F340="","",IF(H340="",TEXT(_xlfn.MAXIFS($I$1:I340,$F$1:F340,F340,$H$1:H340,"&gt;"&amp;0),"000.000"),F340))</f>
        <v>QHE9735</v>
      </c>
      <c r="T340" s="101">
        <f t="shared" ref="T340:T403" si="45">IF(E340&lt;&gt;"",IF(A340=0,"ERRO",IFERROR(AVERAGEIFS(N:N,A:A,A340,M:M,"&gt;"&amp;0),"")),"")</f>
        <v>370</v>
      </c>
      <c r="U340" s="82" t="s">
        <v>220</v>
      </c>
      <c r="V340" s="98" t="s">
        <v>218</v>
      </c>
      <c r="W340" s="82" t="s">
        <v>222</v>
      </c>
      <c r="X340" s="98" t="s">
        <v>167</v>
      </c>
      <c r="Y340" s="82" t="s">
        <v>225</v>
      </c>
      <c r="Z340" s="98" t="s">
        <v>284</v>
      </c>
      <c r="AA340" s="82" t="s">
        <v>221</v>
      </c>
      <c r="AB340" s="98" t="s">
        <v>168</v>
      </c>
      <c r="AC340" s="82" t="s">
        <v>225</v>
      </c>
      <c r="AD340" s="98" t="s">
        <v>237</v>
      </c>
      <c r="AE340" s="82" t="s">
        <v>220</v>
      </c>
      <c r="AF340" s="98" t="s">
        <v>218</v>
      </c>
      <c r="AG340" s="82"/>
      <c r="AH340" s="98"/>
      <c r="AI340" s="82"/>
      <c r="AJ340" s="98"/>
      <c r="AK340" s="83"/>
      <c r="AL340" s="84" t="str">
        <f>IF(F340&lt;&gt;0,IF(_xlfn.MAXIFS($I$1:I340,$F$1:F340,F340,$H$1:H340,"&gt;"&amp;0)=0,"KM NÃO ENCONTRADO",IF(H340=0,CONCATENATE("SUGESTÃO DE KM PARA PLACA ",F340," *",_xlfn.MAXIFS($I$1:I340,$F$1:F340,F340,$H$1:H340,"&gt;"&amp;0),"*"),"")),"")</f>
        <v/>
      </c>
      <c r="AM340" s="85" t="str" cm="1">
        <f t="array" ref="AM340">IFERROR(IF(M340&lt;&gt;"","",CONCATENATE("https://btx.brasiltrack.com/logistica/trajeto.php?idveiculo=",VLOOKUP(F340,DATAS!$A$221:$B$250,2,FALSE),"&amp;lat=-22.204247","&amp;data_ini=",TEXT(IF(E340&lt;&gt;"",IF(COUNTIF($F$2:$F340,F340)&gt;1,MAX(IF($F$1:$F339=F340,$E$1:$E339)),""),""),"DD/MM/AAAA"),"&amp;data_fim=",TEXT(E340,"DD/MM/AAAA"),"&amp;hora_inicial=",HOUR(IF(E340&lt;&gt;"",IF(COUNTIF($F$2:$F340,F340)&gt;1,MAX(IF($F$1:$F339=F340,$E$1:$E339)),""),"")),"&amp;minuto_inicial=",MINUTE(IF(E340&lt;&gt;"",IF(COUNTIF($F$2:$F340,F340)&gt;1,MAX(IF($F$1:$F339=F340,$E$1:$E339)),""),"")),"&amp;hora_final=",HOUR(E340),"&amp;minuto_final=",MINUTE(E340),"&amp;periodo=6&amp;tipo=por_data&amp;upos=false&amp;outequip=0")),"")</f>
        <v/>
      </c>
      <c r="AN340" s="100" t="str">
        <f t="shared" si="41"/>
        <v xml:space="preserve">ABASTECEU no DP PA NORTE DESCARREGOU em VARGINHA-MG PASSOU em SÃO PAULO-SP CARREGOU em CUBATAO-SP PASSOU em ARUJÁ-SP ABASTECEU no DP PA NORTE    </v>
      </c>
    </row>
    <row r="341" spans="1:40" x14ac:dyDescent="0.25">
      <c r="A341" s="101">
        <f>IFERROR(VLOOKUP(AN341,ROTAS!$A:$B,2,FALSE),0)</f>
        <v>13</v>
      </c>
      <c r="B341" s="101">
        <f t="shared" si="42"/>
        <v>16</v>
      </c>
      <c r="C341" s="101">
        <f t="shared" si="43"/>
        <v>363.3125</v>
      </c>
      <c r="D341" s="144">
        <v>44927</v>
      </c>
      <c r="E341" s="76">
        <v>44917.725694444445</v>
      </c>
      <c r="F341" s="6" t="s">
        <v>34</v>
      </c>
      <c r="G341" s="5" t="str">
        <f>IFERROR(VLOOKUP(SUMIFS(MSOLICITADA!$I:$I,MSOLICITADA!$B:$B,D341,MSOLICITADA!$F:$F,F341),CODIGOSPLACAS!$A$64:$B$89,2,FALSE),"")</f>
        <v>TOINZINHO</v>
      </c>
      <c r="H341" s="77">
        <v>110510</v>
      </c>
      <c r="I341" s="77">
        <v>111020</v>
      </c>
      <c r="J341" s="7">
        <v>215.9</v>
      </c>
      <c r="K341" s="78">
        <v>1329.18</v>
      </c>
      <c r="L341" s="79" t="s">
        <v>112</v>
      </c>
      <c r="M341" s="6">
        <v>255</v>
      </c>
      <c r="N341" s="5">
        <f t="shared" si="37"/>
        <v>255</v>
      </c>
      <c r="O341" s="80">
        <f t="shared" si="38"/>
        <v>6.1564613246873554</v>
      </c>
      <c r="P341" s="8">
        <f t="shared" si="39"/>
        <v>2.3622047244094486</v>
      </c>
      <c r="Q341" s="8">
        <f t="shared" si="44"/>
        <v>2.1798103468971313</v>
      </c>
      <c r="R341" s="81">
        <f t="shared" si="40"/>
        <v>0.5</v>
      </c>
      <c r="S341" s="113" t="str">
        <f>IF(F341="","",IF(H341="",TEXT(_xlfn.MAXIFS($I$1:I341,$F$1:F341,F341,$H$1:H341,"&gt;"&amp;0),"000.000"),F341))</f>
        <v>QXI8065</v>
      </c>
      <c r="T341" s="101">
        <f t="shared" si="45"/>
        <v>186.5</v>
      </c>
      <c r="U341" s="82" t="s">
        <v>220</v>
      </c>
      <c r="V341" s="98" t="s">
        <v>206</v>
      </c>
      <c r="W341" s="82" t="s">
        <v>220</v>
      </c>
      <c r="X341" s="98" t="s">
        <v>206</v>
      </c>
      <c r="Y341" s="82"/>
      <c r="Z341" s="98"/>
      <c r="AA341" s="82"/>
      <c r="AB341" s="98"/>
      <c r="AC341" s="82"/>
      <c r="AD341" s="98"/>
      <c r="AE341" s="82"/>
      <c r="AF341" s="98"/>
      <c r="AG341" s="82"/>
      <c r="AH341" s="98"/>
      <c r="AI341" s="82"/>
      <c r="AJ341" s="98"/>
      <c r="AK341" s="83"/>
      <c r="AL341" s="84" t="str">
        <f>IF(F341&lt;&gt;0,IF(_xlfn.MAXIFS($I$1:I341,$F$1:F341,F341,$H$1:H341,"&gt;"&amp;0)=0,"KM NÃO ENCONTRADO",IF(H341=0,CONCATENATE("SUGESTÃO DE KM PARA PLACA ",F341," *",_xlfn.MAXIFS($I$1:I341,$F$1:F341,F341,$H$1:H341,"&gt;"&amp;0),"*"),"")),"")</f>
        <v/>
      </c>
      <c r="AM341" s="85" t="str" cm="1">
        <f t="array" ref="AM341">IFERROR(IF(M341&lt;&gt;"","",CONCATENATE("https://btx.brasiltrack.com/logistica/trajeto.php?idveiculo=",VLOOKUP(F341,DATAS!$A$221:$B$250,2,FALSE),"&amp;lat=-22.204247","&amp;data_ini=",TEXT(IF(E341&lt;&gt;"",IF(COUNTIF($F$2:$F341,F341)&gt;1,MAX(IF($F$1:$F340=F341,$E$1:$E340)),""),""),"DD/MM/AAAA"),"&amp;data_fim=",TEXT(E341,"DD/MM/AAAA"),"&amp;hora_inicial=",HOUR(IF(E341&lt;&gt;"",IF(COUNTIF($F$2:$F341,F341)&gt;1,MAX(IF($F$1:$F340=F341,$E$1:$E340)),""),"")),"&amp;minuto_inicial=",MINUTE(IF(E341&lt;&gt;"",IF(COUNTIF($F$2:$F341,F341)&gt;1,MAX(IF($F$1:$F340=F341,$E$1:$E340)),""),"")),"&amp;hora_final=",HOUR(E341),"&amp;minuto_final=",MINUTE(E341),"&amp;periodo=6&amp;tipo=por_data&amp;upos=false&amp;outequip=0")),"")</f>
        <v/>
      </c>
      <c r="AN341" s="100" t="str">
        <f t="shared" si="41"/>
        <v xml:space="preserve">ABASTECEU no CANDEIAS-MG ABASTECEU no CANDEIAS-MG            </v>
      </c>
    </row>
    <row r="342" spans="1:40" x14ac:dyDescent="0.25">
      <c r="A342" s="101">
        <f>IFERROR(VLOOKUP(AN342,ROTAS!$A:$B,2,FALSE),0)</f>
        <v>13</v>
      </c>
      <c r="B342" s="101">
        <f t="shared" si="42"/>
        <v>16</v>
      </c>
      <c r="C342" s="101">
        <f t="shared" si="43"/>
        <v>363.3125</v>
      </c>
      <c r="D342" s="144">
        <v>44896</v>
      </c>
      <c r="E342" s="76">
        <v>44917.736111111109</v>
      </c>
      <c r="F342" s="6" t="s">
        <v>35</v>
      </c>
      <c r="G342" s="5" t="str">
        <f>IFERROR(VLOOKUP(SUMIFS(MSOLICITADA!$I:$I,MSOLICITADA!$B:$B,D342,MSOLICITADA!$F:$F,F342),CODIGOSPLACAS!$A$64:$B$89,2,FALSE),"")</f>
        <v>JOEL</v>
      </c>
      <c r="H342" s="77">
        <v>229810</v>
      </c>
      <c r="I342" s="77">
        <v>230325</v>
      </c>
      <c r="J342" s="7">
        <v>280.3</v>
      </c>
      <c r="K342" s="78">
        <v>1641.74</v>
      </c>
      <c r="L342" s="79" t="s">
        <v>112</v>
      </c>
      <c r="M342" s="6">
        <v>257</v>
      </c>
      <c r="N342" s="5">
        <f t="shared" si="37"/>
        <v>258</v>
      </c>
      <c r="O342" s="80">
        <f t="shared" si="38"/>
        <v>5.8570816981805205</v>
      </c>
      <c r="P342" s="8">
        <f t="shared" si="39"/>
        <v>1.8373171601855154</v>
      </c>
      <c r="Q342" s="8">
        <f t="shared" si="44"/>
        <v>2.5478603603603602</v>
      </c>
      <c r="R342" s="81">
        <f t="shared" si="40"/>
        <v>0.49902912621359224</v>
      </c>
      <c r="S342" s="113" t="str">
        <f>IF(F342="","",IF(H342="",TEXT(_xlfn.MAXIFS($I$1:I342,$F$1:F342,F342,$H$1:H342,"&gt;"&amp;0),"000.000"),F342))</f>
        <v>QNP3A97</v>
      </c>
      <c r="T342" s="101">
        <f t="shared" si="45"/>
        <v>186.5</v>
      </c>
      <c r="U342" s="82" t="s">
        <v>220</v>
      </c>
      <c r="V342" s="98" t="s">
        <v>206</v>
      </c>
      <c r="W342" s="82" t="s">
        <v>220</v>
      </c>
      <c r="X342" s="98" t="s">
        <v>206</v>
      </c>
      <c r="Y342" s="82"/>
      <c r="Z342" s="98"/>
      <c r="AA342" s="82"/>
      <c r="AB342" s="98"/>
      <c r="AC342" s="82"/>
      <c r="AD342" s="98"/>
      <c r="AE342" s="118"/>
      <c r="AF342" s="98"/>
      <c r="AG342" s="82"/>
      <c r="AH342" s="98"/>
      <c r="AI342" s="82"/>
      <c r="AJ342" s="98"/>
      <c r="AK342" s="83"/>
      <c r="AL342" s="84" t="str">
        <f>IF(F342&lt;&gt;0,IF(_xlfn.MAXIFS($I$1:I342,$F$1:F342,F342,$H$1:H342,"&gt;"&amp;0)=0,"KM NÃO ENCONTRADO",IF(H342=0,CONCATENATE("SUGESTÃO DE KM PARA PLACA ",F342," *",_xlfn.MAXIFS($I$1:I342,$F$1:F342,F342,$H$1:H342,"&gt;"&amp;0),"*"),"")),"")</f>
        <v/>
      </c>
      <c r="AM342" s="85" t="str" cm="1">
        <f t="array" ref="AM342">IFERROR(IF(M342&lt;&gt;"","",CONCATENATE("https://btx.brasiltrack.com/logistica/trajeto.php?idveiculo=",VLOOKUP(F342,DATAS!$A$221:$B$250,2,FALSE),"&amp;lat=-22.204247","&amp;data_ini=",TEXT(IF(E342&lt;&gt;"",IF(COUNTIF($F$2:$F342,F342)&gt;1,MAX(IF($F$1:$F341=F342,$E$1:$E341)),""),""),"DD/MM/AAAA"),"&amp;data_fim=",TEXT(E342,"DD/MM/AAAA"),"&amp;hora_inicial=",HOUR(IF(E342&lt;&gt;"",IF(COUNTIF($F$2:$F342,F342)&gt;1,MAX(IF($F$1:$F341=F342,$E$1:$E341)),""),"")),"&amp;minuto_inicial=",MINUTE(IF(E342&lt;&gt;"",IF(COUNTIF($F$2:$F342,F342)&gt;1,MAX(IF($F$1:$F341=F342,$E$1:$E341)),""),"")),"&amp;hora_final=",HOUR(E342),"&amp;minuto_final=",MINUTE(E342),"&amp;periodo=6&amp;tipo=por_data&amp;upos=false&amp;outequip=0")),"")</f>
        <v/>
      </c>
      <c r="AN342" s="100" t="str">
        <f t="shared" si="41"/>
        <v xml:space="preserve">ABASTECEU no CANDEIAS-MG ABASTECEU no CANDEIAS-MG            </v>
      </c>
    </row>
    <row r="343" spans="1:40" x14ac:dyDescent="0.25">
      <c r="A343" s="101">
        <f>IFERROR(VLOOKUP(AN343,ROTAS!$A:$B,2,FALSE),0)</f>
        <v>90</v>
      </c>
      <c r="B343" s="101">
        <f t="shared" si="42"/>
        <v>1</v>
      </c>
      <c r="C343" s="101">
        <f t="shared" si="43"/>
        <v>847</v>
      </c>
      <c r="D343" s="144">
        <v>44896</v>
      </c>
      <c r="E343" s="76">
        <v>44917.841666666667</v>
      </c>
      <c r="F343" s="6" t="s">
        <v>30</v>
      </c>
      <c r="G343" s="5" t="str">
        <f>IFERROR(VLOOKUP(SUMIFS(MSOLICITADA!$I:$I,MSOLICITADA!$B:$B,D343,MSOLICITADA!$F:$F,F343),CODIGOSPLACAS!$A$64:$B$89,2,FALSE),"")</f>
        <v>RONILSON</v>
      </c>
      <c r="H343" s="77">
        <v>218480</v>
      </c>
      <c r="I343" s="77">
        <v>219327</v>
      </c>
      <c r="J343" s="7">
        <v>540</v>
      </c>
      <c r="K343" s="78">
        <v>3288.6</v>
      </c>
      <c r="L343" s="79"/>
      <c r="M343" s="6">
        <v>440</v>
      </c>
      <c r="N343" s="5">
        <f t="shared" si="37"/>
        <v>407</v>
      </c>
      <c r="O343" s="80">
        <f t="shared" si="38"/>
        <v>6.09</v>
      </c>
      <c r="P343" s="8">
        <f t="shared" si="39"/>
        <v>1.5685185185185184</v>
      </c>
      <c r="Q343" s="8">
        <f t="shared" si="44"/>
        <v>1.5093777841757006</v>
      </c>
      <c r="R343" s="81">
        <f t="shared" si="40"/>
        <v>0.51948051948051943</v>
      </c>
      <c r="S343" s="113" t="str">
        <f>IF(F343="","",IF(H343="",TEXT(_xlfn.MAXIFS($I$1:I343,$F$1:F343,F343,$H$1:H343,"&gt;"&amp;0),"000.000"),F343))</f>
        <v>GFB0I37</v>
      </c>
      <c r="T343" s="101">
        <f t="shared" si="45"/>
        <v>407</v>
      </c>
      <c r="U343" s="82" t="s">
        <v>220</v>
      </c>
      <c r="V343" s="98" t="s">
        <v>218</v>
      </c>
      <c r="W343" s="82" t="s">
        <v>222</v>
      </c>
      <c r="X343" s="98" t="s">
        <v>167</v>
      </c>
      <c r="Y343" s="82" t="s">
        <v>225</v>
      </c>
      <c r="Z343" s="98" t="s">
        <v>284</v>
      </c>
      <c r="AA343" s="82" t="s">
        <v>221</v>
      </c>
      <c r="AB343" s="98" t="s">
        <v>175</v>
      </c>
      <c r="AC343" s="82" t="s">
        <v>225</v>
      </c>
      <c r="AD343" s="98" t="s">
        <v>237</v>
      </c>
      <c r="AE343" s="82" t="s">
        <v>220</v>
      </c>
      <c r="AF343" s="98" t="s">
        <v>218</v>
      </c>
      <c r="AG343" s="82"/>
      <c r="AH343" s="98"/>
      <c r="AI343" s="82"/>
      <c r="AJ343" s="98"/>
      <c r="AK343" s="83"/>
      <c r="AL343" s="84" t="str">
        <f>IF(F343&lt;&gt;0,IF(_xlfn.MAXIFS($I$1:I343,$F$1:F343,F343,$H$1:H343,"&gt;"&amp;0)=0,"KM NÃO ENCONTRADO",IF(H343=0,CONCATENATE("SUGESTÃO DE KM PARA PLACA ",F343," *",_xlfn.MAXIFS($I$1:I343,$F$1:F343,F343,$H$1:H343,"&gt;"&amp;0),"*"),"")),"")</f>
        <v/>
      </c>
      <c r="AM343" s="85" t="str" cm="1">
        <f t="array" ref="AM343">IFERROR(IF(M343&lt;&gt;"","",CONCATENATE("https://btx.brasiltrack.com/logistica/trajeto.php?idveiculo=",VLOOKUP(F343,DATAS!$A$221:$B$250,2,FALSE),"&amp;lat=-22.204247","&amp;data_ini=",TEXT(IF(E343&lt;&gt;"",IF(COUNTIF($F$2:$F343,F343)&gt;1,MAX(IF($F$1:$F342=F343,$E$1:$E342)),""),""),"DD/MM/AAAA"),"&amp;data_fim=",TEXT(E343,"DD/MM/AAAA"),"&amp;hora_inicial=",HOUR(IF(E343&lt;&gt;"",IF(COUNTIF($F$2:$F343,F343)&gt;1,MAX(IF($F$1:$F342=F343,$E$1:$E342)),""),"")),"&amp;minuto_inicial=",MINUTE(IF(E343&lt;&gt;"",IF(COUNTIF($F$2:$F343,F343)&gt;1,MAX(IF($F$1:$F342=F343,$E$1:$E342)),""),"")),"&amp;hora_final=",HOUR(E343),"&amp;minuto_final=",MINUTE(E343),"&amp;periodo=6&amp;tipo=por_data&amp;upos=false&amp;outequip=0")),"")</f>
        <v/>
      </c>
      <c r="AN343" s="100" t="str">
        <f t="shared" si="41"/>
        <v xml:space="preserve">ABASTECEU no DP PA NORTE DESCARREGOU em VARGINHA-MG PASSOU em SÃO PAULO-SP CARREGOU em SANTOS-SP PASSOU em ARUJÁ-SP ABASTECEU no DP PA NORTE    </v>
      </c>
    </row>
    <row r="344" spans="1:40" x14ac:dyDescent="0.25">
      <c r="A344" s="101">
        <f>IFERROR(VLOOKUP(AN344,ROTAS!$A:$B,2,FALSE),0)</f>
        <v>91</v>
      </c>
      <c r="B344" s="101">
        <f t="shared" si="42"/>
        <v>1</v>
      </c>
      <c r="C344" s="101">
        <f t="shared" si="43"/>
        <v>797</v>
      </c>
      <c r="D344" s="144">
        <v>44896</v>
      </c>
      <c r="E344" s="76">
        <v>44918.040277777778</v>
      </c>
      <c r="F344" s="6" t="s">
        <v>126</v>
      </c>
      <c r="G344" s="5" t="str">
        <f>IFERROR(VLOOKUP(SUMIFS(MSOLICITADA!$I:$I,MSOLICITADA!$B:$B,D344,MSOLICITADA!$F:$F,F344),CODIGOSPLACAS!$A$64:$B$89,2,FALSE),"")</f>
        <v>IZAIAS</v>
      </c>
      <c r="H344" s="77">
        <v>488475</v>
      </c>
      <c r="I344" s="77">
        <v>489272</v>
      </c>
      <c r="J344" s="7">
        <v>519.98</v>
      </c>
      <c r="K344" s="78">
        <v>3166.68</v>
      </c>
      <c r="L344" s="79" t="s">
        <v>111</v>
      </c>
      <c r="M344" s="6">
        <v>390</v>
      </c>
      <c r="N344" s="5">
        <f t="shared" si="37"/>
        <v>407</v>
      </c>
      <c r="O344" s="80">
        <f t="shared" si="38"/>
        <v>6.0900034616716026</v>
      </c>
      <c r="P344" s="8">
        <f t="shared" si="39"/>
        <v>1.5327512596638331</v>
      </c>
      <c r="Q344" s="8">
        <f t="shared" si="44"/>
        <v>1.5097907680030693</v>
      </c>
      <c r="R344" s="81">
        <f t="shared" si="40"/>
        <v>0.48933500627352572</v>
      </c>
      <c r="S344" s="113" t="str">
        <f>IF(F344="","",IF(H344="",TEXT(_xlfn.MAXIFS($I$1:I344,$F$1:F344,F344,$H$1:H344,"&gt;"&amp;0),"000.000"),F344))</f>
        <v>GHX4D71</v>
      </c>
      <c r="T344" s="101">
        <f t="shared" si="45"/>
        <v>407</v>
      </c>
      <c r="U344" s="82" t="s">
        <v>220</v>
      </c>
      <c r="V344" s="98" t="s">
        <v>216</v>
      </c>
      <c r="W344" s="82" t="s">
        <v>222</v>
      </c>
      <c r="X344" s="98" t="s">
        <v>167</v>
      </c>
      <c r="Y344" s="82" t="s">
        <v>225</v>
      </c>
      <c r="Z344" s="98" t="s">
        <v>284</v>
      </c>
      <c r="AA344" s="82" t="s">
        <v>221</v>
      </c>
      <c r="AB344" s="98" t="s">
        <v>175</v>
      </c>
      <c r="AC344" s="82" t="s">
        <v>225</v>
      </c>
      <c r="AD344" s="98" t="s">
        <v>284</v>
      </c>
      <c r="AE344" s="82" t="s">
        <v>220</v>
      </c>
      <c r="AF344" s="98" t="s">
        <v>165</v>
      </c>
      <c r="AG344" s="82"/>
      <c r="AH344" s="98"/>
      <c r="AI344" s="82"/>
      <c r="AJ344" s="98"/>
      <c r="AK344" s="83"/>
      <c r="AL344" s="84" t="str">
        <f>IF(F344&lt;&gt;0,IF(_xlfn.MAXIFS($I$1:I344,$F$1:F344,F344,$H$1:H344,"&gt;"&amp;0)=0,"KM NÃO ENCONTRADO",IF(H344=0,CONCATENATE("SUGESTÃO DE KM PARA PLACA ",F344," *",_xlfn.MAXIFS($I$1:I344,$F$1:F344,F344,$H$1:H344,"&gt;"&amp;0),"*"),"")),"")</f>
        <v/>
      </c>
      <c r="AM344" s="85" t="str" cm="1">
        <f t="array" ref="AM344">IFERROR(IF(M344&lt;&gt;"","",CONCATENATE("https://btx.brasiltrack.com/logistica/trajeto.php?idveiculo=",VLOOKUP(F344,DATAS!$A$221:$B$250,2,FALSE),"&amp;lat=-22.204247","&amp;data_ini=",TEXT(IF(E344&lt;&gt;"",IF(COUNTIF($F$2:$F344,F344)&gt;1,MAX(IF($F$1:$F343=F344,$E$1:$E343)),""),""),"DD/MM/AAAA"),"&amp;data_fim=",TEXT(E344,"DD/MM/AAAA"),"&amp;hora_inicial=",HOUR(IF(E344&lt;&gt;"",IF(COUNTIF($F$2:$F344,F344)&gt;1,MAX(IF($F$1:$F343=F344,$E$1:$E343)),""),"")),"&amp;minuto_inicial=",MINUTE(IF(E344&lt;&gt;"",IF(COUNTIF($F$2:$F344,F344)&gt;1,MAX(IF($F$1:$F343=F344,$E$1:$E343)),""),"")),"&amp;hora_final=",HOUR(E344),"&amp;minuto_final=",MINUTE(E344),"&amp;periodo=6&amp;tipo=por_data&amp;upos=false&amp;outequip=0")),"")</f>
        <v/>
      </c>
      <c r="AN344" s="100" t="str">
        <f t="shared" si="41"/>
        <v xml:space="preserve">ABASTECEU no DP PAULINHO DESCARREGOU em VARGINHA-MG PASSOU em SÃO PAULO-SP CARREGOU em SANTOS-SP PASSOU em SÃO PAULO-SP ABASTECEU no 22 NORTE    </v>
      </c>
    </row>
    <row r="345" spans="1:40" x14ac:dyDescent="0.25">
      <c r="A345" s="101">
        <f>IFERROR(VLOOKUP(AN345,ROTAS!$A:$B,2,FALSE),0)</f>
        <v>92</v>
      </c>
      <c r="B345" s="101">
        <f t="shared" si="42"/>
        <v>1</v>
      </c>
      <c r="C345" s="101">
        <f t="shared" si="43"/>
        <v>710</v>
      </c>
      <c r="D345" s="144">
        <v>44896</v>
      </c>
      <c r="E345" s="76">
        <v>44918.042361111111</v>
      </c>
      <c r="F345" s="6" t="s">
        <v>128</v>
      </c>
      <c r="G345" s="5" t="str">
        <f>IFERROR(VLOOKUP(SUMIFS(MSOLICITADA!$I:$I,MSOLICITADA!$B:$B,D345,MSOLICITADA!$F:$F,F345),CODIGOSPLACAS!$A$64:$B$89,2,FALSE),"")</f>
        <v>ELI RICARDO</v>
      </c>
      <c r="H345" s="77">
        <v>90955</v>
      </c>
      <c r="I345" s="77">
        <v>91665</v>
      </c>
      <c r="J345" s="7">
        <v>379.01</v>
      </c>
      <c r="K345" s="78">
        <v>2308.17</v>
      </c>
      <c r="L345" s="79" t="s">
        <v>111</v>
      </c>
      <c r="M345" s="6">
        <v>303</v>
      </c>
      <c r="N345" s="5">
        <f t="shared" si="37"/>
        <v>407</v>
      </c>
      <c r="O345" s="80">
        <f t="shared" si="38"/>
        <v>6.0899976253924706</v>
      </c>
      <c r="P345" s="8">
        <f t="shared" si="39"/>
        <v>1.8733014960027441</v>
      </c>
      <c r="Q345" s="8">
        <f t="shared" si="44"/>
        <v>1.703484050067618</v>
      </c>
      <c r="R345" s="81">
        <f t="shared" si="40"/>
        <v>0.42676056338028168</v>
      </c>
      <c r="S345" s="113" t="str">
        <f>IF(F345="","",IF(H345="",TEXT(_xlfn.MAXIFS($I$1:I345,$F$1:F345,F345,$H$1:H345,"&gt;"&amp;0),"000.000"),F345))</f>
        <v>GFR0D47</v>
      </c>
      <c r="T345" s="101">
        <f t="shared" si="45"/>
        <v>407</v>
      </c>
      <c r="U345" s="82" t="s">
        <v>220</v>
      </c>
      <c r="V345" s="98" t="s">
        <v>239</v>
      </c>
      <c r="W345" s="82" t="s">
        <v>222</v>
      </c>
      <c r="X345" s="98" t="s">
        <v>167</v>
      </c>
      <c r="Y345" s="82" t="s">
        <v>225</v>
      </c>
      <c r="Z345" s="98" t="s">
        <v>284</v>
      </c>
      <c r="AA345" s="82" t="s">
        <v>221</v>
      </c>
      <c r="AB345" s="98" t="s">
        <v>175</v>
      </c>
      <c r="AC345" s="82" t="s">
        <v>225</v>
      </c>
      <c r="AD345" s="98" t="s">
        <v>284</v>
      </c>
      <c r="AE345" s="82" t="s">
        <v>220</v>
      </c>
      <c r="AF345" s="98" t="s">
        <v>165</v>
      </c>
      <c r="AG345" s="82"/>
      <c r="AH345" s="98"/>
      <c r="AI345" s="82"/>
      <c r="AJ345" s="98"/>
      <c r="AK345" s="83"/>
      <c r="AL345" s="84" t="str">
        <f>IF(F345&lt;&gt;0,IF(_xlfn.MAXIFS($I$1:I345,$F$1:F345,F345,$H$1:H345,"&gt;"&amp;0)=0,"KM NÃO ENCONTRADO",IF(H345=0,CONCATENATE("SUGESTÃO DE KM PARA PLACA ",F345," *",_xlfn.MAXIFS($I$1:I345,$F$1:F345,F345,$H$1:H345,"&gt;"&amp;0),"*"),"")),"")</f>
        <v/>
      </c>
      <c r="AM345" s="85" t="str" cm="1">
        <f t="array" ref="AM345">IFERROR(IF(M345&lt;&gt;"","",CONCATENATE("https://btx.brasiltrack.com/logistica/trajeto.php?idveiculo=",VLOOKUP(F345,DATAS!$A$221:$B$250,2,FALSE),"&amp;lat=-22.204247","&amp;data_ini=",TEXT(IF(E345&lt;&gt;"",IF(COUNTIF($F$2:$F345,F345)&gt;1,MAX(IF($F$1:$F344=F345,$E$1:$E344)),""),""),"DD/MM/AAAA"),"&amp;data_fim=",TEXT(E345,"DD/MM/AAAA"),"&amp;hora_inicial=",HOUR(IF(E345&lt;&gt;"",IF(COUNTIF($F$2:$F345,F345)&gt;1,MAX(IF($F$1:$F344=F345,$E$1:$E344)),""),"")),"&amp;minuto_inicial=",MINUTE(IF(E345&lt;&gt;"",IF(COUNTIF($F$2:$F345,F345)&gt;1,MAX(IF($F$1:$F344=F345,$E$1:$E344)),""),"")),"&amp;hora_final=",HOUR(E345),"&amp;minuto_final=",MINUTE(E345),"&amp;periodo=6&amp;tipo=por_data&amp;upos=false&amp;outequip=0")),"")</f>
        <v/>
      </c>
      <c r="AN345" s="100" t="str">
        <f t="shared" si="41"/>
        <v xml:space="preserve">ABASTECEU no DP ALIANCA PA DESCARREGOU em VARGINHA-MG PASSOU em SÃO PAULO-SP CARREGOU em SANTOS-SP PASSOU em SÃO PAULO-SP ABASTECEU no 22 NORTE    </v>
      </c>
    </row>
    <row r="346" spans="1:40" x14ac:dyDescent="0.25">
      <c r="A346" s="101">
        <f>IFERROR(VLOOKUP(AN346,ROTAS!$A:$B,2,FALSE),0)</f>
        <v>93</v>
      </c>
      <c r="B346" s="101">
        <f t="shared" si="42"/>
        <v>1</v>
      </c>
      <c r="C346" s="101">
        <f t="shared" si="43"/>
        <v>404</v>
      </c>
      <c r="D346" s="144">
        <v>44896</v>
      </c>
      <c r="E346" s="76">
        <v>44918.068749999999</v>
      </c>
      <c r="F346" s="6" t="s">
        <v>23</v>
      </c>
      <c r="G346" s="5" t="str">
        <f>IFERROR(VLOOKUP(SUMIFS(MSOLICITADA!$I:$I,MSOLICITADA!$B:$B,D346,MSOLICITADA!$F:$F,F346),CODIGOSPLACAS!$A$64:$B$89,2,FALSE),"")</f>
        <v>ISAC</v>
      </c>
      <c r="H346" s="77">
        <v>1205038</v>
      </c>
      <c r="I346" s="77">
        <v>1205442</v>
      </c>
      <c r="J346" s="7">
        <v>249.99</v>
      </c>
      <c r="K346" s="78">
        <v>1522.44</v>
      </c>
      <c r="L346" s="79" t="s">
        <v>111</v>
      </c>
      <c r="M346" s="6">
        <v>136</v>
      </c>
      <c r="N346" s="5">
        <f t="shared" si="37"/>
        <v>268</v>
      </c>
      <c r="O346" s="80">
        <f t="shared" si="38"/>
        <v>6.0900036001440059</v>
      </c>
      <c r="P346" s="8">
        <f t="shared" si="39"/>
        <v>1.6160646425857033</v>
      </c>
      <c r="Q346" s="8">
        <f t="shared" si="44"/>
        <v>1.5720509549919661</v>
      </c>
      <c r="R346" s="81">
        <f t="shared" si="40"/>
        <v>0.33663366336633666</v>
      </c>
      <c r="S346" s="113" t="str">
        <f>IF(F346="","",IF(H346="",TEXT(_xlfn.MAXIFS($I$1:I346,$F$1:F346,F346,$H$1:H346,"&gt;"&amp;0),"000.000"),F346))</f>
        <v>HNC7I76</v>
      </c>
      <c r="T346" s="101">
        <f t="shared" si="45"/>
        <v>268</v>
      </c>
      <c r="U346" s="82" t="s">
        <v>220</v>
      </c>
      <c r="V346" s="98" t="s">
        <v>217</v>
      </c>
      <c r="W346" s="82" t="s">
        <v>225</v>
      </c>
      <c r="X346" s="98" t="s">
        <v>284</v>
      </c>
      <c r="Y346" s="82" t="s">
        <v>221</v>
      </c>
      <c r="Z346" s="98" t="s">
        <v>175</v>
      </c>
      <c r="AA346" s="82" t="s">
        <v>225</v>
      </c>
      <c r="AB346" s="98" t="s">
        <v>284</v>
      </c>
      <c r="AC346" s="82" t="s">
        <v>220</v>
      </c>
      <c r="AD346" s="98" t="s">
        <v>165</v>
      </c>
      <c r="AE346" s="118"/>
      <c r="AF346" s="98"/>
      <c r="AG346" s="82"/>
      <c r="AH346" s="98"/>
      <c r="AI346" s="82"/>
      <c r="AJ346" s="98"/>
      <c r="AK346" s="83"/>
      <c r="AL346" s="84" t="str">
        <f>IF(F346&lt;&gt;0,IF(_xlfn.MAXIFS($I$1:I346,$F$1:F346,F346,$H$1:H346,"&gt;"&amp;0)=0,"KM NÃO ENCONTRADO",IF(H346=0,CONCATENATE("SUGESTÃO DE KM PARA PLACA ",F346," *",_xlfn.MAXIFS($I$1:I346,$F$1:F346,F346,$H$1:H346,"&gt;"&amp;0),"*"),"")),"")</f>
        <v/>
      </c>
      <c r="AM346" s="85" t="str" cm="1">
        <f t="array" ref="AM346">IFERROR(IF(M346&lt;&gt;"","",CONCATENATE("https://btx.brasiltrack.com/logistica/trajeto.php?idveiculo=",VLOOKUP(F346,DATAS!$A$221:$B$250,2,FALSE),"&amp;lat=-22.204247","&amp;data_ini=",TEXT(IF(E346&lt;&gt;"",IF(COUNTIF($F$2:$F346,F346)&gt;1,MAX(IF($F$1:$F345=F346,$E$1:$E345)),""),""),"DD/MM/AAAA"),"&amp;data_fim=",TEXT(E346,"DD/MM/AAAA"),"&amp;hora_inicial=",HOUR(IF(E346&lt;&gt;"",IF(COUNTIF($F$2:$F346,F346)&gt;1,MAX(IF($F$1:$F345=F346,$E$1:$E345)),""),"")),"&amp;minuto_inicial=",MINUTE(IF(E346&lt;&gt;"",IF(COUNTIF($F$2:$F346,F346)&gt;1,MAX(IF($F$1:$F345=F346,$E$1:$E345)),""),"")),"&amp;hora_final=",HOUR(E346),"&amp;minuto_final=",MINUTE(E346),"&amp;periodo=6&amp;tipo=por_data&amp;upos=false&amp;outequip=0")),"")</f>
        <v/>
      </c>
      <c r="AN346" s="100" t="str">
        <f t="shared" si="41"/>
        <v xml:space="preserve">ABASTECEU no DP JK SUL PASSOU em SÃO PAULO-SP CARREGOU em SANTOS-SP PASSOU em SÃO PAULO-SP ABASTECEU no 22 NORTE      </v>
      </c>
    </row>
    <row r="347" spans="1:40" x14ac:dyDescent="0.25">
      <c r="A347" s="101">
        <f>IFERROR(VLOOKUP(AN347,ROTAS!$A:$B,2,FALSE),0)</f>
        <v>94</v>
      </c>
      <c r="B347" s="101">
        <f t="shared" si="42"/>
        <v>2</v>
      </c>
      <c r="C347" s="101">
        <f t="shared" si="43"/>
        <v>773.5</v>
      </c>
      <c r="D347" s="144">
        <v>44896</v>
      </c>
      <c r="E347" s="76">
        <v>44918.293055555558</v>
      </c>
      <c r="F347" s="6" t="s">
        <v>27</v>
      </c>
      <c r="G347" s="5" t="str">
        <f>IFERROR(VLOOKUP(SUMIFS(MSOLICITADA!$I:$I,MSOLICITADA!$B:$B,D347,MSOLICITADA!$F:$F,F347),CODIGOSPLACAS!$A$64:$B$89,2,FALSE),"")</f>
        <v>ANTONIO</v>
      </c>
      <c r="H347" s="77">
        <v>247040</v>
      </c>
      <c r="I347" s="77">
        <v>247811</v>
      </c>
      <c r="J347" s="7">
        <v>609.84</v>
      </c>
      <c r="K347" s="78">
        <v>3714.05</v>
      </c>
      <c r="L347" s="79" t="s">
        <v>111</v>
      </c>
      <c r="M347" s="6">
        <v>771</v>
      </c>
      <c r="N347" s="5" t="str">
        <f t="shared" si="37"/>
        <v/>
      </c>
      <c r="O347" s="80">
        <f t="shared" si="38"/>
        <v>6.0902039879312611</v>
      </c>
      <c r="P347" s="8">
        <f t="shared" si="39"/>
        <v>1.2642660369933096</v>
      </c>
      <c r="Q347" s="8">
        <f t="shared" si="44"/>
        <v>1.4435398773633086</v>
      </c>
      <c r="R347" s="81">
        <f t="shared" si="40"/>
        <v>1</v>
      </c>
      <c r="S347" s="113" t="str">
        <f>IF(F347="","",IF(H347="",TEXT(_xlfn.MAXIFS($I$1:I347,$F$1:F347,F347,$H$1:H347,"&gt;"&amp;0),"000.000"),F347))</f>
        <v>GHS4J57</v>
      </c>
      <c r="T347" s="101" t="str">
        <f t="shared" si="45"/>
        <v/>
      </c>
      <c r="U347" s="82" t="s">
        <v>220</v>
      </c>
      <c r="V347" s="98" t="s">
        <v>206</v>
      </c>
      <c r="W347" s="82" t="s">
        <v>225</v>
      </c>
      <c r="X347" s="98" t="s">
        <v>284</v>
      </c>
      <c r="Y347" s="82" t="s">
        <v>222</v>
      </c>
      <c r="Z347" s="98" t="s">
        <v>175</v>
      </c>
      <c r="AA347" s="82" t="s">
        <v>221</v>
      </c>
      <c r="AB347" s="98" t="s">
        <v>175</v>
      </c>
      <c r="AC347" s="82" t="s">
        <v>225</v>
      </c>
      <c r="AD347" s="98" t="s">
        <v>284</v>
      </c>
      <c r="AE347" s="82" t="s">
        <v>220</v>
      </c>
      <c r="AF347" s="98" t="s">
        <v>216</v>
      </c>
      <c r="AG347" s="82"/>
      <c r="AH347" s="98"/>
      <c r="AI347" s="82"/>
      <c r="AJ347" s="98"/>
      <c r="AK347" s="83"/>
      <c r="AL347" s="84" t="str">
        <f>IF(F347&lt;&gt;0,IF(_xlfn.MAXIFS($I$1:I347,$F$1:F347,F347,$H$1:H347,"&gt;"&amp;0)=0,"KM NÃO ENCONTRADO",IF(H347=0,CONCATENATE("SUGESTÃO DE KM PARA PLACA ",F347," *",_xlfn.MAXIFS($I$1:I347,$F$1:F347,F347,$H$1:H347,"&gt;"&amp;0),"*"),"")),"")</f>
        <v/>
      </c>
      <c r="AM347" s="85" t="str" cm="1">
        <f t="array" ref="AM347">IFERROR(IF(M347&lt;&gt;"","",CONCATENATE("https://btx.brasiltrack.com/logistica/trajeto.php?idveiculo=",VLOOKUP(F347,DATAS!$A$221:$B$250,2,FALSE),"&amp;lat=-22.204247","&amp;data_ini=",TEXT(IF(E347&lt;&gt;"",IF(COUNTIF($F$2:$F347,F347)&gt;1,MAX(IF($F$1:$F346=F347,$E$1:$E346)),""),""),"DD/MM/AAAA"),"&amp;data_fim=",TEXT(E347,"DD/MM/AAAA"),"&amp;hora_inicial=",HOUR(IF(E347&lt;&gt;"",IF(COUNTIF($F$2:$F347,F347)&gt;1,MAX(IF($F$1:$F346=F347,$E$1:$E346)),""),"")),"&amp;minuto_inicial=",MINUTE(IF(E347&lt;&gt;"",IF(COUNTIF($F$2:$F347,F347)&gt;1,MAX(IF($F$1:$F346=F347,$E$1:$E346)),""),"")),"&amp;hora_final=",HOUR(E347),"&amp;minuto_final=",MINUTE(E347),"&amp;periodo=6&amp;tipo=por_data&amp;upos=false&amp;outequip=0")),"")</f>
        <v/>
      </c>
      <c r="AN347" s="100" t="str">
        <f t="shared" si="41"/>
        <v xml:space="preserve">ABASTECEU no CANDEIAS-MG PASSOU em SÃO PAULO-SP DESCARREGOU em SANTOS-SP CARREGOU em SANTOS-SP PASSOU em SÃO PAULO-SP ABASTECEU no DP PAULINHO    </v>
      </c>
    </row>
    <row r="348" spans="1:40" x14ac:dyDescent="0.25">
      <c r="A348" s="101">
        <f>IFERROR(VLOOKUP(AN348,ROTAS!$A:$B,2,FALSE),0)</f>
        <v>94</v>
      </c>
      <c r="B348" s="101">
        <f t="shared" si="42"/>
        <v>2</v>
      </c>
      <c r="C348" s="101">
        <f t="shared" si="43"/>
        <v>773.5</v>
      </c>
      <c r="D348" s="144">
        <v>44896</v>
      </c>
      <c r="E348" s="76">
        <v>44918.297222222223</v>
      </c>
      <c r="F348" s="6" t="s">
        <v>32</v>
      </c>
      <c r="G348" s="5" t="str">
        <f>IFERROR(VLOOKUP(SUMIFS(MSOLICITADA!$I:$I,MSOLICITADA!$B:$B,D348,MSOLICITADA!$F:$F,F348),CODIGOSPLACAS!$A$64:$B$89,2,FALSE),"")</f>
        <v>ADILSON</v>
      </c>
      <c r="H348" s="77">
        <v>199430</v>
      </c>
      <c r="I348" s="77">
        <v>200206</v>
      </c>
      <c r="J348" s="7">
        <v>654</v>
      </c>
      <c r="K348" s="78">
        <v>3998.88</v>
      </c>
      <c r="L348" s="79" t="s">
        <v>111</v>
      </c>
      <c r="M348" s="6">
        <v>776</v>
      </c>
      <c r="N348" s="5" t="str">
        <f t="shared" si="37"/>
        <v/>
      </c>
      <c r="O348" s="80">
        <f t="shared" si="38"/>
        <v>6.114495412844037</v>
      </c>
      <c r="P348" s="8">
        <f t="shared" si="39"/>
        <v>1.1865443425076452</v>
      </c>
      <c r="Q348" s="8">
        <f t="shared" si="44"/>
        <v>1.7045945118851598</v>
      </c>
      <c r="R348" s="81">
        <f t="shared" si="40"/>
        <v>1</v>
      </c>
      <c r="S348" s="113" t="str">
        <f>IF(F348="","",IF(H348="",TEXT(_xlfn.MAXIFS($I$1:I348,$F$1:F348,F348,$H$1:H348,"&gt;"&amp;0),"000.000"),F348))</f>
        <v>GJU9A22</v>
      </c>
      <c r="T348" s="101" t="str">
        <f t="shared" si="45"/>
        <v/>
      </c>
      <c r="U348" s="82" t="s">
        <v>220</v>
      </c>
      <c r="V348" s="98" t="s">
        <v>206</v>
      </c>
      <c r="W348" s="82" t="s">
        <v>225</v>
      </c>
      <c r="X348" s="98" t="s">
        <v>284</v>
      </c>
      <c r="Y348" s="82" t="s">
        <v>222</v>
      </c>
      <c r="Z348" s="98" t="s">
        <v>175</v>
      </c>
      <c r="AA348" s="82" t="s">
        <v>221</v>
      </c>
      <c r="AB348" s="98" t="s">
        <v>175</v>
      </c>
      <c r="AC348" s="82" t="s">
        <v>225</v>
      </c>
      <c r="AD348" s="98" t="s">
        <v>284</v>
      </c>
      <c r="AE348" s="82" t="s">
        <v>220</v>
      </c>
      <c r="AF348" s="98" t="s">
        <v>216</v>
      </c>
      <c r="AG348" s="82"/>
      <c r="AH348" s="98"/>
      <c r="AI348" s="82"/>
      <c r="AJ348" s="98"/>
      <c r="AK348" s="83"/>
      <c r="AL348" s="84" t="str">
        <f>IF(F348&lt;&gt;0,IF(_xlfn.MAXIFS($I$1:I348,$F$1:F348,F348,$H$1:H348,"&gt;"&amp;0)=0,"KM NÃO ENCONTRADO",IF(H348=0,CONCATENATE("SUGESTÃO DE KM PARA PLACA ",F348," *",_xlfn.MAXIFS($I$1:I348,$F$1:F348,F348,$H$1:H348,"&gt;"&amp;0),"*"),"")),"")</f>
        <v/>
      </c>
      <c r="AM348" s="85" t="str" cm="1">
        <f t="array" ref="AM348">IFERROR(IF(M348&lt;&gt;"","",CONCATENATE("https://btx.brasiltrack.com/logistica/trajeto.php?idveiculo=",VLOOKUP(F348,DATAS!$A$221:$B$250,2,FALSE),"&amp;lat=-22.204247","&amp;data_ini=",TEXT(IF(E348&lt;&gt;"",IF(COUNTIF($F$2:$F348,F348)&gt;1,MAX(IF($F$1:$F347=F348,$E$1:$E347)),""),""),"DD/MM/AAAA"),"&amp;data_fim=",TEXT(E348,"DD/MM/AAAA"),"&amp;hora_inicial=",HOUR(IF(E348&lt;&gt;"",IF(COUNTIF($F$2:$F348,F348)&gt;1,MAX(IF($F$1:$F347=F348,$E$1:$E347)),""),"")),"&amp;minuto_inicial=",MINUTE(IF(E348&lt;&gt;"",IF(COUNTIF($F$2:$F348,F348)&gt;1,MAX(IF($F$1:$F347=F348,$E$1:$E347)),""),"")),"&amp;hora_final=",HOUR(E348),"&amp;minuto_final=",MINUTE(E348),"&amp;periodo=6&amp;tipo=por_data&amp;upos=false&amp;outequip=0")),"")</f>
        <v/>
      </c>
      <c r="AN348" s="100" t="str">
        <f t="shared" si="41"/>
        <v xml:space="preserve">ABASTECEU no CANDEIAS-MG PASSOU em SÃO PAULO-SP DESCARREGOU em SANTOS-SP CARREGOU em SANTOS-SP PASSOU em SÃO PAULO-SP ABASTECEU no DP PAULINHO    </v>
      </c>
    </row>
    <row r="349" spans="1:40" x14ac:dyDescent="0.25">
      <c r="A349" s="101">
        <f>IFERROR(VLOOKUP(AN349,ROTAS!$A:$B,2,FALSE),0)</f>
        <v>95</v>
      </c>
      <c r="B349" s="101">
        <f t="shared" si="42"/>
        <v>1</v>
      </c>
      <c r="C349" s="101">
        <f t="shared" si="43"/>
        <v>999</v>
      </c>
      <c r="D349" s="144">
        <v>44896</v>
      </c>
      <c r="E349" s="76">
        <v>44926.416666666664</v>
      </c>
      <c r="F349" s="6" t="s">
        <v>131</v>
      </c>
      <c r="G349" s="5" t="str">
        <f>IFERROR(VLOOKUP(SUMIFS(MSOLICITADA!$I:$I,MSOLICITADA!$B:$B,D349,MSOLICITADA!$F:$F,F349),CODIGOSPLACAS!$A$64:$B$89,2,FALSE),"")</f>
        <v>ALTIELIS</v>
      </c>
      <c r="H349" s="77">
        <v>47026</v>
      </c>
      <c r="I349" s="77">
        <v>48025</v>
      </c>
      <c r="J349" s="7">
        <v>288.8</v>
      </c>
      <c r="K349" s="78">
        <v>1691.52</v>
      </c>
      <c r="L349" s="79" t="s">
        <v>112</v>
      </c>
      <c r="M349" s="6">
        <v>475</v>
      </c>
      <c r="N349" s="5">
        <f t="shared" si="37"/>
        <v>524</v>
      </c>
      <c r="O349" s="80">
        <f t="shared" si="38"/>
        <v>5.8570637119113567</v>
      </c>
      <c r="P349" s="8">
        <f t="shared" si="39"/>
        <v>3.459141274238227</v>
      </c>
      <c r="Q349" s="8">
        <f t="shared" si="44"/>
        <v>1.6628833870031143</v>
      </c>
      <c r="R349" s="81">
        <f t="shared" si="40"/>
        <v>0.47547547547547547</v>
      </c>
      <c r="S349" s="113" t="str">
        <f>IF(F349="","",IF(H349="",TEXT(_xlfn.MAXIFS($I$1:I349,$F$1:F349,F349,$H$1:H349,"&gt;"&amp;0),"000.000"),F349))</f>
        <v>GGN4J86</v>
      </c>
      <c r="T349" s="101">
        <f t="shared" si="45"/>
        <v>524</v>
      </c>
      <c r="U349" s="82" t="s">
        <v>220</v>
      </c>
      <c r="V349" s="98" t="s">
        <v>165</v>
      </c>
      <c r="W349" s="82" t="s">
        <v>222</v>
      </c>
      <c r="X349" s="98" t="s">
        <v>167</v>
      </c>
      <c r="Y349" s="82" t="s">
        <v>221</v>
      </c>
      <c r="Z349" s="98" t="s">
        <v>169</v>
      </c>
      <c r="AA349" s="82" t="s">
        <v>222</v>
      </c>
      <c r="AB349" s="98" t="s">
        <v>251</v>
      </c>
      <c r="AC349" s="82" t="s">
        <v>220</v>
      </c>
      <c r="AD349" s="98" t="s">
        <v>206</v>
      </c>
      <c r="AE349" s="118"/>
      <c r="AF349" s="98"/>
      <c r="AG349" s="82"/>
      <c r="AH349" s="98"/>
      <c r="AI349" s="82"/>
      <c r="AJ349" s="98"/>
      <c r="AK349" s="83"/>
      <c r="AL349" s="84" t="str">
        <f>IF(F349&lt;&gt;0,IF(_xlfn.MAXIFS($I$1:I349,$F$1:F349,F349,$H$1:H349,"&gt;"&amp;0)=0,"KM NÃO ENCONTRADO",IF(H349=0,CONCATENATE("SUGESTÃO DE KM PARA PLACA ",F349," *",_xlfn.MAXIFS($I$1:I349,$F$1:F349,F349,$H$1:H349,"&gt;"&amp;0),"*"),"")),"")</f>
        <v/>
      </c>
      <c r="AM349" s="85" t="str" cm="1">
        <f t="array" ref="AM349">IFERROR(IF(M349&lt;&gt;"","",CONCATENATE("https://btx.brasiltrack.com/logistica/trajeto.php?idveiculo=",VLOOKUP(F349,DATAS!$A$221:$B$250,2,FALSE),"&amp;lat=-22.204247","&amp;data_ini=",TEXT(IF(E349&lt;&gt;"",IF(COUNTIF($F$2:$F349,F349)&gt;1,MAX(IF($F$1:$F348=F349,$E$1:$E348)),""),""),"DD/MM/AAAA"),"&amp;data_fim=",TEXT(E349,"DD/MM/AAAA"),"&amp;hora_inicial=",HOUR(IF(E349&lt;&gt;"",IF(COUNTIF($F$2:$F349,F349)&gt;1,MAX(IF($F$1:$F348=F349,$E$1:$E348)),""),"")),"&amp;minuto_inicial=",MINUTE(IF(E349&lt;&gt;"",IF(COUNTIF($F$2:$F349,F349)&gt;1,MAX(IF($F$1:$F348=F349,$E$1:$E348)),""),"")),"&amp;hora_final=",HOUR(E349),"&amp;minuto_final=",MINUTE(E349),"&amp;periodo=6&amp;tipo=por_data&amp;upos=false&amp;outequip=0")),"")</f>
        <v/>
      </c>
      <c r="AN349" s="100" t="str">
        <f t="shared" si="41"/>
        <v xml:space="preserve">ABASTECEU no 22 NORTE DESCARREGOU em VARGINHA-MG CARREGOU em FORMIGA-MG DESCARREGOU em CONTAGEM-MG ABASTECEU no CANDEIAS-MG      </v>
      </c>
    </row>
    <row r="350" spans="1:40" x14ac:dyDescent="0.25">
      <c r="A350" s="101">
        <f>IFERROR(VLOOKUP(AN350,ROTAS!$A:$B,2,FALSE),0)</f>
        <v>96</v>
      </c>
      <c r="B350" s="101">
        <f t="shared" si="42"/>
        <v>1</v>
      </c>
      <c r="C350" s="101">
        <f t="shared" si="43"/>
        <v>828</v>
      </c>
      <c r="D350" s="144">
        <v>44896</v>
      </c>
      <c r="E350" s="76">
        <v>44926.472222222219</v>
      </c>
      <c r="F350" s="6" t="s">
        <v>24</v>
      </c>
      <c r="G350" s="5" t="str">
        <f>IFERROR(VLOOKUP(SUMIFS(MSOLICITADA!$I:$I,MSOLICITADA!$B:$B,D350,MSOLICITADA!$F:$F,F350),CODIGOSPLACAS!$A$64:$B$89,2,FALSE),"")</f>
        <v>PAULO HENR.</v>
      </c>
      <c r="H350" s="77">
        <v>947216</v>
      </c>
      <c r="I350" s="77">
        <v>948044</v>
      </c>
      <c r="J350" s="7">
        <v>469.4</v>
      </c>
      <c r="K350" s="78">
        <v>2749.31</v>
      </c>
      <c r="L350" s="79" t="s">
        <v>112</v>
      </c>
      <c r="M350" s="6">
        <v>451</v>
      </c>
      <c r="N350" s="5">
        <f t="shared" si="37"/>
        <v>377</v>
      </c>
      <c r="O350" s="80">
        <f t="shared" si="38"/>
        <v>5.8570728589688965</v>
      </c>
      <c r="P350" s="8">
        <f t="shared" si="39"/>
        <v>1.7639539838091181</v>
      </c>
      <c r="Q350" s="8">
        <f t="shared" si="44"/>
        <v>1.5280797985385988</v>
      </c>
      <c r="R350" s="81">
        <f t="shared" si="40"/>
        <v>0.54468599033816423</v>
      </c>
      <c r="S350" s="113" t="str">
        <f>IF(F350="","",IF(H350="",TEXT(_xlfn.MAXIFS($I$1:I350,$F$1:F350,F350,$H$1:H350,"&gt;"&amp;0),"000.000"),F350))</f>
        <v>FKS0J24</v>
      </c>
      <c r="T350" s="101">
        <f t="shared" si="45"/>
        <v>377</v>
      </c>
      <c r="U350" s="82" t="s">
        <v>220</v>
      </c>
      <c r="V350" s="98" t="s">
        <v>233</v>
      </c>
      <c r="W350" s="82" t="s">
        <v>225</v>
      </c>
      <c r="X350" s="98" t="s">
        <v>284</v>
      </c>
      <c r="Y350" s="82" t="s">
        <v>221</v>
      </c>
      <c r="Z350" s="98" t="s">
        <v>168</v>
      </c>
      <c r="AA350" s="82" t="s">
        <v>225</v>
      </c>
      <c r="AB350" s="98" t="s">
        <v>237</v>
      </c>
      <c r="AC350" s="82" t="s">
        <v>222</v>
      </c>
      <c r="AD350" s="98" t="s">
        <v>167</v>
      </c>
      <c r="AE350" s="82" t="s">
        <v>220</v>
      </c>
      <c r="AF350" s="98" t="s">
        <v>206</v>
      </c>
      <c r="AG350" s="82"/>
      <c r="AH350" s="98"/>
      <c r="AI350" s="82"/>
      <c r="AJ350" s="98"/>
      <c r="AK350" s="83"/>
      <c r="AL350" s="84" t="str">
        <f>IF(F350&lt;&gt;0,IF(_xlfn.MAXIFS($I$1:I350,$F$1:F350,F350,$H$1:H350,"&gt;"&amp;0)=0,"KM NÃO ENCONTRADO",IF(H350=0,CONCATENATE("SUGESTÃO DE KM PARA PLACA ",F350," *",_xlfn.MAXIFS($I$1:I350,$F$1:F350,F350,$H$1:H350,"&gt;"&amp;0),"*"),"")),"")</f>
        <v/>
      </c>
      <c r="AM350" s="85" t="str" cm="1">
        <f t="array" ref="AM350">IFERROR(IF(M350&lt;&gt;"","",CONCATENATE("https://btx.brasiltrack.com/logistica/trajeto.php?idveiculo=",VLOOKUP(F350,DATAS!$A$221:$B$250,2,FALSE),"&amp;lat=-22.204247","&amp;data_ini=",TEXT(IF(E350&lt;&gt;"",IF(COUNTIF($F$2:$F350,F350)&gt;1,MAX(IF($F$1:$F349=F350,$E$1:$E349)),""),""),"DD/MM/AAAA"),"&amp;data_fim=",TEXT(E350,"DD/MM/AAAA"),"&amp;hora_inicial=",HOUR(IF(E350&lt;&gt;"",IF(COUNTIF($F$2:$F350,F350)&gt;1,MAX(IF($F$1:$F349=F350,$E$1:$E349)),""),"")),"&amp;minuto_inicial=",MINUTE(IF(E350&lt;&gt;"",IF(COUNTIF($F$2:$F350,F350)&gt;1,MAX(IF($F$1:$F349=F350,$E$1:$E349)),""),"")),"&amp;hora_final=",HOUR(E350),"&amp;minuto_final=",MINUTE(E350),"&amp;periodo=6&amp;tipo=por_data&amp;upos=false&amp;outequip=0")),"")</f>
        <v/>
      </c>
      <c r="AN350" s="100" t="str">
        <f t="shared" si="41"/>
        <v xml:space="preserve">ABASTECEU no DP ESTIVA PASSOU em SÃO PAULO-SP CARREGOU em CUBATAO-SP PASSOU em ARUJÁ-SP DESCARREGOU em VARGINHA-MG ABASTECEU no CANDEIAS-MG    </v>
      </c>
    </row>
    <row r="351" spans="1:40" x14ac:dyDescent="0.25">
      <c r="A351" s="101">
        <f>IFERROR(VLOOKUP(AN351,ROTAS!$A:$B,2,FALSE),0)</f>
        <v>97</v>
      </c>
      <c r="B351" s="101">
        <f t="shared" si="42"/>
        <v>4</v>
      </c>
      <c r="C351" s="101">
        <f t="shared" si="43"/>
        <v>389.5</v>
      </c>
      <c r="D351" s="144">
        <v>44896</v>
      </c>
      <c r="E351" s="76">
        <v>44926.486111111109</v>
      </c>
      <c r="F351" s="6" t="s">
        <v>23</v>
      </c>
      <c r="G351" s="5" t="str">
        <f>IFERROR(VLOOKUP(SUMIFS(MSOLICITADA!$I:$I,MSOLICITADA!$B:$B,D351,MSOLICITADA!$F:$F,F351),CODIGOSPLACAS!$A$64:$B$89,2,FALSE),"")</f>
        <v>ISAC</v>
      </c>
      <c r="H351" s="77">
        <v>1205442</v>
      </c>
      <c r="I351" s="77">
        <v>1205866</v>
      </c>
      <c r="J351" s="7">
        <v>262.7</v>
      </c>
      <c r="K351" s="78">
        <v>1538.65</v>
      </c>
      <c r="L351" s="79" t="s">
        <v>112</v>
      </c>
      <c r="M351" s="6">
        <v>277</v>
      </c>
      <c r="N351" s="5">
        <f t="shared" si="37"/>
        <v>147</v>
      </c>
      <c r="O351" s="80">
        <f t="shared" si="38"/>
        <v>5.8570612866387517</v>
      </c>
      <c r="P351" s="8">
        <f t="shared" si="39"/>
        <v>1.6140083745717548</v>
      </c>
      <c r="Q351" s="8">
        <f t="shared" si="44"/>
        <v>1.5720509549919661</v>
      </c>
      <c r="R351" s="81">
        <f t="shared" si="40"/>
        <v>0.65330188679245282</v>
      </c>
      <c r="S351" s="113" t="str">
        <f>IF(F351="","",IF(H351="",TEXT(_xlfn.MAXIFS($I$1:I351,$F$1:F351,F351,$H$1:H351,"&gt;"&amp;0),"000.000"),F351))</f>
        <v>HNC7I76</v>
      </c>
      <c r="T351" s="101">
        <f t="shared" si="45"/>
        <v>141</v>
      </c>
      <c r="U351" s="82" t="s">
        <v>220</v>
      </c>
      <c r="V351" s="98" t="s">
        <v>165</v>
      </c>
      <c r="W351" s="82" t="s">
        <v>222</v>
      </c>
      <c r="X351" s="98" t="s">
        <v>167</v>
      </c>
      <c r="Y351" s="82" t="s">
        <v>220</v>
      </c>
      <c r="Z351" s="98" t="s">
        <v>206</v>
      </c>
      <c r="AA351" s="82"/>
      <c r="AB351" s="98"/>
      <c r="AC351" s="82"/>
      <c r="AD351" s="98"/>
      <c r="AE351" s="118"/>
      <c r="AF351" s="98"/>
      <c r="AG351" s="82"/>
      <c r="AH351" s="98"/>
      <c r="AI351" s="82"/>
      <c r="AJ351" s="98"/>
      <c r="AK351" s="83"/>
      <c r="AL351" s="84" t="str">
        <f>IF(F351&lt;&gt;0,IF(_xlfn.MAXIFS($I$1:I351,$F$1:F351,F351,$H$1:H351,"&gt;"&amp;0)=0,"KM NÃO ENCONTRADO",IF(H351=0,CONCATENATE("SUGESTÃO DE KM PARA PLACA ",F351," *",_xlfn.MAXIFS($I$1:I351,$F$1:F351,F351,$H$1:H351,"&gt;"&amp;0),"*"),"")),"")</f>
        <v/>
      </c>
      <c r="AM351" s="85" t="str" cm="1">
        <f t="array" ref="AM351">IFERROR(IF(M351&lt;&gt;"","",CONCATENATE("https://btx.brasiltrack.com/logistica/trajeto.php?idveiculo=",VLOOKUP(F351,DATAS!$A$221:$B$250,2,FALSE),"&amp;lat=-22.204247","&amp;data_ini=",TEXT(IF(E351&lt;&gt;"",IF(COUNTIF($F$2:$F351,F351)&gt;1,MAX(IF($F$1:$F350=F351,$E$1:$E350)),""),""),"DD/MM/AAAA"),"&amp;data_fim=",TEXT(E351,"DD/MM/AAAA"),"&amp;hora_inicial=",HOUR(IF(E351&lt;&gt;"",IF(COUNTIF($F$2:$F351,F351)&gt;1,MAX(IF($F$1:$F350=F351,$E$1:$E350)),""),"")),"&amp;minuto_inicial=",MINUTE(IF(E351&lt;&gt;"",IF(COUNTIF($F$2:$F351,F351)&gt;1,MAX(IF($F$1:$F350=F351,$E$1:$E350)),""),"")),"&amp;hora_final=",HOUR(E351),"&amp;minuto_final=",MINUTE(E351),"&amp;periodo=6&amp;tipo=por_data&amp;upos=false&amp;outequip=0")),"")</f>
        <v/>
      </c>
      <c r="AN351" s="100" t="str">
        <f t="shared" si="41"/>
        <v xml:space="preserve">ABASTECEU no 22 NORTE DESCARREGOU em VARGINHA-MG ABASTECEU no CANDEIAS-MG          </v>
      </c>
    </row>
    <row r="352" spans="1:40" x14ac:dyDescent="0.25">
      <c r="A352" s="101">
        <f>IFERROR(VLOOKUP(AN352,ROTAS!$A:$B,2,FALSE),0)</f>
        <v>98</v>
      </c>
      <c r="B352" s="101">
        <f t="shared" si="42"/>
        <v>1</v>
      </c>
      <c r="C352" s="101">
        <f t="shared" si="43"/>
        <v>561</v>
      </c>
      <c r="D352" s="144">
        <v>44896</v>
      </c>
      <c r="E352" s="76">
        <v>44926.496527777781</v>
      </c>
      <c r="F352" s="6" t="s">
        <v>127</v>
      </c>
      <c r="G352" s="5" t="str">
        <f>IFERROR(VLOOKUP(SUMIFS(MSOLICITADA!$I:$I,MSOLICITADA!$B:$B,D352,MSOLICITADA!$F:$F,F352),CODIGOSPLACAS!$A$64:$B$89,2,FALSE),"")</f>
        <v>EVERTON</v>
      </c>
      <c r="H352" s="77">
        <v>1230034</v>
      </c>
      <c r="I352" s="77">
        <v>1230595</v>
      </c>
      <c r="J352" s="7">
        <v>239.1</v>
      </c>
      <c r="K352" s="78">
        <v>1400.43</v>
      </c>
      <c r="L352" s="79" t="s">
        <v>112</v>
      </c>
      <c r="M352" s="6">
        <v>334</v>
      </c>
      <c r="N352" s="5">
        <f t="shared" si="37"/>
        <v>227</v>
      </c>
      <c r="O352" s="80">
        <f t="shared" si="38"/>
        <v>5.8570890840652448</v>
      </c>
      <c r="P352" s="8">
        <f t="shared" si="39"/>
        <v>2.1040620721131904</v>
      </c>
      <c r="Q352" s="8">
        <f t="shared" si="44"/>
        <v>1.9282732243128911</v>
      </c>
      <c r="R352" s="81">
        <f t="shared" si="40"/>
        <v>0.59536541889483063</v>
      </c>
      <c r="S352" s="113" t="str">
        <f>IF(F352="","",IF(H352="",TEXT(_xlfn.MAXIFS($I$1:I352,$F$1:F352,F352,$H$1:H352,"&gt;"&amp;0),"000.000"),F352))</f>
        <v>OPM8J51</v>
      </c>
      <c r="T352" s="101">
        <f t="shared" si="45"/>
        <v>227</v>
      </c>
      <c r="U352" s="82" t="s">
        <v>220</v>
      </c>
      <c r="V352" s="98" t="s">
        <v>165</v>
      </c>
      <c r="W352" s="82" t="s">
        <v>222</v>
      </c>
      <c r="X352" s="98" t="s">
        <v>167</v>
      </c>
      <c r="Y352" s="82" t="s">
        <v>225</v>
      </c>
      <c r="Z352" s="98" t="s">
        <v>169</v>
      </c>
      <c r="AA352" s="82" t="s">
        <v>220</v>
      </c>
      <c r="AB352" s="98" t="s">
        <v>206</v>
      </c>
      <c r="AC352" s="82"/>
      <c r="AD352" s="98"/>
      <c r="AE352" s="118"/>
      <c r="AF352" s="98"/>
      <c r="AG352" s="82"/>
      <c r="AH352" s="98"/>
      <c r="AI352" s="82"/>
      <c r="AJ352" s="98"/>
      <c r="AK352" s="83">
        <v>100</v>
      </c>
      <c r="AL352" s="84" t="str">
        <f>IF(F352&lt;&gt;0,IF(_xlfn.MAXIFS($I$1:I352,$F$1:F352,F352,$H$1:H352,"&gt;"&amp;0)=0,"KM NÃO ENCONTRADO",IF(H352=0,CONCATENATE("SUGESTÃO DE KM PARA PLACA ",F352," *",_xlfn.MAXIFS($I$1:I352,$F$1:F352,F352,$H$1:H352,"&gt;"&amp;0),"*"),"")),"")</f>
        <v/>
      </c>
      <c r="AM352" s="85" t="str" cm="1">
        <f t="array" ref="AM352">IFERROR(IF(M352&lt;&gt;"","",CONCATENATE("https://btx.brasiltrack.com/logistica/trajeto.php?idveiculo=",VLOOKUP(F352,DATAS!$A$221:$B$250,2,FALSE),"&amp;lat=-22.204247","&amp;data_ini=",TEXT(IF(E352&lt;&gt;"",IF(COUNTIF($F$2:$F352,F352)&gt;1,MAX(IF($F$1:$F351=F352,$E$1:$E351)),""),""),"DD/MM/AAAA"),"&amp;data_fim=",TEXT(E352,"DD/MM/AAAA"),"&amp;hora_inicial=",HOUR(IF(E352&lt;&gt;"",IF(COUNTIF($F$2:$F352,F352)&gt;1,MAX(IF($F$1:$F351=F352,$E$1:$E351)),""),"")),"&amp;minuto_inicial=",MINUTE(IF(E352&lt;&gt;"",IF(COUNTIF($F$2:$F352,F352)&gt;1,MAX(IF($F$1:$F351=F352,$E$1:$E351)),""),"")),"&amp;hora_final=",HOUR(E352),"&amp;minuto_final=",MINUTE(E352),"&amp;periodo=6&amp;tipo=por_data&amp;upos=false&amp;outequip=0")),"")</f>
        <v/>
      </c>
      <c r="AN352" s="100" t="str">
        <f t="shared" si="41"/>
        <v xml:space="preserve">ABASTECEU no 22 NORTE DESCARREGOU em VARGINHA-MG PASSOU em FORMIGA-MG ABASTECEU no CANDEIAS-MG        </v>
      </c>
    </row>
    <row r="353" spans="1:40" x14ac:dyDescent="0.25">
      <c r="A353" s="101">
        <f>IFERROR(VLOOKUP(AN353,ROTAS!$A:$B,2,FALSE),0)</f>
        <v>97</v>
      </c>
      <c r="B353" s="101">
        <f t="shared" si="42"/>
        <v>4</v>
      </c>
      <c r="C353" s="101">
        <f t="shared" si="43"/>
        <v>389.5</v>
      </c>
      <c r="D353" s="144">
        <v>44927</v>
      </c>
      <c r="E353" s="76">
        <v>44928.125</v>
      </c>
      <c r="F353" s="6" t="s">
        <v>25</v>
      </c>
      <c r="G353" s="5" t="str">
        <f>IFERROR(VLOOKUP(SUMIFS(MSOLICITADA!$I:$I,MSOLICITADA!$B:$B,D353,MSOLICITADA!$F:$F,F353),CODIGOSPLACAS!$A$64:$B$89,2,FALSE),"")</f>
        <v>EDUALDO</v>
      </c>
      <c r="H353" s="77">
        <v>1011701</v>
      </c>
      <c r="I353" s="77">
        <v>1011996</v>
      </c>
      <c r="J353" s="7">
        <v>222.3</v>
      </c>
      <c r="K353" s="78">
        <v>1302.03</v>
      </c>
      <c r="L353" s="79" t="s">
        <v>112</v>
      </c>
      <c r="M353" s="6">
        <v>160</v>
      </c>
      <c r="N353" s="5">
        <f t="shared" si="37"/>
        <v>135</v>
      </c>
      <c r="O353" s="80">
        <f t="shared" si="38"/>
        <v>5.8570850202429146</v>
      </c>
      <c r="P353" s="8">
        <f t="shared" si="39"/>
        <v>1.3270355375618532</v>
      </c>
      <c r="Q353" s="8">
        <f t="shared" si="44"/>
        <v>1.4288896110685252</v>
      </c>
      <c r="R353" s="81">
        <f t="shared" si="40"/>
        <v>0.5423728813559322</v>
      </c>
      <c r="S353" s="113" t="str">
        <f>IF(F353="","",IF(H353="",TEXT(_xlfn.MAXIFS($I$1:I353,$F$1:F353,F353,$H$1:H353,"&gt;"&amp;0),"000.000"),F353))</f>
        <v>QHE9735</v>
      </c>
      <c r="T353" s="101">
        <f t="shared" si="45"/>
        <v>141</v>
      </c>
      <c r="U353" s="82" t="s">
        <v>220</v>
      </c>
      <c r="V353" s="98" t="s">
        <v>165</v>
      </c>
      <c r="W353" s="82" t="s">
        <v>222</v>
      </c>
      <c r="X353" s="98" t="s">
        <v>167</v>
      </c>
      <c r="Y353" s="82" t="s">
        <v>220</v>
      </c>
      <c r="Z353" s="98" t="s">
        <v>206</v>
      </c>
      <c r="AA353" s="82"/>
      <c r="AB353" s="98"/>
      <c r="AC353" s="82"/>
      <c r="AD353" s="98"/>
      <c r="AE353" s="118"/>
      <c r="AF353" s="98"/>
      <c r="AG353" s="82"/>
      <c r="AH353" s="98"/>
      <c r="AI353" s="82"/>
      <c r="AJ353" s="98"/>
      <c r="AK353" s="83"/>
      <c r="AL353" s="84" t="str">
        <f>IF(F353&lt;&gt;0,IF(_xlfn.MAXIFS($I$1:I353,$F$1:F353,F353,$H$1:H353,"&gt;"&amp;0)=0,"KM NÃO ENCONTRADO",IF(H353=0,CONCATENATE("SUGESTÃO DE KM PARA PLACA ",F353," *",_xlfn.MAXIFS($I$1:I353,$F$1:F353,F353,$H$1:H353,"&gt;"&amp;0),"*"),"")),"")</f>
        <v/>
      </c>
      <c r="AM353" s="85" t="str" cm="1">
        <f t="array" ref="AM353">IFERROR(IF(M353&lt;&gt;"","",CONCATENATE("https://btx.brasiltrack.com/logistica/trajeto.php?idveiculo=",VLOOKUP(F353,DATAS!$A$221:$B$250,2,FALSE),"&amp;lat=-22.204247","&amp;data_ini=",TEXT(IF(E353&lt;&gt;"",IF(COUNTIF($F$2:$F353,F353)&gt;1,MAX(IF($F$1:$F352=F353,$E$1:$E352)),""),""),"DD/MM/AAAA"),"&amp;data_fim=",TEXT(E353,"DD/MM/AAAA"),"&amp;hora_inicial=",HOUR(IF(E353&lt;&gt;"",IF(COUNTIF($F$2:$F353,F353)&gt;1,MAX(IF($F$1:$F352=F353,$E$1:$E352)),""),"")),"&amp;minuto_inicial=",MINUTE(IF(E353&lt;&gt;"",IF(COUNTIF($F$2:$F353,F353)&gt;1,MAX(IF($F$1:$F352=F353,$E$1:$E352)),""),"")),"&amp;hora_final=",HOUR(E353),"&amp;minuto_final=",MINUTE(E353),"&amp;periodo=6&amp;tipo=por_data&amp;upos=false&amp;outequip=0")),"")</f>
        <v/>
      </c>
      <c r="AN353" s="100" t="str">
        <f t="shared" si="41"/>
        <v xml:space="preserve">ABASTECEU no 22 NORTE DESCARREGOU em VARGINHA-MG ABASTECEU no CANDEIAS-MG          </v>
      </c>
    </row>
    <row r="354" spans="1:40" x14ac:dyDescent="0.25">
      <c r="A354" s="101">
        <f>IFERROR(VLOOKUP(AN354,ROTAS!$A:$B,2,FALSE),0)</f>
        <v>99</v>
      </c>
      <c r="B354" s="101">
        <f t="shared" si="42"/>
        <v>7</v>
      </c>
      <c r="C354" s="101">
        <f t="shared" si="43"/>
        <v>840.42857142857144</v>
      </c>
      <c r="D354" s="144">
        <v>44927</v>
      </c>
      <c r="E354" s="76">
        <v>44928.708333333336</v>
      </c>
      <c r="F354" s="6" t="s">
        <v>128</v>
      </c>
      <c r="G354" s="5" t="str">
        <f>IFERROR(VLOOKUP(SUMIFS(MSOLICITADA!$I:$I,MSOLICITADA!$B:$B,D354,MSOLICITADA!$F:$F,F354),CODIGOSPLACAS!$A$64:$B$89,2,FALSE),"")</f>
        <v>ELI RICARDO</v>
      </c>
      <c r="H354" s="77">
        <v>91665</v>
      </c>
      <c r="I354" s="77">
        <v>92544</v>
      </c>
      <c r="J354" s="7">
        <v>233</v>
      </c>
      <c r="K354" s="78">
        <v>1363.05</v>
      </c>
      <c r="L354" s="79" t="s">
        <v>112</v>
      </c>
      <c r="M354" s="6">
        <v>519</v>
      </c>
      <c r="N354" s="5">
        <f t="shared" si="37"/>
        <v>360</v>
      </c>
      <c r="O354" s="80">
        <f t="shared" si="38"/>
        <v>5.85</v>
      </c>
      <c r="P354" s="8">
        <f t="shared" si="39"/>
        <v>3.7725321888412018</v>
      </c>
      <c r="Q354" s="8">
        <f t="shared" si="44"/>
        <v>1.7619806950171255</v>
      </c>
      <c r="R354" s="81">
        <f t="shared" si="40"/>
        <v>0.59044368600682595</v>
      </c>
      <c r="S354" s="113" t="str">
        <f>IF(F354="","",IF(H354="",TEXT(_xlfn.MAXIFS($I$1:I354,$F$1:F354,F354,$H$1:H354,"&gt;"&amp;0),"000.000"),F354))</f>
        <v>GFR0D47</v>
      </c>
      <c r="T354" s="101">
        <f t="shared" si="45"/>
        <v>388</v>
      </c>
      <c r="U354" s="82" t="s">
        <v>220</v>
      </c>
      <c r="V354" s="98" t="s">
        <v>165</v>
      </c>
      <c r="W354" s="82" t="s">
        <v>222</v>
      </c>
      <c r="X354" s="98" t="s">
        <v>167</v>
      </c>
      <c r="Y354" s="82" t="s">
        <v>221</v>
      </c>
      <c r="Z354" s="98" t="s">
        <v>252</v>
      </c>
      <c r="AA354" s="82" t="s">
        <v>220</v>
      </c>
      <c r="AB354" s="98" t="s">
        <v>206</v>
      </c>
      <c r="AC354" s="82"/>
      <c r="AD354" s="98"/>
      <c r="AE354" s="118"/>
      <c r="AF354" s="98"/>
      <c r="AG354" s="82"/>
      <c r="AH354" s="98"/>
      <c r="AI354" s="82"/>
      <c r="AJ354" s="98"/>
      <c r="AK354" s="83"/>
      <c r="AL354" s="84" t="str">
        <f>IF(F354&lt;&gt;0,IF(_xlfn.MAXIFS($I$1:I354,$F$1:F354,F354,$H$1:H354,"&gt;"&amp;0)=0,"KM NÃO ENCONTRADO",IF(H354=0,CONCATENATE("SUGESTÃO DE KM PARA PLACA ",F354," *",_xlfn.MAXIFS($I$1:I354,$F$1:F354,F354,$H$1:H354,"&gt;"&amp;0),"*"),"")),"")</f>
        <v/>
      </c>
      <c r="AM354" s="85" t="str" cm="1">
        <f t="array" ref="AM354">IFERROR(IF(M354&lt;&gt;"","",CONCATENATE("https://btx.brasiltrack.com/logistica/trajeto.php?idveiculo=",VLOOKUP(F354,DATAS!$A$221:$B$250,2,FALSE),"&amp;lat=-22.204247","&amp;data_ini=",TEXT(IF(E354&lt;&gt;"",IF(COUNTIF($F$2:$F354,F354)&gt;1,MAX(IF($F$1:$F353=F354,$E$1:$E353)),""),""),"DD/MM/AAAA"),"&amp;data_fim=",TEXT(E354,"DD/MM/AAAA"),"&amp;hora_inicial=",HOUR(IF(E354&lt;&gt;"",IF(COUNTIF($F$2:$F354,F354)&gt;1,MAX(IF($F$1:$F353=F354,$E$1:$E353)),""),"")),"&amp;minuto_inicial=",MINUTE(IF(E354&lt;&gt;"",IF(COUNTIF($F$2:$F354,F354)&gt;1,MAX(IF($F$1:$F353=F354,$E$1:$E353)),""),"")),"&amp;hora_final=",HOUR(E354),"&amp;minuto_final=",MINUTE(E354),"&amp;periodo=6&amp;tipo=por_data&amp;upos=false&amp;outequip=0")),"")</f>
        <v/>
      </c>
      <c r="AN354" s="100" t="str">
        <f t="shared" si="41"/>
        <v xml:space="preserve">ABASTECEU no 22 NORTE DESCARREGOU em VARGINHA-MG CARREGOU em SÃO GOTARDO-MG ABASTECEU no CANDEIAS-MG        </v>
      </c>
    </row>
    <row r="355" spans="1:40" x14ac:dyDescent="0.25">
      <c r="A355" s="101">
        <f>IFERROR(VLOOKUP(AN355,ROTAS!$A:$B,2,FALSE),0)</f>
        <v>99</v>
      </c>
      <c r="B355" s="101">
        <f t="shared" si="42"/>
        <v>7</v>
      </c>
      <c r="C355" s="101">
        <f t="shared" si="43"/>
        <v>840.42857142857144</v>
      </c>
      <c r="D355" s="144">
        <v>44927</v>
      </c>
      <c r="E355" s="76">
        <v>44928.791666666664</v>
      </c>
      <c r="F355" s="6" t="s">
        <v>32</v>
      </c>
      <c r="G355" s="5" t="str">
        <f>IFERROR(VLOOKUP(SUMIFS(MSOLICITADA!$I:$I,MSOLICITADA!$B:$B,D355,MSOLICITADA!$F:$F,F355),CODIGOSPLACAS!$A$64:$B$89,2,FALSE),"")</f>
        <v>ADILSON</v>
      </c>
      <c r="H355" s="77">
        <v>200206</v>
      </c>
      <c r="I355" s="77">
        <v>201002</v>
      </c>
      <c r="J355" s="7">
        <v>250.4</v>
      </c>
      <c r="K355" s="78">
        <v>1464.84</v>
      </c>
      <c r="L355" s="79" t="s">
        <v>112</v>
      </c>
      <c r="M355" s="6">
        <v>436</v>
      </c>
      <c r="N355" s="5">
        <f t="shared" si="37"/>
        <v>360</v>
      </c>
      <c r="O355" s="80">
        <f t="shared" si="38"/>
        <v>5.85</v>
      </c>
      <c r="P355" s="8">
        <f t="shared" si="39"/>
        <v>3.1789137380191694</v>
      </c>
      <c r="Q355" s="8">
        <f t="shared" si="44"/>
        <v>1.6695575721559062</v>
      </c>
      <c r="R355" s="81">
        <f t="shared" si="40"/>
        <v>0.54773869346733672</v>
      </c>
      <c r="S355" s="113" t="str">
        <f>IF(F355="","",IF(H355="",TEXT(_xlfn.MAXIFS($I$1:I355,$F$1:F355,F355,$H$1:H355,"&gt;"&amp;0),"000.000"),F355))</f>
        <v>GJU9A22</v>
      </c>
      <c r="T355" s="101">
        <f t="shared" si="45"/>
        <v>388</v>
      </c>
      <c r="U355" s="82" t="s">
        <v>220</v>
      </c>
      <c r="V355" s="98" t="s">
        <v>165</v>
      </c>
      <c r="W355" s="82" t="s">
        <v>222</v>
      </c>
      <c r="X355" s="98" t="s">
        <v>167</v>
      </c>
      <c r="Y355" s="82" t="s">
        <v>221</v>
      </c>
      <c r="Z355" s="98" t="s">
        <v>252</v>
      </c>
      <c r="AA355" s="82" t="s">
        <v>220</v>
      </c>
      <c r="AB355" s="98" t="s">
        <v>206</v>
      </c>
      <c r="AC355" s="82"/>
      <c r="AD355" s="98"/>
      <c r="AE355" s="118"/>
      <c r="AF355" s="98"/>
      <c r="AG355" s="82"/>
      <c r="AH355" s="98"/>
      <c r="AI355" s="82"/>
      <c r="AJ355" s="98"/>
      <c r="AK355" s="83"/>
      <c r="AL355" s="84" t="str">
        <f>IF(F355&lt;&gt;0,IF(_xlfn.MAXIFS($I$1:I355,$F$1:F355,F355,$H$1:H355,"&gt;"&amp;0)=0,"KM NÃO ENCONTRADO",IF(H355=0,CONCATENATE("SUGESTÃO DE KM PARA PLACA ",F355," *",_xlfn.MAXIFS($I$1:I355,$F$1:F355,F355,$H$1:H355,"&gt;"&amp;0),"*"),"")),"")</f>
        <v/>
      </c>
      <c r="AM355" s="85" t="str" cm="1">
        <f t="array" ref="AM355">IFERROR(IF(M355&lt;&gt;"","",CONCATENATE("https://btx.brasiltrack.com/logistica/trajeto.php?idveiculo=",VLOOKUP(F355,DATAS!$A$221:$B$250,2,FALSE),"&amp;lat=-22.204247","&amp;data_ini=",TEXT(IF(E355&lt;&gt;"",IF(COUNTIF($F$2:$F355,F355)&gt;1,MAX(IF($F$1:$F354=F355,$E$1:$E354)),""),""),"DD/MM/AAAA"),"&amp;data_fim=",TEXT(E355,"DD/MM/AAAA"),"&amp;hora_inicial=",HOUR(IF(E355&lt;&gt;"",IF(COUNTIF($F$2:$F355,F355)&gt;1,MAX(IF($F$1:$F354=F355,$E$1:$E354)),""),"")),"&amp;minuto_inicial=",MINUTE(IF(E355&lt;&gt;"",IF(COUNTIF($F$2:$F355,F355)&gt;1,MAX(IF($F$1:$F354=F355,$E$1:$E354)),""),"")),"&amp;hora_final=",HOUR(E355),"&amp;minuto_final=",MINUTE(E355),"&amp;periodo=6&amp;tipo=por_data&amp;upos=false&amp;outequip=0")),"")</f>
        <v/>
      </c>
      <c r="AN355" s="100" t="str">
        <f t="shared" si="41"/>
        <v xml:space="preserve">ABASTECEU no 22 NORTE DESCARREGOU em VARGINHA-MG CARREGOU em SÃO GOTARDO-MG ABASTECEU no CANDEIAS-MG        </v>
      </c>
    </row>
    <row r="356" spans="1:40" x14ac:dyDescent="0.25">
      <c r="A356" s="101">
        <f>IFERROR(VLOOKUP(AN356,ROTAS!$A:$B,2,FALSE),0)</f>
        <v>99</v>
      </c>
      <c r="B356" s="101">
        <f t="shared" si="42"/>
        <v>7</v>
      </c>
      <c r="C356" s="101">
        <f t="shared" si="43"/>
        <v>840.42857142857144</v>
      </c>
      <c r="D356" s="144">
        <v>44927</v>
      </c>
      <c r="E356" s="76">
        <v>44928.791666666664</v>
      </c>
      <c r="F356" s="6" t="s">
        <v>30</v>
      </c>
      <c r="G356" s="5" t="str">
        <f>IFERROR(VLOOKUP(SUMIFS(MSOLICITADA!$I:$I,MSOLICITADA!$B:$B,D356,MSOLICITADA!$F:$F,F356),CODIGOSPLACAS!$A$64:$B$89,2,FALSE),"")</f>
        <v>RONILSON</v>
      </c>
      <c r="H356" s="77">
        <v>219327</v>
      </c>
      <c r="I356" s="77">
        <v>220068</v>
      </c>
      <c r="J356" s="7">
        <v>254</v>
      </c>
      <c r="K356" s="78">
        <v>1485.8999999999999</v>
      </c>
      <c r="L356" s="79" t="s">
        <v>112</v>
      </c>
      <c r="M356" s="6">
        <v>381</v>
      </c>
      <c r="N356" s="5">
        <f t="shared" si="37"/>
        <v>360</v>
      </c>
      <c r="O356" s="80">
        <f t="shared" si="38"/>
        <v>5.85</v>
      </c>
      <c r="P356" s="8">
        <f t="shared" si="39"/>
        <v>2.9173228346456694</v>
      </c>
      <c r="Q356" s="8">
        <f t="shared" si="44"/>
        <v>1.6205104706314435</v>
      </c>
      <c r="R356" s="81">
        <f t="shared" si="40"/>
        <v>0.51417004048582993</v>
      </c>
      <c r="S356" s="113" t="str">
        <f>IF(F356="","",IF(H356="",TEXT(_xlfn.MAXIFS($I$1:I356,$F$1:F356,F356,$H$1:H356,"&gt;"&amp;0),"000.000"),F356))</f>
        <v>GFB0I37</v>
      </c>
      <c r="T356" s="101">
        <f t="shared" si="45"/>
        <v>388</v>
      </c>
      <c r="U356" s="82" t="s">
        <v>220</v>
      </c>
      <c r="V356" s="98" t="s">
        <v>165</v>
      </c>
      <c r="W356" s="82" t="s">
        <v>222</v>
      </c>
      <c r="X356" s="98" t="s">
        <v>167</v>
      </c>
      <c r="Y356" s="82" t="s">
        <v>221</v>
      </c>
      <c r="Z356" s="98" t="s">
        <v>252</v>
      </c>
      <c r="AA356" s="82" t="s">
        <v>220</v>
      </c>
      <c r="AB356" s="98" t="s">
        <v>206</v>
      </c>
      <c r="AC356" s="82"/>
      <c r="AD356" s="98"/>
      <c r="AE356" s="118"/>
      <c r="AF356" s="98"/>
      <c r="AG356" s="82"/>
      <c r="AH356" s="98"/>
      <c r="AI356" s="82"/>
      <c r="AJ356" s="98"/>
      <c r="AK356" s="83"/>
      <c r="AL356" s="84" t="str">
        <f>IF(F356&lt;&gt;0,IF(_xlfn.MAXIFS($I$1:I356,$F$1:F356,F356,$H$1:H356,"&gt;"&amp;0)=0,"KM NÃO ENCONTRADO",IF(H356=0,CONCATENATE("SUGESTÃO DE KM PARA PLACA ",F356," *",_xlfn.MAXIFS($I$1:I356,$F$1:F356,F356,$H$1:H356,"&gt;"&amp;0),"*"),"")),"")</f>
        <v/>
      </c>
      <c r="AM356" s="85" t="str" cm="1">
        <f t="array" ref="AM356">IFERROR(IF(M356&lt;&gt;"","",CONCATENATE("https://btx.brasiltrack.com/logistica/trajeto.php?idveiculo=",VLOOKUP(F356,DATAS!$A$221:$B$250,2,FALSE),"&amp;lat=-22.204247","&amp;data_ini=",TEXT(IF(E356&lt;&gt;"",IF(COUNTIF($F$2:$F356,F356)&gt;1,MAX(IF($F$1:$F355=F356,$E$1:$E355)),""),""),"DD/MM/AAAA"),"&amp;data_fim=",TEXT(E356,"DD/MM/AAAA"),"&amp;hora_inicial=",HOUR(IF(E356&lt;&gt;"",IF(COUNTIF($F$2:$F356,F356)&gt;1,MAX(IF($F$1:$F355=F356,$E$1:$E355)),""),"")),"&amp;minuto_inicial=",MINUTE(IF(E356&lt;&gt;"",IF(COUNTIF($F$2:$F356,F356)&gt;1,MAX(IF($F$1:$F355=F356,$E$1:$E355)),""),"")),"&amp;hora_final=",HOUR(E356),"&amp;minuto_final=",MINUTE(E356),"&amp;periodo=6&amp;tipo=por_data&amp;upos=false&amp;outequip=0")),"")</f>
        <v/>
      </c>
      <c r="AN356" s="100" t="str">
        <f t="shared" si="41"/>
        <v xml:space="preserve">ABASTECEU no 22 NORTE DESCARREGOU em VARGINHA-MG CARREGOU em SÃO GOTARDO-MG ABASTECEU no CANDEIAS-MG        </v>
      </c>
    </row>
    <row r="357" spans="1:40" x14ac:dyDescent="0.25">
      <c r="A357" s="101">
        <f>IFERROR(VLOOKUP(AN357,ROTAS!$A:$B,2,FALSE),0)</f>
        <v>99</v>
      </c>
      <c r="B357" s="101">
        <f t="shared" si="42"/>
        <v>7</v>
      </c>
      <c r="C357" s="101">
        <f t="shared" si="43"/>
        <v>840.42857142857144</v>
      </c>
      <c r="D357" s="144">
        <v>44927</v>
      </c>
      <c r="E357" s="76">
        <v>44928.859027777777</v>
      </c>
      <c r="F357" s="6" t="s">
        <v>29</v>
      </c>
      <c r="G357" s="5" t="str">
        <f>IFERROR(VLOOKUP(SUMIFS(MSOLICITADA!$I:$I,MSOLICITADA!$B:$B,D357,MSOLICITADA!$F:$F,F357),CODIGOSPLACAS!$A$64:$B$89,2,FALSE),"")</f>
        <v>EDNILSON</v>
      </c>
      <c r="H357" s="77">
        <v>238509</v>
      </c>
      <c r="I357" s="77">
        <v>239383</v>
      </c>
      <c r="J357" s="7">
        <v>255.3</v>
      </c>
      <c r="K357" s="78">
        <v>1493.5049999999999</v>
      </c>
      <c r="L357" s="79" t="s">
        <v>112</v>
      </c>
      <c r="M357" s="6">
        <v>514</v>
      </c>
      <c r="N357" s="5">
        <f t="shared" si="37"/>
        <v>360</v>
      </c>
      <c r="O357" s="80">
        <f t="shared" si="38"/>
        <v>5.85</v>
      </c>
      <c r="P357" s="8">
        <f t="shared" si="39"/>
        <v>3.4234234234234231</v>
      </c>
      <c r="Q357" s="8">
        <f t="shared" si="44"/>
        <v>1.5966128652005338</v>
      </c>
      <c r="R357" s="81">
        <f t="shared" si="40"/>
        <v>0.58810068649885583</v>
      </c>
      <c r="S357" s="113" t="str">
        <f>IF(F357="","",IF(H357="",TEXT(_xlfn.MAXIFS($I$1:I357,$F$1:F357,F357,$H$1:H357,"&gt;"&amp;0),"000.000"),F357))</f>
        <v>GKA2J56</v>
      </c>
      <c r="T357" s="101">
        <f t="shared" si="45"/>
        <v>388</v>
      </c>
      <c r="U357" s="82" t="s">
        <v>220</v>
      </c>
      <c r="V357" s="98" t="s">
        <v>165</v>
      </c>
      <c r="W357" s="82" t="s">
        <v>222</v>
      </c>
      <c r="X357" s="98" t="s">
        <v>167</v>
      </c>
      <c r="Y357" s="82" t="s">
        <v>221</v>
      </c>
      <c r="Z357" s="98" t="s">
        <v>252</v>
      </c>
      <c r="AA357" s="82" t="s">
        <v>220</v>
      </c>
      <c r="AB357" s="98" t="s">
        <v>206</v>
      </c>
      <c r="AC357" s="82"/>
      <c r="AD357" s="98"/>
      <c r="AE357" s="118"/>
      <c r="AF357" s="98"/>
      <c r="AG357" s="82"/>
      <c r="AH357" s="98"/>
      <c r="AI357" s="82"/>
      <c r="AJ357" s="98"/>
      <c r="AK357" s="83"/>
      <c r="AL357" s="84" t="str">
        <f>IF(F357&lt;&gt;0,IF(_xlfn.MAXIFS($I$1:I357,$F$1:F357,F357,$H$1:H357,"&gt;"&amp;0)=0,"KM NÃO ENCONTRADO",IF(H357=0,CONCATENATE("SUGESTÃO DE KM PARA PLACA ",F357," *",_xlfn.MAXIFS($I$1:I357,$F$1:F357,F357,$H$1:H357,"&gt;"&amp;0),"*"),"")),"")</f>
        <v/>
      </c>
      <c r="AM357" s="85" t="str" cm="1">
        <f t="array" ref="AM357">IFERROR(IF(M357&lt;&gt;"","",CONCATENATE("https://btx.brasiltrack.com/logistica/trajeto.php?idveiculo=",VLOOKUP(F357,DATAS!$A$221:$B$250,2,FALSE),"&amp;lat=-22.204247","&amp;data_ini=",TEXT(IF(E357&lt;&gt;"",IF(COUNTIF($F$2:$F357,F357)&gt;1,MAX(IF($F$1:$F356=F357,$E$1:$E356)),""),""),"DD/MM/AAAA"),"&amp;data_fim=",TEXT(E357,"DD/MM/AAAA"),"&amp;hora_inicial=",HOUR(IF(E357&lt;&gt;"",IF(COUNTIF($F$2:$F357,F357)&gt;1,MAX(IF($F$1:$F356=F357,$E$1:$E356)),""),"")),"&amp;minuto_inicial=",MINUTE(IF(E357&lt;&gt;"",IF(COUNTIF($F$2:$F357,F357)&gt;1,MAX(IF($F$1:$F356=F357,$E$1:$E356)),""),"")),"&amp;hora_final=",HOUR(E357),"&amp;minuto_final=",MINUTE(E357),"&amp;periodo=6&amp;tipo=por_data&amp;upos=false&amp;outequip=0")),"")</f>
        <v/>
      </c>
      <c r="AN357" s="100" t="str">
        <f t="shared" si="41"/>
        <v xml:space="preserve">ABASTECEU no 22 NORTE DESCARREGOU em VARGINHA-MG CARREGOU em SÃO GOTARDO-MG ABASTECEU no CANDEIAS-MG        </v>
      </c>
    </row>
    <row r="358" spans="1:40" x14ac:dyDescent="0.25">
      <c r="A358" s="101">
        <f>IFERROR(VLOOKUP(AN358,ROTAS!$A:$B,2,FALSE),0)</f>
        <v>100</v>
      </c>
      <c r="B358" s="101">
        <f t="shared" si="42"/>
        <v>3</v>
      </c>
      <c r="C358" s="101">
        <f t="shared" si="43"/>
        <v>472.66666666666669</v>
      </c>
      <c r="D358" s="144">
        <v>44927</v>
      </c>
      <c r="E358" s="76">
        <v>44928.868055555555</v>
      </c>
      <c r="F358" s="6" t="s">
        <v>25</v>
      </c>
      <c r="G358" s="5" t="str">
        <f>IFERROR(VLOOKUP(SUMIFS(MSOLICITADA!$I:$I,MSOLICITADA!$B:$B,D358,MSOLICITADA!$F:$F,F358),CODIGOSPLACAS!$A$64:$B$89,2,FALSE),"")</f>
        <v>EDUALDO</v>
      </c>
      <c r="H358" s="77">
        <v>1011996</v>
      </c>
      <c r="I358" s="77">
        <v>1012452</v>
      </c>
      <c r="J358" s="7">
        <v>251.5</v>
      </c>
      <c r="K358" s="78">
        <v>1471.2749999999999</v>
      </c>
      <c r="L358" s="79" t="s">
        <v>112</v>
      </c>
      <c r="M358" s="6">
        <v>228</v>
      </c>
      <c r="N358" s="5">
        <f t="shared" si="37"/>
        <v>228</v>
      </c>
      <c r="O358" s="80">
        <f t="shared" si="38"/>
        <v>5.85</v>
      </c>
      <c r="P358" s="8">
        <f t="shared" si="39"/>
        <v>1.8131212723658052</v>
      </c>
      <c r="Q358" s="8">
        <f t="shared" si="44"/>
        <v>1.4288896110685252</v>
      </c>
      <c r="R358" s="81">
        <f t="shared" si="40"/>
        <v>0.5</v>
      </c>
      <c r="S358" s="113" t="str">
        <f>IF(F358="","",IF(H358="",TEXT(_xlfn.MAXIFS($I$1:I358,$F$1:F358,F358,$H$1:H358,"&gt;"&amp;0),"000.000"),F358))</f>
        <v>QHE9735</v>
      </c>
      <c r="T358" s="101">
        <f t="shared" si="45"/>
        <v>236.33333333333334</v>
      </c>
      <c r="U358" s="82" t="s">
        <v>220</v>
      </c>
      <c r="V358" s="98" t="s">
        <v>206</v>
      </c>
      <c r="W358" s="82" t="s">
        <v>221</v>
      </c>
      <c r="X358" s="98" t="s">
        <v>252</v>
      </c>
      <c r="Y358" s="82" t="s">
        <v>220</v>
      </c>
      <c r="Z358" s="98" t="s">
        <v>206</v>
      </c>
      <c r="AA358" s="82"/>
      <c r="AB358" s="98"/>
      <c r="AC358" s="82"/>
      <c r="AD358" s="98"/>
      <c r="AE358" s="118"/>
      <c r="AF358" s="98"/>
      <c r="AG358" s="82"/>
      <c r="AH358" s="98"/>
      <c r="AI358" s="82"/>
      <c r="AJ358" s="98"/>
      <c r="AK358" s="83"/>
      <c r="AL358" s="84" t="str">
        <f>IF(F358&lt;&gt;0,IF(_xlfn.MAXIFS($I$1:I358,$F$1:F358,F358,$H$1:H358,"&gt;"&amp;0)=0,"KM NÃO ENCONTRADO",IF(H358=0,CONCATENATE("SUGESTÃO DE KM PARA PLACA ",F358," *",_xlfn.MAXIFS($I$1:I358,$F$1:F358,F358,$H$1:H358,"&gt;"&amp;0),"*"),"")),"")</f>
        <v/>
      </c>
      <c r="AM358" s="85" t="str" cm="1">
        <f t="array" ref="AM358">IFERROR(IF(M358&lt;&gt;"","",CONCATENATE("https://btx.brasiltrack.com/logistica/trajeto.php?idveiculo=",VLOOKUP(F358,DATAS!$A$221:$B$250,2,FALSE),"&amp;lat=-22.204247","&amp;data_ini=",TEXT(IF(E358&lt;&gt;"",IF(COUNTIF($F$2:$F358,F358)&gt;1,MAX(IF($F$1:$F357=F358,$E$1:$E357)),""),""),"DD/MM/AAAA"),"&amp;data_fim=",TEXT(E358,"DD/MM/AAAA"),"&amp;hora_inicial=",HOUR(IF(E358&lt;&gt;"",IF(COUNTIF($F$2:$F358,F358)&gt;1,MAX(IF($F$1:$F357=F358,$E$1:$E357)),""),"")),"&amp;minuto_inicial=",MINUTE(IF(E358&lt;&gt;"",IF(COUNTIF($F$2:$F358,F358)&gt;1,MAX(IF($F$1:$F357=F358,$E$1:$E357)),""),"")),"&amp;hora_final=",HOUR(E358),"&amp;minuto_final=",MINUTE(E358),"&amp;periodo=6&amp;tipo=por_data&amp;upos=false&amp;outequip=0")),"")</f>
        <v/>
      </c>
      <c r="AN358" s="100" t="str">
        <f t="shared" si="41"/>
        <v xml:space="preserve">ABASTECEU no CANDEIAS-MG CARREGOU em SÃO GOTARDO-MG ABASTECEU no CANDEIAS-MG          </v>
      </c>
    </row>
    <row r="359" spans="1:40" x14ac:dyDescent="0.25">
      <c r="A359" s="101">
        <f>IFERROR(VLOOKUP(AN359,ROTAS!$A:$B,2,FALSE),0)</f>
        <v>99</v>
      </c>
      <c r="B359" s="101">
        <f t="shared" si="42"/>
        <v>7</v>
      </c>
      <c r="C359" s="101">
        <f t="shared" si="43"/>
        <v>840.42857142857144</v>
      </c>
      <c r="D359" s="144">
        <v>44927</v>
      </c>
      <c r="E359" s="76">
        <v>44928.881944444445</v>
      </c>
      <c r="F359" s="6" t="s">
        <v>27</v>
      </c>
      <c r="G359" s="5" t="str">
        <f>IFERROR(VLOOKUP(SUMIFS(MSOLICITADA!$I:$I,MSOLICITADA!$B:$B,D359,MSOLICITADA!$F:$F,F359),CODIGOSPLACAS!$A$64:$B$89,2,FALSE),"")</f>
        <v>ANTONIO</v>
      </c>
      <c r="H359" s="77">
        <v>247811</v>
      </c>
      <c r="I359" s="77">
        <v>248602</v>
      </c>
      <c r="J359" s="7">
        <v>260.3</v>
      </c>
      <c r="K359" s="78">
        <v>1522.7549999999999</v>
      </c>
      <c r="L359" s="79" t="s">
        <v>112</v>
      </c>
      <c r="M359" s="6">
        <v>431</v>
      </c>
      <c r="N359" s="5">
        <f t="shared" si="37"/>
        <v>360</v>
      </c>
      <c r="O359" s="80">
        <f t="shared" si="38"/>
        <v>5.85</v>
      </c>
      <c r="P359" s="8">
        <f t="shared" si="39"/>
        <v>3.0388013830195928</v>
      </c>
      <c r="Q359" s="8">
        <f t="shared" si="44"/>
        <v>1.4666276036610979</v>
      </c>
      <c r="R359" s="81">
        <f t="shared" si="40"/>
        <v>0.54487989886219979</v>
      </c>
      <c r="S359" s="113" t="str">
        <f>IF(F359="","",IF(H359="",TEXT(_xlfn.MAXIFS($I$1:I359,$F$1:F359,F359,$H$1:H359,"&gt;"&amp;0),"000.000"),F359))</f>
        <v>GHS4J57</v>
      </c>
      <c r="T359" s="101">
        <f t="shared" si="45"/>
        <v>388</v>
      </c>
      <c r="U359" s="82" t="s">
        <v>220</v>
      </c>
      <c r="V359" s="98" t="s">
        <v>165</v>
      </c>
      <c r="W359" s="82" t="s">
        <v>222</v>
      </c>
      <c r="X359" s="98" t="s">
        <v>167</v>
      </c>
      <c r="Y359" s="82" t="s">
        <v>221</v>
      </c>
      <c r="Z359" s="98" t="s">
        <v>252</v>
      </c>
      <c r="AA359" s="82" t="s">
        <v>220</v>
      </c>
      <c r="AB359" s="98" t="s">
        <v>206</v>
      </c>
      <c r="AC359" s="82"/>
      <c r="AD359" s="98"/>
      <c r="AE359" s="118"/>
      <c r="AF359" s="98"/>
      <c r="AG359" s="82"/>
      <c r="AH359" s="98"/>
      <c r="AI359" s="82"/>
      <c r="AJ359" s="98"/>
      <c r="AK359" s="83"/>
      <c r="AL359" s="84" t="str">
        <f>IF(F359&lt;&gt;0,IF(_xlfn.MAXIFS($I$1:I359,$F$1:F359,F359,$H$1:H359,"&gt;"&amp;0)=0,"KM NÃO ENCONTRADO",IF(H359=0,CONCATENATE("SUGESTÃO DE KM PARA PLACA ",F359," *",_xlfn.MAXIFS($I$1:I359,$F$1:F359,F359,$H$1:H359,"&gt;"&amp;0),"*"),"")),"")</f>
        <v/>
      </c>
      <c r="AM359" s="85" t="str" cm="1">
        <f t="array" ref="AM359">IFERROR(IF(M359&lt;&gt;"","",CONCATENATE("https://btx.brasiltrack.com/logistica/trajeto.php?idveiculo=",VLOOKUP(F359,DATAS!$A$221:$B$250,2,FALSE),"&amp;lat=-22.204247","&amp;data_ini=",TEXT(IF(E359&lt;&gt;"",IF(COUNTIF($F$2:$F359,F359)&gt;1,MAX(IF($F$1:$F358=F359,$E$1:$E358)),""),""),"DD/MM/AAAA"),"&amp;data_fim=",TEXT(E359,"DD/MM/AAAA"),"&amp;hora_inicial=",HOUR(IF(E359&lt;&gt;"",IF(COUNTIF($F$2:$F359,F359)&gt;1,MAX(IF($F$1:$F358=F359,$E$1:$E358)),""),"")),"&amp;minuto_inicial=",MINUTE(IF(E359&lt;&gt;"",IF(COUNTIF($F$2:$F359,F359)&gt;1,MAX(IF($F$1:$F358=F359,$E$1:$E358)),""),"")),"&amp;hora_final=",HOUR(E359),"&amp;minuto_final=",MINUTE(E359),"&amp;periodo=6&amp;tipo=por_data&amp;upos=false&amp;outequip=0")),"")</f>
        <v/>
      </c>
      <c r="AN359" s="100" t="str">
        <f t="shared" si="41"/>
        <v xml:space="preserve">ABASTECEU no 22 NORTE DESCARREGOU em VARGINHA-MG CARREGOU em SÃO GOTARDO-MG ABASTECEU no CANDEIAS-MG        </v>
      </c>
    </row>
    <row r="360" spans="1:40" x14ac:dyDescent="0.25">
      <c r="A360" s="101">
        <f>IFERROR(VLOOKUP(AN360,ROTAS!$A:$B,2,FALSE),0)</f>
        <v>101</v>
      </c>
      <c r="B360" s="101">
        <f t="shared" si="42"/>
        <v>1</v>
      </c>
      <c r="C360" s="101">
        <f t="shared" si="43"/>
        <v>652</v>
      </c>
      <c r="D360" s="144">
        <v>44927</v>
      </c>
      <c r="E360" s="76">
        <v>44928.97152777778</v>
      </c>
      <c r="F360" s="6" t="s">
        <v>26</v>
      </c>
      <c r="G360" s="5" t="str">
        <f>IFERROR(VLOOKUP(SUMIFS(MSOLICITADA!$I:$I,MSOLICITADA!$B:$B,D360,MSOLICITADA!$F:$F,F360),CODIGOSPLACAS!$A$64:$B$89,2,FALSE),"")</f>
        <v>DIEGO</v>
      </c>
      <c r="H360" s="77">
        <v>400162</v>
      </c>
      <c r="I360" s="77">
        <v>400814</v>
      </c>
      <c r="J360" s="7">
        <v>360</v>
      </c>
      <c r="K360" s="78">
        <v>2228.4</v>
      </c>
      <c r="L360" s="79" t="s">
        <v>111</v>
      </c>
      <c r="M360" s="6">
        <v>326</v>
      </c>
      <c r="N360" s="5">
        <f t="shared" si="37"/>
        <v>326</v>
      </c>
      <c r="O360" s="80">
        <f t="shared" si="38"/>
        <v>6.19</v>
      </c>
      <c r="P360" s="8">
        <f t="shared" si="39"/>
        <v>1.8111111111111111</v>
      </c>
      <c r="Q360" s="8">
        <f t="shared" si="44"/>
        <v>1.4763574081151452</v>
      </c>
      <c r="R360" s="81">
        <f t="shared" si="40"/>
        <v>0.5</v>
      </c>
      <c r="S360" s="113" t="str">
        <f>IF(F360="","",IF(H360="",TEXT(_xlfn.MAXIFS($I$1:I360,$F$1:F360,F360,$H$1:H360,"&gt;"&amp;0),"000.000"),F360))</f>
        <v>BZA3587</v>
      </c>
      <c r="T360" s="101">
        <f t="shared" si="45"/>
        <v>326</v>
      </c>
      <c r="U360" s="82" t="s">
        <v>220</v>
      </c>
      <c r="V360" s="98" t="s">
        <v>165</v>
      </c>
      <c r="W360" s="82" t="s">
        <v>222</v>
      </c>
      <c r="X360" s="98" t="s">
        <v>167</v>
      </c>
      <c r="Y360" s="82" t="s">
        <v>220</v>
      </c>
      <c r="Z360" s="98" t="s">
        <v>166</v>
      </c>
      <c r="AA360" s="82"/>
      <c r="AB360" s="98"/>
      <c r="AC360" s="82"/>
      <c r="AD360" s="98"/>
      <c r="AE360" s="118"/>
      <c r="AF360" s="98"/>
      <c r="AG360" s="82"/>
      <c r="AH360" s="98"/>
      <c r="AI360" s="82"/>
      <c r="AJ360" s="98"/>
      <c r="AK360" s="83"/>
      <c r="AL360" s="84" t="str">
        <f>IF(F360&lt;&gt;0,IF(_xlfn.MAXIFS($I$1:I360,$F$1:F360,F360,$H$1:H360,"&gt;"&amp;0)=0,"KM NÃO ENCONTRADO",IF(H360=0,CONCATENATE("SUGESTÃO DE KM PARA PLACA ",F360," *",_xlfn.MAXIFS($I$1:I360,$F$1:F360,F360,$H$1:H360,"&gt;"&amp;0),"*"),"")),"")</f>
        <v/>
      </c>
      <c r="AM360" s="85" t="str" cm="1">
        <f t="array" ref="AM360">IFERROR(IF(M360&lt;&gt;"","",CONCATENATE("https://btx.brasiltrack.com/logistica/trajeto.php?idveiculo=",VLOOKUP(F360,DATAS!$A$221:$B$250,2,FALSE),"&amp;lat=-22.204247","&amp;data_ini=",TEXT(IF(E360&lt;&gt;"",IF(COUNTIF($F$2:$F360,F360)&gt;1,MAX(IF($F$1:$F359=F360,$E$1:$E359)),""),""),"DD/MM/AAAA"),"&amp;data_fim=",TEXT(E360,"DD/MM/AAAA"),"&amp;hora_inicial=",HOUR(IF(E360&lt;&gt;"",IF(COUNTIF($F$2:$F360,F360)&gt;1,MAX(IF($F$1:$F359=F360,$E$1:$E359)),""),"")),"&amp;minuto_inicial=",MINUTE(IF(E360&lt;&gt;"",IF(COUNTIF($F$2:$F360,F360)&gt;1,MAX(IF($F$1:$F359=F360,$E$1:$E359)),""),"")),"&amp;hora_final=",HOUR(E360),"&amp;minuto_final=",MINUTE(E360),"&amp;periodo=6&amp;tipo=por_data&amp;upos=false&amp;outequip=0")),"")</f>
        <v/>
      </c>
      <c r="AN360" s="100" t="str">
        <f t="shared" si="41"/>
        <v xml:space="preserve">ABASTECEU no 22 NORTE DESCARREGOU em VARGINHA-MG ABASTECEU no 22 SUL          </v>
      </c>
    </row>
    <row r="361" spans="1:40" x14ac:dyDescent="0.25">
      <c r="A361" s="101">
        <f>IFERROR(VLOOKUP(AN361,ROTAS!$A:$B,2,FALSE),0)</f>
        <v>102</v>
      </c>
      <c r="B361" s="101">
        <f t="shared" si="42"/>
        <v>2</v>
      </c>
      <c r="C361" s="101">
        <f t="shared" si="43"/>
        <v>838.5</v>
      </c>
      <c r="D361" s="144">
        <v>44927</v>
      </c>
      <c r="E361" s="76">
        <v>44929.13958333333</v>
      </c>
      <c r="F361" s="6" t="s">
        <v>24</v>
      </c>
      <c r="G361" s="5" t="str">
        <f>IFERROR(VLOOKUP(SUMIFS(MSOLICITADA!$I:$I,MSOLICITADA!$B:$B,D361,MSOLICITADA!$F:$F,F361),CODIGOSPLACAS!$A$64:$B$89,2,FALSE),"")</f>
        <v>PAULO HENR.</v>
      </c>
      <c r="H361" s="77">
        <v>948044</v>
      </c>
      <c r="I361" s="77">
        <v>948873</v>
      </c>
      <c r="J361" s="7">
        <v>576.78</v>
      </c>
      <c r="K361" s="78">
        <v>3570.27</v>
      </c>
      <c r="L361" s="79" t="s">
        <v>111</v>
      </c>
      <c r="M361" s="6">
        <v>594</v>
      </c>
      <c r="N361" s="5">
        <f t="shared" si="37"/>
        <v>235</v>
      </c>
      <c r="O361" s="80">
        <f t="shared" si="38"/>
        <v>6.1900031207739525</v>
      </c>
      <c r="P361" s="8">
        <f t="shared" si="39"/>
        <v>1.4372897811990708</v>
      </c>
      <c r="Q361" s="8">
        <f t="shared" si="44"/>
        <v>1.5194077812359499</v>
      </c>
      <c r="R361" s="81">
        <f t="shared" si="40"/>
        <v>0.71652593486127869</v>
      </c>
      <c r="S361" s="113" t="str">
        <f>IF(F361="","",IF(H361="",TEXT(_xlfn.MAXIFS($I$1:I361,$F$1:F361,F361,$H$1:H361,"&gt;"&amp;0),"000.000"),F361))</f>
        <v>FKS0J24</v>
      </c>
      <c r="T361" s="101">
        <f t="shared" si="45"/>
        <v>235</v>
      </c>
      <c r="U361" s="82" t="s">
        <v>220</v>
      </c>
      <c r="V361" s="98" t="s">
        <v>206</v>
      </c>
      <c r="W361" s="82" t="s">
        <v>221</v>
      </c>
      <c r="X361" s="98" t="s">
        <v>252</v>
      </c>
      <c r="Y361" s="82" t="s">
        <v>220</v>
      </c>
      <c r="Z361" s="98" t="s">
        <v>166</v>
      </c>
      <c r="AA361" s="82"/>
      <c r="AB361" s="98"/>
      <c r="AC361" s="82"/>
      <c r="AD361" s="98"/>
      <c r="AE361" s="118"/>
      <c r="AF361" s="98"/>
      <c r="AG361" s="82"/>
      <c r="AH361" s="98"/>
      <c r="AI361" s="82"/>
      <c r="AJ361" s="98"/>
      <c r="AK361" s="83"/>
      <c r="AL361" s="84" t="str">
        <f>IF(F361&lt;&gt;0,IF(_xlfn.MAXIFS($I$1:I361,$F$1:F361,F361,$H$1:H361,"&gt;"&amp;0)=0,"KM NÃO ENCONTRADO",IF(H361=0,CONCATENATE("SUGESTÃO DE KM PARA PLACA ",F361," *",_xlfn.MAXIFS($I$1:I361,$F$1:F361,F361,$H$1:H361,"&gt;"&amp;0),"*"),"")),"")</f>
        <v/>
      </c>
      <c r="AM361" s="85" t="str" cm="1">
        <f t="array" ref="AM361">IFERROR(IF(M361&lt;&gt;"","",CONCATENATE("https://btx.brasiltrack.com/logistica/trajeto.php?idveiculo=",VLOOKUP(F361,DATAS!$A$221:$B$250,2,FALSE),"&amp;lat=-22.204247","&amp;data_ini=",TEXT(IF(E361&lt;&gt;"",IF(COUNTIF($F$2:$F361,F361)&gt;1,MAX(IF($F$1:$F360=F361,$E$1:$E360)),""),""),"DD/MM/AAAA"),"&amp;data_fim=",TEXT(E361,"DD/MM/AAAA"),"&amp;hora_inicial=",HOUR(IF(E361&lt;&gt;"",IF(COUNTIF($F$2:$F361,F361)&gt;1,MAX(IF($F$1:$F360=F361,$E$1:$E360)),""),"")),"&amp;minuto_inicial=",MINUTE(IF(E361&lt;&gt;"",IF(COUNTIF($F$2:$F361,F361)&gt;1,MAX(IF($F$1:$F360=F361,$E$1:$E360)),""),"")),"&amp;hora_final=",HOUR(E361),"&amp;minuto_final=",MINUTE(E361),"&amp;periodo=6&amp;tipo=por_data&amp;upos=false&amp;outequip=0")),"")</f>
        <v/>
      </c>
      <c r="AN361" s="100" t="str">
        <f t="shared" si="41"/>
        <v xml:space="preserve">ABASTECEU no CANDEIAS-MG CARREGOU em SÃO GOTARDO-MG ABASTECEU no 22 SUL          </v>
      </c>
    </row>
    <row r="362" spans="1:40" x14ac:dyDescent="0.25">
      <c r="A362" s="101">
        <f>IFERROR(VLOOKUP(AN362,ROTAS!$A:$B,2,FALSE),0)</f>
        <v>103</v>
      </c>
      <c r="B362" s="101">
        <f t="shared" si="42"/>
        <v>1</v>
      </c>
      <c r="C362" s="101">
        <f t="shared" si="43"/>
        <v>890</v>
      </c>
      <c r="D362" s="144">
        <v>44927</v>
      </c>
      <c r="E362" s="76">
        <v>44929.1875</v>
      </c>
      <c r="F362" s="6" t="s">
        <v>28</v>
      </c>
      <c r="G362" s="5" t="str">
        <f>IFERROR(VLOOKUP(SUMIFS(MSOLICITADA!$I:$I,MSOLICITADA!$B:$B,D362,MSOLICITADA!$F:$F,F362),CODIGOSPLACAS!$A$64:$B$89,2,FALSE),"")</f>
        <v>RONY</v>
      </c>
      <c r="H362" s="77">
        <v>242932</v>
      </c>
      <c r="I362" s="77">
        <v>243822</v>
      </c>
      <c r="J362" s="7">
        <v>201.1</v>
      </c>
      <c r="K362" s="78">
        <v>1176.4349999999999</v>
      </c>
      <c r="L362" s="79" t="s">
        <v>112</v>
      </c>
      <c r="M362" s="6">
        <v>420</v>
      </c>
      <c r="N362" s="5">
        <f t="shared" si="37"/>
        <v>470</v>
      </c>
      <c r="O362" s="80">
        <f t="shared" si="38"/>
        <v>5.85</v>
      </c>
      <c r="P362" s="8">
        <f t="shared" si="39"/>
        <v>4.4256588761810045</v>
      </c>
      <c r="Q362" s="8">
        <f t="shared" si="44"/>
        <v>1.519654959485309</v>
      </c>
      <c r="R362" s="81">
        <f t="shared" si="40"/>
        <v>0.47191011235955055</v>
      </c>
      <c r="S362" s="113" t="str">
        <f>IF(F362="","",IF(H362="",TEXT(_xlfn.MAXIFS($I$1:I362,$F$1:F362,F362,$H$1:H362,"&gt;"&amp;0),"000.000"),F362))</f>
        <v>FZA3E94</v>
      </c>
      <c r="T362" s="101">
        <f t="shared" si="45"/>
        <v>470</v>
      </c>
      <c r="U362" s="82" t="s">
        <v>220</v>
      </c>
      <c r="V362" s="98" t="s">
        <v>165</v>
      </c>
      <c r="W362" s="82" t="s">
        <v>222</v>
      </c>
      <c r="X362" s="98" t="s">
        <v>200</v>
      </c>
      <c r="Y362" s="82" t="s">
        <v>221</v>
      </c>
      <c r="Z362" s="98" t="s">
        <v>252</v>
      </c>
      <c r="AA362" s="82" t="s">
        <v>220</v>
      </c>
      <c r="AB362" s="98" t="s">
        <v>206</v>
      </c>
      <c r="AC362" s="82"/>
      <c r="AD362" s="98"/>
      <c r="AE362" s="118"/>
      <c r="AF362" s="98"/>
      <c r="AG362" s="82"/>
      <c r="AH362" s="98"/>
      <c r="AI362" s="82"/>
      <c r="AJ362" s="98"/>
      <c r="AK362" s="83"/>
      <c r="AL362" s="84" t="str">
        <f>IF(F362&lt;&gt;0,IF(_xlfn.MAXIFS($I$1:I362,$F$1:F362,F362,$H$1:H362,"&gt;"&amp;0)=0,"KM NÃO ENCONTRADO",IF(H362=0,CONCATENATE("SUGESTÃO DE KM PARA PLACA ",F362," *",_xlfn.MAXIFS($I$1:I362,$F$1:F362,F362,$H$1:H362,"&gt;"&amp;0),"*"),"")),"")</f>
        <v/>
      </c>
      <c r="AM362" s="85" t="str" cm="1">
        <f t="array" ref="AM362">IFERROR(IF(M362&lt;&gt;"","",CONCATENATE("https://btx.brasiltrack.com/logistica/trajeto.php?idveiculo=",VLOOKUP(F362,DATAS!$A$221:$B$250,2,FALSE),"&amp;lat=-22.204247","&amp;data_ini=",TEXT(IF(E362&lt;&gt;"",IF(COUNTIF($F$2:$F362,F362)&gt;1,MAX(IF($F$1:$F361=F362,$E$1:$E361)),""),""),"DD/MM/AAAA"),"&amp;data_fim=",TEXT(E362,"DD/MM/AAAA"),"&amp;hora_inicial=",HOUR(IF(E362&lt;&gt;"",IF(COUNTIF($F$2:$F362,F362)&gt;1,MAX(IF($F$1:$F361=F362,$E$1:$E361)),""),"")),"&amp;minuto_inicial=",MINUTE(IF(E362&lt;&gt;"",IF(COUNTIF($F$2:$F362,F362)&gt;1,MAX(IF($F$1:$F361=F362,$E$1:$E361)),""),"")),"&amp;hora_final=",HOUR(E362),"&amp;minuto_final=",MINUTE(E362),"&amp;periodo=6&amp;tipo=por_data&amp;upos=false&amp;outequip=0")),"")</f>
        <v/>
      </c>
      <c r="AN362" s="100" t="str">
        <f t="shared" si="41"/>
        <v xml:space="preserve">ABASTECEU no 22 NORTE DESCARREGOU em CONGONHAL-MG CARREGOU em SÃO GOTARDO-MG ABASTECEU no CANDEIAS-MG        </v>
      </c>
    </row>
    <row r="363" spans="1:40" x14ac:dyDescent="0.25">
      <c r="A363" s="101">
        <f>IFERROR(VLOOKUP(AN363,ROTAS!$A:$B,2,FALSE),0)</f>
        <v>13</v>
      </c>
      <c r="B363" s="101">
        <f t="shared" si="42"/>
        <v>16</v>
      </c>
      <c r="C363" s="101">
        <f t="shared" si="43"/>
        <v>363.3125</v>
      </c>
      <c r="D363" s="144">
        <v>44927</v>
      </c>
      <c r="E363" s="76">
        <v>44929.305555555555</v>
      </c>
      <c r="F363" s="6" t="s">
        <v>35</v>
      </c>
      <c r="G363" s="5" t="str">
        <f>IFERROR(VLOOKUP(SUMIFS(MSOLICITADA!$I:$I,MSOLICITADA!$B:$B,D363,MSOLICITADA!$F:$F,F363),CODIGOSPLACAS!$A$64:$B$89,2,FALSE),"")</f>
        <v>JOEL</v>
      </c>
      <c r="H363" s="77">
        <v>230325</v>
      </c>
      <c r="I363" s="77">
        <v>230643</v>
      </c>
      <c r="J363" s="7">
        <v>230.4</v>
      </c>
      <c r="K363" s="78">
        <v>1347.84</v>
      </c>
      <c r="L363" s="79" t="s">
        <v>111</v>
      </c>
      <c r="M363" s="6">
        <v>159</v>
      </c>
      <c r="N363" s="5">
        <f t="shared" si="37"/>
        <v>159</v>
      </c>
      <c r="O363" s="80">
        <f t="shared" si="38"/>
        <v>5.85</v>
      </c>
      <c r="P363" s="8">
        <f t="shared" si="39"/>
        <v>1.3802083333333333</v>
      </c>
      <c r="Q363" s="8">
        <f t="shared" si="44"/>
        <v>1.5445311844203811</v>
      </c>
      <c r="R363" s="81">
        <f t="shared" si="40"/>
        <v>0.5</v>
      </c>
      <c r="S363" s="113" t="str">
        <f>IF(F363="","",IF(H363="",TEXT(_xlfn.MAXIFS($I$1:I363,$F$1:F363,F363,$H$1:H363,"&gt;"&amp;0),"000.000"),F363))</f>
        <v>QNP3A97</v>
      </c>
      <c r="T363" s="101">
        <f t="shared" si="45"/>
        <v>186.5</v>
      </c>
      <c r="U363" s="82" t="s">
        <v>220</v>
      </c>
      <c r="V363" s="98" t="s">
        <v>206</v>
      </c>
      <c r="W363" s="82" t="s">
        <v>220</v>
      </c>
      <c r="X363" s="98" t="s">
        <v>206</v>
      </c>
      <c r="Y363" s="82"/>
      <c r="Z363" s="98"/>
      <c r="AA363" s="82"/>
      <c r="AB363" s="98"/>
      <c r="AC363" s="82"/>
      <c r="AD363" s="98"/>
      <c r="AE363" s="118"/>
      <c r="AF363" s="98"/>
      <c r="AG363" s="82"/>
      <c r="AH363" s="98"/>
      <c r="AI363" s="82"/>
      <c r="AJ363" s="98"/>
      <c r="AK363" s="83"/>
      <c r="AL363" s="84" t="str">
        <f>IF(F363&lt;&gt;0,IF(_xlfn.MAXIFS($I$1:I363,$F$1:F363,F363,$H$1:H363,"&gt;"&amp;0)=0,"KM NÃO ENCONTRADO",IF(H363=0,CONCATENATE("SUGESTÃO DE KM PARA PLACA ",F363," *",_xlfn.MAXIFS($I$1:I363,$F$1:F363,F363,$H$1:H363,"&gt;"&amp;0),"*"),"")),"")</f>
        <v/>
      </c>
      <c r="AM363" s="85" t="str" cm="1">
        <f t="array" ref="AM363">IFERROR(IF(M363&lt;&gt;"","",CONCATENATE("https://btx.brasiltrack.com/logistica/trajeto.php?idveiculo=",VLOOKUP(F363,DATAS!$A$221:$B$250,2,FALSE),"&amp;lat=-22.204247","&amp;data_ini=",TEXT(IF(E363&lt;&gt;"",IF(COUNTIF($F$2:$F363,F363)&gt;1,MAX(IF($F$1:$F362=F363,$E$1:$E362)),""),""),"DD/MM/AAAA"),"&amp;data_fim=",TEXT(E363,"DD/MM/AAAA"),"&amp;hora_inicial=",HOUR(IF(E363&lt;&gt;"",IF(COUNTIF($F$2:$F363,F363)&gt;1,MAX(IF($F$1:$F362=F363,$E$1:$E362)),""),"")),"&amp;minuto_inicial=",MINUTE(IF(E363&lt;&gt;"",IF(COUNTIF($F$2:$F363,F363)&gt;1,MAX(IF($F$1:$F362=F363,$E$1:$E362)),""),"")),"&amp;hora_final=",HOUR(E363),"&amp;minuto_final=",MINUTE(E363),"&amp;periodo=6&amp;tipo=por_data&amp;upos=false&amp;outequip=0")),"")</f>
        <v/>
      </c>
      <c r="AN363" s="100" t="str">
        <f t="shared" si="41"/>
        <v xml:space="preserve">ABASTECEU no CANDEIAS-MG ABASTECEU no CANDEIAS-MG            </v>
      </c>
    </row>
    <row r="364" spans="1:40" x14ac:dyDescent="0.25">
      <c r="A364" s="101">
        <f>IFERROR(VLOOKUP(AN364,ROTAS!$A:$B,2,FALSE),0)</f>
        <v>100</v>
      </c>
      <c r="B364" s="101">
        <f t="shared" si="42"/>
        <v>3</v>
      </c>
      <c r="C364" s="101">
        <f t="shared" si="43"/>
        <v>472.66666666666669</v>
      </c>
      <c r="D364" s="144">
        <v>44896</v>
      </c>
      <c r="E364" s="76">
        <v>44929.313194444447</v>
      </c>
      <c r="F364" s="6" t="s">
        <v>131</v>
      </c>
      <c r="G364" s="5" t="str">
        <f>IFERROR(VLOOKUP(SUMIFS(MSOLICITADA!$I:$I,MSOLICITADA!$B:$B,D364,MSOLICITADA!$F:$F,F364),CODIGOSPLACAS!$A$64:$B$89,2,FALSE),"")</f>
        <v>ALTIELIS</v>
      </c>
      <c r="H364" s="77">
        <v>48025</v>
      </c>
      <c r="I364" s="77">
        <v>48475</v>
      </c>
      <c r="J364" s="7">
        <v>560</v>
      </c>
      <c r="K364" s="78">
        <v>3276</v>
      </c>
      <c r="L364" s="79" t="s">
        <v>111</v>
      </c>
      <c r="M364" s="6">
        <v>225</v>
      </c>
      <c r="N364" s="5">
        <f t="shared" si="37"/>
        <v>225</v>
      </c>
      <c r="O364" s="80">
        <f t="shared" si="38"/>
        <v>5.85</v>
      </c>
      <c r="P364" s="8">
        <f t="shared" si="39"/>
        <v>0.8035714285714286</v>
      </c>
      <c r="Q364" s="8">
        <f t="shared" si="44"/>
        <v>1.6628833870031143</v>
      </c>
      <c r="R364" s="81">
        <f t="shared" si="40"/>
        <v>0.5</v>
      </c>
      <c r="S364" s="113" t="str">
        <f>IF(F364="","",IF(H364="",TEXT(_xlfn.MAXIFS($I$1:I364,$F$1:F364,F364,$H$1:H364,"&gt;"&amp;0),"000.000"),F364))</f>
        <v>GGN4J86</v>
      </c>
      <c r="T364" s="101">
        <f t="shared" si="45"/>
        <v>236.33333333333334</v>
      </c>
      <c r="U364" s="82" t="s">
        <v>220</v>
      </c>
      <c r="V364" s="98" t="s">
        <v>206</v>
      </c>
      <c r="W364" s="82" t="s">
        <v>221</v>
      </c>
      <c r="X364" s="98" t="s">
        <v>252</v>
      </c>
      <c r="Y364" s="82" t="s">
        <v>220</v>
      </c>
      <c r="Z364" s="98" t="s">
        <v>206</v>
      </c>
      <c r="AA364" s="82"/>
      <c r="AB364" s="98"/>
      <c r="AC364" s="82"/>
      <c r="AD364" s="98"/>
      <c r="AE364" s="118"/>
      <c r="AF364" s="98"/>
      <c r="AG364" s="82"/>
      <c r="AH364" s="98"/>
      <c r="AI364" s="82"/>
      <c r="AJ364" s="98"/>
      <c r="AK364" s="83"/>
      <c r="AL364" s="84" t="str">
        <f>IF(F364&lt;&gt;0,IF(_xlfn.MAXIFS($I$1:I364,$F$1:F364,F364,$H$1:H364,"&gt;"&amp;0)=0,"KM NÃO ENCONTRADO",IF(H364=0,CONCATENATE("SUGESTÃO DE KM PARA PLACA ",F364," *",_xlfn.MAXIFS($I$1:I364,$F$1:F364,F364,$H$1:H364,"&gt;"&amp;0),"*"),"")),"")</f>
        <v/>
      </c>
      <c r="AM364" s="85" t="str" cm="1">
        <f t="array" ref="AM364">IFERROR(IF(M364&lt;&gt;"","",CONCATENATE("https://btx.brasiltrack.com/logistica/trajeto.php?idveiculo=",VLOOKUP(F364,DATAS!$A$221:$B$250,2,FALSE),"&amp;lat=-22.204247","&amp;data_ini=",TEXT(IF(E364&lt;&gt;"",IF(COUNTIF($F$2:$F364,F364)&gt;1,MAX(IF($F$1:$F363=F364,$E$1:$E363)),""),""),"DD/MM/AAAA"),"&amp;data_fim=",TEXT(E364,"DD/MM/AAAA"),"&amp;hora_inicial=",HOUR(IF(E364&lt;&gt;"",IF(COUNTIF($F$2:$F364,F364)&gt;1,MAX(IF($F$1:$F363=F364,$E$1:$E363)),""),"")),"&amp;minuto_inicial=",MINUTE(IF(E364&lt;&gt;"",IF(COUNTIF($F$2:$F364,F364)&gt;1,MAX(IF($F$1:$F363=F364,$E$1:$E363)),""),"")),"&amp;hora_final=",HOUR(E364),"&amp;minuto_final=",MINUTE(E364),"&amp;periodo=6&amp;tipo=por_data&amp;upos=false&amp;outequip=0")),"")</f>
        <v/>
      </c>
      <c r="AN364" s="100" t="str">
        <f t="shared" si="41"/>
        <v xml:space="preserve">ABASTECEU no CANDEIAS-MG CARREGOU em SÃO GOTARDO-MG ABASTECEU no CANDEIAS-MG          </v>
      </c>
    </row>
    <row r="365" spans="1:40" x14ac:dyDescent="0.25">
      <c r="A365" s="101">
        <f>IFERROR(VLOOKUP(AN365,ROTAS!$A:$B,2,FALSE),0)</f>
        <v>99</v>
      </c>
      <c r="B365" s="101">
        <f t="shared" si="42"/>
        <v>7</v>
      </c>
      <c r="C365" s="101">
        <f t="shared" si="43"/>
        <v>840.42857142857144</v>
      </c>
      <c r="D365" s="144">
        <v>44927</v>
      </c>
      <c r="E365" s="76">
        <v>44929.375</v>
      </c>
      <c r="F365" s="6" t="s">
        <v>124</v>
      </c>
      <c r="G365" s="5" t="str">
        <f>IFERROR(VLOOKUP(SUMIFS(MSOLICITADA!$I:$I,MSOLICITADA!$B:$B,D365,MSOLICITADA!$F:$F,F365),CODIGOSPLACAS!$A$64:$B$89,2,FALSE),"")</f>
        <v>ISRAEL</v>
      </c>
      <c r="H365" s="77">
        <v>139829</v>
      </c>
      <c r="I365" s="77">
        <v>140715</v>
      </c>
      <c r="J365" s="7">
        <v>250</v>
      </c>
      <c r="K365" s="78">
        <v>1462.5</v>
      </c>
      <c r="L365" s="79" t="s">
        <v>111</v>
      </c>
      <c r="M365" s="6">
        <v>526</v>
      </c>
      <c r="N365" s="5">
        <f t="shared" si="37"/>
        <v>360</v>
      </c>
      <c r="O365" s="80">
        <f t="shared" si="38"/>
        <v>5.85</v>
      </c>
      <c r="P365" s="8">
        <f t="shared" si="39"/>
        <v>3.544</v>
      </c>
      <c r="Q365" s="8">
        <f t="shared" si="44"/>
        <v>1.6528367477149088</v>
      </c>
      <c r="R365" s="81">
        <f t="shared" si="40"/>
        <v>0.5936794582392777</v>
      </c>
      <c r="S365" s="113" t="str">
        <f>IF(F365="","",IF(H365="",TEXT(_xlfn.MAXIFS($I$1:I365,$F$1:F365,F365,$H$1:H365,"&gt;"&amp;0),"000.000"),F365))</f>
        <v>GHH9B64</v>
      </c>
      <c r="T365" s="101">
        <f t="shared" si="45"/>
        <v>388</v>
      </c>
      <c r="U365" s="82" t="s">
        <v>220</v>
      </c>
      <c r="V365" s="98" t="s">
        <v>165</v>
      </c>
      <c r="W365" s="82" t="s">
        <v>222</v>
      </c>
      <c r="X365" s="98" t="s">
        <v>167</v>
      </c>
      <c r="Y365" s="82" t="s">
        <v>221</v>
      </c>
      <c r="Z365" s="98" t="s">
        <v>252</v>
      </c>
      <c r="AA365" s="82" t="s">
        <v>220</v>
      </c>
      <c r="AB365" s="98" t="s">
        <v>206</v>
      </c>
      <c r="AC365" s="82"/>
      <c r="AD365" s="98"/>
      <c r="AE365" s="118"/>
      <c r="AF365" s="98"/>
      <c r="AG365" s="82"/>
      <c r="AH365" s="98"/>
      <c r="AI365" s="82"/>
      <c r="AJ365" s="98"/>
      <c r="AK365" s="83"/>
      <c r="AL365" s="84" t="str">
        <f>IF(F365&lt;&gt;0,IF(_xlfn.MAXIFS($I$1:I365,$F$1:F365,F365,$H$1:H365,"&gt;"&amp;0)=0,"KM NÃO ENCONTRADO",IF(H365=0,CONCATENATE("SUGESTÃO DE KM PARA PLACA ",F365," *",_xlfn.MAXIFS($I$1:I365,$F$1:F365,F365,$H$1:H365,"&gt;"&amp;0),"*"),"")),"")</f>
        <v/>
      </c>
      <c r="AM365" s="85" t="str" cm="1">
        <f t="array" ref="AM365">IFERROR(IF(M365&lt;&gt;"","",CONCATENATE("https://btx.brasiltrack.com/logistica/trajeto.php?idveiculo=",VLOOKUP(F365,DATAS!$A$221:$B$250,2,FALSE),"&amp;lat=-22.204247","&amp;data_ini=",TEXT(IF(E365&lt;&gt;"",IF(COUNTIF($F$2:$F365,F365)&gt;1,MAX(IF($F$1:$F364=F365,$E$1:$E364)),""),""),"DD/MM/AAAA"),"&amp;data_fim=",TEXT(E365,"DD/MM/AAAA"),"&amp;hora_inicial=",HOUR(IF(E365&lt;&gt;"",IF(COUNTIF($F$2:$F365,F365)&gt;1,MAX(IF($F$1:$F364=F365,$E$1:$E364)),""),"")),"&amp;minuto_inicial=",MINUTE(IF(E365&lt;&gt;"",IF(COUNTIF($F$2:$F365,F365)&gt;1,MAX(IF($F$1:$F364=F365,$E$1:$E364)),""),"")),"&amp;hora_final=",HOUR(E365),"&amp;minuto_final=",MINUTE(E365),"&amp;periodo=6&amp;tipo=por_data&amp;upos=false&amp;outequip=0")),"")</f>
        <v/>
      </c>
      <c r="AN365" s="100" t="str">
        <f t="shared" si="41"/>
        <v xml:space="preserve">ABASTECEU no 22 NORTE DESCARREGOU em VARGINHA-MG CARREGOU em SÃO GOTARDO-MG ABASTECEU no CANDEIAS-MG        </v>
      </c>
    </row>
    <row r="366" spans="1:40" x14ac:dyDescent="0.25">
      <c r="A366" s="101">
        <f>IFERROR(VLOOKUP(AN366,ROTAS!$A:$B,2,FALSE),0)</f>
        <v>104</v>
      </c>
      <c r="B366" s="101">
        <f t="shared" si="42"/>
        <v>10</v>
      </c>
      <c r="C366" s="101">
        <f t="shared" si="43"/>
        <v>375.7</v>
      </c>
      <c r="D366" s="144">
        <v>44927</v>
      </c>
      <c r="E366" s="76">
        <v>44929.45208333333</v>
      </c>
      <c r="F366" s="6" t="s">
        <v>128</v>
      </c>
      <c r="G366" s="5" t="str">
        <f>IFERROR(VLOOKUP(SUMIFS(MSOLICITADA!$I:$I,MSOLICITADA!$B:$B,D366,MSOLICITADA!$F:$F,F366),CODIGOSPLACAS!$A$64:$B$89,2,FALSE),"")</f>
        <v>ELI RICARDO</v>
      </c>
      <c r="H366" s="77">
        <v>92544</v>
      </c>
      <c r="I366" s="77">
        <v>92922</v>
      </c>
      <c r="J366" s="7">
        <v>484.09</v>
      </c>
      <c r="K366" s="78">
        <v>2996.53</v>
      </c>
      <c r="L366" s="79" t="s">
        <v>111</v>
      </c>
      <c r="M366" s="6">
        <v>378</v>
      </c>
      <c r="N366" s="5" t="str">
        <f t="shared" si="37"/>
        <v/>
      </c>
      <c r="O366" s="80">
        <f t="shared" si="38"/>
        <v>6.1900266479373673</v>
      </c>
      <c r="P366" s="8">
        <f t="shared" si="39"/>
        <v>0.78084653680100813</v>
      </c>
      <c r="Q366" s="8">
        <f t="shared" si="44"/>
        <v>1.7619806950171255</v>
      </c>
      <c r="R366" s="81">
        <f t="shared" si="40"/>
        <v>1</v>
      </c>
      <c r="S366" s="113" t="str">
        <f>IF(F366="","",IF(H366="",TEXT(_xlfn.MAXIFS($I$1:I366,$F$1:F366,F366,$H$1:H366,"&gt;"&amp;0),"000.000"),F366))</f>
        <v>GFR0D47</v>
      </c>
      <c r="T366" s="101" t="str">
        <f t="shared" si="45"/>
        <v/>
      </c>
      <c r="U366" s="82" t="s">
        <v>220</v>
      </c>
      <c r="V366" s="98" t="s">
        <v>206</v>
      </c>
      <c r="W366" s="82" t="s">
        <v>220</v>
      </c>
      <c r="X366" s="98" t="s">
        <v>166</v>
      </c>
      <c r="Y366" s="82"/>
      <c r="Z366" s="98"/>
      <c r="AA366" s="82"/>
      <c r="AB366" s="98"/>
      <c r="AC366" s="82"/>
      <c r="AD366" s="98"/>
      <c r="AE366" s="118"/>
      <c r="AF366" s="98"/>
      <c r="AG366" s="82"/>
      <c r="AH366" s="98"/>
      <c r="AI366" s="82"/>
      <c r="AJ366" s="98"/>
      <c r="AK366" s="83"/>
      <c r="AL366" s="84" t="str">
        <f>IF(F366&lt;&gt;0,IF(_xlfn.MAXIFS($I$1:I366,$F$1:F366,F366,$H$1:H366,"&gt;"&amp;0)=0,"KM NÃO ENCONTRADO",IF(H366=0,CONCATENATE("SUGESTÃO DE KM PARA PLACA ",F366," *",_xlfn.MAXIFS($I$1:I366,$F$1:F366,F366,$H$1:H366,"&gt;"&amp;0),"*"),"")),"")</f>
        <v/>
      </c>
      <c r="AM366" s="85" t="str" cm="1">
        <f t="array" ref="AM366">IFERROR(IF(M366&lt;&gt;"","",CONCATENATE("https://btx.brasiltrack.com/logistica/trajeto.php?idveiculo=",VLOOKUP(F366,DATAS!$A$221:$B$250,2,FALSE),"&amp;lat=-22.204247","&amp;data_ini=",TEXT(IF(E366&lt;&gt;"",IF(COUNTIF($F$2:$F366,F366)&gt;1,MAX(IF($F$1:$F365=F366,$E$1:$E365)),""),""),"DD/MM/AAAA"),"&amp;data_fim=",TEXT(E366,"DD/MM/AAAA"),"&amp;hora_inicial=",HOUR(IF(E366&lt;&gt;"",IF(COUNTIF($F$2:$F366,F366)&gt;1,MAX(IF($F$1:$F365=F366,$E$1:$E365)),""),"")),"&amp;minuto_inicial=",MINUTE(IF(E366&lt;&gt;"",IF(COUNTIF($F$2:$F366,F366)&gt;1,MAX(IF($F$1:$F365=F366,$E$1:$E365)),""),"")),"&amp;hora_final=",HOUR(E366),"&amp;minuto_final=",MINUTE(E366),"&amp;periodo=6&amp;tipo=por_data&amp;upos=false&amp;outequip=0")),"")</f>
        <v/>
      </c>
      <c r="AN366" s="100" t="str">
        <f t="shared" si="41"/>
        <v xml:space="preserve">ABASTECEU no CANDEIAS-MG ABASTECEU no 22 SUL            </v>
      </c>
    </row>
    <row r="367" spans="1:40" x14ac:dyDescent="0.25">
      <c r="A367" s="101">
        <f>IFERROR(VLOOKUP(AN367,ROTAS!$A:$B,2,FALSE),0)</f>
        <v>104</v>
      </c>
      <c r="B367" s="101">
        <f t="shared" si="42"/>
        <v>10</v>
      </c>
      <c r="C367" s="101">
        <f t="shared" si="43"/>
        <v>375.7</v>
      </c>
      <c r="D367" s="144">
        <v>44927</v>
      </c>
      <c r="E367" s="76">
        <v>44929.45416666667</v>
      </c>
      <c r="F367" s="6" t="s">
        <v>32</v>
      </c>
      <c r="G367" s="5" t="str">
        <f>IFERROR(VLOOKUP(SUMIFS(MSOLICITADA!$I:$I,MSOLICITADA!$B:$B,D367,MSOLICITADA!$F:$F,F367),CODIGOSPLACAS!$A$64:$B$89,2,FALSE),"")</f>
        <v>ADILSON</v>
      </c>
      <c r="H367" s="77">
        <v>201002</v>
      </c>
      <c r="I367" s="77">
        <v>201375</v>
      </c>
      <c r="J367" s="7">
        <v>442</v>
      </c>
      <c r="K367" s="78">
        <v>2735.98</v>
      </c>
      <c r="L367" s="79" t="s">
        <v>111</v>
      </c>
      <c r="M367" s="6">
        <v>373</v>
      </c>
      <c r="N367" s="5" t="str">
        <f t="shared" si="37"/>
        <v/>
      </c>
      <c r="O367" s="80">
        <f t="shared" si="38"/>
        <v>6.19</v>
      </c>
      <c r="P367" s="8">
        <f t="shared" si="39"/>
        <v>0.84389140271493213</v>
      </c>
      <c r="Q367" s="8">
        <f t="shared" si="44"/>
        <v>1.6695575721559062</v>
      </c>
      <c r="R367" s="81">
        <f t="shared" si="40"/>
        <v>1</v>
      </c>
      <c r="S367" s="113" t="str">
        <f>IF(F367="","",IF(H367="",TEXT(_xlfn.MAXIFS($I$1:I367,$F$1:F367,F367,$H$1:H367,"&gt;"&amp;0),"000.000"),F367))</f>
        <v>GJU9A22</v>
      </c>
      <c r="T367" s="101" t="str">
        <f t="shared" si="45"/>
        <v/>
      </c>
      <c r="U367" s="82" t="s">
        <v>220</v>
      </c>
      <c r="V367" s="98" t="s">
        <v>206</v>
      </c>
      <c r="W367" s="82" t="s">
        <v>220</v>
      </c>
      <c r="X367" s="98" t="s">
        <v>166</v>
      </c>
      <c r="Y367" s="82"/>
      <c r="Z367" s="98"/>
      <c r="AA367" s="82"/>
      <c r="AB367" s="98"/>
      <c r="AC367" s="82"/>
      <c r="AD367" s="98"/>
      <c r="AE367" s="118"/>
      <c r="AF367" s="98"/>
      <c r="AG367" s="82"/>
      <c r="AH367" s="98"/>
      <c r="AI367" s="82"/>
      <c r="AJ367" s="98"/>
      <c r="AK367" s="83"/>
      <c r="AL367" s="84" t="str">
        <f>IF(F367&lt;&gt;0,IF(_xlfn.MAXIFS($I$1:I367,$F$1:F367,F367,$H$1:H367,"&gt;"&amp;0)=0,"KM NÃO ENCONTRADO",IF(H367=0,CONCATENATE("SUGESTÃO DE KM PARA PLACA ",F367," *",_xlfn.MAXIFS($I$1:I367,$F$1:F367,F367,$H$1:H367,"&gt;"&amp;0),"*"),"")),"")</f>
        <v/>
      </c>
      <c r="AM367" s="85" t="str" cm="1">
        <f t="array" ref="AM367">IFERROR(IF(M367&lt;&gt;"","",CONCATENATE("https://btx.brasiltrack.com/logistica/trajeto.php?idveiculo=",VLOOKUP(F367,DATAS!$A$221:$B$250,2,FALSE),"&amp;lat=-22.204247","&amp;data_ini=",TEXT(IF(E367&lt;&gt;"",IF(COUNTIF($F$2:$F367,F367)&gt;1,MAX(IF($F$1:$F366=F367,$E$1:$E366)),""),""),"DD/MM/AAAA"),"&amp;data_fim=",TEXT(E367,"DD/MM/AAAA"),"&amp;hora_inicial=",HOUR(IF(E367&lt;&gt;"",IF(COUNTIF($F$2:$F367,F367)&gt;1,MAX(IF($F$1:$F366=F367,$E$1:$E366)),""),"")),"&amp;minuto_inicial=",MINUTE(IF(E367&lt;&gt;"",IF(COUNTIF($F$2:$F367,F367)&gt;1,MAX(IF($F$1:$F366=F367,$E$1:$E366)),""),"")),"&amp;hora_final=",HOUR(E367),"&amp;minuto_final=",MINUTE(E367),"&amp;periodo=6&amp;tipo=por_data&amp;upos=false&amp;outequip=0")),"")</f>
        <v/>
      </c>
      <c r="AN367" s="100" t="str">
        <f t="shared" si="41"/>
        <v xml:space="preserve">ABASTECEU no CANDEIAS-MG ABASTECEU no 22 SUL            </v>
      </c>
    </row>
    <row r="368" spans="1:40" x14ac:dyDescent="0.25">
      <c r="A368" s="101">
        <f>IFERROR(VLOOKUP(AN368,ROTAS!$A:$B,2,FALSE),0)</f>
        <v>104</v>
      </c>
      <c r="B368" s="101">
        <f t="shared" si="42"/>
        <v>10</v>
      </c>
      <c r="C368" s="101">
        <f t="shared" si="43"/>
        <v>375.7</v>
      </c>
      <c r="D368" s="144">
        <v>44927</v>
      </c>
      <c r="E368" s="76">
        <v>44929.457638888889</v>
      </c>
      <c r="F368" s="6" t="s">
        <v>30</v>
      </c>
      <c r="G368" s="5" t="str">
        <f>IFERROR(VLOOKUP(SUMIFS(MSOLICITADA!$I:$I,MSOLICITADA!$B:$B,D368,MSOLICITADA!$F:$F,F368),CODIGOSPLACAS!$A$64:$B$89,2,FALSE),"")</f>
        <v>RONILSON</v>
      </c>
      <c r="H368" s="77">
        <v>220068</v>
      </c>
      <c r="I368" s="77">
        <v>220442</v>
      </c>
      <c r="J368" s="7">
        <v>427.58</v>
      </c>
      <c r="K368" s="78">
        <v>2646.72</v>
      </c>
      <c r="L368" s="79" t="s">
        <v>111</v>
      </c>
      <c r="M368" s="6">
        <v>374</v>
      </c>
      <c r="N368" s="5" t="str">
        <f t="shared" si="37"/>
        <v/>
      </c>
      <c r="O368" s="80">
        <f t="shared" si="38"/>
        <v>6.1899995322512744</v>
      </c>
      <c r="P368" s="8">
        <f t="shared" si="39"/>
        <v>0.87469011646943262</v>
      </c>
      <c r="Q368" s="8">
        <f t="shared" si="44"/>
        <v>1.6205104706314435</v>
      </c>
      <c r="R368" s="81">
        <f t="shared" si="40"/>
        <v>1</v>
      </c>
      <c r="S368" s="113" t="str">
        <f>IF(F368="","",IF(H368="",TEXT(_xlfn.MAXIFS($I$1:I368,$F$1:F368,F368,$H$1:H368,"&gt;"&amp;0),"000.000"),F368))</f>
        <v>GFB0I37</v>
      </c>
      <c r="T368" s="101" t="str">
        <f t="shared" si="45"/>
        <v/>
      </c>
      <c r="U368" s="82" t="s">
        <v>220</v>
      </c>
      <c r="V368" s="98" t="s">
        <v>206</v>
      </c>
      <c r="W368" s="82" t="s">
        <v>220</v>
      </c>
      <c r="X368" s="98" t="s">
        <v>166</v>
      </c>
      <c r="Y368" s="82"/>
      <c r="Z368" s="98"/>
      <c r="AA368" s="82"/>
      <c r="AB368" s="98"/>
      <c r="AC368" s="82"/>
      <c r="AD368" s="98"/>
      <c r="AE368" s="118"/>
      <c r="AF368" s="98"/>
      <c r="AG368" s="82"/>
      <c r="AH368" s="98"/>
      <c r="AI368" s="82"/>
      <c r="AJ368" s="98"/>
      <c r="AK368" s="83"/>
      <c r="AL368" s="84" t="str">
        <f>IF(F368&lt;&gt;0,IF(_xlfn.MAXIFS($I$1:I368,$F$1:F368,F368,$H$1:H368,"&gt;"&amp;0)=0,"KM NÃO ENCONTRADO",IF(H368=0,CONCATENATE("SUGESTÃO DE KM PARA PLACA ",F368," *",_xlfn.MAXIFS($I$1:I368,$F$1:F368,F368,$H$1:H368,"&gt;"&amp;0),"*"),"")),"")</f>
        <v/>
      </c>
      <c r="AM368" s="85" t="str" cm="1">
        <f t="array" ref="AM368">IFERROR(IF(M368&lt;&gt;"","",CONCATENATE("https://btx.brasiltrack.com/logistica/trajeto.php?idveiculo=",VLOOKUP(F368,DATAS!$A$221:$B$250,2,FALSE),"&amp;lat=-22.204247","&amp;data_ini=",TEXT(IF(E368&lt;&gt;"",IF(COUNTIF($F$2:$F368,F368)&gt;1,MAX(IF($F$1:$F367=F368,$E$1:$E367)),""),""),"DD/MM/AAAA"),"&amp;data_fim=",TEXT(E368,"DD/MM/AAAA"),"&amp;hora_inicial=",HOUR(IF(E368&lt;&gt;"",IF(COUNTIF($F$2:$F368,F368)&gt;1,MAX(IF($F$1:$F367=F368,$E$1:$E367)),""),"")),"&amp;minuto_inicial=",MINUTE(IF(E368&lt;&gt;"",IF(COUNTIF($F$2:$F368,F368)&gt;1,MAX(IF($F$1:$F367=F368,$E$1:$E367)),""),"")),"&amp;hora_final=",HOUR(E368),"&amp;minuto_final=",MINUTE(E368),"&amp;periodo=6&amp;tipo=por_data&amp;upos=false&amp;outequip=0")),"")</f>
        <v/>
      </c>
      <c r="AN368" s="100" t="str">
        <f t="shared" si="41"/>
        <v xml:space="preserve">ABASTECEU no CANDEIAS-MG ABASTECEU no 22 SUL            </v>
      </c>
    </row>
    <row r="369" spans="1:40" x14ac:dyDescent="0.25">
      <c r="A369" s="101">
        <f>IFERROR(VLOOKUP(AN369,ROTAS!$A:$B,2,FALSE),0)</f>
        <v>104</v>
      </c>
      <c r="B369" s="101">
        <f t="shared" si="42"/>
        <v>10</v>
      </c>
      <c r="C369" s="101">
        <f t="shared" si="43"/>
        <v>375.7</v>
      </c>
      <c r="D369" s="144">
        <v>44927</v>
      </c>
      <c r="E369" s="76">
        <v>44929.465277777781</v>
      </c>
      <c r="F369" s="6" t="s">
        <v>29</v>
      </c>
      <c r="G369" s="5" t="str">
        <f>IFERROR(VLOOKUP(SUMIFS(MSOLICITADA!$I:$I,MSOLICITADA!$B:$B,D369,MSOLICITADA!$F:$F,F369),CODIGOSPLACAS!$A$64:$B$89,2,FALSE),"")</f>
        <v>EDNILSON</v>
      </c>
      <c r="H369" s="77">
        <v>239383</v>
      </c>
      <c r="I369" s="77">
        <v>239758</v>
      </c>
      <c r="J369" s="7">
        <v>541.70000000000005</v>
      </c>
      <c r="K369" s="78">
        <v>3353.12</v>
      </c>
      <c r="L369" s="79" t="s">
        <v>111</v>
      </c>
      <c r="M369" s="6">
        <v>375</v>
      </c>
      <c r="N369" s="5" t="str">
        <f t="shared" si="37"/>
        <v/>
      </c>
      <c r="O369" s="80">
        <f t="shared" si="38"/>
        <v>6.1899944618792686</v>
      </c>
      <c r="P369" s="8">
        <f t="shared" si="39"/>
        <v>0.69226509137899206</v>
      </c>
      <c r="Q369" s="8">
        <f t="shared" si="44"/>
        <v>1.5966128652005338</v>
      </c>
      <c r="R369" s="81">
        <f t="shared" si="40"/>
        <v>1</v>
      </c>
      <c r="S369" s="113" t="str">
        <f>IF(F369="","",IF(H369="",TEXT(_xlfn.MAXIFS($I$1:I369,$F$1:F369,F369,$H$1:H369,"&gt;"&amp;0),"000.000"),F369))</f>
        <v>GKA2J56</v>
      </c>
      <c r="T369" s="101" t="str">
        <f t="shared" si="45"/>
        <v/>
      </c>
      <c r="U369" s="82" t="s">
        <v>220</v>
      </c>
      <c r="V369" s="98" t="s">
        <v>206</v>
      </c>
      <c r="W369" s="82" t="s">
        <v>220</v>
      </c>
      <c r="X369" s="98" t="s">
        <v>166</v>
      </c>
      <c r="Y369" s="82"/>
      <c r="Z369" s="98"/>
      <c r="AA369" s="82"/>
      <c r="AB369" s="98"/>
      <c r="AC369" s="82"/>
      <c r="AD369" s="98"/>
      <c r="AE369" s="118"/>
      <c r="AF369" s="98"/>
      <c r="AG369" s="82"/>
      <c r="AH369" s="98"/>
      <c r="AI369" s="82"/>
      <c r="AJ369" s="98"/>
      <c r="AK369" s="83"/>
      <c r="AL369" s="84" t="str">
        <f>IF(F369&lt;&gt;0,IF(_xlfn.MAXIFS($I$1:I369,$F$1:F369,F369,$H$1:H369,"&gt;"&amp;0)=0,"KM NÃO ENCONTRADO",IF(H369=0,CONCATENATE("SUGESTÃO DE KM PARA PLACA ",F369," *",_xlfn.MAXIFS($I$1:I369,$F$1:F369,F369,$H$1:H369,"&gt;"&amp;0),"*"),"")),"")</f>
        <v/>
      </c>
      <c r="AM369" s="85" t="str" cm="1">
        <f t="array" ref="AM369">IFERROR(IF(M369&lt;&gt;"","",CONCATENATE("https://btx.brasiltrack.com/logistica/trajeto.php?idveiculo=",VLOOKUP(F369,DATAS!$A$221:$B$250,2,FALSE),"&amp;lat=-22.204247","&amp;data_ini=",TEXT(IF(E369&lt;&gt;"",IF(COUNTIF($F$2:$F369,F369)&gt;1,MAX(IF($F$1:$F368=F369,$E$1:$E368)),""),""),"DD/MM/AAAA"),"&amp;data_fim=",TEXT(E369,"DD/MM/AAAA"),"&amp;hora_inicial=",HOUR(IF(E369&lt;&gt;"",IF(COUNTIF($F$2:$F369,F369)&gt;1,MAX(IF($F$1:$F368=F369,$E$1:$E368)),""),"")),"&amp;minuto_inicial=",MINUTE(IF(E369&lt;&gt;"",IF(COUNTIF($F$2:$F369,F369)&gt;1,MAX(IF($F$1:$F368=F369,$E$1:$E368)),""),"")),"&amp;hora_final=",HOUR(E369),"&amp;minuto_final=",MINUTE(E369),"&amp;periodo=6&amp;tipo=por_data&amp;upos=false&amp;outequip=0")),"")</f>
        <v/>
      </c>
      <c r="AN369" s="100" t="str">
        <f t="shared" si="41"/>
        <v xml:space="preserve">ABASTECEU no CANDEIAS-MG ABASTECEU no 22 SUL            </v>
      </c>
    </row>
    <row r="370" spans="1:40" x14ac:dyDescent="0.25">
      <c r="A370" s="101">
        <f>IFERROR(VLOOKUP(AN370,ROTAS!$A:$B,2,FALSE),0)</f>
        <v>104</v>
      </c>
      <c r="B370" s="101">
        <f t="shared" si="42"/>
        <v>10</v>
      </c>
      <c r="C370" s="101">
        <f t="shared" si="43"/>
        <v>375.7</v>
      </c>
      <c r="D370" s="144">
        <v>44927</v>
      </c>
      <c r="E370" s="76">
        <v>44929.474305555559</v>
      </c>
      <c r="F370" s="6" t="s">
        <v>28</v>
      </c>
      <c r="G370" s="5" t="str">
        <f>IFERROR(VLOOKUP(SUMIFS(MSOLICITADA!$I:$I,MSOLICITADA!$B:$B,D370,MSOLICITADA!$F:$F,F370),CODIGOSPLACAS!$A$64:$B$89,2,FALSE),"")</f>
        <v>RONY</v>
      </c>
      <c r="H370" s="77">
        <v>243822</v>
      </c>
      <c r="I370" s="77">
        <v>244197</v>
      </c>
      <c r="J370" s="7">
        <v>599.29999999999995</v>
      </c>
      <c r="K370" s="78">
        <v>3709.66</v>
      </c>
      <c r="L370" s="79" t="s">
        <v>111</v>
      </c>
      <c r="M370" s="6">
        <v>375</v>
      </c>
      <c r="N370" s="5" t="str">
        <f t="shared" si="37"/>
        <v/>
      </c>
      <c r="O370" s="80">
        <f t="shared" si="38"/>
        <v>6.1899883197063241</v>
      </c>
      <c r="P370" s="8">
        <f t="shared" si="39"/>
        <v>0.62573001835474729</v>
      </c>
      <c r="Q370" s="8">
        <f t="shared" si="44"/>
        <v>1.519654959485309</v>
      </c>
      <c r="R370" s="81">
        <f t="shared" si="40"/>
        <v>1</v>
      </c>
      <c r="S370" s="113" t="str">
        <f>IF(F370="","",IF(H370="",TEXT(_xlfn.MAXIFS($I$1:I370,$F$1:F370,F370,$H$1:H370,"&gt;"&amp;0),"000.000"),F370))</f>
        <v>FZA3E94</v>
      </c>
      <c r="T370" s="101" t="str">
        <f t="shared" si="45"/>
        <v/>
      </c>
      <c r="U370" s="82" t="s">
        <v>220</v>
      </c>
      <c r="V370" s="98" t="s">
        <v>206</v>
      </c>
      <c r="W370" s="82" t="s">
        <v>220</v>
      </c>
      <c r="X370" s="98" t="s">
        <v>166</v>
      </c>
      <c r="Y370" s="82"/>
      <c r="Z370" s="98"/>
      <c r="AA370" s="82"/>
      <c r="AB370" s="98"/>
      <c r="AC370" s="82"/>
      <c r="AD370" s="98"/>
      <c r="AE370" s="118"/>
      <c r="AF370" s="98"/>
      <c r="AG370" s="82"/>
      <c r="AH370" s="98"/>
      <c r="AI370" s="82"/>
      <c r="AJ370" s="98"/>
      <c r="AK370" s="83"/>
      <c r="AL370" s="84" t="str">
        <f>IF(F370&lt;&gt;0,IF(_xlfn.MAXIFS($I$1:I370,$F$1:F370,F370,$H$1:H370,"&gt;"&amp;0)=0,"KM NÃO ENCONTRADO",IF(H370=0,CONCATENATE("SUGESTÃO DE KM PARA PLACA ",F370," *",_xlfn.MAXIFS($I$1:I370,$F$1:F370,F370,$H$1:H370,"&gt;"&amp;0),"*"),"")),"")</f>
        <v/>
      </c>
      <c r="AM370" s="85" t="str" cm="1">
        <f t="array" ref="AM370">IFERROR(IF(M370&lt;&gt;"","",CONCATENATE("https://btx.brasiltrack.com/logistica/trajeto.php?idveiculo=",VLOOKUP(F370,DATAS!$A$221:$B$250,2,FALSE),"&amp;lat=-22.204247","&amp;data_ini=",TEXT(IF(E370&lt;&gt;"",IF(COUNTIF($F$2:$F370,F370)&gt;1,MAX(IF($F$1:$F369=F370,$E$1:$E369)),""),""),"DD/MM/AAAA"),"&amp;data_fim=",TEXT(E370,"DD/MM/AAAA"),"&amp;hora_inicial=",HOUR(IF(E370&lt;&gt;"",IF(COUNTIF($F$2:$F370,F370)&gt;1,MAX(IF($F$1:$F369=F370,$E$1:$E369)),""),"")),"&amp;minuto_inicial=",MINUTE(IF(E370&lt;&gt;"",IF(COUNTIF($F$2:$F370,F370)&gt;1,MAX(IF($F$1:$F369=F370,$E$1:$E369)),""),"")),"&amp;hora_final=",HOUR(E370),"&amp;minuto_final=",MINUTE(E370),"&amp;periodo=6&amp;tipo=por_data&amp;upos=false&amp;outequip=0")),"")</f>
        <v/>
      </c>
      <c r="AN370" s="100" t="str">
        <f t="shared" si="41"/>
        <v xml:space="preserve">ABASTECEU no CANDEIAS-MG ABASTECEU no 22 SUL            </v>
      </c>
    </row>
    <row r="371" spans="1:40" x14ac:dyDescent="0.25">
      <c r="A371" s="101">
        <f>IFERROR(VLOOKUP(AN371,ROTAS!$A:$B,2,FALSE),0)</f>
        <v>102</v>
      </c>
      <c r="B371" s="101">
        <f t="shared" si="42"/>
        <v>2</v>
      </c>
      <c r="C371" s="101">
        <f t="shared" si="43"/>
        <v>838.5</v>
      </c>
      <c r="D371" s="144">
        <v>44927</v>
      </c>
      <c r="E371" s="76">
        <v>44929.539583333331</v>
      </c>
      <c r="F371" s="6" t="s">
        <v>127</v>
      </c>
      <c r="G371" s="5" t="str">
        <f>IFERROR(VLOOKUP(SUMIFS(MSOLICITADA!$I:$I,MSOLICITADA!$B:$B,D371,MSOLICITADA!$F:$F,F371),CODIGOSPLACAS!$A$64:$B$89,2,FALSE),"")</f>
        <v>EVERTON</v>
      </c>
      <c r="H371" s="77">
        <v>1230595</v>
      </c>
      <c r="I371" s="77">
        <v>1231443</v>
      </c>
      <c r="J371" s="7">
        <v>458.72</v>
      </c>
      <c r="K371" s="78">
        <v>2839.47</v>
      </c>
      <c r="L371" s="79" t="s">
        <v>111</v>
      </c>
      <c r="M371" s="6">
        <v>613</v>
      </c>
      <c r="N371" s="5">
        <f t="shared" si="37"/>
        <v>235</v>
      </c>
      <c r="O371" s="80">
        <f t="shared" si="38"/>
        <v>6.1899851761423079</v>
      </c>
      <c r="P371" s="8">
        <f t="shared" si="39"/>
        <v>1.848622253226369</v>
      </c>
      <c r="Q371" s="8">
        <f t="shared" si="44"/>
        <v>1.9701972800245917</v>
      </c>
      <c r="R371" s="81">
        <f t="shared" si="40"/>
        <v>0.722877358490566</v>
      </c>
      <c r="S371" s="113" t="str">
        <f>IF(F371="","",IF(H371="",TEXT(_xlfn.MAXIFS($I$1:I371,$F$1:F371,F371,$H$1:H371,"&gt;"&amp;0),"000.000"),F371))</f>
        <v>OPM8J51</v>
      </c>
      <c r="T371" s="101">
        <f t="shared" si="45"/>
        <v>235</v>
      </c>
      <c r="U371" s="82" t="s">
        <v>220</v>
      </c>
      <c r="V371" s="98" t="s">
        <v>206</v>
      </c>
      <c r="W371" s="82" t="s">
        <v>221</v>
      </c>
      <c r="X371" s="98" t="s">
        <v>252</v>
      </c>
      <c r="Y371" s="82" t="s">
        <v>220</v>
      </c>
      <c r="Z371" s="98" t="s">
        <v>166</v>
      </c>
      <c r="AA371" s="82"/>
      <c r="AB371" s="98"/>
      <c r="AC371" s="82"/>
      <c r="AD371" s="98"/>
      <c r="AE371" s="118"/>
      <c r="AF371" s="98"/>
      <c r="AG371" s="82"/>
      <c r="AH371" s="98"/>
      <c r="AI371" s="82"/>
      <c r="AJ371" s="98"/>
      <c r="AK371" s="83"/>
      <c r="AL371" s="84" t="str">
        <f>IF(F371&lt;&gt;0,IF(_xlfn.MAXIFS($I$1:I371,$F$1:F371,F371,$H$1:H371,"&gt;"&amp;0)=0,"KM NÃO ENCONTRADO",IF(H371=0,CONCATENATE("SUGESTÃO DE KM PARA PLACA ",F371," *",_xlfn.MAXIFS($I$1:I371,$F$1:F371,F371,$H$1:H371,"&gt;"&amp;0),"*"),"")),"")</f>
        <v/>
      </c>
      <c r="AM371" s="85" t="str" cm="1">
        <f t="array" ref="AM371">IFERROR(IF(M371&lt;&gt;"","",CONCATENATE("https://btx.brasiltrack.com/logistica/trajeto.php?idveiculo=",VLOOKUP(F371,DATAS!$A$221:$B$250,2,FALSE),"&amp;lat=-22.204247","&amp;data_ini=",TEXT(IF(E371&lt;&gt;"",IF(COUNTIF($F$2:$F371,F371)&gt;1,MAX(IF($F$1:$F370=F371,$E$1:$E370)),""),""),"DD/MM/AAAA"),"&amp;data_fim=",TEXT(E371,"DD/MM/AAAA"),"&amp;hora_inicial=",HOUR(IF(E371&lt;&gt;"",IF(COUNTIF($F$2:$F371,F371)&gt;1,MAX(IF($F$1:$F370=F371,$E$1:$E370)),""),"")),"&amp;minuto_inicial=",MINUTE(IF(E371&lt;&gt;"",IF(COUNTIF($F$2:$F371,F371)&gt;1,MAX(IF($F$1:$F370=F371,$E$1:$E370)),""),"")),"&amp;hora_final=",HOUR(E371),"&amp;minuto_final=",MINUTE(E371),"&amp;periodo=6&amp;tipo=por_data&amp;upos=false&amp;outequip=0")),"")</f>
        <v/>
      </c>
      <c r="AN371" s="100" t="str">
        <f t="shared" si="41"/>
        <v xml:space="preserve">ABASTECEU no CANDEIAS-MG CARREGOU em SÃO GOTARDO-MG ABASTECEU no 22 SUL          </v>
      </c>
    </row>
    <row r="372" spans="1:40" x14ac:dyDescent="0.25">
      <c r="A372" s="101">
        <f>IFERROR(VLOOKUP(AN372,ROTAS!$A:$B,2,FALSE),0)</f>
        <v>104</v>
      </c>
      <c r="B372" s="101">
        <f t="shared" si="42"/>
        <v>10</v>
      </c>
      <c r="C372" s="101">
        <f t="shared" si="43"/>
        <v>375.7</v>
      </c>
      <c r="D372" s="144">
        <v>44927</v>
      </c>
      <c r="E372" s="76">
        <v>44929.540277777778</v>
      </c>
      <c r="F372" s="6" t="s">
        <v>25</v>
      </c>
      <c r="G372" s="5" t="str">
        <f>IFERROR(VLOOKUP(SUMIFS(MSOLICITADA!$I:$I,MSOLICITADA!$B:$B,D372,MSOLICITADA!$F:$F,F372),CODIGOSPLACAS!$A$64:$B$89,2,FALSE),"")</f>
        <v>EDUALDO</v>
      </c>
      <c r="H372" s="77">
        <v>1012452</v>
      </c>
      <c r="I372" s="77">
        <v>1012831</v>
      </c>
      <c r="J372" s="7">
        <v>320.43</v>
      </c>
      <c r="K372" s="78">
        <v>1983.46</v>
      </c>
      <c r="L372" s="79" t="s">
        <v>111</v>
      </c>
      <c r="M372" s="6">
        <v>379</v>
      </c>
      <c r="N372" s="5" t="str">
        <f t="shared" si="37"/>
        <v/>
      </c>
      <c r="O372" s="80">
        <f t="shared" si="38"/>
        <v>6.1899946946290925</v>
      </c>
      <c r="P372" s="8">
        <f t="shared" si="39"/>
        <v>1.1827856318072589</v>
      </c>
      <c r="Q372" s="8">
        <f t="shared" si="44"/>
        <v>1.4288896110685252</v>
      </c>
      <c r="R372" s="81">
        <f t="shared" si="40"/>
        <v>1</v>
      </c>
      <c r="S372" s="113" t="str">
        <f>IF(F372="","",IF(H372="",TEXT(_xlfn.MAXIFS($I$1:I372,$F$1:F372,F372,$H$1:H372,"&gt;"&amp;0),"000.000"),F372))</f>
        <v>QHE9735</v>
      </c>
      <c r="T372" s="101" t="str">
        <f t="shared" si="45"/>
        <v/>
      </c>
      <c r="U372" s="82" t="s">
        <v>220</v>
      </c>
      <c r="V372" s="98" t="s">
        <v>206</v>
      </c>
      <c r="W372" s="82" t="s">
        <v>220</v>
      </c>
      <c r="X372" s="98" t="s">
        <v>166</v>
      </c>
      <c r="Y372" s="82"/>
      <c r="Z372" s="98"/>
      <c r="AA372" s="82"/>
      <c r="AB372" s="98"/>
      <c r="AC372" s="82"/>
      <c r="AD372" s="98"/>
      <c r="AE372" s="118"/>
      <c r="AF372" s="98"/>
      <c r="AG372" s="82"/>
      <c r="AH372" s="98"/>
      <c r="AI372" s="82"/>
      <c r="AJ372" s="98"/>
      <c r="AK372" s="83"/>
      <c r="AL372" s="84" t="str">
        <f>IF(F372&lt;&gt;0,IF(_xlfn.MAXIFS($I$1:I372,$F$1:F372,F372,$H$1:H372,"&gt;"&amp;0)=0,"KM NÃO ENCONTRADO",IF(H372=0,CONCATENATE("SUGESTÃO DE KM PARA PLACA ",F372," *",_xlfn.MAXIFS($I$1:I372,$F$1:F372,F372,$H$1:H372,"&gt;"&amp;0),"*"),"")),"")</f>
        <v/>
      </c>
      <c r="AM372" s="85" t="str" cm="1">
        <f t="array" ref="AM372">IFERROR(IF(M372&lt;&gt;"","",CONCATENATE("https://btx.brasiltrack.com/logistica/trajeto.php?idveiculo=",VLOOKUP(F372,DATAS!$A$221:$B$250,2,FALSE),"&amp;lat=-22.204247","&amp;data_ini=",TEXT(IF(E372&lt;&gt;"",IF(COUNTIF($F$2:$F372,F372)&gt;1,MAX(IF($F$1:$F371=F372,$E$1:$E371)),""),""),"DD/MM/AAAA"),"&amp;data_fim=",TEXT(E372,"DD/MM/AAAA"),"&amp;hora_inicial=",HOUR(IF(E372&lt;&gt;"",IF(COUNTIF($F$2:$F372,F372)&gt;1,MAX(IF($F$1:$F371=F372,$E$1:$E371)),""),"")),"&amp;minuto_inicial=",MINUTE(IF(E372&lt;&gt;"",IF(COUNTIF($F$2:$F372,F372)&gt;1,MAX(IF($F$1:$F371=F372,$E$1:$E371)),""),"")),"&amp;hora_final=",HOUR(E372),"&amp;minuto_final=",MINUTE(E372),"&amp;periodo=6&amp;tipo=por_data&amp;upos=false&amp;outequip=0")),"")</f>
        <v/>
      </c>
      <c r="AN372" s="100" t="str">
        <f t="shared" si="41"/>
        <v xml:space="preserve">ABASTECEU no CANDEIAS-MG ABASTECEU no 22 SUL            </v>
      </c>
    </row>
    <row r="373" spans="1:40" x14ac:dyDescent="0.25">
      <c r="A373" s="101">
        <f>IFERROR(VLOOKUP(AN373,ROTAS!$A:$B,2,FALSE),0)</f>
        <v>104</v>
      </c>
      <c r="B373" s="101">
        <f t="shared" si="42"/>
        <v>10</v>
      </c>
      <c r="C373" s="101">
        <f t="shared" si="43"/>
        <v>375.7</v>
      </c>
      <c r="D373" s="144">
        <v>44927</v>
      </c>
      <c r="E373" s="76">
        <v>44929.54791666667</v>
      </c>
      <c r="F373" s="6" t="s">
        <v>27</v>
      </c>
      <c r="G373" s="5" t="str">
        <f>IFERROR(VLOOKUP(SUMIFS(MSOLICITADA!$I:$I,MSOLICITADA!$B:$B,D373,MSOLICITADA!$F:$F,F373),CODIGOSPLACAS!$A$64:$B$89,2,FALSE),"")</f>
        <v>ANTONIO</v>
      </c>
      <c r="H373" s="77">
        <v>248602</v>
      </c>
      <c r="I373" s="77">
        <v>248972</v>
      </c>
      <c r="J373" s="7">
        <v>530.02</v>
      </c>
      <c r="K373" s="78">
        <v>3280.82</v>
      </c>
      <c r="L373" s="79" t="s">
        <v>111</v>
      </c>
      <c r="M373" s="6">
        <v>370</v>
      </c>
      <c r="N373" s="5" t="str">
        <f t="shared" si="37"/>
        <v/>
      </c>
      <c r="O373" s="80">
        <f t="shared" si="38"/>
        <v>6.1899928304592287</v>
      </c>
      <c r="P373" s="8">
        <f t="shared" si="39"/>
        <v>0.69808686464661718</v>
      </c>
      <c r="Q373" s="8">
        <f t="shared" si="44"/>
        <v>1.4666276036610979</v>
      </c>
      <c r="R373" s="81">
        <f t="shared" si="40"/>
        <v>1</v>
      </c>
      <c r="S373" s="113" t="str">
        <f>IF(F373="","",IF(H373="",TEXT(_xlfn.MAXIFS($I$1:I373,$F$1:F373,F373,$H$1:H373,"&gt;"&amp;0),"000.000"),F373))</f>
        <v>GHS4J57</v>
      </c>
      <c r="T373" s="101" t="str">
        <f t="shared" si="45"/>
        <v/>
      </c>
      <c r="U373" s="82" t="s">
        <v>220</v>
      </c>
      <c r="V373" s="98" t="s">
        <v>206</v>
      </c>
      <c r="W373" s="82" t="s">
        <v>220</v>
      </c>
      <c r="X373" s="98" t="s">
        <v>166</v>
      </c>
      <c r="Y373" s="82"/>
      <c r="Z373" s="98"/>
      <c r="AA373" s="82"/>
      <c r="AB373" s="98"/>
      <c r="AC373" s="82"/>
      <c r="AD373" s="98"/>
      <c r="AE373" s="118"/>
      <c r="AF373" s="98"/>
      <c r="AG373" s="82"/>
      <c r="AH373" s="98"/>
      <c r="AI373" s="82"/>
      <c r="AJ373" s="98"/>
      <c r="AK373" s="83"/>
      <c r="AL373" s="84" t="str">
        <f>IF(F373&lt;&gt;0,IF(_xlfn.MAXIFS($I$1:I373,$F$1:F373,F373,$H$1:H373,"&gt;"&amp;0)=0,"KM NÃO ENCONTRADO",IF(H373=0,CONCATENATE("SUGESTÃO DE KM PARA PLACA ",F373," *",_xlfn.MAXIFS($I$1:I373,$F$1:F373,F373,$H$1:H373,"&gt;"&amp;0),"*"),"")),"")</f>
        <v/>
      </c>
      <c r="AM373" s="85" t="str" cm="1">
        <f t="array" ref="AM373">IFERROR(IF(M373&lt;&gt;"","",CONCATENATE("https://btx.brasiltrack.com/logistica/trajeto.php?idveiculo=",VLOOKUP(F373,DATAS!$A$221:$B$250,2,FALSE),"&amp;lat=-22.204247","&amp;data_ini=",TEXT(IF(E373&lt;&gt;"",IF(COUNTIF($F$2:$F373,F373)&gt;1,MAX(IF($F$1:$F372=F373,$E$1:$E372)),""),""),"DD/MM/AAAA"),"&amp;data_fim=",TEXT(E373,"DD/MM/AAAA"),"&amp;hora_inicial=",HOUR(IF(E373&lt;&gt;"",IF(COUNTIF($F$2:$F373,F373)&gt;1,MAX(IF($F$1:$F372=F373,$E$1:$E372)),""),"")),"&amp;minuto_inicial=",MINUTE(IF(E373&lt;&gt;"",IF(COUNTIF($F$2:$F373,F373)&gt;1,MAX(IF($F$1:$F372=F373,$E$1:$E372)),""),"")),"&amp;hora_final=",HOUR(E373),"&amp;minuto_final=",MINUTE(E373),"&amp;periodo=6&amp;tipo=por_data&amp;upos=false&amp;outequip=0")),"")</f>
        <v/>
      </c>
      <c r="AN373" s="100" t="str">
        <f t="shared" si="41"/>
        <v xml:space="preserve">ABASTECEU no CANDEIAS-MG ABASTECEU no 22 SUL            </v>
      </c>
    </row>
    <row r="374" spans="1:40" x14ac:dyDescent="0.25">
      <c r="A374" s="101">
        <f>IFERROR(VLOOKUP(AN374,ROTAS!$A:$B,2,FALSE),0)</f>
        <v>99</v>
      </c>
      <c r="B374" s="101">
        <f t="shared" si="42"/>
        <v>7</v>
      </c>
      <c r="C374" s="101">
        <f t="shared" si="43"/>
        <v>840.42857142857144</v>
      </c>
      <c r="D374" s="144">
        <v>44927</v>
      </c>
      <c r="E374" s="76">
        <v>44929.652083333334</v>
      </c>
      <c r="F374" s="6" t="s">
        <v>126</v>
      </c>
      <c r="G374" s="5" t="str">
        <f>IFERROR(VLOOKUP(SUMIFS(MSOLICITADA!$I:$I,MSOLICITADA!$B:$B,D374,MSOLICITADA!$F:$F,F374),CODIGOSPLACAS!$A$64:$B$89,2,FALSE),"")</f>
        <v>IZAIAS</v>
      </c>
      <c r="H374" s="77">
        <v>489272</v>
      </c>
      <c r="I374" s="77">
        <v>490188</v>
      </c>
      <c r="J374" s="7">
        <v>250.5</v>
      </c>
      <c r="K374" s="78">
        <v>1463.49</v>
      </c>
      <c r="L374" s="79" t="s">
        <v>112</v>
      </c>
      <c r="M374" s="6">
        <v>360</v>
      </c>
      <c r="N374" s="5">
        <f t="shared" si="37"/>
        <v>556</v>
      </c>
      <c r="O374" s="80">
        <f t="shared" si="38"/>
        <v>5.8422754491017965</v>
      </c>
      <c r="P374" s="8">
        <f t="shared" si="39"/>
        <v>3.6566866267465068</v>
      </c>
      <c r="Q374" s="8">
        <f t="shared" si="44"/>
        <v>1.5602257971131808</v>
      </c>
      <c r="R374" s="81">
        <f t="shared" si="40"/>
        <v>0.3930131004366812</v>
      </c>
      <c r="S374" s="113" t="str">
        <f>IF(F374="","",IF(H374="",TEXT(_xlfn.MAXIFS($I$1:I374,$F$1:F374,F374,$H$1:H374,"&gt;"&amp;0),"000.000"),F374))</f>
        <v>GHX4D71</v>
      </c>
      <c r="T374" s="101">
        <f t="shared" si="45"/>
        <v>388</v>
      </c>
      <c r="U374" s="82" t="s">
        <v>220</v>
      </c>
      <c r="V374" s="98" t="s">
        <v>165</v>
      </c>
      <c r="W374" s="82" t="s">
        <v>222</v>
      </c>
      <c r="X374" s="98" t="s">
        <v>167</v>
      </c>
      <c r="Y374" s="82" t="s">
        <v>221</v>
      </c>
      <c r="Z374" s="98" t="s">
        <v>252</v>
      </c>
      <c r="AA374" s="82" t="s">
        <v>220</v>
      </c>
      <c r="AB374" s="98" t="s">
        <v>206</v>
      </c>
      <c r="AC374" s="82"/>
      <c r="AD374" s="98"/>
      <c r="AE374" s="118"/>
      <c r="AF374" s="98"/>
      <c r="AG374" s="82"/>
      <c r="AH374" s="98"/>
      <c r="AI374" s="82"/>
      <c r="AJ374" s="98"/>
      <c r="AK374" s="83"/>
      <c r="AL374" s="84" t="str">
        <f>IF(F374&lt;&gt;0,IF(_xlfn.MAXIFS($I$1:I374,$F$1:F374,F374,$H$1:H374,"&gt;"&amp;0)=0,"KM NÃO ENCONTRADO",IF(H374=0,CONCATENATE("SUGESTÃO DE KM PARA PLACA ",F374," *",_xlfn.MAXIFS($I$1:I374,$F$1:F374,F374,$H$1:H374,"&gt;"&amp;0),"*"),"")),"")</f>
        <v/>
      </c>
      <c r="AM374" s="85" t="str" cm="1">
        <f t="array" ref="AM374">IFERROR(IF(M374&lt;&gt;"","",CONCATENATE("https://btx.brasiltrack.com/logistica/trajeto.php?idveiculo=",VLOOKUP(F374,DATAS!$A$221:$B$250,2,FALSE),"&amp;lat=-22.204247","&amp;data_ini=",TEXT(IF(E374&lt;&gt;"",IF(COUNTIF($F$2:$F374,F374)&gt;1,MAX(IF($F$1:$F373=F374,$E$1:$E373)),""),""),"DD/MM/AAAA"),"&amp;data_fim=",TEXT(E374,"DD/MM/AAAA"),"&amp;hora_inicial=",HOUR(IF(E374&lt;&gt;"",IF(COUNTIF($F$2:$F374,F374)&gt;1,MAX(IF($F$1:$F373=F374,$E$1:$E373)),""),"")),"&amp;minuto_inicial=",MINUTE(IF(E374&lt;&gt;"",IF(COUNTIF($F$2:$F374,F374)&gt;1,MAX(IF($F$1:$F373=F374,$E$1:$E373)),""),"")),"&amp;hora_final=",HOUR(E374),"&amp;minuto_final=",MINUTE(E374),"&amp;periodo=6&amp;tipo=por_data&amp;upos=false&amp;outequip=0")),"")</f>
        <v/>
      </c>
      <c r="AN374" s="100" t="str">
        <f t="shared" si="41"/>
        <v xml:space="preserve">ABASTECEU no 22 NORTE DESCARREGOU em VARGINHA-MG CARREGOU em SÃO GOTARDO-MG ABASTECEU no CANDEIAS-MG        </v>
      </c>
    </row>
    <row r="375" spans="1:40" x14ac:dyDescent="0.25">
      <c r="A375" s="101">
        <f>IFERROR(VLOOKUP(AN375,ROTAS!$A:$B,2,FALSE),0)</f>
        <v>13</v>
      </c>
      <c r="B375" s="101">
        <f t="shared" si="42"/>
        <v>16</v>
      </c>
      <c r="C375" s="101">
        <f t="shared" si="43"/>
        <v>363.3125</v>
      </c>
      <c r="D375" s="144">
        <v>44927</v>
      </c>
      <c r="E375" s="76">
        <v>44929.698611111111</v>
      </c>
      <c r="F375" s="6" t="s">
        <v>34</v>
      </c>
      <c r="G375" s="5" t="str">
        <f>IFERROR(VLOOKUP(SUMIFS(MSOLICITADA!$I:$I,MSOLICITADA!$B:$B,D375,MSOLICITADA!$F:$F,F375),CODIGOSPLACAS!$A$64:$B$89,2,FALSE),"")</f>
        <v>TOINZINHO</v>
      </c>
      <c r="H375" s="77">
        <v>111020</v>
      </c>
      <c r="I375" s="77">
        <v>111444</v>
      </c>
      <c r="J375" s="7">
        <v>180.8</v>
      </c>
      <c r="K375" s="78">
        <v>1056.28</v>
      </c>
      <c r="L375" s="79" t="s">
        <v>112</v>
      </c>
      <c r="M375" s="6">
        <v>212</v>
      </c>
      <c r="N375" s="5">
        <f t="shared" si="37"/>
        <v>212</v>
      </c>
      <c r="O375" s="80">
        <f t="shared" si="38"/>
        <v>5.8422566371681413</v>
      </c>
      <c r="P375" s="8">
        <f t="shared" si="39"/>
        <v>2.3451327433628317</v>
      </c>
      <c r="Q375" s="8">
        <f t="shared" si="44"/>
        <v>2.1798103468971313</v>
      </c>
      <c r="R375" s="81">
        <f t="shared" si="40"/>
        <v>0.5</v>
      </c>
      <c r="S375" s="113" t="str">
        <f>IF(F375="","",IF(H375="",TEXT(_xlfn.MAXIFS($I$1:I375,$F$1:F375,F375,$H$1:H375,"&gt;"&amp;0),"000.000"),F375))</f>
        <v>QXI8065</v>
      </c>
      <c r="T375" s="101">
        <f t="shared" si="45"/>
        <v>186.5</v>
      </c>
      <c r="U375" s="82" t="s">
        <v>220</v>
      </c>
      <c r="V375" s="98" t="s">
        <v>206</v>
      </c>
      <c r="W375" s="82" t="s">
        <v>220</v>
      </c>
      <c r="X375" s="98" t="s">
        <v>206</v>
      </c>
      <c r="Y375" s="82"/>
      <c r="Z375" s="98"/>
      <c r="AA375" s="82"/>
      <c r="AB375" s="98"/>
      <c r="AC375" s="82"/>
      <c r="AD375" s="98"/>
      <c r="AE375" s="82"/>
      <c r="AF375" s="98"/>
      <c r="AG375" s="82"/>
      <c r="AH375" s="98"/>
      <c r="AI375" s="82"/>
      <c r="AJ375" s="98"/>
      <c r="AK375" s="83"/>
      <c r="AL375" s="84" t="str">
        <f>IF(F375&lt;&gt;0,IF(_xlfn.MAXIFS($I$1:I375,$F$1:F375,F375,$H$1:H375,"&gt;"&amp;0)=0,"KM NÃO ENCONTRADO",IF(H375=0,CONCATENATE("SUGESTÃO DE KM PARA PLACA ",F375," *",_xlfn.MAXIFS($I$1:I375,$F$1:F375,F375,$H$1:H375,"&gt;"&amp;0),"*"),"")),"")</f>
        <v/>
      </c>
      <c r="AM375" s="85" t="str" cm="1">
        <f t="array" ref="AM375">IFERROR(IF(M375&lt;&gt;"","",CONCATENATE("https://btx.brasiltrack.com/logistica/trajeto.php?idveiculo=",VLOOKUP(F375,DATAS!$A$221:$B$250,2,FALSE),"&amp;lat=-22.204247","&amp;data_ini=",TEXT(IF(E375&lt;&gt;"",IF(COUNTIF($F$2:$F375,F375)&gt;1,MAX(IF($F$1:$F374=F375,$E$1:$E374)),""),""),"DD/MM/AAAA"),"&amp;data_fim=",TEXT(E375,"DD/MM/AAAA"),"&amp;hora_inicial=",HOUR(IF(E375&lt;&gt;"",IF(COUNTIF($F$2:$F375,F375)&gt;1,MAX(IF($F$1:$F374=F375,$E$1:$E374)),""),"")),"&amp;minuto_inicial=",MINUTE(IF(E375&lt;&gt;"",IF(COUNTIF($F$2:$F375,F375)&gt;1,MAX(IF($F$1:$F374=F375,$E$1:$E374)),""),"")),"&amp;hora_final=",HOUR(E375),"&amp;minuto_final=",MINUTE(E375),"&amp;periodo=6&amp;tipo=por_data&amp;upos=false&amp;outequip=0")),"")</f>
        <v/>
      </c>
      <c r="AN375" s="100" t="str">
        <f t="shared" si="41"/>
        <v xml:space="preserve">ABASTECEU no CANDEIAS-MG ABASTECEU no CANDEIAS-MG            </v>
      </c>
    </row>
    <row r="376" spans="1:40" x14ac:dyDescent="0.25">
      <c r="A376" s="101">
        <f>IFERROR(VLOOKUP(AN376,ROTAS!$A:$B,2,FALSE),0)</f>
        <v>100</v>
      </c>
      <c r="B376" s="101">
        <f t="shared" si="42"/>
        <v>3</v>
      </c>
      <c r="C376" s="101">
        <f t="shared" si="43"/>
        <v>472.66666666666669</v>
      </c>
      <c r="D376" s="144">
        <v>44927</v>
      </c>
      <c r="E376" s="76">
        <v>44929.743055555555</v>
      </c>
      <c r="F376" s="6" t="s">
        <v>23</v>
      </c>
      <c r="G376" s="5" t="str">
        <f>IFERROR(VLOOKUP(SUMIFS(MSOLICITADA!$I:$I,MSOLICITADA!$B:$B,D376,MSOLICITADA!$F:$F,F376),CODIGOSPLACAS!$A$64:$B$89,2,FALSE),"")</f>
        <v>ISAC</v>
      </c>
      <c r="H376" s="77">
        <v>1205866</v>
      </c>
      <c r="I376" s="77">
        <v>1206378</v>
      </c>
      <c r="J376" s="7">
        <v>260.2</v>
      </c>
      <c r="K376" s="78">
        <v>1520.16</v>
      </c>
      <c r="L376" s="79" t="s">
        <v>112</v>
      </c>
      <c r="M376" s="6">
        <v>256</v>
      </c>
      <c r="N376" s="5">
        <f t="shared" si="37"/>
        <v>256</v>
      </c>
      <c r="O376" s="80">
        <f t="shared" si="38"/>
        <v>5.8422751729438902</v>
      </c>
      <c r="P376" s="8">
        <f t="shared" si="39"/>
        <v>1.9677171406610301</v>
      </c>
      <c r="Q376" s="8">
        <f t="shared" si="44"/>
        <v>1.4592701282718794</v>
      </c>
      <c r="R376" s="81">
        <f t="shared" si="40"/>
        <v>0.5</v>
      </c>
      <c r="S376" s="113" t="str">
        <f>IF(F376="","",IF(H376="",TEXT(_xlfn.MAXIFS($I$1:I376,$F$1:F376,F376,$H$1:H376,"&gt;"&amp;0),"000.000"),F376))</f>
        <v>HNC7I76</v>
      </c>
      <c r="T376" s="101">
        <f t="shared" si="45"/>
        <v>236.33333333333334</v>
      </c>
      <c r="U376" s="82" t="s">
        <v>220</v>
      </c>
      <c r="V376" s="98" t="s">
        <v>206</v>
      </c>
      <c r="W376" s="82" t="s">
        <v>221</v>
      </c>
      <c r="X376" s="98" t="s">
        <v>252</v>
      </c>
      <c r="Y376" s="82" t="s">
        <v>220</v>
      </c>
      <c r="Z376" s="98" t="s">
        <v>206</v>
      </c>
      <c r="AA376" s="82"/>
      <c r="AB376" s="98"/>
      <c r="AC376" s="82"/>
      <c r="AD376" s="98"/>
      <c r="AE376" s="118"/>
      <c r="AF376" s="98"/>
      <c r="AG376" s="82"/>
      <c r="AH376" s="98"/>
      <c r="AI376" s="82"/>
      <c r="AJ376" s="98"/>
      <c r="AK376" s="83"/>
      <c r="AL376" s="84" t="str">
        <f>IF(F376&lt;&gt;0,IF(_xlfn.MAXIFS($I$1:I376,$F$1:F376,F376,$H$1:H376,"&gt;"&amp;0)=0,"KM NÃO ENCONTRADO",IF(H376=0,CONCATENATE("SUGESTÃO DE KM PARA PLACA ",F376," *",_xlfn.MAXIFS($I$1:I376,$F$1:F376,F376,$H$1:H376,"&gt;"&amp;0),"*"),"")),"")</f>
        <v/>
      </c>
      <c r="AM376" s="85" t="str" cm="1">
        <f t="array" ref="AM376">IFERROR(IF(M376&lt;&gt;"","",CONCATENATE("https://btx.brasiltrack.com/logistica/trajeto.php?idveiculo=",VLOOKUP(F376,DATAS!$A$221:$B$250,2,FALSE),"&amp;lat=-22.204247","&amp;data_ini=",TEXT(IF(E376&lt;&gt;"",IF(COUNTIF($F$2:$F376,F376)&gt;1,MAX(IF($F$1:$F375=F376,$E$1:$E375)),""),""),"DD/MM/AAAA"),"&amp;data_fim=",TEXT(E376,"DD/MM/AAAA"),"&amp;hora_inicial=",HOUR(IF(E376&lt;&gt;"",IF(COUNTIF($F$2:$F376,F376)&gt;1,MAX(IF($F$1:$F375=F376,$E$1:$E375)),""),"")),"&amp;minuto_inicial=",MINUTE(IF(E376&lt;&gt;"",IF(COUNTIF($F$2:$F376,F376)&gt;1,MAX(IF($F$1:$F375=F376,$E$1:$E375)),""),"")),"&amp;hora_final=",HOUR(E376),"&amp;minuto_final=",MINUTE(E376),"&amp;periodo=6&amp;tipo=por_data&amp;upos=false&amp;outequip=0")),"")</f>
        <v/>
      </c>
      <c r="AN376" s="100" t="str">
        <f t="shared" si="41"/>
        <v xml:space="preserve">ABASTECEU no CANDEIAS-MG CARREGOU em SÃO GOTARDO-MG ABASTECEU no CANDEIAS-MG          </v>
      </c>
    </row>
    <row r="377" spans="1:40" x14ac:dyDescent="0.25">
      <c r="A377" s="101">
        <f>IFERROR(VLOOKUP(AN377,ROTAS!$A:$B,2,FALSE),0)</f>
        <v>104</v>
      </c>
      <c r="B377" s="101">
        <f t="shared" si="42"/>
        <v>10</v>
      </c>
      <c r="C377" s="101">
        <f t="shared" si="43"/>
        <v>375.7</v>
      </c>
      <c r="D377" s="144">
        <v>44927</v>
      </c>
      <c r="E377" s="76">
        <v>44929.923611111109</v>
      </c>
      <c r="F377" s="6" t="s">
        <v>124</v>
      </c>
      <c r="G377" s="5" t="str">
        <f>IFERROR(VLOOKUP(SUMIFS(MSOLICITADA!$I:$I,MSOLICITADA!$B:$B,D377,MSOLICITADA!$F:$F,F377),CODIGOSPLACAS!$A$64:$B$89,2,FALSE),"")</f>
        <v>ISRAEL</v>
      </c>
      <c r="H377" s="77">
        <v>140715</v>
      </c>
      <c r="I377" s="77">
        <v>141092</v>
      </c>
      <c r="J377" s="7">
        <v>542</v>
      </c>
      <c r="K377" s="78">
        <v>3463.38</v>
      </c>
      <c r="L377" s="79" t="s">
        <v>111</v>
      </c>
      <c r="M377" s="6">
        <v>377</v>
      </c>
      <c r="N377" s="5" t="str">
        <f t="shared" si="37"/>
        <v/>
      </c>
      <c r="O377" s="80">
        <f t="shared" si="38"/>
        <v>6.3900000000000006</v>
      </c>
      <c r="P377" s="8">
        <f t="shared" si="39"/>
        <v>0.69557195571955721</v>
      </c>
      <c r="Q377" s="8">
        <f t="shared" si="44"/>
        <v>1.6528367477149088</v>
      </c>
      <c r="R377" s="81">
        <f t="shared" si="40"/>
        <v>1</v>
      </c>
      <c r="S377" s="113" t="str">
        <f>IF(F377="","",IF(H377="",TEXT(_xlfn.MAXIFS($I$1:I377,$F$1:F377,F377,$H$1:H377,"&gt;"&amp;0),"000.000"),F377))</f>
        <v>GHH9B64</v>
      </c>
      <c r="T377" s="101" t="str">
        <f t="shared" si="45"/>
        <v/>
      </c>
      <c r="U377" s="82" t="s">
        <v>220</v>
      </c>
      <c r="V377" s="98" t="s">
        <v>206</v>
      </c>
      <c r="W377" s="82" t="s">
        <v>220</v>
      </c>
      <c r="X377" s="98" t="s">
        <v>166</v>
      </c>
      <c r="Y377" s="82"/>
      <c r="Z377" s="98"/>
      <c r="AA377" s="82"/>
      <c r="AB377" s="98"/>
      <c r="AC377" s="82"/>
      <c r="AD377" s="98"/>
      <c r="AE377" s="118"/>
      <c r="AF377" s="98"/>
      <c r="AG377" s="82"/>
      <c r="AH377" s="98"/>
      <c r="AI377" s="82"/>
      <c r="AJ377" s="98"/>
      <c r="AK377" s="83"/>
      <c r="AL377" s="84" t="str">
        <f>IF(F377&lt;&gt;0,IF(_xlfn.MAXIFS($I$1:I377,$F$1:F377,F377,$H$1:H377,"&gt;"&amp;0)=0,"KM NÃO ENCONTRADO",IF(H377=0,CONCATENATE("SUGESTÃO DE KM PARA PLACA ",F377," *",_xlfn.MAXIFS($I$1:I377,$F$1:F377,F377,$H$1:H377,"&gt;"&amp;0),"*"),"")),"")</f>
        <v/>
      </c>
      <c r="AM377" s="85" t="str" cm="1">
        <f t="array" ref="AM377">IFERROR(IF(M377&lt;&gt;"","",CONCATENATE("https://btx.brasiltrack.com/logistica/trajeto.php?idveiculo=",VLOOKUP(F377,DATAS!$A$221:$B$250,2,FALSE),"&amp;lat=-22.204247","&amp;data_ini=",TEXT(IF(E377&lt;&gt;"",IF(COUNTIF($F$2:$F377,F377)&gt;1,MAX(IF($F$1:$F376=F377,$E$1:$E376)),""),""),"DD/MM/AAAA"),"&amp;data_fim=",TEXT(E377,"DD/MM/AAAA"),"&amp;hora_inicial=",HOUR(IF(E377&lt;&gt;"",IF(COUNTIF($F$2:$F377,F377)&gt;1,MAX(IF($F$1:$F376=F377,$E$1:$E376)),""),"")),"&amp;minuto_inicial=",MINUTE(IF(E377&lt;&gt;"",IF(COUNTIF($F$2:$F377,F377)&gt;1,MAX(IF($F$1:$F376=F377,$E$1:$E376)),""),"")),"&amp;hora_final=",HOUR(E377),"&amp;minuto_final=",MINUTE(E377),"&amp;periodo=6&amp;tipo=por_data&amp;upos=false&amp;outequip=0")),"")</f>
        <v/>
      </c>
      <c r="AN377" s="100" t="str">
        <f t="shared" si="41"/>
        <v xml:space="preserve">ABASTECEU no CANDEIAS-MG ABASTECEU no 22 SUL            </v>
      </c>
    </row>
    <row r="378" spans="1:40" x14ac:dyDescent="0.25">
      <c r="A378" s="101">
        <f>IFERROR(VLOOKUP(AN378,ROTAS!$A:$B,2,FALSE),0)</f>
        <v>104</v>
      </c>
      <c r="B378" s="101">
        <f t="shared" si="42"/>
        <v>10</v>
      </c>
      <c r="C378" s="101">
        <f t="shared" si="43"/>
        <v>375.7</v>
      </c>
      <c r="D378" s="144">
        <v>44927</v>
      </c>
      <c r="E378" s="76">
        <v>44930.527083333334</v>
      </c>
      <c r="F378" s="6" t="s">
        <v>23</v>
      </c>
      <c r="G378" s="5" t="str">
        <f>IFERROR(VLOOKUP(SUMIFS(MSOLICITADA!$I:$I,MSOLICITADA!$B:$B,D378,MSOLICITADA!$F:$F,F378),CODIGOSPLACAS!$A$64:$B$89,2,FALSE),"")</f>
        <v>ISAC</v>
      </c>
      <c r="H378" s="77">
        <v>1206378</v>
      </c>
      <c r="I378" s="77">
        <v>1206756</v>
      </c>
      <c r="J378" s="7">
        <v>353.54</v>
      </c>
      <c r="K378" s="78">
        <v>2259.12</v>
      </c>
      <c r="L378" s="79" t="s">
        <v>111</v>
      </c>
      <c r="M378" s="6">
        <v>378</v>
      </c>
      <c r="N378" s="5" t="str">
        <f t="shared" si="37"/>
        <v/>
      </c>
      <c r="O378" s="80">
        <f t="shared" si="38"/>
        <v>6.3899983028794471</v>
      </c>
      <c r="P378" s="8">
        <f t="shared" si="39"/>
        <v>1.0691859478418284</v>
      </c>
      <c r="Q378" s="8">
        <f t="shared" si="44"/>
        <v>1.4592701282718794</v>
      </c>
      <c r="R378" s="81">
        <f t="shared" si="40"/>
        <v>1</v>
      </c>
      <c r="S378" s="113" t="str">
        <f>IF(F378="","",IF(H378="",TEXT(_xlfn.MAXIFS($I$1:I378,$F$1:F378,F378,$H$1:H378,"&gt;"&amp;0),"000.000"),F378))</f>
        <v>HNC7I76</v>
      </c>
      <c r="T378" s="101" t="str">
        <f t="shared" si="45"/>
        <v/>
      </c>
      <c r="U378" s="82" t="s">
        <v>220</v>
      </c>
      <c r="V378" s="98" t="s">
        <v>206</v>
      </c>
      <c r="W378" s="82" t="s">
        <v>220</v>
      </c>
      <c r="X378" s="98" t="s">
        <v>166</v>
      </c>
      <c r="Y378" s="82"/>
      <c r="Z378" s="98"/>
      <c r="AA378" s="82"/>
      <c r="AB378" s="98"/>
      <c r="AC378" s="82"/>
      <c r="AD378" s="98"/>
      <c r="AE378" s="118"/>
      <c r="AF378" s="98"/>
      <c r="AG378" s="82"/>
      <c r="AH378" s="98"/>
      <c r="AI378" s="82"/>
      <c r="AJ378" s="98"/>
      <c r="AK378" s="83"/>
      <c r="AL378" s="84" t="str">
        <f>IF(F378&lt;&gt;0,IF(_xlfn.MAXIFS($I$1:I378,$F$1:F378,F378,$H$1:H378,"&gt;"&amp;0)=0,"KM NÃO ENCONTRADO",IF(H378=0,CONCATENATE("SUGESTÃO DE KM PARA PLACA ",F378," *",_xlfn.MAXIFS($I$1:I378,$F$1:F378,F378,$H$1:H378,"&gt;"&amp;0),"*"),"")),"")</f>
        <v/>
      </c>
      <c r="AM378" s="85" t="str" cm="1">
        <f t="array" ref="AM378">IFERROR(IF(M378&lt;&gt;"","",CONCATENATE("https://btx.brasiltrack.com/logistica/trajeto.php?idveiculo=",VLOOKUP(F378,DATAS!$A$221:$B$250,2,FALSE),"&amp;lat=-22.204247","&amp;data_ini=",TEXT(IF(E378&lt;&gt;"",IF(COUNTIF($F$2:$F378,F378)&gt;1,MAX(IF($F$1:$F377=F378,$E$1:$E377)),""),""),"DD/MM/AAAA"),"&amp;data_fim=",TEXT(E378,"DD/MM/AAAA"),"&amp;hora_inicial=",HOUR(IF(E378&lt;&gt;"",IF(COUNTIF($F$2:$F378,F378)&gt;1,MAX(IF($F$1:$F377=F378,$E$1:$E377)),""),"")),"&amp;minuto_inicial=",MINUTE(IF(E378&lt;&gt;"",IF(COUNTIF($F$2:$F378,F378)&gt;1,MAX(IF($F$1:$F377=F378,$E$1:$E377)),""),"")),"&amp;hora_final=",HOUR(E378),"&amp;minuto_final=",MINUTE(E378),"&amp;periodo=6&amp;tipo=por_data&amp;upos=false&amp;outequip=0")),"")</f>
        <v/>
      </c>
      <c r="AN378" s="100" t="str">
        <f t="shared" si="41"/>
        <v xml:space="preserve">ABASTECEU no CANDEIAS-MG ABASTECEU no 22 SUL            </v>
      </c>
    </row>
    <row r="379" spans="1:40" x14ac:dyDescent="0.25">
      <c r="A379" s="101">
        <f>IFERROR(VLOOKUP(AN379,ROTAS!$A:$B,2,FALSE),0)</f>
        <v>105</v>
      </c>
      <c r="B379" s="101">
        <f t="shared" si="42"/>
        <v>1</v>
      </c>
      <c r="C379" s="101">
        <f t="shared" si="43"/>
        <v>899</v>
      </c>
      <c r="D379" s="144">
        <v>44927</v>
      </c>
      <c r="E379" s="76">
        <v>44930.642361111109</v>
      </c>
      <c r="F379" s="6" t="s">
        <v>26</v>
      </c>
      <c r="G379" s="5" t="str">
        <f>IFERROR(VLOOKUP(SUMIFS(MSOLICITADA!$I:$I,MSOLICITADA!$B:$B,D379,MSOLICITADA!$F:$F,F379),CODIGOSPLACAS!$A$64:$B$89,2,FALSE),"")</f>
        <v>DIEGO</v>
      </c>
      <c r="H379" s="77">
        <v>400814</v>
      </c>
      <c r="I379" s="77">
        <v>401713</v>
      </c>
      <c r="J379" s="7">
        <v>642.00099999999998</v>
      </c>
      <c r="K379" s="78">
        <v>4102.38</v>
      </c>
      <c r="L379" s="79" t="s">
        <v>111</v>
      </c>
      <c r="M379" s="6">
        <v>754</v>
      </c>
      <c r="N379" s="5">
        <f t="shared" si="37"/>
        <v>145</v>
      </c>
      <c r="O379" s="80">
        <f t="shared" si="38"/>
        <v>6.3899900467444759</v>
      </c>
      <c r="P379" s="8">
        <f t="shared" si="39"/>
        <v>1.4003093453125464</v>
      </c>
      <c r="Q379" s="8">
        <f t="shared" si="44"/>
        <v>1.4763574081151452</v>
      </c>
      <c r="R379" s="81">
        <f t="shared" si="40"/>
        <v>0.83870967741935487</v>
      </c>
      <c r="S379" s="113" t="str">
        <f>IF(F379="","",IF(H379="",TEXT(_xlfn.MAXIFS($I$1:I379,$F$1:F379,F379,$H$1:H379,"&gt;"&amp;0),"000.000"),F379))</f>
        <v>BZA3587</v>
      </c>
      <c r="T379" s="101">
        <f t="shared" si="45"/>
        <v>145</v>
      </c>
      <c r="U379" s="82" t="s">
        <v>220</v>
      </c>
      <c r="V379" s="98" t="s">
        <v>166</v>
      </c>
      <c r="W379" s="82" t="s">
        <v>225</v>
      </c>
      <c r="X379" s="98" t="s">
        <v>284</v>
      </c>
      <c r="Y379" s="82" t="s">
        <v>221</v>
      </c>
      <c r="Z379" s="98" t="s">
        <v>175</v>
      </c>
      <c r="AA379" s="82" t="s">
        <v>225</v>
      </c>
      <c r="AB379" s="98" t="s">
        <v>284</v>
      </c>
      <c r="AC379" s="82" t="s">
        <v>220</v>
      </c>
      <c r="AD379" s="98" t="s">
        <v>165</v>
      </c>
      <c r="AE379" s="118"/>
      <c r="AF379" s="98"/>
      <c r="AG379" s="82"/>
      <c r="AH379" s="98"/>
      <c r="AI379" s="82"/>
      <c r="AJ379" s="98"/>
      <c r="AK379" s="83"/>
      <c r="AL379" s="84" t="str">
        <f>IF(F379&lt;&gt;0,IF(_xlfn.MAXIFS($I$1:I379,$F$1:F379,F379,$H$1:H379,"&gt;"&amp;0)=0,"KM NÃO ENCONTRADO",IF(H379=0,CONCATENATE("SUGESTÃO DE KM PARA PLACA ",F379," *",_xlfn.MAXIFS($I$1:I379,$F$1:F379,F379,$H$1:H379,"&gt;"&amp;0),"*"),"")),"")</f>
        <v/>
      </c>
      <c r="AM379" s="85" t="str" cm="1">
        <f t="array" ref="AM379">IFERROR(IF(M379&lt;&gt;"","",CONCATENATE("https://btx.brasiltrack.com/logistica/trajeto.php?idveiculo=",VLOOKUP(F379,DATAS!$A$221:$B$250,2,FALSE),"&amp;lat=-22.204247","&amp;data_ini=",TEXT(IF(E379&lt;&gt;"",IF(COUNTIF($F$2:$F379,F379)&gt;1,MAX(IF($F$1:$F378=F379,$E$1:$E378)),""),""),"DD/MM/AAAA"),"&amp;data_fim=",TEXT(E379,"DD/MM/AAAA"),"&amp;hora_inicial=",HOUR(IF(E379&lt;&gt;"",IF(COUNTIF($F$2:$F379,F379)&gt;1,MAX(IF($F$1:$F378=F379,$E$1:$E378)),""),"")),"&amp;minuto_inicial=",MINUTE(IF(E379&lt;&gt;"",IF(COUNTIF($F$2:$F379,F379)&gt;1,MAX(IF($F$1:$F378=F379,$E$1:$E378)),""),"")),"&amp;hora_final=",HOUR(E379),"&amp;minuto_final=",MINUTE(E379),"&amp;periodo=6&amp;tipo=por_data&amp;upos=false&amp;outequip=0")),"")</f>
        <v/>
      </c>
      <c r="AN379" s="100" t="str">
        <f t="shared" si="41"/>
        <v xml:space="preserve">ABASTECEU no 22 SUL PASSOU em SÃO PAULO-SP CARREGOU em SANTOS-SP PASSOU em SÃO PAULO-SP ABASTECEU no 22 NORTE      </v>
      </c>
    </row>
    <row r="380" spans="1:40" x14ac:dyDescent="0.25">
      <c r="A380" s="101">
        <f>IFERROR(VLOOKUP(AN380,ROTAS!$A:$B,2,FALSE),0)</f>
        <v>31</v>
      </c>
      <c r="B380" s="101">
        <f t="shared" si="42"/>
        <v>4</v>
      </c>
      <c r="C380" s="101">
        <f t="shared" si="43"/>
        <v>413.25</v>
      </c>
      <c r="D380" s="144">
        <v>44927</v>
      </c>
      <c r="E380" s="76">
        <v>44930.76458333333</v>
      </c>
      <c r="F380" s="6" t="s">
        <v>32</v>
      </c>
      <c r="G380" s="5" t="str">
        <f>IFERROR(VLOOKUP(SUMIFS(MSOLICITADA!$I:$I,MSOLICITADA!$B:$B,D380,MSOLICITADA!$F:$F,F380),CODIGOSPLACAS!$A$64:$B$89,2,FALSE),"")</f>
        <v>ADILSON</v>
      </c>
      <c r="H380" s="77">
        <v>201375</v>
      </c>
      <c r="I380" s="77">
        <v>201805</v>
      </c>
      <c r="J380" s="7">
        <v>315.00099999999998</v>
      </c>
      <c r="K380" s="78">
        <v>2012.85</v>
      </c>
      <c r="L380" s="79" t="s">
        <v>111</v>
      </c>
      <c r="M380" s="6">
        <v>215</v>
      </c>
      <c r="N380" s="5">
        <f t="shared" si="37"/>
        <v>215</v>
      </c>
      <c r="O380" s="80">
        <f t="shared" si="38"/>
        <v>6.3899797143501136</v>
      </c>
      <c r="P380" s="8">
        <f t="shared" si="39"/>
        <v>1.3650750315078366</v>
      </c>
      <c r="Q380" s="8">
        <f t="shared" si="44"/>
        <v>1.6695575721559062</v>
      </c>
      <c r="R380" s="81">
        <f t="shared" si="40"/>
        <v>0.5</v>
      </c>
      <c r="S380" s="113" t="str">
        <f>IF(F380="","",IF(H380="",TEXT(_xlfn.MAXIFS($I$1:I380,$F$1:F380,F380,$H$1:H380,"&gt;"&amp;0),"000.000"),F380))</f>
        <v>GJU9A22</v>
      </c>
      <c r="T380" s="101">
        <f t="shared" si="45"/>
        <v>206.5</v>
      </c>
      <c r="U380" s="82" t="s">
        <v>220</v>
      </c>
      <c r="V380" s="98" t="s">
        <v>166</v>
      </c>
      <c r="W380" s="82" t="s">
        <v>225</v>
      </c>
      <c r="X380" s="98" t="s">
        <v>237</v>
      </c>
      <c r="Y380" s="82" t="s">
        <v>221</v>
      </c>
      <c r="Z380" s="98" t="s">
        <v>175</v>
      </c>
      <c r="AA380" s="82" t="s">
        <v>225</v>
      </c>
      <c r="AB380" s="98" t="s">
        <v>237</v>
      </c>
      <c r="AC380" s="82" t="s">
        <v>220</v>
      </c>
      <c r="AD380" s="98" t="s">
        <v>165</v>
      </c>
      <c r="AE380" s="118"/>
      <c r="AF380" s="98"/>
      <c r="AG380" s="82"/>
      <c r="AH380" s="98"/>
      <c r="AI380" s="82"/>
      <c r="AJ380" s="98"/>
      <c r="AK380" s="83"/>
      <c r="AL380" s="84" t="str">
        <f>IF(F380&lt;&gt;0,IF(_xlfn.MAXIFS($I$1:I380,$F$1:F380,F380,$H$1:H380,"&gt;"&amp;0)=0,"KM NÃO ENCONTRADO",IF(H380=0,CONCATENATE("SUGESTÃO DE KM PARA PLACA ",F380," *",_xlfn.MAXIFS($I$1:I380,$F$1:F380,F380,$H$1:H380,"&gt;"&amp;0),"*"),"")),"")</f>
        <v/>
      </c>
      <c r="AM380" s="85" t="str" cm="1">
        <f t="array" ref="AM380">IFERROR(IF(M380&lt;&gt;"","",CONCATENATE("https://btx.brasiltrack.com/logistica/trajeto.php?idveiculo=",VLOOKUP(F380,DATAS!$A$221:$B$250,2,FALSE),"&amp;lat=-22.204247","&amp;data_ini=",TEXT(IF(E380&lt;&gt;"",IF(COUNTIF($F$2:$F380,F380)&gt;1,MAX(IF($F$1:$F379=F380,$E$1:$E379)),""),""),"DD/MM/AAAA"),"&amp;data_fim=",TEXT(E380,"DD/MM/AAAA"),"&amp;hora_inicial=",HOUR(IF(E380&lt;&gt;"",IF(COUNTIF($F$2:$F380,F380)&gt;1,MAX(IF($F$1:$F379=F380,$E$1:$E379)),""),"")),"&amp;minuto_inicial=",MINUTE(IF(E380&lt;&gt;"",IF(COUNTIF($F$2:$F380,F380)&gt;1,MAX(IF($F$1:$F379=F380,$E$1:$E379)),""),"")),"&amp;hora_final=",HOUR(E380),"&amp;minuto_final=",MINUTE(E380),"&amp;periodo=6&amp;tipo=por_data&amp;upos=false&amp;outequip=0")),"")</f>
        <v/>
      </c>
      <c r="AN380" s="100" t="str">
        <f t="shared" si="41"/>
        <v xml:space="preserve">ABASTECEU no 22 SUL PASSOU em ARUJÁ-SP CARREGOU em SANTOS-SP PASSOU em ARUJÁ-SP ABASTECEU no 22 NORTE      </v>
      </c>
    </row>
    <row r="381" spans="1:40" x14ac:dyDescent="0.25">
      <c r="A381" s="101">
        <f>IFERROR(VLOOKUP(AN381,ROTAS!$A:$B,2,FALSE),0)</f>
        <v>31</v>
      </c>
      <c r="B381" s="101">
        <f t="shared" si="42"/>
        <v>4</v>
      </c>
      <c r="C381" s="101">
        <f t="shared" si="43"/>
        <v>413.25</v>
      </c>
      <c r="D381" s="144">
        <v>44927</v>
      </c>
      <c r="E381" s="76">
        <v>44930.76458333333</v>
      </c>
      <c r="F381" s="6" t="s">
        <v>29</v>
      </c>
      <c r="G381" s="5" t="str">
        <f>IFERROR(VLOOKUP(SUMIFS(MSOLICITADA!$I:$I,MSOLICITADA!$B:$B,D381,MSOLICITADA!$F:$F,F381),CODIGOSPLACAS!$A$64:$B$89,2,FALSE),"")</f>
        <v>EDNILSON</v>
      </c>
      <c r="H381" s="77">
        <v>239758</v>
      </c>
      <c r="I381" s="77">
        <v>240184</v>
      </c>
      <c r="J381" s="7">
        <v>323.00099999999998</v>
      </c>
      <c r="K381" s="78">
        <v>2063.9699999999998</v>
      </c>
      <c r="L381" s="79" t="s">
        <v>111</v>
      </c>
      <c r="M381" s="6">
        <v>213</v>
      </c>
      <c r="N381" s="5">
        <f t="shared" si="37"/>
        <v>213</v>
      </c>
      <c r="O381" s="80">
        <f t="shared" si="38"/>
        <v>6.3899802167795148</v>
      </c>
      <c r="P381" s="8">
        <f t="shared" si="39"/>
        <v>1.3188813656923664</v>
      </c>
      <c r="Q381" s="8">
        <f t="shared" si="44"/>
        <v>1.5966128652005338</v>
      </c>
      <c r="R381" s="81">
        <f t="shared" si="40"/>
        <v>0.5</v>
      </c>
      <c r="S381" s="113" t="str">
        <f>IF(F381="","",IF(H381="",TEXT(_xlfn.MAXIFS($I$1:I381,$F$1:F381,F381,$H$1:H381,"&gt;"&amp;0),"000.000"),F381))</f>
        <v>GKA2J56</v>
      </c>
      <c r="T381" s="101">
        <f t="shared" si="45"/>
        <v>206.5</v>
      </c>
      <c r="U381" s="82" t="s">
        <v>220</v>
      </c>
      <c r="V381" s="98" t="s">
        <v>166</v>
      </c>
      <c r="W381" s="82" t="s">
        <v>225</v>
      </c>
      <c r="X381" s="98" t="s">
        <v>237</v>
      </c>
      <c r="Y381" s="82" t="s">
        <v>221</v>
      </c>
      <c r="Z381" s="98" t="s">
        <v>175</v>
      </c>
      <c r="AA381" s="82" t="s">
        <v>225</v>
      </c>
      <c r="AB381" s="98" t="s">
        <v>237</v>
      </c>
      <c r="AC381" s="82" t="s">
        <v>220</v>
      </c>
      <c r="AD381" s="98" t="s">
        <v>165</v>
      </c>
      <c r="AE381" s="118"/>
      <c r="AF381" s="98"/>
      <c r="AG381" s="82"/>
      <c r="AH381" s="98"/>
      <c r="AI381" s="82"/>
      <c r="AJ381" s="98"/>
      <c r="AK381" s="83"/>
      <c r="AL381" s="84" t="str">
        <f>IF(F381&lt;&gt;0,IF(_xlfn.MAXIFS($I$1:I381,$F$1:F381,F381,$H$1:H381,"&gt;"&amp;0)=0,"KM NÃO ENCONTRADO",IF(H381=0,CONCATENATE("SUGESTÃO DE KM PARA PLACA ",F381," *",_xlfn.MAXIFS($I$1:I381,$F$1:F381,F381,$H$1:H381,"&gt;"&amp;0),"*"),"")),"")</f>
        <v/>
      </c>
      <c r="AM381" s="85" t="str" cm="1">
        <f t="array" ref="AM381">IFERROR(IF(M381&lt;&gt;"","",CONCATENATE("https://btx.brasiltrack.com/logistica/trajeto.php?idveiculo=",VLOOKUP(F381,DATAS!$A$221:$B$250,2,FALSE),"&amp;lat=-22.204247","&amp;data_ini=",TEXT(IF(E381&lt;&gt;"",IF(COUNTIF($F$2:$F381,F381)&gt;1,MAX(IF($F$1:$F380=F381,$E$1:$E380)),""),""),"DD/MM/AAAA"),"&amp;data_fim=",TEXT(E381,"DD/MM/AAAA"),"&amp;hora_inicial=",HOUR(IF(E381&lt;&gt;"",IF(COUNTIF($F$2:$F381,F381)&gt;1,MAX(IF($F$1:$F380=F381,$E$1:$E380)),""),"")),"&amp;minuto_inicial=",MINUTE(IF(E381&lt;&gt;"",IF(COUNTIF($F$2:$F381,F381)&gt;1,MAX(IF($F$1:$F380=F381,$E$1:$E380)),""),"")),"&amp;hora_final=",HOUR(E381),"&amp;minuto_final=",MINUTE(E381),"&amp;periodo=6&amp;tipo=por_data&amp;upos=false&amp;outequip=0")),"")</f>
        <v/>
      </c>
      <c r="AN381" s="100" t="str">
        <f t="shared" si="41"/>
        <v xml:space="preserve">ABASTECEU no 22 SUL PASSOU em ARUJÁ-SP CARREGOU em SANTOS-SP PASSOU em ARUJÁ-SP ABASTECEU no 22 NORTE      </v>
      </c>
    </row>
    <row r="382" spans="1:40" x14ac:dyDescent="0.25">
      <c r="A382" s="101">
        <f>IFERROR(VLOOKUP(AN382,ROTAS!$A:$B,2,FALSE),0)</f>
        <v>31</v>
      </c>
      <c r="B382" s="101">
        <f t="shared" si="42"/>
        <v>4</v>
      </c>
      <c r="C382" s="101">
        <f t="shared" si="43"/>
        <v>413.25</v>
      </c>
      <c r="D382" s="144">
        <v>44927</v>
      </c>
      <c r="E382" s="76">
        <v>44930.772916666669</v>
      </c>
      <c r="F382" s="6" t="s">
        <v>30</v>
      </c>
      <c r="G382" s="5" t="str">
        <f>IFERROR(VLOOKUP(SUMIFS(MSOLICITADA!$I:$I,MSOLICITADA!$B:$B,D382,MSOLICITADA!$F:$F,F382),CODIGOSPLACAS!$A$64:$B$89,2,FALSE),"")</f>
        <v>RONILSON</v>
      </c>
      <c r="H382" s="77">
        <v>220442</v>
      </c>
      <c r="I382" s="77">
        <v>220874</v>
      </c>
      <c r="J382" s="7">
        <v>326.05099999999999</v>
      </c>
      <c r="K382" s="78">
        <v>2083.46</v>
      </c>
      <c r="L382" s="79" t="s">
        <v>111</v>
      </c>
      <c r="M382" s="6">
        <v>216</v>
      </c>
      <c r="N382" s="5">
        <f t="shared" si="37"/>
        <v>216</v>
      </c>
      <c r="O382" s="80">
        <f t="shared" si="38"/>
        <v>6.389981935341404</v>
      </c>
      <c r="P382" s="8">
        <f t="shared" si="39"/>
        <v>1.3249460973896723</v>
      </c>
      <c r="Q382" s="8">
        <f t="shared" si="44"/>
        <v>1.6205104706314435</v>
      </c>
      <c r="R382" s="81">
        <f t="shared" si="40"/>
        <v>0.5</v>
      </c>
      <c r="S382" s="113" t="str">
        <f>IF(F382="","",IF(H382="",TEXT(_xlfn.MAXIFS($I$1:I382,$F$1:F382,F382,$H$1:H382,"&gt;"&amp;0),"000.000"),F382))</f>
        <v>GFB0I37</v>
      </c>
      <c r="T382" s="101">
        <f t="shared" si="45"/>
        <v>206.5</v>
      </c>
      <c r="U382" s="82" t="s">
        <v>220</v>
      </c>
      <c r="V382" s="98" t="s">
        <v>166</v>
      </c>
      <c r="W382" s="82" t="s">
        <v>225</v>
      </c>
      <c r="X382" s="98" t="s">
        <v>237</v>
      </c>
      <c r="Y382" s="82" t="s">
        <v>221</v>
      </c>
      <c r="Z382" s="98" t="s">
        <v>175</v>
      </c>
      <c r="AA382" s="82" t="s">
        <v>225</v>
      </c>
      <c r="AB382" s="98" t="s">
        <v>237</v>
      </c>
      <c r="AC382" s="82" t="s">
        <v>220</v>
      </c>
      <c r="AD382" s="98" t="s">
        <v>165</v>
      </c>
      <c r="AE382" s="118"/>
      <c r="AF382" s="98"/>
      <c r="AG382" s="82"/>
      <c r="AH382" s="98"/>
      <c r="AI382" s="82"/>
      <c r="AJ382" s="98"/>
      <c r="AK382" s="83"/>
      <c r="AL382" s="84" t="str">
        <f>IF(F382&lt;&gt;0,IF(_xlfn.MAXIFS($I$1:I382,$F$1:F382,F382,$H$1:H382,"&gt;"&amp;0)=0,"KM NÃO ENCONTRADO",IF(H382=0,CONCATENATE("SUGESTÃO DE KM PARA PLACA ",F382," *",_xlfn.MAXIFS($I$1:I382,$F$1:F382,F382,$H$1:H382,"&gt;"&amp;0),"*"),"")),"")</f>
        <v/>
      </c>
      <c r="AM382" s="85" t="str" cm="1">
        <f t="array" ref="AM382">IFERROR(IF(M382&lt;&gt;"","",CONCATENATE("https://btx.brasiltrack.com/logistica/trajeto.php?idveiculo=",VLOOKUP(F382,DATAS!$A$221:$B$250,2,FALSE),"&amp;lat=-22.204247","&amp;data_ini=",TEXT(IF(E382&lt;&gt;"",IF(COUNTIF($F$2:$F382,F382)&gt;1,MAX(IF($F$1:$F381=F382,$E$1:$E381)),""),""),"DD/MM/AAAA"),"&amp;data_fim=",TEXT(E382,"DD/MM/AAAA"),"&amp;hora_inicial=",HOUR(IF(E382&lt;&gt;"",IF(COUNTIF($F$2:$F382,F382)&gt;1,MAX(IF($F$1:$F381=F382,$E$1:$E381)),""),"")),"&amp;minuto_inicial=",MINUTE(IF(E382&lt;&gt;"",IF(COUNTIF($F$2:$F382,F382)&gt;1,MAX(IF($F$1:$F381=F382,$E$1:$E381)),""),"")),"&amp;hora_final=",HOUR(E382),"&amp;minuto_final=",MINUTE(E382),"&amp;periodo=6&amp;tipo=por_data&amp;upos=false&amp;outequip=0")),"")</f>
        <v/>
      </c>
      <c r="AN382" s="100" t="str">
        <f t="shared" si="41"/>
        <v xml:space="preserve">ABASTECEU no 22 SUL PASSOU em ARUJÁ-SP CARREGOU em SANTOS-SP PASSOU em ARUJÁ-SP ABASTECEU no 22 NORTE      </v>
      </c>
    </row>
    <row r="383" spans="1:40" x14ac:dyDescent="0.25">
      <c r="A383" s="101">
        <f>IFERROR(VLOOKUP(AN383,ROTAS!$A:$B,2,FALSE),0)</f>
        <v>106</v>
      </c>
      <c r="B383" s="101">
        <f t="shared" si="42"/>
        <v>3</v>
      </c>
      <c r="C383" s="101">
        <f t="shared" si="43"/>
        <v>300.33333333333331</v>
      </c>
      <c r="D383" s="144">
        <v>44927</v>
      </c>
      <c r="E383" s="76">
        <v>44930.993750000001</v>
      </c>
      <c r="F383" s="6" t="s">
        <v>127</v>
      </c>
      <c r="G383" s="5" t="str">
        <f>IFERROR(VLOOKUP(SUMIFS(MSOLICITADA!$I:$I,MSOLICITADA!$B:$B,D383,MSOLICITADA!$F:$F,F383),CODIGOSPLACAS!$A$64:$B$89,2,FALSE),"")</f>
        <v>EVERTON</v>
      </c>
      <c r="H383" s="77">
        <v>1231443</v>
      </c>
      <c r="I383" s="77">
        <v>1231748</v>
      </c>
      <c r="J383" s="7">
        <v>228.001</v>
      </c>
      <c r="K383" s="78">
        <v>1456.92</v>
      </c>
      <c r="L383" s="79" t="s">
        <v>111</v>
      </c>
      <c r="M383" s="6">
        <v>275</v>
      </c>
      <c r="N383" s="5">
        <f t="shared" si="37"/>
        <v>30</v>
      </c>
      <c r="O383" s="80">
        <f t="shared" si="38"/>
        <v>6.3899719738071328</v>
      </c>
      <c r="P383" s="8">
        <f t="shared" si="39"/>
        <v>1.3377134310814427</v>
      </c>
      <c r="Q383" s="8">
        <f t="shared" si="44"/>
        <v>1.9701972800245917</v>
      </c>
      <c r="R383" s="81">
        <f t="shared" si="40"/>
        <v>0.90163934426229508</v>
      </c>
      <c r="S383" s="113" t="str">
        <f>IF(F383="","",IF(H383="",TEXT(_xlfn.MAXIFS($I$1:I383,$F$1:F383,F383,$H$1:H383,"&gt;"&amp;0),"000.000"),F383))</f>
        <v>OPM8J51</v>
      </c>
      <c r="T383" s="101">
        <f t="shared" si="45"/>
        <v>28.666666666666668</v>
      </c>
      <c r="U383" s="82" t="s">
        <v>220</v>
      </c>
      <c r="V383" s="98" t="s">
        <v>166</v>
      </c>
      <c r="W383" s="82" t="s">
        <v>225</v>
      </c>
      <c r="X383" s="98" t="s">
        <v>284</v>
      </c>
      <c r="Y383" s="82" t="s">
        <v>222</v>
      </c>
      <c r="Z383" s="98" t="s">
        <v>175</v>
      </c>
      <c r="AA383" s="82" t="s">
        <v>221</v>
      </c>
      <c r="AB383" s="98" t="s">
        <v>168</v>
      </c>
      <c r="AC383" s="82" t="s">
        <v>225</v>
      </c>
      <c r="AD383" s="98" t="s">
        <v>284</v>
      </c>
      <c r="AE383" s="82" t="s">
        <v>220</v>
      </c>
      <c r="AF383" s="98" t="s">
        <v>165</v>
      </c>
      <c r="AG383" s="82"/>
      <c r="AH383" s="98"/>
      <c r="AI383" s="82"/>
      <c r="AJ383" s="98"/>
      <c r="AK383" s="83"/>
      <c r="AL383" s="84" t="str">
        <f>IF(F383&lt;&gt;0,IF(_xlfn.MAXIFS($I$1:I383,$F$1:F383,F383,$H$1:H383,"&gt;"&amp;0)=0,"KM NÃO ENCONTRADO",IF(H383=0,CONCATENATE("SUGESTÃO DE KM PARA PLACA ",F383," *",_xlfn.MAXIFS($I$1:I383,$F$1:F383,F383,$H$1:H383,"&gt;"&amp;0),"*"),"")),"")</f>
        <v/>
      </c>
      <c r="AM383" s="85" t="str" cm="1">
        <f t="array" ref="AM383">IFERROR(IF(M383&lt;&gt;"","",CONCATENATE("https://btx.brasiltrack.com/logistica/trajeto.php?idveiculo=",VLOOKUP(F383,DATAS!$A$221:$B$250,2,FALSE),"&amp;lat=-22.204247","&amp;data_ini=",TEXT(IF(E383&lt;&gt;"",IF(COUNTIF($F$2:$F383,F383)&gt;1,MAX(IF($F$1:$F382=F383,$E$1:$E382)),""),""),"DD/MM/AAAA"),"&amp;data_fim=",TEXT(E383,"DD/MM/AAAA"),"&amp;hora_inicial=",HOUR(IF(E383&lt;&gt;"",IF(COUNTIF($F$2:$F383,F383)&gt;1,MAX(IF($F$1:$F382=F383,$E$1:$E382)),""),"")),"&amp;minuto_inicial=",MINUTE(IF(E383&lt;&gt;"",IF(COUNTIF($F$2:$F383,F383)&gt;1,MAX(IF($F$1:$F382=F383,$E$1:$E382)),""),"")),"&amp;hora_final=",HOUR(E383),"&amp;minuto_final=",MINUTE(E383),"&amp;periodo=6&amp;tipo=por_data&amp;upos=false&amp;outequip=0")),"")</f>
        <v/>
      </c>
      <c r="AN383" s="100" t="str">
        <f t="shared" si="41"/>
        <v xml:space="preserve">ABASTECEU no 22 SUL PASSOU em SÃO PAULO-SP DESCARREGOU em SANTOS-SP CARREGOU em CUBATAO-SP PASSOU em SÃO PAULO-SP ABASTECEU no 22 NORTE    </v>
      </c>
    </row>
    <row r="384" spans="1:40" x14ac:dyDescent="0.25">
      <c r="A384" s="101">
        <f>IFERROR(VLOOKUP(AN384,ROTAS!$A:$B,2,FALSE),0)</f>
        <v>106</v>
      </c>
      <c r="B384" s="101">
        <f t="shared" si="42"/>
        <v>3</v>
      </c>
      <c r="C384" s="101">
        <f t="shared" si="43"/>
        <v>300.33333333333331</v>
      </c>
      <c r="D384" s="144">
        <v>44927</v>
      </c>
      <c r="E384" s="76">
        <v>44930.997916666667</v>
      </c>
      <c r="F384" s="6" t="s">
        <v>25</v>
      </c>
      <c r="G384" s="5" t="str">
        <f>IFERROR(VLOOKUP(SUMIFS(MSOLICITADA!$I:$I,MSOLICITADA!$B:$B,D384,MSOLICITADA!$F:$F,F384),CODIGOSPLACAS!$A$64:$B$89,2,FALSE),"")</f>
        <v>EDUALDO</v>
      </c>
      <c r="H384" s="77">
        <v>1012831</v>
      </c>
      <c r="I384" s="77">
        <v>1013132</v>
      </c>
      <c r="J384" s="7">
        <v>278.00099999999998</v>
      </c>
      <c r="K384" s="78">
        <v>1776.42</v>
      </c>
      <c r="L384" s="79" t="s">
        <v>111</v>
      </c>
      <c r="M384" s="6">
        <v>275</v>
      </c>
      <c r="N384" s="5">
        <f t="shared" si="37"/>
        <v>26</v>
      </c>
      <c r="O384" s="80">
        <f t="shared" si="38"/>
        <v>6.3899770144711718</v>
      </c>
      <c r="P384" s="8">
        <f t="shared" si="39"/>
        <v>1.0827299182377044</v>
      </c>
      <c r="Q384" s="8">
        <f t="shared" si="44"/>
        <v>1.4288896110685252</v>
      </c>
      <c r="R384" s="81">
        <f t="shared" si="40"/>
        <v>0.91362126245847175</v>
      </c>
      <c r="S384" s="113" t="str">
        <f>IF(F384="","",IF(H384="",TEXT(_xlfn.MAXIFS($I$1:I384,$F$1:F384,F384,$H$1:H384,"&gt;"&amp;0),"000.000"),F384))</f>
        <v>QHE9735</v>
      </c>
      <c r="T384" s="101">
        <f t="shared" si="45"/>
        <v>28.666666666666668</v>
      </c>
      <c r="U384" s="82" t="s">
        <v>220</v>
      </c>
      <c r="V384" s="98" t="s">
        <v>166</v>
      </c>
      <c r="W384" s="82" t="s">
        <v>225</v>
      </c>
      <c r="X384" s="98" t="s">
        <v>284</v>
      </c>
      <c r="Y384" s="82" t="s">
        <v>222</v>
      </c>
      <c r="Z384" s="98" t="s">
        <v>175</v>
      </c>
      <c r="AA384" s="82" t="s">
        <v>221</v>
      </c>
      <c r="AB384" s="98" t="s">
        <v>168</v>
      </c>
      <c r="AC384" s="82" t="s">
        <v>225</v>
      </c>
      <c r="AD384" s="98" t="s">
        <v>284</v>
      </c>
      <c r="AE384" s="82" t="s">
        <v>220</v>
      </c>
      <c r="AF384" s="98" t="s">
        <v>165</v>
      </c>
      <c r="AG384" s="82"/>
      <c r="AH384" s="98"/>
      <c r="AI384" s="82"/>
      <c r="AJ384" s="98"/>
      <c r="AK384" s="83"/>
      <c r="AL384" s="84" t="str">
        <f>IF(F384&lt;&gt;0,IF(_xlfn.MAXIFS($I$1:I384,$F$1:F384,F384,$H$1:H384,"&gt;"&amp;0)=0,"KM NÃO ENCONTRADO",IF(H384=0,CONCATENATE("SUGESTÃO DE KM PARA PLACA ",F384," *",_xlfn.MAXIFS($I$1:I384,$F$1:F384,F384,$H$1:H384,"&gt;"&amp;0),"*"),"")),"")</f>
        <v/>
      </c>
      <c r="AM384" s="85" t="str" cm="1">
        <f t="array" ref="AM384">IFERROR(IF(M384&lt;&gt;"","",CONCATENATE("https://btx.brasiltrack.com/logistica/trajeto.php?idveiculo=",VLOOKUP(F384,DATAS!$A$221:$B$250,2,FALSE),"&amp;lat=-22.204247","&amp;data_ini=",TEXT(IF(E384&lt;&gt;"",IF(COUNTIF($F$2:$F384,F384)&gt;1,MAX(IF($F$1:$F383=F384,$E$1:$E383)),""),""),"DD/MM/AAAA"),"&amp;data_fim=",TEXT(E384,"DD/MM/AAAA"),"&amp;hora_inicial=",HOUR(IF(E384&lt;&gt;"",IF(COUNTIF($F$2:$F384,F384)&gt;1,MAX(IF($F$1:$F383=F384,$E$1:$E383)),""),"")),"&amp;minuto_inicial=",MINUTE(IF(E384&lt;&gt;"",IF(COUNTIF($F$2:$F384,F384)&gt;1,MAX(IF($F$1:$F383=F384,$E$1:$E383)),""),"")),"&amp;hora_final=",HOUR(E384),"&amp;minuto_final=",MINUTE(E384),"&amp;periodo=6&amp;tipo=por_data&amp;upos=false&amp;outequip=0")),"")</f>
        <v/>
      </c>
      <c r="AN384" s="100" t="str">
        <f t="shared" si="41"/>
        <v xml:space="preserve">ABASTECEU no 22 SUL PASSOU em SÃO PAULO-SP DESCARREGOU em SANTOS-SP CARREGOU em CUBATAO-SP PASSOU em SÃO PAULO-SP ABASTECEU no 22 NORTE    </v>
      </c>
    </row>
    <row r="385" spans="1:40" x14ac:dyDescent="0.25">
      <c r="A385" s="101">
        <f>IFERROR(VLOOKUP(AN385,ROTAS!$A:$B,2,FALSE),0)</f>
        <v>106</v>
      </c>
      <c r="B385" s="101">
        <f t="shared" si="42"/>
        <v>3</v>
      </c>
      <c r="C385" s="101">
        <f t="shared" si="43"/>
        <v>300.33333333333331</v>
      </c>
      <c r="D385" s="144">
        <v>44927</v>
      </c>
      <c r="E385" s="76">
        <v>44930.999305555553</v>
      </c>
      <c r="F385" s="6" t="s">
        <v>27</v>
      </c>
      <c r="G385" s="5" t="str">
        <f>IFERROR(VLOOKUP(SUMIFS(MSOLICITADA!$I:$I,MSOLICITADA!$B:$B,D385,MSOLICITADA!$F:$F,F385),CODIGOSPLACAS!$A$64:$B$89,2,FALSE),"")</f>
        <v>ANTONIO</v>
      </c>
      <c r="H385" s="77">
        <v>248972</v>
      </c>
      <c r="I385" s="77">
        <v>249267</v>
      </c>
      <c r="J385" s="7">
        <v>289.00099999999998</v>
      </c>
      <c r="K385" s="78">
        <v>1846.71</v>
      </c>
      <c r="L385" s="79" t="s">
        <v>111</v>
      </c>
      <c r="M385" s="6">
        <v>265</v>
      </c>
      <c r="N385" s="5">
        <f t="shared" si="37"/>
        <v>30</v>
      </c>
      <c r="O385" s="80">
        <f t="shared" si="38"/>
        <v>6.3899778893498649</v>
      </c>
      <c r="P385" s="8">
        <f t="shared" si="39"/>
        <v>1.0207577136411294</v>
      </c>
      <c r="Q385" s="8">
        <f t="shared" si="44"/>
        <v>1.4666276036610979</v>
      </c>
      <c r="R385" s="81">
        <f t="shared" si="40"/>
        <v>0.89830508474576276</v>
      </c>
      <c r="S385" s="113" t="str">
        <f>IF(F385="","",IF(H385="",TEXT(_xlfn.MAXIFS($I$1:I385,$F$1:F385,F385,$H$1:H385,"&gt;"&amp;0),"000.000"),F385))</f>
        <v>GHS4J57</v>
      </c>
      <c r="T385" s="101">
        <f t="shared" si="45"/>
        <v>28.666666666666668</v>
      </c>
      <c r="U385" s="82" t="s">
        <v>220</v>
      </c>
      <c r="V385" s="98" t="s">
        <v>166</v>
      </c>
      <c r="W385" s="82" t="s">
        <v>225</v>
      </c>
      <c r="X385" s="98" t="s">
        <v>284</v>
      </c>
      <c r="Y385" s="82" t="s">
        <v>222</v>
      </c>
      <c r="Z385" s="98" t="s">
        <v>175</v>
      </c>
      <c r="AA385" s="82" t="s">
        <v>221</v>
      </c>
      <c r="AB385" s="98" t="s">
        <v>168</v>
      </c>
      <c r="AC385" s="82" t="s">
        <v>225</v>
      </c>
      <c r="AD385" s="98" t="s">
        <v>284</v>
      </c>
      <c r="AE385" s="82" t="s">
        <v>220</v>
      </c>
      <c r="AF385" s="98" t="s">
        <v>165</v>
      </c>
      <c r="AG385" s="82"/>
      <c r="AH385" s="98"/>
      <c r="AI385" s="82"/>
      <c r="AJ385" s="98"/>
      <c r="AK385" s="83"/>
      <c r="AL385" s="84" t="str">
        <f>IF(F385&lt;&gt;0,IF(_xlfn.MAXIFS($I$1:I385,$F$1:F385,F385,$H$1:H385,"&gt;"&amp;0)=0,"KM NÃO ENCONTRADO",IF(H385=0,CONCATENATE("SUGESTÃO DE KM PARA PLACA ",F385," *",_xlfn.MAXIFS($I$1:I385,$F$1:F385,F385,$H$1:H385,"&gt;"&amp;0),"*"),"")),"")</f>
        <v/>
      </c>
      <c r="AM385" s="85" t="str" cm="1">
        <f t="array" ref="AM385">IFERROR(IF(M385&lt;&gt;"","",CONCATENATE("https://btx.brasiltrack.com/logistica/trajeto.php?idveiculo=",VLOOKUP(F385,DATAS!$A$221:$B$250,2,FALSE),"&amp;lat=-22.204247","&amp;data_ini=",TEXT(IF(E385&lt;&gt;"",IF(COUNTIF($F$2:$F385,F385)&gt;1,MAX(IF($F$1:$F384=F385,$E$1:$E384)),""),""),"DD/MM/AAAA"),"&amp;data_fim=",TEXT(E385,"DD/MM/AAAA"),"&amp;hora_inicial=",HOUR(IF(E385&lt;&gt;"",IF(COUNTIF($F$2:$F385,F385)&gt;1,MAX(IF($F$1:$F384=F385,$E$1:$E384)),""),"")),"&amp;minuto_inicial=",MINUTE(IF(E385&lt;&gt;"",IF(COUNTIF($F$2:$F385,F385)&gt;1,MAX(IF($F$1:$F384=F385,$E$1:$E384)),""),"")),"&amp;hora_final=",HOUR(E385),"&amp;minuto_final=",MINUTE(E385),"&amp;periodo=6&amp;tipo=por_data&amp;upos=false&amp;outequip=0")),"")</f>
        <v/>
      </c>
      <c r="AN385" s="100" t="str">
        <f t="shared" si="41"/>
        <v xml:space="preserve">ABASTECEU no 22 SUL PASSOU em SÃO PAULO-SP DESCARREGOU em SANTOS-SP CARREGOU em CUBATAO-SP PASSOU em SÃO PAULO-SP ABASTECEU no 22 NORTE    </v>
      </c>
    </row>
    <row r="386" spans="1:40" x14ac:dyDescent="0.25">
      <c r="A386" s="101">
        <f>IFERROR(VLOOKUP(AN386,ROTAS!$A:$B,2,FALSE),0)</f>
        <v>107</v>
      </c>
      <c r="B386" s="101">
        <f t="shared" si="42"/>
        <v>2</v>
      </c>
      <c r="C386" s="101">
        <f t="shared" si="43"/>
        <v>373.5</v>
      </c>
      <c r="D386" s="144">
        <v>44927</v>
      </c>
      <c r="E386" s="76">
        <v>44931.000694444447</v>
      </c>
      <c r="F386" s="6" t="s">
        <v>28</v>
      </c>
      <c r="G386" s="5" t="str">
        <f>IFERROR(VLOOKUP(SUMIFS(MSOLICITADA!$I:$I,MSOLICITADA!$B:$B,D386,MSOLICITADA!$F:$F,F386),CODIGOSPLACAS!$A$64:$B$89,2,FALSE),"")</f>
        <v>RONY</v>
      </c>
      <c r="H386" s="77">
        <v>244197</v>
      </c>
      <c r="I386" s="77">
        <v>244550</v>
      </c>
      <c r="J386" s="7">
        <v>294.52100000000002</v>
      </c>
      <c r="K386" s="78">
        <v>1881.98</v>
      </c>
      <c r="L386" s="79" t="s">
        <v>111</v>
      </c>
      <c r="M386" s="6">
        <v>323</v>
      </c>
      <c r="N386" s="5">
        <f t="shared" si="37"/>
        <v>30</v>
      </c>
      <c r="O386" s="80">
        <f t="shared" si="38"/>
        <v>6.3899687967920791</v>
      </c>
      <c r="P386" s="8">
        <f t="shared" si="39"/>
        <v>1.1985562998903303</v>
      </c>
      <c r="Q386" s="8">
        <f t="shared" si="44"/>
        <v>1.519654959485309</v>
      </c>
      <c r="R386" s="81">
        <f t="shared" si="40"/>
        <v>0.91501416430594906</v>
      </c>
      <c r="S386" s="113" t="str">
        <f>IF(F386="","",IF(H386="",TEXT(_xlfn.MAXIFS($I$1:I386,$F$1:F386,F386,$H$1:H386,"&gt;"&amp;0),"000.000"),F386))</f>
        <v>FZA3E94</v>
      </c>
      <c r="T386" s="101">
        <f t="shared" si="45"/>
        <v>30</v>
      </c>
      <c r="U386" s="82" t="s">
        <v>220</v>
      </c>
      <c r="V386" s="98" t="s">
        <v>166</v>
      </c>
      <c r="W386" s="82" t="s">
        <v>225</v>
      </c>
      <c r="X386" s="98" t="s">
        <v>237</v>
      </c>
      <c r="Y386" s="82" t="s">
        <v>222</v>
      </c>
      <c r="Z386" s="98" t="s">
        <v>175</v>
      </c>
      <c r="AA386" s="82" t="s">
        <v>221</v>
      </c>
      <c r="AB386" s="98" t="s">
        <v>168</v>
      </c>
      <c r="AC386" s="82" t="s">
        <v>225</v>
      </c>
      <c r="AD386" s="98" t="s">
        <v>284</v>
      </c>
      <c r="AE386" s="82" t="s">
        <v>220</v>
      </c>
      <c r="AF386" s="98" t="s">
        <v>165</v>
      </c>
      <c r="AG386" s="82"/>
      <c r="AH386" s="98"/>
      <c r="AI386" s="82"/>
      <c r="AJ386" s="98"/>
      <c r="AK386" s="83"/>
      <c r="AL386" s="84" t="str">
        <f>IF(F386&lt;&gt;0,IF(_xlfn.MAXIFS($I$1:I386,$F$1:F386,F386,$H$1:H386,"&gt;"&amp;0)=0,"KM NÃO ENCONTRADO",IF(H386=0,CONCATENATE("SUGESTÃO DE KM PARA PLACA ",F386," *",_xlfn.MAXIFS($I$1:I386,$F$1:F386,F386,$H$1:H386,"&gt;"&amp;0),"*"),"")),"")</f>
        <v/>
      </c>
      <c r="AM386" s="85" t="str" cm="1">
        <f t="array" ref="AM386">IFERROR(IF(M386&lt;&gt;"","",CONCATENATE("https://btx.brasiltrack.com/logistica/trajeto.php?idveiculo=",VLOOKUP(F386,DATAS!$A$221:$B$250,2,FALSE),"&amp;lat=-22.204247","&amp;data_ini=",TEXT(IF(E386&lt;&gt;"",IF(COUNTIF($F$2:$F386,F386)&gt;1,MAX(IF($F$1:$F385=F386,$E$1:$E385)),""),""),"DD/MM/AAAA"),"&amp;data_fim=",TEXT(E386,"DD/MM/AAAA"),"&amp;hora_inicial=",HOUR(IF(E386&lt;&gt;"",IF(COUNTIF($F$2:$F386,F386)&gt;1,MAX(IF($F$1:$F385=F386,$E$1:$E385)),""),"")),"&amp;minuto_inicial=",MINUTE(IF(E386&lt;&gt;"",IF(COUNTIF($F$2:$F386,F386)&gt;1,MAX(IF($F$1:$F385=F386,$E$1:$E385)),""),"")),"&amp;hora_final=",HOUR(E386),"&amp;minuto_final=",MINUTE(E386),"&amp;periodo=6&amp;tipo=por_data&amp;upos=false&amp;outequip=0")),"")</f>
        <v/>
      </c>
      <c r="AN386" s="100" t="str">
        <f t="shared" si="41"/>
        <v xml:space="preserve">ABASTECEU no 22 SUL PASSOU em ARUJÁ-SP DESCARREGOU em SANTOS-SP CARREGOU em CUBATAO-SP PASSOU em SÃO PAULO-SP ABASTECEU no 22 NORTE    </v>
      </c>
    </row>
    <row r="387" spans="1:40" x14ac:dyDescent="0.25">
      <c r="A387" s="101">
        <f>IFERROR(VLOOKUP(AN387,ROTAS!$A:$B,2,FALSE),0)</f>
        <v>139</v>
      </c>
      <c r="B387" s="101">
        <f t="shared" si="42"/>
        <v>4</v>
      </c>
      <c r="C387" s="101">
        <f t="shared" si="43"/>
        <v>683.25</v>
      </c>
      <c r="D387" s="144">
        <v>44927</v>
      </c>
      <c r="E387" s="76">
        <v>44931.001388888886</v>
      </c>
      <c r="F387" s="6" t="s">
        <v>131</v>
      </c>
      <c r="G387" s="5" t="str">
        <f>IFERROR(VLOOKUP(SUMIFS(MSOLICITADA!$I:$I,MSOLICITADA!$B:$B,D387,MSOLICITADA!$F:$F,F387),CODIGOSPLACAS!$A$64:$B$89,2,FALSE),"")</f>
        <v>ALTIELIS</v>
      </c>
      <c r="H387" s="77">
        <v>48475</v>
      </c>
      <c r="I387" s="77">
        <v>49141</v>
      </c>
      <c r="J387" s="7">
        <v>470.00099999999998</v>
      </c>
      <c r="K387" s="78">
        <v>3003.3</v>
      </c>
      <c r="L387" s="79" t="s">
        <v>111</v>
      </c>
      <c r="M387" s="6">
        <v>636</v>
      </c>
      <c r="N387" s="5">
        <f t="shared" ref="N387:N450" si="46">IF(IF((I387-H387-M387)&lt;0,"ERRO",I387-H387-M387)=0,"",IF((I387-H387-M387)&lt;0,"ERRO",I387-H387-M387))</f>
        <v>30</v>
      </c>
      <c r="O387" s="80">
        <f t="shared" ref="O387:O450" si="47">IFERROR(K387/J387,"")</f>
        <v>6.3899864042842465</v>
      </c>
      <c r="P387" s="8">
        <f t="shared" ref="P387:P450" si="48">IF(F387&lt;&gt;"",(SUM(M387:N387)-AK387)/(J387-(AK387/5)),0)</f>
        <v>1.4170182616632732</v>
      </c>
      <c r="Q387" s="8">
        <f t="shared" si="44"/>
        <v>1.6793774979959049</v>
      </c>
      <c r="R387" s="81">
        <f t="shared" ref="R387:R450" si="49">IFERROR(IF(M387/(I387-H387)=0,0,M387/(I387-H387)),0)</f>
        <v>0.95495495495495497</v>
      </c>
      <c r="S387" s="113" t="str">
        <f>IF(F387="","",IF(H387="",TEXT(_xlfn.MAXIFS($I$1:I387,$F$1:F387,F387,$H$1:H387,"&gt;"&amp;0),"000.000"),F387))</f>
        <v>GGN4J86</v>
      </c>
      <c r="T387" s="101">
        <f t="shared" si="45"/>
        <v>30</v>
      </c>
      <c r="U387" s="82" t="s">
        <v>220</v>
      </c>
      <c r="V387" s="98" t="s">
        <v>206</v>
      </c>
      <c r="W387" s="82" t="s">
        <v>225</v>
      </c>
      <c r="X387" s="98" t="s">
        <v>284</v>
      </c>
      <c r="Y387" s="82" t="s">
        <v>222</v>
      </c>
      <c r="Z387" s="98" t="s">
        <v>175</v>
      </c>
      <c r="AA387" s="82" t="s">
        <v>221</v>
      </c>
      <c r="AB387" s="98" t="s">
        <v>168</v>
      </c>
      <c r="AC387" s="82" t="s">
        <v>225</v>
      </c>
      <c r="AD387" s="98" t="s">
        <v>284</v>
      </c>
      <c r="AE387" s="82" t="s">
        <v>220</v>
      </c>
      <c r="AF387" s="98" t="s">
        <v>165</v>
      </c>
      <c r="AG387" s="82"/>
      <c r="AH387" s="98"/>
      <c r="AI387" s="82"/>
      <c r="AJ387" s="98"/>
      <c r="AK387" s="83"/>
      <c r="AL387" s="84" t="str">
        <f>IF(F387&lt;&gt;0,IF(_xlfn.MAXIFS($I$1:I387,$F$1:F387,F387,$H$1:H387,"&gt;"&amp;0)=0,"KM NÃO ENCONTRADO",IF(H387=0,CONCATENATE("SUGESTÃO DE KM PARA PLACA ",F387," *",_xlfn.MAXIFS($I$1:I387,$F$1:F387,F387,$H$1:H387,"&gt;"&amp;0),"*"),"")),"")</f>
        <v/>
      </c>
      <c r="AM387" s="85" t="str" cm="1">
        <f t="array" ref="AM387">IFERROR(IF(M387&lt;&gt;"","",CONCATENATE("https://btx.brasiltrack.com/logistica/trajeto.php?idveiculo=",VLOOKUP(F387,DATAS!$A$221:$B$250,2,FALSE),"&amp;lat=-22.204247","&amp;data_ini=",TEXT(IF(E387&lt;&gt;"",IF(COUNTIF($F$2:$F387,F387)&gt;1,MAX(IF($F$1:$F386=F387,$E$1:$E386)),""),""),"DD/MM/AAAA"),"&amp;data_fim=",TEXT(E387,"DD/MM/AAAA"),"&amp;hora_inicial=",HOUR(IF(E387&lt;&gt;"",IF(COUNTIF($F$2:$F387,F387)&gt;1,MAX(IF($F$1:$F386=F387,$E$1:$E386)),""),"")),"&amp;minuto_inicial=",MINUTE(IF(E387&lt;&gt;"",IF(COUNTIF($F$2:$F387,F387)&gt;1,MAX(IF($F$1:$F386=F387,$E$1:$E386)),""),"")),"&amp;hora_final=",HOUR(E387),"&amp;minuto_final=",MINUTE(E387),"&amp;periodo=6&amp;tipo=por_data&amp;upos=false&amp;outequip=0")),"")</f>
        <v/>
      </c>
      <c r="AN387" s="100" t="str">
        <f t="shared" ref="AN387:AN450" si="50">CONCATENATE(U387," ",V387," ",W387," ",X387," ",Y387," ",Z387," ",AA387," ",AB387," ",AC387," ",AD387," ",AE387," ",AF387," ",AG387," ",AH387," ",AI387," ",AJ387)</f>
        <v xml:space="preserve">ABASTECEU no CANDEIAS-MG PASSOU em SÃO PAULO-SP DESCARREGOU em SANTOS-SP CARREGOU em CUBATAO-SP PASSOU em SÃO PAULO-SP ABASTECEU no 22 NORTE    </v>
      </c>
    </row>
    <row r="388" spans="1:40" x14ac:dyDescent="0.25">
      <c r="A388" s="101">
        <f>IFERROR(VLOOKUP(AN388,ROTAS!$A:$B,2,FALSE),0)</f>
        <v>139</v>
      </c>
      <c r="B388" s="101">
        <f t="shared" si="42"/>
        <v>4</v>
      </c>
      <c r="C388" s="101">
        <f t="shared" si="43"/>
        <v>683.25</v>
      </c>
      <c r="D388" s="144">
        <v>44927</v>
      </c>
      <c r="E388" s="76">
        <v>44931.038194444445</v>
      </c>
      <c r="F388" s="6" t="s">
        <v>126</v>
      </c>
      <c r="G388" s="5" t="str">
        <f>IFERROR(VLOOKUP(SUMIFS(MSOLICITADA!$I:$I,MSOLICITADA!$B:$B,D388,MSOLICITADA!$F:$F,F388),CODIGOSPLACAS!$A$64:$B$89,2,FALSE),"")</f>
        <v>IZAIAS</v>
      </c>
      <c r="H388" s="77">
        <v>490188</v>
      </c>
      <c r="I388" s="77">
        <v>490864</v>
      </c>
      <c r="J388" s="7">
        <v>835.00099999999998</v>
      </c>
      <c r="K388" s="78">
        <v>5335.65</v>
      </c>
      <c r="L388" s="79" t="s">
        <v>111</v>
      </c>
      <c r="M388" s="6">
        <v>646</v>
      </c>
      <c r="N388" s="5">
        <f t="shared" si="46"/>
        <v>30</v>
      </c>
      <c r="O388" s="80">
        <f t="shared" si="47"/>
        <v>6.3899923473145535</v>
      </c>
      <c r="P388" s="8">
        <f t="shared" si="48"/>
        <v>0.80957986876662424</v>
      </c>
      <c r="Q388" s="8">
        <f t="shared" si="44"/>
        <v>1.5602257971131808</v>
      </c>
      <c r="R388" s="81">
        <f t="shared" si="49"/>
        <v>0.95562130177514792</v>
      </c>
      <c r="S388" s="113" t="str">
        <f>IF(F388="","",IF(H388="",TEXT(_xlfn.MAXIFS($I$1:I388,$F$1:F388,F388,$H$1:H388,"&gt;"&amp;0),"000.000"),F388))</f>
        <v>GHX4D71</v>
      </c>
      <c r="T388" s="101">
        <f t="shared" si="45"/>
        <v>30</v>
      </c>
      <c r="U388" s="82" t="s">
        <v>220</v>
      </c>
      <c r="V388" s="98" t="s">
        <v>206</v>
      </c>
      <c r="W388" s="82" t="s">
        <v>225</v>
      </c>
      <c r="X388" s="98" t="s">
        <v>284</v>
      </c>
      <c r="Y388" s="82" t="s">
        <v>222</v>
      </c>
      <c r="Z388" s="98" t="s">
        <v>175</v>
      </c>
      <c r="AA388" s="82" t="s">
        <v>221</v>
      </c>
      <c r="AB388" s="98" t="s">
        <v>168</v>
      </c>
      <c r="AC388" s="82" t="s">
        <v>225</v>
      </c>
      <c r="AD388" s="98" t="s">
        <v>284</v>
      </c>
      <c r="AE388" s="82" t="s">
        <v>220</v>
      </c>
      <c r="AF388" s="98" t="s">
        <v>165</v>
      </c>
      <c r="AG388" s="82"/>
      <c r="AH388" s="98"/>
      <c r="AI388" s="82"/>
      <c r="AJ388" s="98"/>
      <c r="AK388" s="83"/>
      <c r="AL388" s="84" t="str">
        <f>IF(F388&lt;&gt;0,IF(_xlfn.MAXIFS($I$1:I388,$F$1:F388,F388,$H$1:H388,"&gt;"&amp;0)=0,"KM NÃO ENCONTRADO",IF(H388=0,CONCATENATE("SUGESTÃO DE KM PARA PLACA ",F388," *",_xlfn.MAXIFS($I$1:I388,$F$1:F388,F388,$H$1:H388,"&gt;"&amp;0),"*"),"")),"")</f>
        <v/>
      </c>
      <c r="AM388" s="85" t="str" cm="1">
        <f t="array" ref="AM388">IFERROR(IF(M388&lt;&gt;"","",CONCATENATE("https://btx.brasiltrack.com/logistica/trajeto.php?idveiculo=",VLOOKUP(F388,DATAS!$A$221:$B$250,2,FALSE),"&amp;lat=-22.204247","&amp;data_ini=",TEXT(IF(E388&lt;&gt;"",IF(COUNTIF($F$2:$F388,F388)&gt;1,MAX(IF($F$1:$F387=F388,$E$1:$E387)),""),""),"DD/MM/AAAA"),"&amp;data_fim=",TEXT(E388,"DD/MM/AAAA"),"&amp;hora_inicial=",HOUR(IF(E388&lt;&gt;"",IF(COUNTIF($F$2:$F388,F388)&gt;1,MAX(IF($F$1:$F387=F388,$E$1:$E387)),""),"")),"&amp;minuto_inicial=",MINUTE(IF(E388&lt;&gt;"",IF(COUNTIF($F$2:$F388,F388)&gt;1,MAX(IF($F$1:$F387=F388,$E$1:$E387)),""),"")),"&amp;hora_final=",HOUR(E388),"&amp;minuto_final=",MINUTE(E388),"&amp;periodo=6&amp;tipo=por_data&amp;upos=false&amp;outequip=0")),"")</f>
        <v/>
      </c>
      <c r="AN388" s="100" t="str">
        <f t="shared" si="50"/>
        <v xml:space="preserve">ABASTECEU no CANDEIAS-MG PASSOU em SÃO PAULO-SP DESCARREGOU em SANTOS-SP CARREGOU em CUBATAO-SP PASSOU em SÃO PAULO-SP ABASTECEU no 22 NORTE    </v>
      </c>
    </row>
    <row r="389" spans="1:40" x14ac:dyDescent="0.25">
      <c r="A389" s="101">
        <f>IFERROR(VLOOKUP(AN389,ROTAS!$A:$B,2,FALSE),0)</f>
        <v>108</v>
      </c>
      <c r="B389" s="101">
        <f t="shared" si="42"/>
        <v>1</v>
      </c>
      <c r="C389" s="101">
        <f t="shared" si="43"/>
        <v>642</v>
      </c>
      <c r="D389" s="144">
        <v>44927</v>
      </c>
      <c r="E389" s="76">
        <v>44931.248611111114</v>
      </c>
      <c r="F389" s="6" t="s">
        <v>24</v>
      </c>
      <c r="G389" s="5" t="str">
        <f>IFERROR(VLOOKUP(SUMIFS(MSOLICITADA!$I:$I,MSOLICITADA!$B:$B,D389,MSOLICITADA!$F:$F,F389),CODIGOSPLACAS!$A$64:$B$89,2,FALSE),"")</f>
        <v>PAULO HENR.</v>
      </c>
      <c r="H389" s="77">
        <v>948873</v>
      </c>
      <c r="I389" s="77">
        <v>949515</v>
      </c>
      <c r="J389" s="7">
        <v>441.73</v>
      </c>
      <c r="K389" s="78">
        <v>2822.65</v>
      </c>
      <c r="L389" s="79" t="s">
        <v>111</v>
      </c>
      <c r="M389" s="6">
        <v>442</v>
      </c>
      <c r="N389" s="5">
        <f t="shared" si="46"/>
        <v>200</v>
      </c>
      <c r="O389" s="80">
        <f t="shared" si="47"/>
        <v>6.3899893600162994</v>
      </c>
      <c r="P389" s="8">
        <f t="shared" si="48"/>
        <v>1.4533764969551535</v>
      </c>
      <c r="Q389" s="8">
        <f t="shared" si="44"/>
        <v>1.5194077812359499</v>
      </c>
      <c r="R389" s="81">
        <f t="shared" si="49"/>
        <v>0.68847352024922115</v>
      </c>
      <c r="S389" s="113" t="str">
        <f>IF(F389="","",IF(H389="",TEXT(_xlfn.MAXIFS($I$1:I389,$F$1:F389,F389,$H$1:H389,"&gt;"&amp;0),"000.000"),F389))</f>
        <v>FKS0J24</v>
      </c>
      <c r="T389" s="101">
        <f t="shared" si="45"/>
        <v>200</v>
      </c>
      <c r="U389" s="82" t="s">
        <v>220</v>
      </c>
      <c r="V389" s="98" t="s">
        <v>166</v>
      </c>
      <c r="W389" s="82" t="s">
        <v>225</v>
      </c>
      <c r="X389" s="98" t="s">
        <v>284</v>
      </c>
      <c r="Y389" s="82" t="s">
        <v>222</v>
      </c>
      <c r="Z389" s="98" t="s">
        <v>175</v>
      </c>
      <c r="AA389" s="82" t="s">
        <v>221</v>
      </c>
      <c r="AB389" s="98" t="s">
        <v>168</v>
      </c>
      <c r="AC389" s="82" t="s">
        <v>225</v>
      </c>
      <c r="AD389" s="98" t="s">
        <v>284</v>
      </c>
      <c r="AE389" s="82" t="s">
        <v>222</v>
      </c>
      <c r="AF389" s="98" t="s">
        <v>200</v>
      </c>
      <c r="AG389" s="82" t="s">
        <v>220</v>
      </c>
      <c r="AH389" s="98" t="s">
        <v>166</v>
      </c>
      <c r="AI389" s="82"/>
      <c r="AJ389" s="98"/>
      <c r="AK389" s="83"/>
      <c r="AL389" s="84" t="str">
        <f>IF(F389&lt;&gt;0,IF(_xlfn.MAXIFS($I$1:I389,$F$1:F389,F389,$H$1:H389,"&gt;"&amp;0)=0,"KM NÃO ENCONTRADO",IF(H389=0,CONCATENATE("SUGESTÃO DE KM PARA PLACA ",F389," *",_xlfn.MAXIFS($I$1:I389,$F$1:F389,F389,$H$1:H389,"&gt;"&amp;0),"*"),"")),"")</f>
        <v/>
      </c>
      <c r="AM389" s="85" t="str" cm="1">
        <f t="array" ref="AM389">IFERROR(IF(M389&lt;&gt;"","",CONCATENATE("https://btx.brasiltrack.com/logistica/trajeto.php?idveiculo=",VLOOKUP(F389,DATAS!$A$221:$B$250,2,FALSE),"&amp;lat=-22.204247","&amp;data_ini=",TEXT(IF(E389&lt;&gt;"",IF(COUNTIF($F$2:$F389,F389)&gt;1,MAX(IF($F$1:$F388=F389,$E$1:$E388)),""),""),"DD/MM/AAAA"),"&amp;data_fim=",TEXT(E389,"DD/MM/AAAA"),"&amp;hora_inicial=",HOUR(IF(E389&lt;&gt;"",IF(COUNTIF($F$2:$F389,F389)&gt;1,MAX(IF($F$1:$F388=F389,$E$1:$E388)),""),"")),"&amp;minuto_inicial=",MINUTE(IF(E389&lt;&gt;"",IF(COUNTIF($F$2:$F389,F389)&gt;1,MAX(IF($F$1:$F388=F389,$E$1:$E388)),""),"")),"&amp;hora_final=",HOUR(E389),"&amp;minuto_final=",MINUTE(E389),"&amp;periodo=6&amp;tipo=por_data&amp;upos=false&amp;outequip=0")),"")</f>
        <v/>
      </c>
      <c r="AN389" s="100" t="str">
        <f t="shared" si="50"/>
        <v xml:space="preserve">ABASTECEU no 22 SUL PASSOU em SÃO PAULO-SP DESCARREGOU em SANTOS-SP CARREGOU em CUBATAO-SP PASSOU em SÃO PAULO-SP DESCARREGOU em CONGONHAL-MG ABASTECEU no 22 SUL  </v>
      </c>
    </row>
    <row r="390" spans="1:40" x14ac:dyDescent="0.25">
      <c r="A390" s="101">
        <f>IFERROR(VLOOKUP(AN390,ROTAS!$A:$B,2,FALSE),0)</f>
        <v>13</v>
      </c>
      <c r="B390" s="101">
        <f t="shared" si="42"/>
        <v>16</v>
      </c>
      <c r="C390" s="101">
        <f t="shared" si="43"/>
        <v>363.3125</v>
      </c>
      <c r="D390" s="144">
        <v>44927</v>
      </c>
      <c r="E390" s="76">
        <v>44931.489583333336</v>
      </c>
      <c r="F390" s="6" t="s">
        <v>35</v>
      </c>
      <c r="G390" s="5" t="str">
        <f>IFERROR(VLOOKUP(SUMIFS(MSOLICITADA!$I:$I,MSOLICITADA!$B:$B,D390,MSOLICITADA!$F:$F,F390),CODIGOSPLACAS!$A$64:$B$89,2,FALSE),"")</f>
        <v>JOEL</v>
      </c>
      <c r="H390" s="77">
        <v>230643</v>
      </c>
      <c r="I390" s="77">
        <v>230854</v>
      </c>
      <c r="J390" s="7">
        <v>129.19999999999999</v>
      </c>
      <c r="K390" s="78">
        <v>754.82</v>
      </c>
      <c r="L390" s="79" t="s">
        <v>112</v>
      </c>
      <c r="M390" s="6">
        <v>105</v>
      </c>
      <c r="N390" s="5">
        <f t="shared" si="46"/>
        <v>106</v>
      </c>
      <c r="O390" s="80">
        <f t="shared" si="47"/>
        <v>5.8422600619195055</v>
      </c>
      <c r="P390" s="8">
        <f t="shared" si="48"/>
        <v>1.6331269349845203</v>
      </c>
      <c r="Q390" s="8">
        <f t="shared" si="44"/>
        <v>1.5445311844203811</v>
      </c>
      <c r="R390" s="81">
        <f t="shared" si="49"/>
        <v>0.49763033175355448</v>
      </c>
      <c r="S390" s="113" t="str">
        <f>IF(F390="","",IF(H390="",TEXT(_xlfn.MAXIFS($I$1:I390,$F$1:F390,F390,$H$1:H390,"&gt;"&amp;0),"000.000"),F390))</f>
        <v>QNP3A97</v>
      </c>
      <c r="T390" s="101">
        <f t="shared" si="45"/>
        <v>186.5</v>
      </c>
      <c r="U390" s="82" t="s">
        <v>220</v>
      </c>
      <c r="V390" s="98" t="s">
        <v>206</v>
      </c>
      <c r="W390" s="82" t="s">
        <v>220</v>
      </c>
      <c r="X390" s="98" t="s">
        <v>206</v>
      </c>
      <c r="Y390" s="82"/>
      <c r="Z390" s="98"/>
      <c r="AA390" s="82"/>
      <c r="AB390" s="98"/>
      <c r="AC390" s="82"/>
      <c r="AD390" s="98"/>
      <c r="AE390" s="118"/>
      <c r="AF390" s="98"/>
      <c r="AG390" s="82"/>
      <c r="AH390" s="98"/>
      <c r="AI390" s="82"/>
      <c r="AJ390" s="98"/>
      <c r="AK390" s="83"/>
      <c r="AL390" s="84" t="str">
        <f>IF(F390&lt;&gt;0,IF(_xlfn.MAXIFS($I$1:I390,$F$1:F390,F390,$H$1:H390,"&gt;"&amp;0)=0,"KM NÃO ENCONTRADO",IF(H390=0,CONCATENATE("SUGESTÃO DE KM PARA PLACA ",F390," *",_xlfn.MAXIFS($I$1:I390,$F$1:F390,F390,$H$1:H390,"&gt;"&amp;0),"*"),"")),"")</f>
        <v/>
      </c>
      <c r="AM390" s="85" t="str" cm="1">
        <f t="array" ref="AM390">IFERROR(IF(M390&lt;&gt;"","",CONCATENATE("https://btx.brasiltrack.com/logistica/trajeto.php?idveiculo=",VLOOKUP(F390,DATAS!$A$221:$B$250,2,FALSE),"&amp;lat=-22.204247","&amp;data_ini=",TEXT(IF(E390&lt;&gt;"",IF(COUNTIF($F$2:$F390,F390)&gt;1,MAX(IF($F$1:$F389=F390,$E$1:$E389)),""),""),"DD/MM/AAAA"),"&amp;data_fim=",TEXT(E390,"DD/MM/AAAA"),"&amp;hora_inicial=",HOUR(IF(E390&lt;&gt;"",IF(COUNTIF($F$2:$F390,F390)&gt;1,MAX(IF($F$1:$F389=F390,$E$1:$E389)),""),"")),"&amp;minuto_inicial=",MINUTE(IF(E390&lt;&gt;"",IF(COUNTIF($F$2:$F390,F390)&gt;1,MAX(IF($F$1:$F389=F390,$E$1:$E389)),""),"")),"&amp;hora_final=",HOUR(E390),"&amp;minuto_final=",MINUTE(E390),"&amp;periodo=6&amp;tipo=por_data&amp;upos=false&amp;outequip=0")),"")</f>
        <v/>
      </c>
      <c r="AN390" s="100" t="str">
        <f t="shared" si="50"/>
        <v xml:space="preserve">ABASTECEU no CANDEIAS-MG ABASTECEU no CANDEIAS-MG            </v>
      </c>
    </row>
    <row r="391" spans="1:40" x14ac:dyDescent="0.25">
      <c r="A391" s="101">
        <f>IFERROR(VLOOKUP(AN391,ROTAS!$A:$B,2,FALSE),0)</f>
        <v>109</v>
      </c>
      <c r="B391" s="101">
        <f t="shared" si="42"/>
        <v>2</v>
      </c>
      <c r="C391" s="101">
        <f t="shared" si="43"/>
        <v>356.5</v>
      </c>
      <c r="D391" s="144">
        <v>44927</v>
      </c>
      <c r="E391" s="76">
        <v>44931.880555555559</v>
      </c>
      <c r="F391" s="6" t="s">
        <v>23</v>
      </c>
      <c r="G391" s="5" t="str">
        <f>IFERROR(VLOOKUP(SUMIFS(MSOLICITADA!$I:$I,MSOLICITADA!$B:$B,D391,MSOLICITADA!$F:$F,F391),CODIGOSPLACAS!$A$64:$B$89,2,FALSE),"")</f>
        <v>ISAC</v>
      </c>
      <c r="H391" s="77">
        <v>1206756</v>
      </c>
      <c r="I391" s="77">
        <v>1207114</v>
      </c>
      <c r="J391" s="7">
        <v>304</v>
      </c>
      <c r="K391" s="78">
        <v>1942.56</v>
      </c>
      <c r="L391" s="79" t="s">
        <v>111</v>
      </c>
      <c r="M391" s="6">
        <v>328</v>
      </c>
      <c r="N391" s="5">
        <f t="shared" si="46"/>
        <v>30</v>
      </c>
      <c r="O391" s="80">
        <f t="shared" si="47"/>
        <v>6.39</v>
      </c>
      <c r="P391" s="8">
        <f t="shared" si="48"/>
        <v>1.1776315789473684</v>
      </c>
      <c r="Q391" s="8">
        <f t="shared" si="44"/>
        <v>1.4592701282718794</v>
      </c>
      <c r="R391" s="81">
        <f t="shared" si="49"/>
        <v>0.91620111731843579</v>
      </c>
      <c r="S391" s="113" t="str">
        <f>IF(F391="","",IF(H391="",TEXT(_xlfn.MAXIFS($I$1:I391,$F$1:F391,F391,$H$1:H391,"&gt;"&amp;0),"000.000"),F391))</f>
        <v>HNC7I76</v>
      </c>
      <c r="T391" s="101">
        <f t="shared" si="45"/>
        <v>30</v>
      </c>
      <c r="U391" s="82" t="s">
        <v>220</v>
      </c>
      <c r="V391" s="98" t="s">
        <v>166</v>
      </c>
      <c r="W391" s="82" t="s">
        <v>225</v>
      </c>
      <c r="X391" s="98" t="s">
        <v>284</v>
      </c>
      <c r="Y391" s="82" t="s">
        <v>222</v>
      </c>
      <c r="Z391" s="98" t="s">
        <v>175</v>
      </c>
      <c r="AA391" s="82" t="s">
        <v>221</v>
      </c>
      <c r="AB391" s="98" t="s">
        <v>168</v>
      </c>
      <c r="AC391" s="82" t="s">
        <v>225</v>
      </c>
      <c r="AD391" s="98" t="s">
        <v>237</v>
      </c>
      <c r="AE391" s="82" t="s">
        <v>220</v>
      </c>
      <c r="AF391" s="98" t="s">
        <v>165</v>
      </c>
      <c r="AG391" s="82"/>
      <c r="AH391" s="98"/>
      <c r="AI391" s="82"/>
      <c r="AJ391" s="98"/>
      <c r="AK391" s="83"/>
      <c r="AL391" s="84" t="str">
        <f>IF(F391&lt;&gt;0,IF(_xlfn.MAXIFS($I$1:I391,$F$1:F391,F391,$H$1:H391,"&gt;"&amp;0)=0,"KM NÃO ENCONTRADO",IF(H391=0,CONCATENATE("SUGESTÃO DE KM PARA PLACA ",F391," *",_xlfn.MAXIFS($I$1:I391,$F$1:F391,F391,$H$1:H391,"&gt;"&amp;0),"*"),"")),"")</f>
        <v/>
      </c>
      <c r="AM391" s="85" t="str" cm="1">
        <f t="array" ref="AM391">IFERROR(IF(M391&lt;&gt;"","",CONCATENATE("https://btx.brasiltrack.com/logistica/trajeto.php?idveiculo=",VLOOKUP(F391,DATAS!$A$221:$B$250,2,FALSE),"&amp;lat=-22.204247","&amp;data_ini=",TEXT(IF(E391&lt;&gt;"",IF(COUNTIF($F$2:$F391,F391)&gt;1,MAX(IF($F$1:$F390=F391,$E$1:$E390)),""),""),"DD/MM/AAAA"),"&amp;data_fim=",TEXT(E391,"DD/MM/AAAA"),"&amp;hora_inicial=",HOUR(IF(E391&lt;&gt;"",IF(COUNTIF($F$2:$F391,F391)&gt;1,MAX(IF($F$1:$F390=F391,$E$1:$E390)),""),"")),"&amp;minuto_inicial=",MINUTE(IF(E391&lt;&gt;"",IF(COUNTIF($F$2:$F391,F391)&gt;1,MAX(IF($F$1:$F390=F391,$E$1:$E390)),""),"")),"&amp;hora_final=",HOUR(E391),"&amp;minuto_final=",MINUTE(E391),"&amp;periodo=6&amp;tipo=por_data&amp;upos=false&amp;outequip=0")),"")</f>
        <v/>
      </c>
      <c r="AN391" s="100" t="str">
        <f t="shared" si="50"/>
        <v xml:space="preserve">ABASTECEU no 22 SUL PASSOU em SÃO PAULO-SP DESCARREGOU em SANTOS-SP CARREGOU em CUBATAO-SP PASSOU em ARUJÁ-SP ABASTECEU no 22 NORTE    </v>
      </c>
    </row>
    <row r="392" spans="1:40" x14ac:dyDescent="0.25">
      <c r="A392" s="101">
        <f>IFERROR(VLOOKUP(AN392,ROTAS!$A:$B,2,FALSE),0)</f>
        <v>110</v>
      </c>
      <c r="B392" s="101">
        <f t="shared" si="42"/>
        <v>1</v>
      </c>
      <c r="C392" s="101">
        <f t="shared" si="43"/>
        <v>334</v>
      </c>
      <c r="D392" s="144">
        <v>44927</v>
      </c>
      <c r="E392" s="76">
        <v>44931.886111111111</v>
      </c>
      <c r="F392" s="6" t="s">
        <v>24</v>
      </c>
      <c r="G392" s="5" t="str">
        <f>IFERROR(VLOOKUP(SUMIFS(MSOLICITADA!$I:$I,MSOLICITADA!$B:$B,D392,MSOLICITADA!$F:$F,F392),CODIGOSPLACAS!$A$64:$B$89,2,FALSE),"")</f>
        <v>PAULO HENR.</v>
      </c>
      <c r="H392" s="77">
        <v>949515</v>
      </c>
      <c r="I392" s="77">
        <v>949849</v>
      </c>
      <c r="J392" s="7">
        <v>236.72</v>
      </c>
      <c r="K392" s="78">
        <v>1512.64</v>
      </c>
      <c r="L392" s="79" t="s">
        <v>111</v>
      </c>
      <c r="M392" s="6">
        <v>167</v>
      </c>
      <c r="N392" s="5">
        <f t="shared" si="46"/>
        <v>167</v>
      </c>
      <c r="O392" s="80">
        <f t="shared" si="47"/>
        <v>6.3899966204798924</v>
      </c>
      <c r="P392" s="8">
        <f t="shared" si="48"/>
        <v>1.4109496451503887</v>
      </c>
      <c r="Q392" s="8">
        <f t="shared" si="44"/>
        <v>1.5194077812359499</v>
      </c>
      <c r="R392" s="81">
        <f t="shared" si="49"/>
        <v>0.5</v>
      </c>
      <c r="S392" s="113" t="str">
        <f>IF(F392="","",IF(H392="",TEXT(_xlfn.MAXIFS($I$1:I392,$F$1:F392,F392,$H$1:H392,"&gt;"&amp;0),"000.000"),F392))</f>
        <v>FKS0J24</v>
      </c>
      <c r="T392" s="101">
        <f t="shared" si="45"/>
        <v>167</v>
      </c>
      <c r="U392" s="82" t="s">
        <v>220</v>
      </c>
      <c r="V392" s="98" t="s">
        <v>166</v>
      </c>
      <c r="W392" s="82" t="s">
        <v>225</v>
      </c>
      <c r="X392" s="98" t="s">
        <v>237</v>
      </c>
      <c r="Y392" s="82" t="s">
        <v>221</v>
      </c>
      <c r="Z392" s="98" t="s">
        <v>168</v>
      </c>
      <c r="AA392" s="82" t="s">
        <v>225</v>
      </c>
      <c r="AB392" s="98" t="s">
        <v>237</v>
      </c>
      <c r="AC392" s="82" t="s">
        <v>220</v>
      </c>
      <c r="AD392" s="98" t="s">
        <v>165</v>
      </c>
      <c r="AE392" s="118"/>
      <c r="AF392" s="98"/>
      <c r="AG392" s="82"/>
      <c r="AH392" s="98"/>
      <c r="AI392" s="82"/>
      <c r="AJ392" s="98"/>
      <c r="AK392" s="83"/>
      <c r="AL392" s="84" t="str">
        <f>IF(F392&lt;&gt;0,IF(_xlfn.MAXIFS($I$1:I392,$F$1:F392,F392,$H$1:H392,"&gt;"&amp;0)=0,"KM NÃO ENCONTRADO",IF(H392=0,CONCATENATE("SUGESTÃO DE KM PARA PLACA ",F392," *",_xlfn.MAXIFS($I$1:I392,$F$1:F392,F392,$H$1:H392,"&gt;"&amp;0),"*"),"")),"")</f>
        <v/>
      </c>
      <c r="AM392" s="85" t="str" cm="1">
        <f t="array" ref="AM392">IFERROR(IF(M392&lt;&gt;"","",CONCATENATE("https://btx.brasiltrack.com/logistica/trajeto.php?idveiculo=",VLOOKUP(F392,DATAS!$A$221:$B$250,2,FALSE),"&amp;lat=-22.204247","&amp;data_ini=",TEXT(IF(E392&lt;&gt;"",IF(COUNTIF($F$2:$F392,F392)&gt;1,MAX(IF($F$1:$F391=F392,$E$1:$E391)),""),""),"DD/MM/AAAA"),"&amp;data_fim=",TEXT(E392,"DD/MM/AAAA"),"&amp;hora_inicial=",HOUR(IF(E392&lt;&gt;"",IF(COUNTIF($F$2:$F392,F392)&gt;1,MAX(IF($F$1:$F391=F392,$E$1:$E391)),""),"")),"&amp;minuto_inicial=",MINUTE(IF(E392&lt;&gt;"",IF(COUNTIF($F$2:$F392,F392)&gt;1,MAX(IF($F$1:$F391=F392,$E$1:$E391)),""),"")),"&amp;hora_final=",HOUR(E392),"&amp;minuto_final=",MINUTE(E392),"&amp;periodo=6&amp;tipo=por_data&amp;upos=false&amp;outequip=0")),"")</f>
        <v/>
      </c>
      <c r="AN392" s="100" t="str">
        <f t="shared" si="50"/>
        <v xml:space="preserve">ABASTECEU no 22 SUL PASSOU em ARUJÁ-SP CARREGOU em CUBATAO-SP PASSOU em ARUJÁ-SP ABASTECEU no 22 NORTE      </v>
      </c>
    </row>
    <row r="393" spans="1:40" x14ac:dyDescent="0.25">
      <c r="A393" s="101">
        <f>IFERROR(VLOOKUP(AN393,ROTAS!$A:$B,2,FALSE),0)</f>
        <v>109</v>
      </c>
      <c r="B393" s="101">
        <f t="shared" si="42"/>
        <v>2</v>
      </c>
      <c r="C393" s="101">
        <f t="shared" si="43"/>
        <v>356.5</v>
      </c>
      <c r="D393" s="144">
        <v>44927</v>
      </c>
      <c r="E393" s="76">
        <v>44931.904166666667</v>
      </c>
      <c r="F393" s="6" t="s">
        <v>124</v>
      </c>
      <c r="G393" s="5" t="str">
        <f>IFERROR(VLOOKUP(SUMIFS(MSOLICITADA!$I:$I,MSOLICITADA!$B:$B,D393,MSOLICITADA!$F:$F,F393),CODIGOSPLACAS!$A$64:$B$89,2,FALSE),"")</f>
        <v>ISRAEL</v>
      </c>
      <c r="H393" s="77">
        <v>141092</v>
      </c>
      <c r="I393" s="77">
        <v>141447</v>
      </c>
      <c r="J393" s="7">
        <v>273</v>
      </c>
      <c r="K393" s="78">
        <v>1744.47</v>
      </c>
      <c r="L393" s="79" t="s">
        <v>111</v>
      </c>
      <c r="M393" s="6">
        <v>325</v>
      </c>
      <c r="N393" s="5">
        <f t="shared" si="46"/>
        <v>30</v>
      </c>
      <c r="O393" s="80">
        <f t="shared" si="47"/>
        <v>6.39</v>
      </c>
      <c r="P393" s="8">
        <f t="shared" si="48"/>
        <v>1.3003663003663004</v>
      </c>
      <c r="Q393" s="8">
        <f t="shared" si="44"/>
        <v>1.6528367477149088</v>
      </c>
      <c r="R393" s="81">
        <f t="shared" si="49"/>
        <v>0.91549295774647887</v>
      </c>
      <c r="S393" s="113" t="str">
        <f>IF(F393="","",IF(H393="",TEXT(_xlfn.MAXIFS($I$1:I393,$F$1:F393,F393,$H$1:H393,"&gt;"&amp;0),"000.000"),F393))</f>
        <v>GHH9B64</v>
      </c>
      <c r="T393" s="101">
        <f t="shared" si="45"/>
        <v>30</v>
      </c>
      <c r="U393" s="82" t="s">
        <v>220</v>
      </c>
      <c r="V393" s="98" t="s">
        <v>166</v>
      </c>
      <c r="W393" s="82" t="s">
        <v>225</v>
      </c>
      <c r="X393" s="98" t="s">
        <v>284</v>
      </c>
      <c r="Y393" s="82" t="s">
        <v>222</v>
      </c>
      <c r="Z393" s="98" t="s">
        <v>175</v>
      </c>
      <c r="AA393" s="82" t="s">
        <v>221</v>
      </c>
      <c r="AB393" s="98" t="s">
        <v>168</v>
      </c>
      <c r="AC393" s="82" t="s">
        <v>225</v>
      </c>
      <c r="AD393" s="98" t="s">
        <v>237</v>
      </c>
      <c r="AE393" s="82" t="s">
        <v>220</v>
      </c>
      <c r="AF393" s="98" t="s">
        <v>165</v>
      </c>
      <c r="AG393" s="82"/>
      <c r="AH393" s="98"/>
      <c r="AI393" s="82"/>
      <c r="AJ393" s="98"/>
      <c r="AK393" s="83"/>
      <c r="AL393" s="84" t="str">
        <f>IF(F393&lt;&gt;0,IF(_xlfn.MAXIFS($I$1:I393,$F$1:F393,F393,$H$1:H393,"&gt;"&amp;0)=0,"KM NÃO ENCONTRADO",IF(H393=0,CONCATENATE("SUGESTÃO DE KM PARA PLACA ",F393," *",_xlfn.MAXIFS($I$1:I393,$F$1:F393,F393,$H$1:H393,"&gt;"&amp;0),"*"),"")),"")</f>
        <v/>
      </c>
      <c r="AM393" s="85" t="str" cm="1">
        <f t="array" ref="AM393">IFERROR(IF(M393&lt;&gt;"","",CONCATENATE("https://btx.brasiltrack.com/logistica/trajeto.php?idveiculo=",VLOOKUP(F393,DATAS!$A$221:$B$250,2,FALSE),"&amp;lat=-22.204247","&amp;data_ini=",TEXT(IF(E393&lt;&gt;"",IF(COUNTIF($F$2:$F393,F393)&gt;1,MAX(IF($F$1:$F392=F393,$E$1:$E392)),""),""),"DD/MM/AAAA"),"&amp;data_fim=",TEXT(E393,"DD/MM/AAAA"),"&amp;hora_inicial=",HOUR(IF(E393&lt;&gt;"",IF(COUNTIF($F$2:$F393,F393)&gt;1,MAX(IF($F$1:$F392=F393,$E$1:$E392)),""),"")),"&amp;minuto_inicial=",MINUTE(IF(E393&lt;&gt;"",IF(COUNTIF($F$2:$F393,F393)&gt;1,MAX(IF($F$1:$F392=F393,$E$1:$E392)),""),"")),"&amp;hora_final=",HOUR(E393),"&amp;minuto_final=",MINUTE(E393),"&amp;periodo=6&amp;tipo=por_data&amp;upos=false&amp;outequip=0")),"")</f>
        <v/>
      </c>
      <c r="AN393" s="100" t="str">
        <f t="shared" si="50"/>
        <v xml:space="preserve">ABASTECEU no 22 SUL PASSOU em SÃO PAULO-SP DESCARREGOU em SANTOS-SP CARREGOU em CUBATAO-SP PASSOU em ARUJÁ-SP ABASTECEU no 22 NORTE    </v>
      </c>
    </row>
    <row r="394" spans="1:40" x14ac:dyDescent="0.25">
      <c r="A394" s="101">
        <f>IFERROR(VLOOKUP(AN394,ROTAS!$A:$B,2,FALSE),0)</f>
        <v>111</v>
      </c>
      <c r="B394" s="101">
        <f t="shared" si="42"/>
        <v>12</v>
      </c>
      <c r="C394" s="101">
        <f t="shared" si="43"/>
        <v>633.83333333333337</v>
      </c>
      <c r="D394" s="144">
        <v>44927</v>
      </c>
      <c r="E394" s="76">
        <v>44931.947222222225</v>
      </c>
      <c r="F394" s="6" t="s">
        <v>30</v>
      </c>
      <c r="G394" s="5" t="str">
        <f>IFERROR(VLOOKUP(SUMIFS(MSOLICITADA!$I:$I,MSOLICITADA!$B:$B,D394,MSOLICITADA!$F:$F,F394),CODIGOSPLACAS!$A$64:$B$89,2,FALSE),"")</f>
        <v>RONILSON</v>
      </c>
      <c r="H394" s="77">
        <v>220874</v>
      </c>
      <c r="I394" s="77">
        <v>221497</v>
      </c>
      <c r="J394" s="7">
        <v>369.14</v>
      </c>
      <c r="K394" s="78">
        <v>2358.8000000000002</v>
      </c>
      <c r="L394" s="79" t="s">
        <v>111</v>
      </c>
      <c r="M394" s="6">
        <v>285</v>
      </c>
      <c r="N394" s="5">
        <f t="shared" si="46"/>
        <v>338</v>
      </c>
      <c r="O394" s="80">
        <f t="shared" si="47"/>
        <v>6.3899875386032408</v>
      </c>
      <c r="P394" s="8">
        <f t="shared" si="48"/>
        <v>1.6877065611962943</v>
      </c>
      <c r="Q394" s="8">
        <f t="shared" si="44"/>
        <v>1.6205104706314435</v>
      </c>
      <c r="R394" s="81">
        <f t="shared" si="49"/>
        <v>0.45746388443017655</v>
      </c>
      <c r="S394" s="113" t="str">
        <f>IF(F394="","",IF(H394="",TEXT(_xlfn.MAXIFS($I$1:I394,$F$1:F394,F394,$H$1:H394,"&gt;"&amp;0),"000.000"),F394))</f>
        <v>GFB0I37</v>
      </c>
      <c r="T394" s="101">
        <f t="shared" si="45"/>
        <v>345.41666666666669</v>
      </c>
      <c r="U394" s="82" t="s">
        <v>220</v>
      </c>
      <c r="V394" s="98" t="s">
        <v>165</v>
      </c>
      <c r="W394" s="82" t="s">
        <v>222</v>
      </c>
      <c r="X394" s="98" t="s">
        <v>200</v>
      </c>
      <c r="Y394" s="82" t="s">
        <v>225</v>
      </c>
      <c r="Z394" s="98" t="s">
        <v>237</v>
      </c>
      <c r="AA394" s="82" t="s">
        <v>221</v>
      </c>
      <c r="AB394" s="98" t="s">
        <v>168</v>
      </c>
      <c r="AC394" s="82" t="s">
        <v>225</v>
      </c>
      <c r="AD394" s="98" t="s">
        <v>284</v>
      </c>
      <c r="AE394" s="82" t="s">
        <v>220</v>
      </c>
      <c r="AF394" s="98" t="s">
        <v>165</v>
      </c>
      <c r="AG394" s="82"/>
      <c r="AH394" s="98"/>
      <c r="AI394" s="82"/>
      <c r="AJ394" s="98"/>
      <c r="AK394" s="83"/>
      <c r="AL394" s="84" t="str">
        <f>IF(F394&lt;&gt;0,IF(_xlfn.MAXIFS($I$1:I394,$F$1:F394,F394,$H$1:H394,"&gt;"&amp;0)=0,"KM NÃO ENCONTRADO",IF(H394=0,CONCATENATE("SUGESTÃO DE KM PARA PLACA ",F394," *",_xlfn.MAXIFS($I$1:I394,$F$1:F394,F394,$H$1:H394,"&gt;"&amp;0),"*"),"")),"")</f>
        <v/>
      </c>
      <c r="AM394" s="85" t="str" cm="1">
        <f t="array" ref="AM394">IFERROR(IF(M394&lt;&gt;"","",CONCATENATE("https://btx.brasiltrack.com/logistica/trajeto.php?idveiculo=",VLOOKUP(F394,DATAS!$A$221:$B$250,2,FALSE),"&amp;lat=-22.204247","&amp;data_ini=",TEXT(IF(E394&lt;&gt;"",IF(COUNTIF($F$2:$F394,F394)&gt;1,MAX(IF($F$1:$F393=F394,$E$1:$E393)),""),""),"DD/MM/AAAA"),"&amp;data_fim=",TEXT(E394,"DD/MM/AAAA"),"&amp;hora_inicial=",HOUR(IF(E394&lt;&gt;"",IF(COUNTIF($F$2:$F394,F394)&gt;1,MAX(IF($F$1:$F393=F394,$E$1:$E393)),""),"")),"&amp;minuto_inicial=",MINUTE(IF(E394&lt;&gt;"",IF(COUNTIF($F$2:$F394,F394)&gt;1,MAX(IF($F$1:$F393=F394,$E$1:$E393)),""),"")),"&amp;hora_final=",HOUR(E394),"&amp;minuto_final=",MINUTE(E394),"&amp;periodo=6&amp;tipo=por_data&amp;upos=false&amp;outequip=0")),"")</f>
        <v/>
      </c>
      <c r="AN394" s="100" t="str">
        <f t="shared" si="50"/>
        <v xml:space="preserve">ABASTECEU no 22 NORTE DESCARREGOU em CONGONHAL-MG PASSOU em ARUJÁ-SP CARREGOU em CUBATAO-SP PASSOU em SÃO PAULO-SP ABASTECEU no 22 NORTE    </v>
      </c>
    </row>
    <row r="395" spans="1:40" x14ac:dyDescent="0.25">
      <c r="A395" s="101">
        <f>IFERROR(VLOOKUP(AN395,ROTAS!$A:$B,2,FALSE),0)</f>
        <v>111</v>
      </c>
      <c r="B395" s="101">
        <f t="shared" si="42"/>
        <v>12</v>
      </c>
      <c r="C395" s="101">
        <f t="shared" si="43"/>
        <v>633.83333333333337</v>
      </c>
      <c r="D395" s="144">
        <v>44927</v>
      </c>
      <c r="E395" s="76">
        <v>44931.955555555556</v>
      </c>
      <c r="F395" s="6" t="s">
        <v>26</v>
      </c>
      <c r="G395" s="5" t="str">
        <f>IFERROR(VLOOKUP(SUMIFS(MSOLICITADA!$I:$I,MSOLICITADA!$B:$B,D395,MSOLICITADA!$F:$F,F395),CODIGOSPLACAS!$A$64:$B$89,2,FALSE),"")</f>
        <v>DIEGO</v>
      </c>
      <c r="H395" s="77">
        <v>401713</v>
      </c>
      <c r="I395" s="77">
        <v>402381</v>
      </c>
      <c r="J395" s="7">
        <v>426.2</v>
      </c>
      <c r="K395" s="78">
        <v>2723.42</v>
      </c>
      <c r="L395" s="79" t="s">
        <v>111</v>
      </c>
      <c r="M395" s="6">
        <v>285</v>
      </c>
      <c r="N395" s="5">
        <f t="shared" si="46"/>
        <v>383</v>
      </c>
      <c r="O395" s="80">
        <f t="shared" si="47"/>
        <v>6.3900046926325675</v>
      </c>
      <c r="P395" s="8">
        <f t="shared" si="48"/>
        <v>1.5673392773345847</v>
      </c>
      <c r="Q395" s="8">
        <f t="shared" si="44"/>
        <v>1.4763574081151452</v>
      </c>
      <c r="R395" s="81">
        <f t="shared" si="49"/>
        <v>0.42664670658682635</v>
      </c>
      <c r="S395" s="113" t="str">
        <f>IF(F395="","",IF(H395="",TEXT(_xlfn.MAXIFS($I$1:I395,$F$1:F395,F395,$H$1:H395,"&gt;"&amp;0),"000.000"),F395))</f>
        <v>BZA3587</v>
      </c>
      <c r="T395" s="101">
        <f t="shared" si="45"/>
        <v>345.41666666666669</v>
      </c>
      <c r="U395" s="82" t="s">
        <v>220</v>
      </c>
      <c r="V395" s="98" t="s">
        <v>165</v>
      </c>
      <c r="W395" s="82" t="s">
        <v>222</v>
      </c>
      <c r="X395" s="98" t="s">
        <v>200</v>
      </c>
      <c r="Y395" s="82" t="s">
        <v>225</v>
      </c>
      <c r="Z395" s="98" t="s">
        <v>237</v>
      </c>
      <c r="AA395" s="82" t="s">
        <v>221</v>
      </c>
      <c r="AB395" s="98" t="s">
        <v>168</v>
      </c>
      <c r="AC395" s="82" t="s">
        <v>225</v>
      </c>
      <c r="AD395" s="98" t="s">
        <v>284</v>
      </c>
      <c r="AE395" s="82" t="s">
        <v>220</v>
      </c>
      <c r="AF395" s="98" t="s">
        <v>165</v>
      </c>
      <c r="AG395" s="82"/>
      <c r="AH395" s="98"/>
      <c r="AI395" s="82"/>
      <c r="AJ395" s="98"/>
      <c r="AK395" s="83"/>
      <c r="AL395" s="84" t="str">
        <f>IF(F395&lt;&gt;0,IF(_xlfn.MAXIFS($I$1:I395,$F$1:F395,F395,$H$1:H395,"&gt;"&amp;0)=0,"KM NÃO ENCONTRADO",IF(H395=0,CONCATENATE("SUGESTÃO DE KM PARA PLACA ",F395," *",_xlfn.MAXIFS($I$1:I395,$F$1:F395,F395,$H$1:H395,"&gt;"&amp;0),"*"),"")),"")</f>
        <v/>
      </c>
      <c r="AM395" s="85" t="str" cm="1">
        <f t="array" ref="AM395">IFERROR(IF(M395&lt;&gt;"","",CONCATENATE("https://btx.brasiltrack.com/logistica/trajeto.php?idveiculo=",VLOOKUP(F395,DATAS!$A$221:$B$250,2,FALSE),"&amp;lat=-22.204247","&amp;data_ini=",TEXT(IF(E395&lt;&gt;"",IF(COUNTIF($F$2:$F395,F395)&gt;1,MAX(IF($F$1:$F394=F395,$E$1:$E394)),""),""),"DD/MM/AAAA"),"&amp;data_fim=",TEXT(E395,"DD/MM/AAAA"),"&amp;hora_inicial=",HOUR(IF(E395&lt;&gt;"",IF(COUNTIF($F$2:$F395,F395)&gt;1,MAX(IF($F$1:$F394=F395,$E$1:$E394)),""),"")),"&amp;minuto_inicial=",MINUTE(IF(E395&lt;&gt;"",IF(COUNTIF($F$2:$F395,F395)&gt;1,MAX(IF($F$1:$F394=F395,$E$1:$E394)),""),"")),"&amp;hora_final=",HOUR(E395),"&amp;minuto_final=",MINUTE(E395),"&amp;periodo=6&amp;tipo=por_data&amp;upos=false&amp;outequip=0")),"")</f>
        <v/>
      </c>
      <c r="AN395" s="100" t="str">
        <f t="shared" si="50"/>
        <v xml:space="preserve">ABASTECEU no 22 NORTE DESCARREGOU em CONGONHAL-MG PASSOU em ARUJÁ-SP CARREGOU em CUBATAO-SP PASSOU em SÃO PAULO-SP ABASTECEU no 22 NORTE    </v>
      </c>
    </row>
    <row r="396" spans="1:40" x14ac:dyDescent="0.25">
      <c r="A396" s="101">
        <f>IFERROR(VLOOKUP(AN396,ROTAS!$A:$B,2,FALSE),0)</f>
        <v>111</v>
      </c>
      <c r="B396" s="101">
        <f t="shared" si="42"/>
        <v>12</v>
      </c>
      <c r="C396" s="101">
        <f t="shared" si="43"/>
        <v>633.83333333333337</v>
      </c>
      <c r="D396" s="144">
        <v>44927</v>
      </c>
      <c r="E396" s="76">
        <v>44931.959722222222</v>
      </c>
      <c r="F396" s="6" t="s">
        <v>32</v>
      </c>
      <c r="G396" s="5" t="str">
        <f>IFERROR(VLOOKUP(SUMIFS(MSOLICITADA!$I:$I,MSOLICITADA!$B:$B,D396,MSOLICITADA!$F:$F,F396),CODIGOSPLACAS!$A$64:$B$89,2,FALSE),"")</f>
        <v>ADILSON</v>
      </c>
      <c r="H396" s="77">
        <v>201805</v>
      </c>
      <c r="I396" s="77">
        <v>202426</v>
      </c>
      <c r="J396" s="7">
        <v>367</v>
      </c>
      <c r="K396" s="78">
        <v>2345.13</v>
      </c>
      <c r="L396" s="79" t="s">
        <v>111</v>
      </c>
      <c r="M396" s="6">
        <v>285</v>
      </c>
      <c r="N396" s="5">
        <f t="shared" si="46"/>
        <v>336</v>
      </c>
      <c r="O396" s="80">
        <f t="shared" si="47"/>
        <v>6.3900000000000006</v>
      </c>
      <c r="P396" s="8">
        <f t="shared" si="48"/>
        <v>1.6920980926430518</v>
      </c>
      <c r="Q396" s="8">
        <f t="shared" si="44"/>
        <v>1.6695575721559062</v>
      </c>
      <c r="R396" s="81">
        <f t="shared" si="49"/>
        <v>0.45893719806763283</v>
      </c>
      <c r="S396" s="113" t="str">
        <f>IF(F396="","",IF(H396="",TEXT(_xlfn.MAXIFS($I$1:I396,$F$1:F396,F396,$H$1:H396,"&gt;"&amp;0),"000.000"),F396))</f>
        <v>GJU9A22</v>
      </c>
      <c r="T396" s="101">
        <f t="shared" si="45"/>
        <v>345.41666666666669</v>
      </c>
      <c r="U396" s="82" t="s">
        <v>220</v>
      </c>
      <c r="V396" s="98" t="s">
        <v>165</v>
      </c>
      <c r="W396" s="82" t="s">
        <v>222</v>
      </c>
      <c r="X396" s="98" t="s">
        <v>200</v>
      </c>
      <c r="Y396" s="82" t="s">
        <v>225</v>
      </c>
      <c r="Z396" s="98" t="s">
        <v>237</v>
      </c>
      <c r="AA396" s="82" t="s">
        <v>221</v>
      </c>
      <c r="AB396" s="98" t="s">
        <v>168</v>
      </c>
      <c r="AC396" s="82" t="s">
        <v>225</v>
      </c>
      <c r="AD396" s="98" t="s">
        <v>284</v>
      </c>
      <c r="AE396" s="82" t="s">
        <v>220</v>
      </c>
      <c r="AF396" s="98" t="s">
        <v>165</v>
      </c>
      <c r="AG396" s="82"/>
      <c r="AH396" s="98"/>
      <c r="AI396" s="82"/>
      <c r="AJ396" s="98"/>
      <c r="AK396" s="83"/>
      <c r="AL396" s="84" t="str">
        <f>IF(F396&lt;&gt;0,IF(_xlfn.MAXIFS($I$1:I396,$F$1:F396,F396,$H$1:H396,"&gt;"&amp;0)=0,"KM NÃO ENCONTRADO",IF(H396=0,CONCATENATE("SUGESTÃO DE KM PARA PLACA ",F396," *",_xlfn.MAXIFS($I$1:I396,$F$1:F396,F396,$H$1:H396,"&gt;"&amp;0),"*"),"")),"")</f>
        <v/>
      </c>
      <c r="AM396" s="85" t="str" cm="1">
        <f t="array" ref="AM396">IFERROR(IF(M396&lt;&gt;"","",CONCATENATE("https://btx.brasiltrack.com/logistica/trajeto.php?idveiculo=",VLOOKUP(F396,DATAS!$A$221:$B$250,2,FALSE),"&amp;lat=-22.204247","&amp;data_ini=",TEXT(IF(E396&lt;&gt;"",IF(COUNTIF($F$2:$F396,F396)&gt;1,MAX(IF($F$1:$F395=F396,$E$1:$E395)),""),""),"DD/MM/AAAA"),"&amp;data_fim=",TEXT(E396,"DD/MM/AAAA"),"&amp;hora_inicial=",HOUR(IF(E396&lt;&gt;"",IF(COUNTIF($F$2:$F396,F396)&gt;1,MAX(IF($F$1:$F395=F396,$E$1:$E395)),""),"")),"&amp;minuto_inicial=",MINUTE(IF(E396&lt;&gt;"",IF(COUNTIF($F$2:$F396,F396)&gt;1,MAX(IF($F$1:$F395=F396,$E$1:$E395)),""),"")),"&amp;hora_final=",HOUR(E396),"&amp;minuto_final=",MINUTE(E396),"&amp;periodo=6&amp;tipo=por_data&amp;upos=false&amp;outequip=0")),"")</f>
        <v/>
      </c>
      <c r="AN396" s="100" t="str">
        <f t="shared" si="50"/>
        <v xml:space="preserve">ABASTECEU no 22 NORTE DESCARREGOU em CONGONHAL-MG PASSOU em ARUJÁ-SP CARREGOU em CUBATAO-SP PASSOU em SÃO PAULO-SP ABASTECEU no 22 NORTE    </v>
      </c>
    </row>
    <row r="397" spans="1:40" x14ac:dyDescent="0.25">
      <c r="A397" s="101">
        <f>IFERROR(VLOOKUP(AN397,ROTAS!$A:$B,2,FALSE),0)</f>
        <v>112</v>
      </c>
      <c r="B397" s="101">
        <f t="shared" si="42"/>
        <v>14</v>
      </c>
      <c r="C397" s="101">
        <f t="shared" si="43"/>
        <v>586.42857142857144</v>
      </c>
      <c r="D397" s="144">
        <v>44927</v>
      </c>
      <c r="E397" s="76">
        <v>44931.972222222219</v>
      </c>
      <c r="F397" s="6" t="s">
        <v>27</v>
      </c>
      <c r="G397" s="5" t="str">
        <f>IFERROR(VLOOKUP(SUMIFS(MSOLICITADA!$I:$I,MSOLICITADA!$B:$B,D397,MSOLICITADA!$F:$F,F397),CODIGOSPLACAS!$A$64:$B$89,2,FALSE),"")</f>
        <v>ANTONIO</v>
      </c>
      <c r="H397" s="77">
        <v>249267</v>
      </c>
      <c r="I397" s="77">
        <v>249840</v>
      </c>
      <c r="J397" s="7">
        <v>399.99</v>
      </c>
      <c r="K397" s="78">
        <v>2556</v>
      </c>
      <c r="L397" s="79" t="s">
        <v>111</v>
      </c>
      <c r="M397" s="6">
        <v>288</v>
      </c>
      <c r="N397" s="5">
        <f t="shared" si="46"/>
        <v>285</v>
      </c>
      <c r="O397" s="80">
        <f t="shared" si="47"/>
        <v>6.3901597539938493</v>
      </c>
      <c r="P397" s="8">
        <f t="shared" si="48"/>
        <v>1.4325358133953348</v>
      </c>
      <c r="Q397" s="8">
        <f t="shared" si="44"/>
        <v>1.4666276036610979</v>
      </c>
      <c r="R397" s="81">
        <f t="shared" si="49"/>
        <v>0.50261780104712039</v>
      </c>
      <c r="S397" s="113" t="str">
        <f>IF(F397="","",IF(H397="",TEXT(_xlfn.MAXIFS($I$1:I397,$F$1:F397,F397,$H$1:H397,"&gt;"&amp;0),"000.000"),F397))</f>
        <v>GHS4J57</v>
      </c>
      <c r="T397" s="101">
        <f t="shared" si="45"/>
        <v>292.78571428571428</v>
      </c>
      <c r="U397" s="82" t="s">
        <v>220</v>
      </c>
      <c r="V397" s="98" t="s">
        <v>165</v>
      </c>
      <c r="W397" s="82" t="s">
        <v>222</v>
      </c>
      <c r="X397" s="98" t="s">
        <v>200</v>
      </c>
      <c r="Y397" s="82" t="s">
        <v>225</v>
      </c>
      <c r="Z397" s="98" t="s">
        <v>284</v>
      </c>
      <c r="AA397" s="82" t="s">
        <v>221</v>
      </c>
      <c r="AB397" s="98" t="s">
        <v>168</v>
      </c>
      <c r="AC397" s="82" t="s">
        <v>225</v>
      </c>
      <c r="AD397" s="98" t="s">
        <v>284</v>
      </c>
      <c r="AE397" s="82" t="s">
        <v>220</v>
      </c>
      <c r="AF397" s="98" t="s">
        <v>165</v>
      </c>
      <c r="AG397" s="82"/>
      <c r="AH397" s="98"/>
      <c r="AI397" s="82"/>
      <c r="AJ397" s="98"/>
      <c r="AK397" s="83"/>
      <c r="AL397" s="84" t="str">
        <f>IF(F397&lt;&gt;0,IF(_xlfn.MAXIFS($I$1:I397,$F$1:F397,F397,$H$1:H397,"&gt;"&amp;0)=0,"KM NÃO ENCONTRADO",IF(H397=0,CONCATENATE("SUGESTÃO DE KM PARA PLACA ",F397," *",_xlfn.MAXIFS($I$1:I397,$F$1:F397,F397,$H$1:H397,"&gt;"&amp;0),"*"),"")),"")</f>
        <v/>
      </c>
      <c r="AM397" s="85" t="str" cm="1">
        <f t="array" ref="AM397">IFERROR(IF(M397&lt;&gt;"","",CONCATENATE("https://btx.brasiltrack.com/logistica/trajeto.php?idveiculo=",VLOOKUP(F397,DATAS!$A$221:$B$250,2,FALSE),"&amp;lat=-22.204247","&amp;data_ini=",TEXT(IF(E397&lt;&gt;"",IF(COUNTIF($F$2:$F397,F397)&gt;1,MAX(IF($F$1:$F396=F397,$E$1:$E396)),""),""),"DD/MM/AAAA"),"&amp;data_fim=",TEXT(E397,"DD/MM/AAAA"),"&amp;hora_inicial=",HOUR(IF(E397&lt;&gt;"",IF(COUNTIF($F$2:$F397,F397)&gt;1,MAX(IF($F$1:$F396=F397,$E$1:$E396)),""),"")),"&amp;minuto_inicial=",MINUTE(IF(E397&lt;&gt;"",IF(COUNTIF($F$2:$F397,F397)&gt;1,MAX(IF($F$1:$F396=F397,$E$1:$E396)),""),"")),"&amp;hora_final=",HOUR(E397),"&amp;minuto_final=",MINUTE(E397),"&amp;periodo=6&amp;tipo=por_data&amp;upos=false&amp;outequip=0")),"")</f>
        <v/>
      </c>
      <c r="AN397" s="100" t="str">
        <f t="shared" si="50"/>
        <v xml:space="preserve">ABASTECEU no 22 NORTE DESCARREGOU em CONGONHAL-MG PASSOU em SÃO PAULO-SP CARREGOU em CUBATAO-SP PASSOU em SÃO PAULO-SP ABASTECEU no 22 NORTE    </v>
      </c>
    </row>
    <row r="398" spans="1:40" x14ac:dyDescent="0.25">
      <c r="A398" s="101">
        <f>IFERROR(VLOOKUP(AN398,ROTAS!$A:$B,2,FALSE),0)</f>
        <v>111</v>
      </c>
      <c r="B398" s="101">
        <f t="shared" si="42"/>
        <v>12</v>
      </c>
      <c r="C398" s="101">
        <f t="shared" si="43"/>
        <v>633.83333333333337</v>
      </c>
      <c r="D398" s="144">
        <v>44927</v>
      </c>
      <c r="E398" s="76">
        <v>44931.979861111111</v>
      </c>
      <c r="F398" s="6" t="s">
        <v>25</v>
      </c>
      <c r="G398" s="5" t="str">
        <f>IFERROR(VLOOKUP(SUMIFS(MSOLICITADA!$I:$I,MSOLICITADA!$B:$B,D398,MSOLICITADA!$F:$F,F398),CODIGOSPLACAS!$A$64:$B$89,2,FALSE),"")</f>
        <v>EDUALDO</v>
      </c>
      <c r="H398" s="77">
        <v>1013132</v>
      </c>
      <c r="I398" s="77">
        <v>1013763</v>
      </c>
      <c r="J398" s="7">
        <v>423.01</v>
      </c>
      <c r="K398" s="78">
        <v>2703.03</v>
      </c>
      <c r="L398" s="79" t="s">
        <v>111</v>
      </c>
      <c r="M398" s="6">
        <v>285</v>
      </c>
      <c r="N398" s="5">
        <f t="shared" si="46"/>
        <v>346</v>
      </c>
      <c r="O398" s="80">
        <f t="shared" si="47"/>
        <v>6.3899907803598026</v>
      </c>
      <c r="P398" s="8">
        <f t="shared" si="48"/>
        <v>1.4916905037705965</v>
      </c>
      <c r="Q398" s="8">
        <f t="shared" si="44"/>
        <v>1.4288896110685252</v>
      </c>
      <c r="R398" s="81">
        <f t="shared" si="49"/>
        <v>0.45166402535657685</v>
      </c>
      <c r="S398" s="113" t="str">
        <f>IF(F398="","",IF(H398="",TEXT(_xlfn.MAXIFS($I$1:I398,$F$1:F398,F398,$H$1:H398,"&gt;"&amp;0),"000.000"),F398))</f>
        <v>QHE9735</v>
      </c>
      <c r="T398" s="101">
        <f t="shared" si="45"/>
        <v>345.41666666666669</v>
      </c>
      <c r="U398" s="82" t="s">
        <v>220</v>
      </c>
      <c r="V398" s="98" t="s">
        <v>165</v>
      </c>
      <c r="W398" s="82" t="s">
        <v>222</v>
      </c>
      <c r="X398" s="98" t="s">
        <v>200</v>
      </c>
      <c r="Y398" s="82" t="s">
        <v>225</v>
      </c>
      <c r="Z398" s="98" t="s">
        <v>237</v>
      </c>
      <c r="AA398" s="82" t="s">
        <v>221</v>
      </c>
      <c r="AB398" s="98" t="s">
        <v>168</v>
      </c>
      <c r="AC398" s="82" t="s">
        <v>225</v>
      </c>
      <c r="AD398" s="98" t="s">
        <v>284</v>
      </c>
      <c r="AE398" s="82" t="s">
        <v>220</v>
      </c>
      <c r="AF398" s="98" t="s">
        <v>165</v>
      </c>
      <c r="AG398" s="82"/>
      <c r="AH398" s="98"/>
      <c r="AI398" s="82"/>
      <c r="AJ398" s="98"/>
      <c r="AK398" s="83"/>
      <c r="AL398" s="84" t="str">
        <f>IF(F398&lt;&gt;0,IF(_xlfn.MAXIFS($I$1:I398,$F$1:F398,F398,$H$1:H398,"&gt;"&amp;0)=0,"KM NÃO ENCONTRADO",IF(H398=0,CONCATENATE("SUGESTÃO DE KM PARA PLACA ",F398," *",_xlfn.MAXIFS($I$1:I398,$F$1:F398,F398,$H$1:H398,"&gt;"&amp;0),"*"),"")),"")</f>
        <v/>
      </c>
      <c r="AM398" s="85" t="str" cm="1">
        <f t="array" ref="AM398">IFERROR(IF(M398&lt;&gt;"","",CONCATENATE("https://btx.brasiltrack.com/logistica/trajeto.php?idveiculo=",VLOOKUP(F398,DATAS!$A$221:$B$250,2,FALSE),"&amp;lat=-22.204247","&amp;data_ini=",TEXT(IF(E398&lt;&gt;"",IF(COUNTIF($F$2:$F398,F398)&gt;1,MAX(IF($F$1:$F397=F398,$E$1:$E397)),""),""),"DD/MM/AAAA"),"&amp;data_fim=",TEXT(E398,"DD/MM/AAAA"),"&amp;hora_inicial=",HOUR(IF(E398&lt;&gt;"",IF(COUNTIF($F$2:$F398,F398)&gt;1,MAX(IF($F$1:$F397=F398,$E$1:$E397)),""),"")),"&amp;minuto_inicial=",MINUTE(IF(E398&lt;&gt;"",IF(COUNTIF($F$2:$F398,F398)&gt;1,MAX(IF($F$1:$F397=F398,$E$1:$E397)),""),"")),"&amp;hora_final=",HOUR(E398),"&amp;minuto_final=",MINUTE(E398),"&amp;periodo=6&amp;tipo=por_data&amp;upos=false&amp;outequip=0")),"")</f>
        <v/>
      </c>
      <c r="AN398" s="100" t="str">
        <f t="shared" si="50"/>
        <v xml:space="preserve">ABASTECEU no 22 NORTE DESCARREGOU em CONGONHAL-MG PASSOU em ARUJÁ-SP CARREGOU em CUBATAO-SP PASSOU em SÃO PAULO-SP ABASTECEU no 22 NORTE    </v>
      </c>
    </row>
    <row r="399" spans="1:40" x14ac:dyDescent="0.25">
      <c r="A399" s="101">
        <f>IFERROR(VLOOKUP(AN399,ROTAS!$A:$B,2,FALSE),0)</f>
        <v>111</v>
      </c>
      <c r="B399" s="101">
        <f t="shared" si="42"/>
        <v>12</v>
      </c>
      <c r="C399" s="101">
        <f t="shared" si="43"/>
        <v>633.83333333333337</v>
      </c>
      <c r="D399" s="144">
        <v>44927</v>
      </c>
      <c r="E399" s="76">
        <v>44931.984027777777</v>
      </c>
      <c r="F399" s="6" t="s">
        <v>131</v>
      </c>
      <c r="G399" s="5" t="str">
        <f>IFERROR(VLOOKUP(SUMIFS(MSOLICITADA!$I:$I,MSOLICITADA!$B:$B,D399,MSOLICITADA!$F:$F,F399),CODIGOSPLACAS!$A$64:$B$89,2,FALSE),"")</f>
        <v>ALTIELIS</v>
      </c>
      <c r="H399" s="77">
        <v>49141</v>
      </c>
      <c r="I399" s="77">
        <v>49758</v>
      </c>
      <c r="J399" s="7">
        <v>361</v>
      </c>
      <c r="K399" s="78">
        <v>2306.79</v>
      </c>
      <c r="L399" s="79" t="s">
        <v>111</v>
      </c>
      <c r="M399" s="6">
        <v>285</v>
      </c>
      <c r="N399" s="5">
        <f t="shared" si="46"/>
        <v>332</v>
      </c>
      <c r="O399" s="80">
        <f t="shared" si="47"/>
        <v>6.39</v>
      </c>
      <c r="P399" s="8">
        <f t="shared" si="48"/>
        <v>1.709141274238227</v>
      </c>
      <c r="Q399" s="8">
        <f t="shared" si="44"/>
        <v>1.6793774979959049</v>
      </c>
      <c r="R399" s="81">
        <f t="shared" si="49"/>
        <v>0.46191247974068073</v>
      </c>
      <c r="S399" s="113" t="str">
        <f>IF(F399="","",IF(H399="",TEXT(_xlfn.MAXIFS($I$1:I399,$F$1:F399,F399,$H$1:H399,"&gt;"&amp;0),"000.000"),F399))</f>
        <v>GGN4J86</v>
      </c>
      <c r="T399" s="101">
        <f t="shared" si="45"/>
        <v>345.41666666666669</v>
      </c>
      <c r="U399" s="82" t="s">
        <v>220</v>
      </c>
      <c r="V399" s="98" t="s">
        <v>165</v>
      </c>
      <c r="W399" s="82" t="s">
        <v>222</v>
      </c>
      <c r="X399" s="98" t="s">
        <v>200</v>
      </c>
      <c r="Y399" s="82" t="s">
        <v>225</v>
      </c>
      <c r="Z399" s="98" t="s">
        <v>237</v>
      </c>
      <c r="AA399" s="82" t="s">
        <v>221</v>
      </c>
      <c r="AB399" s="98" t="s">
        <v>168</v>
      </c>
      <c r="AC399" s="82" t="s">
        <v>225</v>
      </c>
      <c r="AD399" s="98" t="s">
        <v>284</v>
      </c>
      <c r="AE399" s="82" t="s">
        <v>220</v>
      </c>
      <c r="AF399" s="98" t="s">
        <v>165</v>
      </c>
      <c r="AG399" s="82"/>
      <c r="AH399" s="98"/>
      <c r="AI399" s="82"/>
      <c r="AJ399" s="98"/>
      <c r="AK399" s="83"/>
      <c r="AL399" s="84" t="str">
        <f>IF(F399&lt;&gt;0,IF(_xlfn.MAXIFS($I$1:I399,$F$1:F399,F399,$H$1:H399,"&gt;"&amp;0)=0,"KM NÃO ENCONTRADO",IF(H399=0,CONCATENATE("SUGESTÃO DE KM PARA PLACA ",F399," *",_xlfn.MAXIFS($I$1:I399,$F$1:F399,F399,$H$1:H399,"&gt;"&amp;0),"*"),"")),"")</f>
        <v/>
      </c>
      <c r="AM399" s="85" t="str" cm="1">
        <f t="array" ref="AM399">IFERROR(IF(M399&lt;&gt;"","",CONCATENATE("https://btx.brasiltrack.com/logistica/trajeto.php?idveiculo=",VLOOKUP(F399,DATAS!$A$221:$B$250,2,FALSE),"&amp;lat=-22.204247","&amp;data_ini=",TEXT(IF(E399&lt;&gt;"",IF(COUNTIF($F$2:$F399,F399)&gt;1,MAX(IF($F$1:$F398=F399,$E$1:$E398)),""),""),"DD/MM/AAAA"),"&amp;data_fim=",TEXT(E399,"DD/MM/AAAA"),"&amp;hora_inicial=",HOUR(IF(E399&lt;&gt;"",IF(COUNTIF($F$2:$F399,F399)&gt;1,MAX(IF($F$1:$F398=F399,$E$1:$E398)),""),"")),"&amp;minuto_inicial=",MINUTE(IF(E399&lt;&gt;"",IF(COUNTIF($F$2:$F399,F399)&gt;1,MAX(IF($F$1:$F398=F399,$E$1:$E398)),""),"")),"&amp;hora_final=",HOUR(E399),"&amp;minuto_final=",MINUTE(E399),"&amp;periodo=6&amp;tipo=por_data&amp;upos=false&amp;outequip=0")),"")</f>
        <v/>
      </c>
      <c r="AN399" s="100" t="str">
        <f t="shared" si="50"/>
        <v xml:space="preserve">ABASTECEU no 22 NORTE DESCARREGOU em CONGONHAL-MG PASSOU em ARUJÁ-SP CARREGOU em CUBATAO-SP PASSOU em SÃO PAULO-SP ABASTECEU no 22 NORTE    </v>
      </c>
    </row>
    <row r="400" spans="1:40" x14ac:dyDescent="0.25">
      <c r="A400" s="101">
        <f>IFERROR(VLOOKUP(AN400,ROTAS!$A:$B,2,FALSE),0)</f>
        <v>107</v>
      </c>
      <c r="B400" s="101">
        <f t="shared" si="42"/>
        <v>2</v>
      </c>
      <c r="C400" s="101">
        <f t="shared" si="43"/>
        <v>373.5</v>
      </c>
      <c r="D400" s="144">
        <v>44927</v>
      </c>
      <c r="E400" s="76">
        <v>44932.054861111108</v>
      </c>
      <c r="F400" s="6" t="s">
        <v>128</v>
      </c>
      <c r="G400" s="5" t="str">
        <f>IFERROR(VLOOKUP(SUMIFS(MSOLICITADA!$I:$I,MSOLICITADA!$B:$B,D400,MSOLICITADA!$F:$F,F400),CODIGOSPLACAS!$A$64:$B$89,2,FALSE),"")</f>
        <v>ELI RICARDO</v>
      </c>
      <c r="H400" s="77">
        <v>92922</v>
      </c>
      <c r="I400" s="77">
        <v>93316</v>
      </c>
      <c r="J400" s="7">
        <v>305.45999999999998</v>
      </c>
      <c r="K400" s="78">
        <v>1951.89</v>
      </c>
      <c r="L400" s="79" t="s">
        <v>111</v>
      </c>
      <c r="M400" s="6">
        <v>364</v>
      </c>
      <c r="N400" s="5">
        <f t="shared" si="46"/>
        <v>30</v>
      </c>
      <c r="O400" s="80">
        <f t="shared" si="47"/>
        <v>6.3900019642506392</v>
      </c>
      <c r="P400" s="8">
        <f t="shared" si="48"/>
        <v>1.2898579192038238</v>
      </c>
      <c r="Q400" s="8">
        <f t="shared" si="44"/>
        <v>1.7619806950171255</v>
      </c>
      <c r="R400" s="81">
        <f t="shared" si="49"/>
        <v>0.92385786802030456</v>
      </c>
      <c r="S400" s="113" t="str">
        <f>IF(F400="","",IF(H400="",TEXT(_xlfn.MAXIFS($I$1:I400,$F$1:F400,F400,$H$1:H400,"&gt;"&amp;0),"000.000"),F400))</f>
        <v>GFR0D47</v>
      </c>
      <c r="T400" s="101">
        <f t="shared" si="45"/>
        <v>30</v>
      </c>
      <c r="U400" s="82" t="s">
        <v>220</v>
      </c>
      <c r="V400" s="98" t="s">
        <v>166</v>
      </c>
      <c r="W400" s="82" t="s">
        <v>225</v>
      </c>
      <c r="X400" s="98" t="s">
        <v>237</v>
      </c>
      <c r="Y400" s="82" t="s">
        <v>222</v>
      </c>
      <c r="Z400" s="98" t="s">
        <v>175</v>
      </c>
      <c r="AA400" s="82" t="s">
        <v>221</v>
      </c>
      <c r="AB400" s="98" t="s">
        <v>168</v>
      </c>
      <c r="AC400" s="82" t="s">
        <v>225</v>
      </c>
      <c r="AD400" s="98" t="s">
        <v>284</v>
      </c>
      <c r="AE400" s="82" t="s">
        <v>220</v>
      </c>
      <c r="AF400" s="98" t="s">
        <v>165</v>
      </c>
      <c r="AG400" s="82"/>
      <c r="AH400" s="98"/>
      <c r="AI400" s="82"/>
      <c r="AJ400" s="98"/>
      <c r="AK400" s="83"/>
      <c r="AL400" s="84" t="str">
        <f>IF(F400&lt;&gt;0,IF(_xlfn.MAXIFS($I$1:I400,$F$1:F400,F400,$H$1:H400,"&gt;"&amp;0)=0,"KM NÃO ENCONTRADO",IF(H400=0,CONCATENATE("SUGESTÃO DE KM PARA PLACA ",F400," *",_xlfn.MAXIFS($I$1:I400,$F$1:F400,F400,$H$1:H400,"&gt;"&amp;0),"*"),"")),"")</f>
        <v/>
      </c>
      <c r="AM400" s="85" t="str" cm="1">
        <f t="array" ref="AM400">IFERROR(IF(M400&lt;&gt;"","",CONCATENATE("https://btx.brasiltrack.com/logistica/trajeto.php?idveiculo=",VLOOKUP(F400,DATAS!$A$221:$B$250,2,FALSE),"&amp;lat=-22.204247","&amp;data_ini=",TEXT(IF(E400&lt;&gt;"",IF(COUNTIF($F$2:$F400,F400)&gt;1,MAX(IF($F$1:$F399=F400,$E$1:$E399)),""),""),"DD/MM/AAAA"),"&amp;data_fim=",TEXT(E400,"DD/MM/AAAA"),"&amp;hora_inicial=",HOUR(IF(E400&lt;&gt;"",IF(COUNTIF($F$2:$F400,F400)&gt;1,MAX(IF($F$1:$F399=F400,$E$1:$E399)),""),"")),"&amp;minuto_inicial=",MINUTE(IF(E400&lt;&gt;"",IF(COUNTIF($F$2:$F400,F400)&gt;1,MAX(IF($F$1:$F399=F400,$E$1:$E399)),""),"")),"&amp;hora_final=",HOUR(E400),"&amp;minuto_final=",MINUTE(E400),"&amp;periodo=6&amp;tipo=por_data&amp;upos=false&amp;outequip=0")),"")</f>
        <v/>
      </c>
      <c r="AN400" s="100" t="str">
        <f t="shared" si="50"/>
        <v xml:space="preserve">ABASTECEU no 22 SUL PASSOU em ARUJÁ-SP DESCARREGOU em SANTOS-SP CARREGOU em CUBATAO-SP PASSOU em SÃO PAULO-SP ABASTECEU no 22 NORTE    </v>
      </c>
    </row>
    <row r="401" spans="1:40" x14ac:dyDescent="0.25">
      <c r="A401" s="101">
        <f>IFERROR(VLOOKUP(AN401,ROTAS!$A:$B,2,FALSE),0)</f>
        <v>112</v>
      </c>
      <c r="B401" s="101">
        <f t="shared" si="42"/>
        <v>14</v>
      </c>
      <c r="C401" s="101">
        <f t="shared" si="43"/>
        <v>586.42857142857144</v>
      </c>
      <c r="D401" s="144">
        <v>44927</v>
      </c>
      <c r="E401" s="76">
        <v>44932.21597222222</v>
      </c>
      <c r="F401" s="6" t="s">
        <v>28</v>
      </c>
      <c r="G401" s="5" t="str">
        <f>IFERROR(VLOOKUP(SUMIFS(MSOLICITADA!$I:$I,MSOLICITADA!$B:$B,D401,MSOLICITADA!$F:$F,F401),CODIGOSPLACAS!$A$64:$B$89,2,FALSE),"")</f>
        <v>RONY</v>
      </c>
      <c r="H401" s="77">
        <v>244550</v>
      </c>
      <c r="I401" s="77">
        <v>245133</v>
      </c>
      <c r="J401" s="7">
        <v>376</v>
      </c>
      <c r="K401" s="78">
        <v>2402.64</v>
      </c>
      <c r="L401" s="79" t="s">
        <v>111</v>
      </c>
      <c r="M401" s="6">
        <v>298</v>
      </c>
      <c r="N401" s="5">
        <f t="shared" si="46"/>
        <v>285</v>
      </c>
      <c r="O401" s="80">
        <f t="shared" si="47"/>
        <v>6.39</v>
      </c>
      <c r="P401" s="8">
        <f t="shared" si="48"/>
        <v>1.550531914893617</v>
      </c>
      <c r="Q401" s="8">
        <f t="shared" si="44"/>
        <v>1.519654959485309</v>
      </c>
      <c r="R401" s="81">
        <f t="shared" si="49"/>
        <v>0.51114922813036023</v>
      </c>
      <c r="S401" s="113" t="str">
        <f>IF(F401="","",IF(H401="",TEXT(_xlfn.MAXIFS($I$1:I401,$F$1:F401,F401,$H$1:H401,"&gt;"&amp;0),"000.000"),F401))</f>
        <v>FZA3E94</v>
      </c>
      <c r="T401" s="101">
        <f t="shared" si="45"/>
        <v>292.78571428571428</v>
      </c>
      <c r="U401" s="82" t="s">
        <v>220</v>
      </c>
      <c r="V401" s="98" t="s">
        <v>165</v>
      </c>
      <c r="W401" s="82" t="s">
        <v>222</v>
      </c>
      <c r="X401" s="98" t="s">
        <v>200</v>
      </c>
      <c r="Y401" s="82" t="s">
        <v>225</v>
      </c>
      <c r="Z401" s="98" t="s">
        <v>284</v>
      </c>
      <c r="AA401" s="82" t="s">
        <v>221</v>
      </c>
      <c r="AB401" s="98" t="s">
        <v>168</v>
      </c>
      <c r="AC401" s="82" t="s">
        <v>225</v>
      </c>
      <c r="AD401" s="98" t="s">
        <v>284</v>
      </c>
      <c r="AE401" s="82" t="s">
        <v>220</v>
      </c>
      <c r="AF401" s="98" t="s">
        <v>165</v>
      </c>
      <c r="AG401" s="82"/>
      <c r="AH401" s="98"/>
      <c r="AI401" s="82"/>
      <c r="AJ401" s="98"/>
      <c r="AK401" s="83"/>
      <c r="AL401" s="84" t="str">
        <f>IF(F401&lt;&gt;0,IF(_xlfn.MAXIFS($I$1:I401,$F$1:F401,F401,$H$1:H401,"&gt;"&amp;0)=0,"KM NÃO ENCONTRADO",IF(H401=0,CONCATENATE("SUGESTÃO DE KM PARA PLACA ",F401," *",_xlfn.MAXIFS($I$1:I401,$F$1:F401,F401,$H$1:H401,"&gt;"&amp;0),"*"),"")),"")</f>
        <v/>
      </c>
      <c r="AM401" s="85" t="str" cm="1">
        <f t="array" ref="AM401">IFERROR(IF(M401&lt;&gt;"","",CONCATENATE("https://btx.brasiltrack.com/logistica/trajeto.php?idveiculo=",VLOOKUP(F401,DATAS!$A$221:$B$250,2,FALSE),"&amp;lat=-22.204247","&amp;data_ini=",TEXT(IF(E401&lt;&gt;"",IF(COUNTIF($F$2:$F401,F401)&gt;1,MAX(IF($F$1:$F400=F401,$E$1:$E400)),""),""),"DD/MM/AAAA"),"&amp;data_fim=",TEXT(E401,"DD/MM/AAAA"),"&amp;hora_inicial=",HOUR(IF(E401&lt;&gt;"",IF(COUNTIF($F$2:$F401,F401)&gt;1,MAX(IF($F$1:$F400=F401,$E$1:$E400)),""),"")),"&amp;minuto_inicial=",MINUTE(IF(E401&lt;&gt;"",IF(COUNTIF($F$2:$F401,F401)&gt;1,MAX(IF($F$1:$F400=F401,$E$1:$E400)),""),"")),"&amp;hora_final=",HOUR(E401),"&amp;minuto_final=",MINUTE(E401),"&amp;periodo=6&amp;tipo=por_data&amp;upos=false&amp;outequip=0")),"")</f>
        <v/>
      </c>
      <c r="AN401" s="100" t="str">
        <f t="shared" si="50"/>
        <v xml:space="preserve">ABASTECEU no 22 NORTE DESCARREGOU em CONGONHAL-MG PASSOU em SÃO PAULO-SP CARREGOU em CUBATAO-SP PASSOU em SÃO PAULO-SP ABASTECEU no 22 NORTE    </v>
      </c>
    </row>
    <row r="402" spans="1:40" x14ac:dyDescent="0.25">
      <c r="A402" s="101">
        <f>IFERROR(VLOOKUP(AN402,ROTAS!$A:$B,2,FALSE),0)</f>
        <v>2</v>
      </c>
      <c r="B402" s="101">
        <f t="shared" si="42"/>
        <v>11</v>
      </c>
      <c r="C402" s="101">
        <f t="shared" si="43"/>
        <v>865.72727272727275</v>
      </c>
      <c r="D402" s="144">
        <v>44927</v>
      </c>
      <c r="E402" s="76">
        <v>44932.456250000003</v>
      </c>
      <c r="F402" s="6" t="s">
        <v>126</v>
      </c>
      <c r="G402" s="5" t="str">
        <f>IFERROR(VLOOKUP(SUMIFS(MSOLICITADA!$I:$I,MSOLICITADA!$B:$B,D402,MSOLICITADA!$F:$F,F402),CODIGOSPLACAS!$A$64:$B$89,2,FALSE),"")</f>
        <v>IZAIAS</v>
      </c>
      <c r="H402" s="77">
        <v>490864</v>
      </c>
      <c r="I402" s="77">
        <v>491733</v>
      </c>
      <c r="J402" s="7">
        <v>522.04999999999995</v>
      </c>
      <c r="K402" s="78">
        <v>3335.9</v>
      </c>
      <c r="L402" s="79" t="s">
        <v>111</v>
      </c>
      <c r="M402" s="6">
        <v>435</v>
      </c>
      <c r="N402" s="5">
        <f t="shared" si="46"/>
        <v>434</v>
      </c>
      <c r="O402" s="80">
        <f t="shared" si="47"/>
        <v>6.3900009577626671</v>
      </c>
      <c r="P402" s="8">
        <f t="shared" si="48"/>
        <v>1.6645915142227758</v>
      </c>
      <c r="Q402" s="8">
        <f t="shared" si="44"/>
        <v>1.5602257971131808</v>
      </c>
      <c r="R402" s="81">
        <f t="shared" si="49"/>
        <v>0.50057537399309548</v>
      </c>
      <c r="S402" s="113" t="str">
        <f>IF(F402="","",IF(H402="",TEXT(_xlfn.MAXIFS($I$1:I402,$F$1:F402,F402,$H$1:H402,"&gt;"&amp;0),"000.000"),F402))</f>
        <v>GHX4D71</v>
      </c>
      <c r="T402" s="101">
        <f t="shared" si="45"/>
        <v>432.72727272727275</v>
      </c>
      <c r="U402" s="82" t="s">
        <v>220</v>
      </c>
      <c r="V402" s="98" t="s">
        <v>165</v>
      </c>
      <c r="W402" s="82" t="s">
        <v>222</v>
      </c>
      <c r="X402" s="98" t="s">
        <v>176</v>
      </c>
      <c r="Y402" s="82" t="s">
        <v>225</v>
      </c>
      <c r="Z402" s="98" t="s">
        <v>237</v>
      </c>
      <c r="AA402" s="82" t="s">
        <v>221</v>
      </c>
      <c r="AB402" s="98" t="s">
        <v>168</v>
      </c>
      <c r="AC402" s="82" t="s">
        <v>225</v>
      </c>
      <c r="AD402" s="98" t="s">
        <v>237</v>
      </c>
      <c r="AE402" s="82" t="s">
        <v>220</v>
      </c>
      <c r="AF402" s="98" t="s">
        <v>165</v>
      </c>
      <c r="AG402" s="82"/>
      <c r="AH402" s="98"/>
      <c r="AI402" s="82"/>
      <c r="AJ402" s="98"/>
      <c r="AK402" s="83"/>
      <c r="AL402" s="84" t="str">
        <f>IF(F402&lt;&gt;0,IF(_xlfn.MAXIFS($I$1:I402,$F$1:F402,F402,$H$1:H402,"&gt;"&amp;0)=0,"KM NÃO ENCONTRADO",IF(H402=0,CONCATENATE("SUGESTÃO DE KM PARA PLACA ",F402," *",_xlfn.MAXIFS($I$1:I402,$F$1:F402,F402,$H$1:H402,"&gt;"&amp;0),"*"),"")),"")</f>
        <v/>
      </c>
      <c r="AM402" s="85" t="str" cm="1">
        <f t="array" ref="AM402">IFERROR(IF(M402&lt;&gt;"","",CONCATENATE("https://btx.brasiltrack.com/logistica/trajeto.php?idveiculo=",VLOOKUP(F402,DATAS!$A$221:$B$250,2,FALSE),"&amp;lat=-22.204247","&amp;data_ini=",TEXT(IF(E402&lt;&gt;"",IF(COUNTIF($F$2:$F402,F402)&gt;1,MAX(IF($F$1:$F401=F402,$E$1:$E401)),""),""),"DD/MM/AAAA"),"&amp;data_fim=",TEXT(E402,"DD/MM/AAAA"),"&amp;hora_inicial=",HOUR(IF(E402&lt;&gt;"",IF(COUNTIF($F$2:$F402,F402)&gt;1,MAX(IF($F$1:$F401=F402,$E$1:$E401)),""),"")),"&amp;minuto_inicial=",MINUTE(IF(E402&lt;&gt;"",IF(COUNTIF($F$2:$F402,F402)&gt;1,MAX(IF($F$1:$F401=F402,$E$1:$E401)),""),"")),"&amp;hora_final=",HOUR(E402),"&amp;minuto_final=",MINUTE(E402),"&amp;periodo=6&amp;tipo=por_data&amp;upos=false&amp;outequip=0")),"")</f>
        <v/>
      </c>
      <c r="AN402" s="100" t="str">
        <f t="shared" si="50"/>
        <v xml:space="preserve">ABASTECEU no 22 NORTE DESCARREGOU em ALFENAS-MG PASSOU em ARUJÁ-SP CARREGOU em CUBATAO-SP PASSOU em ARUJÁ-SP ABASTECEU no 22 NORTE    </v>
      </c>
    </row>
    <row r="403" spans="1:40" x14ac:dyDescent="0.25">
      <c r="A403" s="101">
        <f>IFERROR(VLOOKUP(AN403,ROTAS!$A:$B,2,FALSE),0)</f>
        <v>113</v>
      </c>
      <c r="B403" s="101">
        <f t="shared" si="42"/>
        <v>14</v>
      </c>
      <c r="C403" s="101">
        <f t="shared" si="43"/>
        <v>633.64285714285711</v>
      </c>
      <c r="D403" s="144">
        <v>44927</v>
      </c>
      <c r="E403" s="76">
        <v>44932.583333333336</v>
      </c>
      <c r="F403" s="6" t="s">
        <v>127</v>
      </c>
      <c r="G403" s="5" t="str">
        <f>IFERROR(VLOOKUP(SUMIFS(MSOLICITADA!$I:$I,MSOLICITADA!$B:$B,D403,MSOLICITADA!$F:$F,F403),CODIGOSPLACAS!$A$64:$B$89,2,FALSE),"")</f>
        <v>EVERTON</v>
      </c>
      <c r="H403" s="77">
        <v>1231748</v>
      </c>
      <c r="I403" s="77">
        <v>1232398</v>
      </c>
      <c r="J403" s="7">
        <v>330</v>
      </c>
      <c r="K403" s="78">
        <v>2108.6999999999998</v>
      </c>
      <c r="L403" s="79" t="s">
        <v>111</v>
      </c>
      <c r="M403" s="6">
        <v>365</v>
      </c>
      <c r="N403" s="5">
        <f t="shared" si="46"/>
        <v>285</v>
      </c>
      <c r="O403" s="80">
        <f t="shared" si="47"/>
        <v>6.39</v>
      </c>
      <c r="P403" s="8">
        <f t="shared" si="48"/>
        <v>1.9696969696969697</v>
      </c>
      <c r="Q403" s="8">
        <f t="shared" si="44"/>
        <v>1.9701972800245917</v>
      </c>
      <c r="R403" s="81">
        <f t="shared" si="49"/>
        <v>0.56153846153846154</v>
      </c>
      <c r="S403" s="113" t="str">
        <f>IF(F403="","",IF(H403="",TEXT(_xlfn.MAXIFS($I$1:I403,$F$1:F403,F403,$H$1:H403,"&gt;"&amp;0),"000.000"),F403))</f>
        <v>OPM8J51</v>
      </c>
      <c r="T403" s="101">
        <f t="shared" si="45"/>
        <v>286.07142857142856</v>
      </c>
      <c r="U403" s="82" t="s">
        <v>220</v>
      </c>
      <c r="V403" s="98" t="s">
        <v>165</v>
      </c>
      <c r="W403" s="82" t="s">
        <v>222</v>
      </c>
      <c r="X403" s="98" t="s">
        <v>200</v>
      </c>
      <c r="Y403" s="82" t="s">
        <v>225</v>
      </c>
      <c r="Z403" s="98" t="s">
        <v>284</v>
      </c>
      <c r="AA403" s="82" t="s">
        <v>221</v>
      </c>
      <c r="AB403" s="98" t="s">
        <v>168</v>
      </c>
      <c r="AC403" s="82" t="s">
        <v>225</v>
      </c>
      <c r="AD403" s="98" t="s">
        <v>237</v>
      </c>
      <c r="AE403" s="82" t="s">
        <v>220</v>
      </c>
      <c r="AF403" s="98" t="s">
        <v>165</v>
      </c>
      <c r="AG403" s="82"/>
      <c r="AH403" s="98"/>
      <c r="AI403" s="82"/>
      <c r="AJ403" s="98"/>
      <c r="AK403" s="83"/>
      <c r="AL403" s="84" t="str">
        <f>IF(F403&lt;&gt;0,IF(_xlfn.MAXIFS($I$1:I403,$F$1:F403,F403,$H$1:H403,"&gt;"&amp;0)=0,"KM NÃO ENCONTRADO",IF(H403=0,CONCATENATE("SUGESTÃO DE KM PARA PLACA ",F403," *",_xlfn.MAXIFS($I$1:I403,$F$1:F403,F403,$H$1:H403,"&gt;"&amp;0),"*"),"")),"")</f>
        <v/>
      </c>
      <c r="AM403" s="85" t="str" cm="1">
        <f t="array" ref="AM403">IFERROR(IF(M403&lt;&gt;"","",CONCATENATE("https://btx.brasiltrack.com/logistica/trajeto.php?idveiculo=",VLOOKUP(F403,DATAS!$A$221:$B$250,2,FALSE),"&amp;lat=-22.204247","&amp;data_ini=",TEXT(IF(E403&lt;&gt;"",IF(COUNTIF($F$2:$F403,F403)&gt;1,MAX(IF($F$1:$F402=F403,$E$1:$E402)),""),""),"DD/MM/AAAA"),"&amp;data_fim=",TEXT(E403,"DD/MM/AAAA"),"&amp;hora_inicial=",HOUR(IF(E403&lt;&gt;"",IF(COUNTIF($F$2:$F403,F403)&gt;1,MAX(IF($F$1:$F402=F403,$E$1:$E402)),""),"")),"&amp;minuto_inicial=",MINUTE(IF(E403&lt;&gt;"",IF(COUNTIF($F$2:$F403,F403)&gt;1,MAX(IF($F$1:$F402=F403,$E$1:$E402)),""),"")),"&amp;hora_final=",HOUR(E403),"&amp;minuto_final=",MINUTE(E403),"&amp;periodo=6&amp;tipo=por_data&amp;upos=false&amp;outequip=0")),"")</f>
        <v/>
      </c>
      <c r="AN403" s="100" t="str">
        <f t="shared" si="50"/>
        <v xml:space="preserve">ABASTECEU no 22 NORTE DESCARREGOU em CONGONHAL-MG PASSOU em SÃO PAULO-SP CARREGOU em CUBATAO-SP PASSOU em ARUJÁ-SP ABASTECEU no 22 NORTE    </v>
      </c>
    </row>
    <row r="404" spans="1:40" x14ac:dyDescent="0.25">
      <c r="A404" s="101">
        <f>IFERROR(VLOOKUP(AN404,ROTAS!$A:$B,2,FALSE),0)</f>
        <v>114</v>
      </c>
      <c r="B404" s="101">
        <f t="shared" ref="B404:B467" si="51">COUNTIFS(A:A,A404)</f>
        <v>1</v>
      </c>
      <c r="C404" s="101">
        <f t="shared" ref="C404:C467" si="52">(SUMIFS(M:M,A:A,A404)+SUMIFS(N:N,A:A,A404))/B404</f>
        <v>537</v>
      </c>
      <c r="D404" s="144">
        <v>44927</v>
      </c>
      <c r="E404" s="76">
        <v>44932.947916666664</v>
      </c>
      <c r="F404" s="6" t="s">
        <v>23</v>
      </c>
      <c r="G404" s="5" t="str">
        <f>IFERROR(VLOOKUP(SUMIFS(MSOLICITADA!$I:$I,MSOLICITADA!$B:$B,D404,MSOLICITADA!$F:$F,F404),CODIGOSPLACAS!$A$64:$B$89,2,FALSE),"")</f>
        <v>ISAC</v>
      </c>
      <c r="H404" s="77">
        <v>1207114</v>
      </c>
      <c r="I404" s="77">
        <v>1207651</v>
      </c>
      <c r="J404" s="7">
        <v>200</v>
      </c>
      <c r="K404" s="78">
        <v>1278.07</v>
      </c>
      <c r="L404" s="79" t="s">
        <v>111</v>
      </c>
      <c r="M404" s="6">
        <v>268</v>
      </c>
      <c r="N404" s="5">
        <f t="shared" si="46"/>
        <v>269</v>
      </c>
      <c r="O404" s="80">
        <f t="shared" si="47"/>
        <v>6.3903499999999998</v>
      </c>
      <c r="P404" s="8">
        <f t="shared" si="48"/>
        <v>2.6850000000000001</v>
      </c>
      <c r="Q404" s="8">
        <f t="shared" ref="Q404:Q467" si="53">IFERROR((SUMIFS(M:M,D:D,D404,F:F,F404)+SUMIFS(N:N,D:D,D404,F:F,F404)-SUMIFS(AK:AK,D:D,D404,F:F,F404))/(SUMIFS(J:J,D:D,D404,F:F,F404)-(SUMIFS(AK:AK,D:D,D404,F:F,F404)/5)),0)</f>
        <v>1.4592701282718794</v>
      </c>
      <c r="R404" s="81">
        <f t="shared" si="49"/>
        <v>0.49906890130353815</v>
      </c>
      <c r="S404" s="113" t="str">
        <f>IF(F404="","",IF(H404="",TEXT(_xlfn.MAXIFS($I$1:I404,$F$1:F404,F404,$H$1:H404,"&gt;"&amp;0),"000.000"),F404))</f>
        <v>HNC7I76</v>
      </c>
      <c r="T404" s="101">
        <f t="shared" ref="T404:T467" si="54">IF(E404&lt;&gt;"",IF(A404=0,"ERRO",IFERROR(AVERAGEIFS(N:N,A:A,A404,M:M,"&gt;"&amp;0),"")),"")</f>
        <v>269</v>
      </c>
      <c r="U404" s="82" t="s">
        <v>220</v>
      </c>
      <c r="V404" s="98" t="s">
        <v>165</v>
      </c>
      <c r="W404" s="82" t="s">
        <v>222</v>
      </c>
      <c r="X404" s="98" t="s">
        <v>176</v>
      </c>
      <c r="Y404" s="82" t="s">
        <v>220</v>
      </c>
      <c r="Z404" s="98" t="s">
        <v>166</v>
      </c>
      <c r="AA404" s="82"/>
      <c r="AB404" s="98"/>
      <c r="AC404" s="82"/>
      <c r="AD404" s="98"/>
      <c r="AE404" s="118"/>
      <c r="AF404" s="98"/>
      <c r="AG404" s="82"/>
      <c r="AH404" s="98"/>
      <c r="AI404" s="82"/>
      <c r="AJ404" s="98"/>
      <c r="AK404" s="83"/>
      <c r="AL404" s="84" t="str">
        <f>IF(F404&lt;&gt;0,IF(_xlfn.MAXIFS($I$1:I404,$F$1:F404,F404,$H$1:H404,"&gt;"&amp;0)=0,"KM NÃO ENCONTRADO",IF(H404=0,CONCATENATE("SUGESTÃO DE KM PARA PLACA ",F404," *",_xlfn.MAXIFS($I$1:I404,$F$1:F404,F404,$H$1:H404,"&gt;"&amp;0),"*"),"")),"")</f>
        <v/>
      </c>
      <c r="AM404" s="85" t="str" cm="1">
        <f t="array" ref="AM404">IFERROR(IF(M404&lt;&gt;"","",CONCATENATE("https://btx.brasiltrack.com/logistica/trajeto.php?idveiculo=",VLOOKUP(F404,DATAS!$A$221:$B$250,2,FALSE),"&amp;lat=-22.204247","&amp;data_ini=",TEXT(IF(E404&lt;&gt;"",IF(COUNTIF($F$2:$F404,F404)&gt;1,MAX(IF($F$1:$F403=F404,$E$1:$E403)),""),""),"DD/MM/AAAA"),"&amp;data_fim=",TEXT(E404,"DD/MM/AAAA"),"&amp;hora_inicial=",HOUR(IF(E404&lt;&gt;"",IF(COUNTIF($F$2:$F404,F404)&gt;1,MAX(IF($F$1:$F403=F404,$E$1:$E403)),""),"")),"&amp;minuto_inicial=",MINUTE(IF(E404&lt;&gt;"",IF(COUNTIF($F$2:$F404,F404)&gt;1,MAX(IF($F$1:$F403=F404,$E$1:$E403)),""),"")),"&amp;hora_final=",HOUR(E404),"&amp;minuto_final=",MINUTE(E404),"&amp;periodo=6&amp;tipo=por_data&amp;upos=false&amp;outequip=0")),"")</f>
        <v/>
      </c>
      <c r="AN404" s="100" t="str">
        <f t="shared" si="50"/>
        <v xml:space="preserve">ABASTECEU no 22 NORTE DESCARREGOU em ALFENAS-MG ABASTECEU no 22 SUL          </v>
      </c>
    </row>
    <row r="405" spans="1:40" x14ac:dyDescent="0.25">
      <c r="A405" s="101">
        <f>IFERROR(VLOOKUP(AN405,ROTAS!$A:$B,2,FALSE),0)</f>
        <v>112</v>
      </c>
      <c r="B405" s="101">
        <f t="shared" si="51"/>
        <v>14</v>
      </c>
      <c r="C405" s="101">
        <f t="shared" si="52"/>
        <v>586.42857142857144</v>
      </c>
      <c r="D405" s="144">
        <v>44927</v>
      </c>
      <c r="E405" s="76">
        <v>44933.841666666667</v>
      </c>
      <c r="F405" s="6" t="s">
        <v>27</v>
      </c>
      <c r="G405" s="5" t="str">
        <f>IFERROR(VLOOKUP(SUMIFS(MSOLICITADA!$I:$I,MSOLICITADA!$B:$B,D405,MSOLICITADA!$F:$F,F405),CODIGOSPLACAS!$A$64:$B$89,2,FALSE),"")</f>
        <v>ANTONIO</v>
      </c>
      <c r="H405" s="77">
        <v>249840</v>
      </c>
      <c r="I405" s="77">
        <v>250420</v>
      </c>
      <c r="J405" s="7">
        <v>395</v>
      </c>
      <c r="K405" s="78">
        <v>2524.0500000000002</v>
      </c>
      <c r="L405" s="79" t="s">
        <v>111</v>
      </c>
      <c r="M405" s="6">
        <v>290</v>
      </c>
      <c r="N405" s="5">
        <f t="shared" si="46"/>
        <v>290</v>
      </c>
      <c r="O405" s="80">
        <f t="shared" si="47"/>
        <v>6.3900000000000006</v>
      </c>
      <c r="P405" s="8">
        <f t="shared" si="48"/>
        <v>1.4683544303797469</v>
      </c>
      <c r="Q405" s="8">
        <f t="shared" si="53"/>
        <v>1.4666276036610979</v>
      </c>
      <c r="R405" s="81">
        <f t="shared" si="49"/>
        <v>0.5</v>
      </c>
      <c r="S405" s="113" t="str">
        <f>IF(F405="","",IF(H405="",TEXT(_xlfn.MAXIFS($I$1:I405,$F$1:F405,F405,$H$1:H405,"&gt;"&amp;0),"000.000"),F405))</f>
        <v>GHS4J57</v>
      </c>
      <c r="T405" s="101">
        <f t="shared" si="54"/>
        <v>292.78571428571428</v>
      </c>
      <c r="U405" s="82" t="s">
        <v>220</v>
      </c>
      <c r="V405" s="98" t="s">
        <v>165</v>
      </c>
      <c r="W405" s="82" t="s">
        <v>222</v>
      </c>
      <c r="X405" s="98" t="s">
        <v>200</v>
      </c>
      <c r="Y405" s="82" t="s">
        <v>225</v>
      </c>
      <c r="Z405" s="98" t="s">
        <v>284</v>
      </c>
      <c r="AA405" s="82" t="s">
        <v>221</v>
      </c>
      <c r="AB405" s="98" t="s">
        <v>168</v>
      </c>
      <c r="AC405" s="82" t="s">
        <v>225</v>
      </c>
      <c r="AD405" s="98" t="s">
        <v>284</v>
      </c>
      <c r="AE405" s="82" t="s">
        <v>220</v>
      </c>
      <c r="AF405" s="98" t="s">
        <v>165</v>
      </c>
      <c r="AG405" s="82"/>
      <c r="AH405" s="98"/>
      <c r="AI405" s="82"/>
      <c r="AJ405" s="98"/>
      <c r="AK405" s="83"/>
      <c r="AL405" s="84" t="str">
        <f>IF(F405&lt;&gt;0,IF(_xlfn.MAXIFS($I$1:I405,$F$1:F405,F405,$H$1:H405,"&gt;"&amp;0)=0,"KM NÃO ENCONTRADO",IF(H405=0,CONCATENATE("SUGESTÃO DE KM PARA PLACA ",F405," *",_xlfn.MAXIFS($I$1:I405,$F$1:F405,F405,$H$1:H405,"&gt;"&amp;0),"*"),"")),"")</f>
        <v/>
      </c>
      <c r="AM405" s="85" t="str" cm="1">
        <f t="array" ref="AM405">IFERROR(IF(M405&lt;&gt;"","",CONCATENATE("https://btx.brasiltrack.com/logistica/trajeto.php?idveiculo=",VLOOKUP(F405,DATAS!$A$221:$B$250,2,FALSE),"&amp;lat=-22.204247","&amp;data_ini=",TEXT(IF(E405&lt;&gt;"",IF(COUNTIF($F$2:$F405,F405)&gt;1,MAX(IF($F$1:$F404=F405,$E$1:$E404)),""),""),"DD/MM/AAAA"),"&amp;data_fim=",TEXT(E405,"DD/MM/AAAA"),"&amp;hora_inicial=",HOUR(IF(E405&lt;&gt;"",IF(COUNTIF($F$2:$F405,F405)&gt;1,MAX(IF($F$1:$F404=F405,$E$1:$E404)),""),"")),"&amp;minuto_inicial=",MINUTE(IF(E405&lt;&gt;"",IF(COUNTIF($F$2:$F405,F405)&gt;1,MAX(IF($F$1:$F404=F405,$E$1:$E404)),""),"")),"&amp;hora_final=",HOUR(E405),"&amp;minuto_final=",MINUTE(E405),"&amp;periodo=6&amp;tipo=por_data&amp;upos=false&amp;outequip=0")),"")</f>
        <v/>
      </c>
      <c r="AN405" s="100" t="str">
        <f t="shared" si="50"/>
        <v xml:space="preserve">ABASTECEU no 22 NORTE DESCARREGOU em CONGONHAL-MG PASSOU em SÃO PAULO-SP CARREGOU em CUBATAO-SP PASSOU em SÃO PAULO-SP ABASTECEU no 22 NORTE    </v>
      </c>
    </row>
    <row r="406" spans="1:40" x14ac:dyDescent="0.25">
      <c r="A406" s="101">
        <f>IFERROR(VLOOKUP(AN406,ROTAS!$A:$B,2,FALSE),0)</f>
        <v>112</v>
      </c>
      <c r="B406" s="101">
        <f t="shared" si="51"/>
        <v>14</v>
      </c>
      <c r="C406" s="101">
        <f t="shared" si="52"/>
        <v>586.42857142857144</v>
      </c>
      <c r="D406" s="144">
        <v>44927</v>
      </c>
      <c r="E406" s="76">
        <v>44933.841666666667</v>
      </c>
      <c r="F406" s="6" t="s">
        <v>30</v>
      </c>
      <c r="G406" s="5" t="str">
        <f>IFERROR(VLOOKUP(SUMIFS(MSOLICITADA!$I:$I,MSOLICITADA!$B:$B,D406,MSOLICITADA!$F:$F,F406),CODIGOSPLACAS!$A$64:$B$89,2,FALSE),"")</f>
        <v>RONILSON</v>
      </c>
      <c r="H406" s="77">
        <v>221497</v>
      </c>
      <c r="I406" s="77">
        <v>222082</v>
      </c>
      <c r="J406" s="7">
        <v>366</v>
      </c>
      <c r="K406" s="78">
        <v>2338.7399999999998</v>
      </c>
      <c r="L406" s="79" t="s">
        <v>111</v>
      </c>
      <c r="M406" s="6">
        <v>292</v>
      </c>
      <c r="N406" s="5">
        <f t="shared" si="46"/>
        <v>293</v>
      </c>
      <c r="O406" s="80">
        <f t="shared" si="47"/>
        <v>6.39</v>
      </c>
      <c r="P406" s="8">
        <f t="shared" si="48"/>
        <v>1.598360655737705</v>
      </c>
      <c r="Q406" s="8">
        <f t="shared" si="53"/>
        <v>1.6205104706314435</v>
      </c>
      <c r="R406" s="81">
        <f t="shared" si="49"/>
        <v>0.49914529914529915</v>
      </c>
      <c r="S406" s="113" t="str">
        <f>IF(F406="","",IF(H406="",TEXT(_xlfn.MAXIFS($I$1:I406,$F$1:F406,F406,$H$1:H406,"&gt;"&amp;0),"000.000"),F406))</f>
        <v>GFB0I37</v>
      </c>
      <c r="T406" s="101">
        <f t="shared" si="54"/>
        <v>292.78571428571428</v>
      </c>
      <c r="U406" s="82" t="s">
        <v>220</v>
      </c>
      <c r="V406" s="98" t="s">
        <v>165</v>
      </c>
      <c r="W406" s="82" t="s">
        <v>222</v>
      </c>
      <c r="X406" s="98" t="s">
        <v>200</v>
      </c>
      <c r="Y406" s="82" t="s">
        <v>225</v>
      </c>
      <c r="Z406" s="98" t="s">
        <v>284</v>
      </c>
      <c r="AA406" s="82" t="s">
        <v>221</v>
      </c>
      <c r="AB406" s="98" t="s">
        <v>168</v>
      </c>
      <c r="AC406" s="82" t="s">
        <v>225</v>
      </c>
      <c r="AD406" s="98" t="s">
        <v>284</v>
      </c>
      <c r="AE406" s="82" t="s">
        <v>220</v>
      </c>
      <c r="AF406" s="98" t="s">
        <v>165</v>
      </c>
      <c r="AG406" s="82"/>
      <c r="AH406" s="98"/>
      <c r="AI406" s="82"/>
      <c r="AJ406" s="98"/>
      <c r="AK406" s="83"/>
      <c r="AL406" s="84" t="str">
        <f>IF(F406&lt;&gt;0,IF(_xlfn.MAXIFS($I$1:I406,$F$1:F406,F406,$H$1:H406,"&gt;"&amp;0)=0,"KM NÃO ENCONTRADO",IF(H406=0,CONCATENATE("SUGESTÃO DE KM PARA PLACA ",F406," *",_xlfn.MAXIFS($I$1:I406,$F$1:F406,F406,$H$1:H406,"&gt;"&amp;0),"*"),"")),"")</f>
        <v/>
      </c>
      <c r="AM406" s="85" t="str" cm="1">
        <f t="array" ref="AM406">IFERROR(IF(M406&lt;&gt;"","",CONCATENATE("https://btx.brasiltrack.com/logistica/trajeto.php?idveiculo=",VLOOKUP(F406,DATAS!$A$221:$B$250,2,FALSE),"&amp;lat=-22.204247","&amp;data_ini=",TEXT(IF(E406&lt;&gt;"",IF(COUNTIF($F$2:$F406,F406)&gt;1,MAX(IF($F$1:$F405=F406,$E$1:$E405)),""),""),"DD/MM/AAAA"),"&amp;data_fim=",TEXT(E406,"DD/MM/AAAA"),"&amp;hora_inicial=",HOUR(IF(E406&lt;&gt;"",IF(COUNTIF($F$2:$F406,F406)&gt;1,MAX(IF($F$1:$F405=F406,$E$1:$E405)),""),"")),"&amp;minuto_inicial=",MINUTE(IF(E406&lt;&gt;"",IF(COUNTIF($F$2:$F406,F406)&gt;1,MAX(IF($F$1:$F405=F406,$E$1:$E405)),""),"")),"&amp;hora_final=",HOUR(E406),"&amp;minuto_final=",MINUTE(E406),"&amp;periodo=6&amp;tipo=por_data&amp;upos=false&amp;outequip=0")),"")</f>
        <v/>
      </c>
      <c r="AN406" s="100" t="str">
        <f t="shared" si="50"/>
        <v xml:space="preserve">ABASTECEU no 22 NORTE DESCARREGOU em CONGONHAL-MG PASSOU em SÃO PAULO-SP CARREGOU em CUBATAO-SP PASSOU em SÃO PAULO-SP ABASTECEU no 22 NORTE    </v>
      </c>
    </row>
    <row r="407" spans="1:40" x14ac:dyDescent="0.25">
      <c r="A407" s="101">
        <f>IFERROR(VLOOKUP(AN407,ROTAS!$A:$B,2,FALSE),0)</f>
        <v>112</v>
      </c>
      <c r="B407" s="101">
        <f t="shared" si="51"/>
        <v>14</v>
      </c>
      <c r="C407" s="101">
        <f t="shared" si="52"/>
        <v>586.42857142857144</v>
      </c>
      <c r="D407" s="144">
        <v>44927</v>
      </c>
      <c r="E407" s="76">
        <v>44933.85</v>
      </c>
      <c r="F407" s="6" t="s">
        <v>131</v>
      </c>
      <c r="G407" s="5" t="str">
        <f>IFERROR(VLOOKUP(SUMIFS(MSOLICITADA!$I:$I,MSOLICITADA!$B:$B,D407,MSOLICITADA!$F:$F,F407),CODIGOSPLACAS!$A$64:$B$89,2,FALSE),"")</f>
        <v>ALTIELIS</v>
      </c>
      <c r="H407" s="77">
        <v>49758</v>
      </c>
      <c r="I407" s="77">
        <v>50334</v>
      </c>
      <c r="J407" s="7">
        <v>355</v>
      </c>
      <c r="K407" s="78">
        <v>2268.4499999999998</v>
      </c>
      <c r="L407" s="79" t="s">
        <v>111</v>
      </c>
      <c r="M407" s="6">
        <v>288</v>
      </c>
      <c r="N407" s="5">
        <f t="shared" si="46"/>
        <v>288</v>
      </c>
      <c r="O407" s="80">
        <f t="shared" si="47"/>
        <v>6.39</v>
      </c>
      <c r="P407" s="8">
        <f t="shared" si="48"/>
        <v>1.6225352112676057</v>
      </c>
      <c r="Q407" s="8">
        <f t="shared" si="53"/>
        <v>1.6793774979959049</v>
      </c>
      <c r="R407" s="81">
        <f t="shared" si="49"/>
        <v>0.5</v>
      </c>
      <c r="S407" s="113" t="str">
        <f>IF(F407="","",IF(H407="",TEXT(_xlfn.MAXIFS($I$1:I407,$F$1:F407,F407,$H$1:H407,"&gt;"&amp;0),"000.000"),F407))</f>
        <v>GGN4J86</v>
      </c>
      <c r="T407" s="101">
        <f t="shared" si="54"/>
        <v>292.78571428571428</v>
      </c>
      <c r="U407" s="82" t="s">
        <v>220</v>
      </c>
      <c r="V407" s="98" t="s">
        <v>165</v>
      </c>
      <c r="W407" s="82" t="s">
        <v>222</v>
      </c>
      <c r="X407" s="98" t="s">
        <v>200</v>
      </c>
      <c r="Y407" s="82" t="s">
        <v>225</v>
      </c>
      <c r="Z407" s="98" t="s">
        <v>284</v>
      </c>
      <c r="AA407" s="82" t="s">
        <v>221</v>
      </c>
      <c r="AB407" s="98" t="s">
        <v>168</v>
      </c>
      <c r="AC407" s="82" t="s">
        <v>225</v>
      </c>
      <c r="AD407" s="98" t="s">
        <v>284</v>
      </c>
      <c r="AE407" s="82" t="s">
        <v>220</v>
      </c>
      <c r="AF407" s="98" t="s">
        <v>165</v>
      </c>
      <c r="AG407" s="82"/>
      <c r="AH407" s="98"/>
      <c r="AI407" s="82"/>
      <c r="AJ407" s="98"/>
      <c r="AK407" s="83"/>
      <c r="AL407" s="84" t="str">
        <f>IF(F407&lt;&gt;0,IF(_xlfn.MAXIFS($I$1:I407,$F$1:F407,F407,$H$1:H407,"&gt;"&amp;0)=0,"KM NÃO ENCONTRADO",IF(H407=0,CONCATENATE("SUGESTÃO DE KM PARA PLACA ",F407," *",_xlfn.MAXIFS($I$1:I407,$F$1:F407,F407,$H$1:H407,"&gt;"&amp;0),"*"),"")),"")</f>
        <v/>
      </c>
      <c r="AM407" s="85" t="str" cm="1">
        <f t="array" ref="AM407">IFERROR(IF(M407&lt;&gt;"","",CONCATENATE("https://btx.brasiltrack.com/logistica/trajeto.php?idveiculo=",VLOOKUP(F407,DATAS!$A$221:$B$250,2,FALSE),"&amp;lat=-22.204247","&amp;data_ini=",TEXT(IF(E407&lt;&gt;"",IF(COUNTIF($F$2:$F407,F407)&gt;1,MAX(IF($F$1:$F406=F407,$E$1:$E406)),""),""),"DD/MM/AAAA"),"&amp;data_fim=",TEXT(E407,"DD/MM/AAAA"),"&amp;hora_inicial=",HOUR(IF(E407&lt;&gt;"",IF(COUNTIF($F$2:$F407,F407)&gt;1,MAX(IF($F$1:$F406=F407,$E$1:$E406)),""),"")),"&amp;minuto_inicial=",MINUTE(IF(E407&lt;&gt;"",IF(COUNTIF($F$2:$F407,F407)&gt;1,MAX(IF($F$1:$F406=F407,$E$1:$E406)),""),"")),"&amp;hora_final=",HOUR(E407),"&amp;minuto_final=",MINUTE(E407),"&amp;periodo=6&amp;tipo=por_data&amp;upos=false&amp;outequip=0")),"")</f>
        <v/>
      </c>
      <c r="AN407" s="100" t="str">
        <f t="shared" si="50"/>
        <v xml:space="preserve">ABASTECEU no 22 NORTE DESCARREGOU em CONGONHAL-MG PASSOU em SÃO PAULO-SP CARREGOU em CUBATAO-SP PASSOU em SÃO PAULO-SP ABASTECEU no 22 NORTE    </v>
      </c>
    </row>
    <row r="408" spans="1:40" x14ac:dyDescent="0.25">
      <c r="A408" s="101">
        <f>IFERROR(VLOOKUP(AN408,ROTAS!$A:$B,2,FALSE),0)</f>
        <v>112</v>
      </c>
      <c r="B408" s="101">
        <f t="shared" si="51"/>
        <v>14</v>
      </c>
      <c r="C408" s="101">
        <f t="shared" si="52"/>
        <v>586.42857142857144</v>
      </c>
      <c r="D408" s="144">
        <v>44927</v>
      </c>
      <c r="E408" s="76">
        <v>44933.853472222225</v>
      </c>
      <c r="F408" s="6" t="s">
        <v>32</v>
      </c>
      <c r="G408" s="5" t="str">
        <f>IFERROR(VLOOKUP(SUMIFS(MSOLICITADA!$I:$I,MSOLICITADA!$B:$B,D408,MSOLICITADA!$F:$F,F408),CODIGOSPLACAS!$A$64:$B$89,2,FALSE),"")</f>
        <v>ADILSON</v>
      </c>
      <c r="H408" s="77">
        <v>202426</v>
      </c>
      <c r="I408" s="77">
        <v>203008</v>
      </c>
      <c r="J408" s="7">
        <v>346</v>
      </c>
      <c r="K408" s="78">
        <v>2212.8000000000002</v>
      </c>
      <c r="L408" s="79" t="s">
        <v>111</v>
      </c>
      <c r="M408" s="6">
        <v>291</v>
      </c>
      <c r="N408" s="5">
        <f t="shared" si="46"/>
        <v>291</v>
      </c>
      <c r="O408" s="80">
        <f t="shared" si="47"/>
        <v>6.3953757225433527</v>
      </c>
      <c r="P408" s="8">
        <f t="shared" si="48"/>
        <v>1.6820809248554913</v>
      </c>
      <c r="Q408" s="8">
        <f t="shared" si="53"/>
        <v>1.6695575721559062</v>
      </c>
      <c r="R408" s="81">
        <f t="shared" si="49"/>
        <v>0.5</v>
      </c>
      <c r="S408" s="113" t="str">
        <f>IF(F408="","",IF(H408="",TEXT(_xlfn.MAXIFS($I$1:I408,$F$1:F408,F408,$H$1:H408,"&gt;"&amp;0),"000.000"),F408))</f>
        <v>GJU9A22</v>
      </c>
      <c r="T408" s="101">
        <f t="shared" si="54"/>
        <v>292.78571428571428</v>
      </c>
      <c r="U408" s="82" t="s">
        <v>220</v>
      </c>
      <c r="V408" s="98" t="s">
        <v>165</v>
      </c>
      <c r="W408" s="82" t="s">
        <v>222</v>
      </c>
      <c r="X408" s="98" t="s">
        <v>200</v>
      </c>
      <c r="Y408" s="82" t="s">
        <v>225</v>
      </c>
      <c r="Z408" s="98" t="s">
        <v>284</v>
      </c>
      <c r="AA408" s="82" t="s">
        <v>221</v>
      </c>
      <c r="AB408" s="98" t="s">
        <v>168</v>
      </c>
      <c r="AC408" s="82" t="s">
        <v>225</v>
      </c>
      <c r="AD408" s="98" t="s">
        <v>284</v>
      </c>
      <c r="AE408" s="82" t="s">
        <v>220</v>
      </c>
      <c r="AF408" s="98" t="s">
        <v>165</v>
      </c>
      <c r="AG408" s="82"/>
      <c r="AH408" s="98"/>
      <c r="AI408" s="82"/>
      <c r="AJ408" s="98"/>
      <c r="AK408" s="83"/>
      <c r="AL408" s="84" t="str">
        <f>IF(F408&lt;&gt;0,IF(_xlfn.MAXIFS($I$1:I408,$F$1:F408,F408,$H$1:H408,"&gt;"&amp;0)=0,"KM NÃO ENCONTRADO",IF(H408=0,CONCATENATE("SUGESTÃO DE KM PARA PLACA ",F408," *",_xlfn.MAXIFS($I$1:I408,$F$1:F408,F408,$H$1:H408,"&gt;"&amp;0),"*"),"")),"")</f>
        <v/>
      </c>
      <c r="AM408" s="85" t="str" cm="1">
        <f t="array" ref="AM408">IFERROR(IF(M408&lt;&gt;"","",CONCATENATE("https://btx.brasiltrack.com/logistica/trajeto.php?idveiculo=",VLOOKUP(F408,DATAS!$A$221:$B$250,2,FALSE),"&amp;lat=-22.204247","&amp;data_ini=",TEXT(IF(E408&lt;&gt;"",IF(COUNTIF($F$2:$F408,F408)&gt;1,MAX(IF($F$1:$F407=F408,$E$1:$E407)),""),""),"DD/MM/AAAA"),"&amp;data_fim=",TEXT(E408,"DD/MM/AAAA"),"&amp;hora_inicial=",HOUR(IF(E408&lt;&gt;"",IF(COUNTIF($F$2:$F408,F408)&gt;1,MAX(IF($F$1:$F407=F408,$E$1:$E407)),""),"")),"&amp;minuto_inicial=",MINUTE(IF(E408&lt;&gt;"",IF(COUNTIF($F$2:$F408,F408)&gt;1,MAX(IF($F$1:$F407=F408,$E$1:$E407)),""),"")),"&amp;hora_final=",HOUR(E408),"&amp;minuto_final=",MINUTE(E408),"&amp;periodo=6&amp;tipo=por_data&amp;upos=false&amp;outequip=0")),"")</f>
        <v/>
      </c>
      <c r="AN408" s="100" t="str">
        <f t="shared" si="50"/>
        <v xml:space="preserve">ABASTECEU no 22 NORTE DESCARREGOU em CONGONHAL-MG PASSOU em SÃO PAULO-SP CARREGOU em CUBATAO-SP PASSOU em SÃO PAULO-SP ABASTECEU no 22 NORTE    </v>
      </c>
    </row>
    <row r="409" spans="1:40" x14ac:dyDescent="0.25">
      <c r="A409" s="101">
        <f>IFERROR(VLOOKUP(AN409,ROTAS!$A:$B,2,FALSE),0)</f>
        <v>112</v>
      </c>
      <c r="B409" s="101">
        <f t="shared" si="51"/>
        <v>14</v>
      </c>
      <c r="C409" s="101">
        <f t="shared" si="52"/>
        <v>586.42857142857144</v>
      </c>
      <c r="D409" s="144">
        <v>44927</v>
      </c>
      <c r="E409" s="76">
        <v>44933.874305555553</v>
      </c>
      <c r="F409" s="6" t="s">
        <v>127</v>
      </c>
      <c r="G409" s="5" t="str">
        <f>IFERROR(VLOOKUP(SUMIFS(MSOLICITADA!$I:$I,MSOLICITADA!$B:$B,D409,MSOLICITADA!$F:$F,F409),CODIGOSPLACAS!$A$64:$B$89,2,FALSE),"")</f>
        <v>EVERTON</v>
      </c>
      <c r="H409" s="77">
        <v>1232398</v>
      </c>
      <c r="I409" s="77">
        <v>1232998</v>
      </c>
      <c r="J409" s="7">
        <v>300</v>
      </c>
      <c r="K409" s="78">
        <v>1917</v>
      </c>
      <c r="L409" s="79" t="s">
        <v>111</v>
      </c>
      <c r="M409" s="6">
        <v>300</v>
      </c>
      <c r="N409" s="5">
        <f t="shared" si="46"/>
        <v>300</v>
      </c>
      <c r="O409" s="80">
        <f t="shared" si="47"/>
        <v>6.39</v>
      </c>
      <c r="P409" s="8">
        <f t="shared" si="48"/>
        <v>2</v>
      </c>
      <c r="Q409" s="8">
        <f t="shared" si="53"/>
        <v>1.9701972800245917</v>
      </c>
      <c r="R409" s="81">
        <f t="shared" si="49"/>
        <v>0.5</v>
      </c>
      <c r="S409" s="113" t="str">
        <f>IF(F409="","",IF(H409="",TEXT(_xlfn.MAXIFS($I$1:I409,$F$1:F409,F409,$H$1:H409,"&gt;"&amp;0),"000.000"),F409))</f>
        <v>OPM8J51</v>
      </c>
      <c r="T409" s="101">
        <f t="shared" si="54"/>
        <v>292.78571428571428</v>
      </c>
      <c r="U409" s="82" t="s">
        <v>220</v>
      </c>
      <c r="V409" s="98" t="s">
        <v>165</v>
      </c>
      <c r="W409" s="82" t="s">
        <v>222</v>
      </c>
      <c r="X409" s="98" t="s">
        <v>200</v>
      </c>
      <c r="Y409" s="82" t="s">
        <v>225</v>
      </c>
      <c r="Z409" s="98" t="s">
        <v>284</v>
      </c>
      <c r="AA409" s="82" t="s">
        <v>221</v>
      </c>
      <c r="AB409" s="98" t="s">
        <v>168</v>
      </c>
      <c r="AC409" s="82" t="s">
        <v>225</v>
      </c>
      <c r="AD409" s="98" t="s">
        <v>284</v>
      </c>
      <c r="AE409" s="82" t="s">
        <v>220</v>
      </c>
      <c r="AF409" s="98" t="s">
        <v>165</v>
      </c>
      <c r="AG409" s="82"/>
      <c r="AH409" s="98"/>
      <c r="AI409" s="82"/>
      <c r="AJ409" s="98"/>
      <c r="AK409" s="83"/>
      <c r="AL409" s="84" t="str">
        <f>IF(F409&lt;&gt;0,IF(_xlfn.MAXIFS($I$1:I409,$F$1:F409,F409,$H$1:H409,"&gt;"&amp;0)=0,"KM NÃO ENCONTRADO",IF(H409=0,CONCATENATE("SUGESTÃO DE KM PARA PLACA ",F409," *",_xlfn.MAXIFS($I$1:I409,$F$1:F409,F409,$H$1:H409,"&gt;"&amp;0),"*"),"")),"")</f>
        <v/>
      </c>
      <c r="AM409" s="85" t="str" cm="1">
        <f t="array" ref="AM409">IFERROR(IF(M409&lt;&gt;"","",CONCATENATE("https://btx.brasiltrack.com/logistica/trajeto.php?idveiculo=",VLOOKUP(F409,DATAS!$A$221:$B$250,2,FALSE),"&amp;lat=-22.204247","&amp;data_ini=",TEXT(IF(E409&lt;&gt;"",IF(COUNTIF($F$2:$F409,F409)&gt;1,MAX(IF($F$1:$F408=F409,$E$1:$E408)),""),""),"DD/MM/AAAA"),"&amp;data_fim=",TEXT(E409,"DD/MM/AAAA"),"&amp;hora_inicial=",HOUR(IF(E409&lt;&gt;"",IF(COUNTIF($F$2:$F409,F409)&gt;1,MAX(IF($F$1:$F408=F409,$E$1:$E408)),""),"")),"&amp;minuto_inicial=",MINUTE(IF(E409&lt;&gt;"",IF(COUNTIF($F$2:$F409,F409)&gt;1,MAX(IF($F$1:$F408=F409,$E$1:$E408)),""),"")),"&amp;hora_final=",HOUR(E409),"&amp;minuto_final=",MINUTE(E409),"&amp;periodo=6&amp;tipo=por_data&amp;upos=false&amp;outequip=0")),"")</f>
        <v/>
      </c>
      <c r="AN409" s="100" t="str">
        <f t="shared" si="50"/>
        <v xml:space="preserve">ABASTECEU no 22 NORTE DESCARREGOU em CONGONHAL-MG PASSOU em SÃO PAULO-SP CARREGOU em CUBATAO-SP PASSOU em SÃO PAULO-SP ABASTECEU no 22 NORTE    </v>
      </c>
    </row>
    <row r="410" spans="1:40" x14ac:dyDescent="0.25">
      <c r="A410" s="101">
        <f>IFERROR(VLOOKUP(AN410,ROTAS!$A:$B,2,FALSE),0)</f>
        <v>112</v>
      </c>
      <c r="B410" s="101">
        <f t="shared" si="51"/>
        <v>14</v>
      </c>
      <c r="C410" s="101">
        <f t="shared" si="52"/>
        <v>586.42857142857144</v>
      </c>
      <c r="D410" s="144">
        <v>44927</v>
      </c>
      <c r="E410" s="76">
        <v>44933.881944444445</v>
      </c>
      <c r="F410" s="6" t="s">
        <v>126</v>
      </c>
      <c r="G410" s="5" t="str">
        <f>IFERROR(VLOOKUP(SUMIFS(MSOLICITADA!$I:$I,MSOLICITADA!$B:$B,D410,MSOLICITADA!$F:$F,F410),CODIGOSPLACAS!$A$64:$B$89,2,FALSE),"")</f>
        <v>IZAIAS</v>
      </c>
      <c r="H410" s="77">
        <v>491733</v>
      </c>
      <c r="I410" s="77">
        <v>492321</v>
      </c>
      <c r="J410" s="7">
        <v>431</v>
      </c>
      <c r="K410" s="78">
        <v>2754.09</v>
      </c>
      <c r="L410" s="79" t="s">
        <v>111</v>
      </c>
      <c r="M410" s="6">
        <v>294</v>
      </c>
      <c r="N410" s="5">
        <f t="shared" si="46"/>
        <v>294</v>
      </c>
      <c r="O410" s="80">
        <f t="shared" si="47"/>
        <v>6.3900000000000006</v>
      </c>
      <c r="P410" s="8">
        <f t="shared" si="48"/>
        <v>1.3642691415313226</v>
      </c>
      <c r="Q410" s="8">
        <f t="shared" si="53"/>
        <v>1.5602257971131808</v>
      </c>
      <c r="R410" s="81">
        <f t="shared" si="49"/>
        <v>0.5</v>
      </c>
      <c r="S410" s="113" t="str">
        <f>IF(F410="","",IF(H410="",TEXT(_xlfn.MAXIFS($I$1:I410,$F$1:F410,F410,$H$1:H410,"&gt;"&amp;0),"000.000"),F410))</f>
        <v>GHX4D71</v>
      </c>
      <c r="T410" s="101">
        <f t="shared" si="54"/>
        <v>292.78571428571428</v>
      </c>
      <c r="U410" s="82" t="s">
        <v>220</v>
      </c>
      <c r="V410" s="98" t="s">
        <v>165</v>
      </c>
      <c r="W410" s="82" t="s">
        <v>222</v>
      </c>
      <c r="X410" s="98" t="s">
        <v>200</v>
      </c>
      <c r="Y410" s="82" t="s">
        <v>225</v>
      </c>
      <c r="Z410" s="98" t="s">
        <v>284</v>
      </c>
      <c r="AA410" s="82" t="s">
        <v>221</v>
      </c>
      <c r="AB410" s="98" t="s">
        <v>168</v>
      </c>
      <c r="AC410" s="82" t="s">
        <v>225</v>
      </c>
      <c r="AD410" s="98" t="s">
        <v>284</v>
      </c>
      <c r="AE410" s="82" t="s">
        <v>220</v>
      </c>
      <c r="AF410" s="98" t="s">
        <v>165</v>
      </c>
      <c r="AG410" s="82"/>
      <c r="AH410" s="98"/>
      <c r="AI410" s="82"/>
      <c r="AJ410" s="98"/>
      <c r="AK410" s="83"/>
      <c r="AL410" s="84" t="str">
        <f>IF(F410&lt;&gt;0,IF(_xlfn.MAXIFS($I$1:I410,$F$1:F410,F410,$H$1:H410,"&gt;"&amp;0)=0,"KM NÃO ENCONTRADO",IF(H410=0,CONCATENATE("SUGESTÃO DE KM PARA PLACA ",F410," *",_xlfn.MAXIFS($I$1:I410,$F$1:F410,F410,$H$1:H410,"&gt;"&amp;0),"*"),"")),"")</f>
        <v/>
      </c>
      <c r="AM410" s="85" t="str" cm="1">
        <f t="array" ref="AM410">IFERROR(IF(M410&lt;&gt;"","",CONCATENATE("https://btx.brasiltrack.com/logistica/trajeto.php?idveiculo=",VLOOKUP(F410,DATAS!$A$221:$B$250,2,FALSE),"&amp;lat=-22.204247","&amp;data_ini=",TEXT(IF(E410&lt;&gt;"",IF(COUNTIF($F$2:$F410,F410)&gt;1,MAX(IF($F$1:$F409=F410,$E$1:$E409)),""),""),"DD/MM/AAAA"),"&amp;data_fim=",TEXT(E410,"DD/MM/AAAA"),"&amp;hora_inicial=",HOUR(IF(E410&lt;&gt;"",IF(COUNTIF($F$2:$F410,F410)&gt;1,MAX(IF($F$1:$F409=F410,$E$1:$E409)),""),"")),"&amp;minuto_inicial=",MINUTE(IF(E410&lt;&gt;"",IF(COUNTIF($F$2:$F410,F410)&gt;1,MAX(IF($F$1:$F409=F410,$E$1:$E409)),""),"")),"&amp;hora_final=",HOUR(E410),"&amp;minuto_final=",MINUTE(E410),"&amp;periodo=6&amp;tipo=por_data&amp;upos=false&amp;outequip=0")),"")</f>
        <v/>
      </c>
      <c r="AN410" s="100" t="str">
        <f t="shared" si="50"/>
        <v xml:space="preserve">ABASTECEU no 22 NORTE DESCARREGOU em CONGONHAL-MG PASSOU em SÃO PAULO-SP CARREGOU em CUBATAO-SP PASSOU em SÃO PAULO-SP ABASTECEU no 22 NORTE    </v>
      </c>
    </row>
    <row r="411" spans="1:40" x14ac:dyDescent="0.25">
      <c r="A411" s="101">
        <f>IFERROR(VLOOKUP(AN411,ROTAS!$A:$B,2,FALSE),0)</f>
        <v>115</v>
      </c>
      <c r="B411" s="101">
        <f t="shared" si="51"/>
        <v>2</v>
      </c>
      <c r="C411" s="101">
        <f t="shared" si="52"/>
        <v>783</v>
      </c>
      <c r="D411" s="144">
        <v>44927</v>
      </c>
      <c r="E411" s="76">
        <v>44933.917361111111</v>
      </c>
      <c r="F411" s="6" t="s">
        <v>124</v>
      </c>
      <c r="G411" s="5" t="str">
        <f>IFERROR(VLOOKUP(SUMIFS(MSOLICITADA!$I:$I,MSOLICITADA!$B:$B,D411,MSOLICITADA!$F:$F,F411),CODIGOSPLACAS!$A$64:$B$89,2,FALSE),"")</f>
        <v>ISRAEL</v>
      </c>
      <c r="H411" s="77">
        <v>141447</v>
      </c>
      <c r="I411" s="77">
        <v>142223</v>
      </c>
      <c r="J411" s="7">
        <v>478.39</v>
      </c>
      <c r="K411" s="78">
        <v>3056.91</v>
      </c>
      <c r="L411" s="79" t="s">
        <v>111</v>
      </c>
      <c r="M411" s="6">
        <v>388</v>
      </c>
      <c r="N411" s="5">
        <f t="shared" si="46"/>
        <v>388</v>
      </c>
      <c r="O411" s="80">
        <f t="shared" si="47"/>
        <v>6.3899956102761344</v>
      </c>
      <c r="P411" s="8">
        <f t="shared" si="48"/>
        <v>1.6221074855243631</v>
      </c>
      <c r="Q411" s="8">
        <f t="shared" si="53"/>
        <v>1.6528367477149088</v>
      </c>
      <c r="R411" s="81">
        <f t="shared" si="49"/>
        <v>0.5</v>
      </c>
      <c r="S411" s="113" t="str">
        <f>IF(F411="","",IF(H411="",TEXT(_xlfn.MAXIFS($I$1:I411,$F$1:F411,F411,$H$1:H411,"&gt;"&amp;0),"000.000"),F411))</f>
        <v>GHH9B64</v>
      </c>
      <c r="T411" s="101">
        <f t="shared" si="54"/>
        <v>391.5</v>
      </c>
      <c r="U411" s="82" t="s">
        <v>220</v>
      </c>
      <c r="V411" s="98" t="s">
        <v>165</v>
      </c>
      <c r="W411" s="82" t="s">
        <v>222</v>
      </c>
      <c r="X411" s="98" t="s">
        <v>176</v>
      </c>
      <c r="Y411" s="82" t="s">
        <v>225</v>
      </c>
      <c r="Z411" s="98" t="s">
        <v>284</v>
      </c>
      <c r="AA411" s="82" t="s">
        <v>221</v>
      </c>
      <c r="AB411" s="98" t="s">
        <v>168</v>
      </c>
      <c r="AC411" s="82" t="s">
        <v>225</v>
      </c>
      <c r="AD411" s="98" t="s">
        <v>284</v>
      </c>
      <c r="AE411" s="82" t="s">
        <v>220</v>
      </c>
      <c r="AF411" s="98" t="s">
        <v>165</v>
      </c>
      <c r="AG411" s="82"/>
      <c r="AH411" s="98"/>
      <c r="AI411" s="82"/>
      <c r="AJ411" s="98"/>
      <c r="AK411" s="83"/>
      <c r="AL411" s="84" t="str">
        <f>IF(F411&lt;&gt;0,IF(_xlfn.MAXIFS($I$1:I411,$F$1:F411,F411,$H$1:H411,"&gt;"&amp;0)=0,"KM NÃO ENCONTRADO",IF(H411=0,CONCATENATE("SUGESTÃO DE KM PARA PLACA ",F411," *",_xlfn.MAXIFS($I$1:I411,$F$1:F411,F411,$H$1:H411,"&gt;"&amp;0),"*"),"")),"")</f>
        <v/>
      </c>
      <c r="AM411" s="85" t="str" cm="1">
        <f t="array" ref="AM411">IFERROR(IF(M411&lt;&gt;"","",CONCATENATE("https://btx.brasiltrack.com/logistica/trajeto.php?idveiculo=",VLOOKUP(F411,DATAS!$A$221:$B$250,2,FALSE),"&amp;lat=-22.204247","&amp;data_ini=",TEXT(IF(E411&lt;&gt;"",IF(COUNTIF($F$2:$F411,F411)&gt;1,MAX(IF($F$1:$F410=F411,$E$1:$E410)),""),""),"DD/MM/AAAA"),"&amp;data_fim=",TEXT(E411,"DD/MM/AAAA"),"&amp;hora_inicial=",HOUR(IF(E411&lt;&gt;"",IF(COUNTIF($F$2:$F411,F411)&gt;1,MAX(IF($F$1:$F410=F411,$E$1:$E410)),""),"")),"&amp;minuto_inicial=",MINUTE(IF(E411&lt;&gt;"",IF(COUNTIF($F$2:$F411,F411)&gt;1,MAX(IF($F$1:$F410=F411,$E$1:$E410)),""),"")),"&amp;hora_final=",HOUR(E411),"&amp;minuto_final=",MINUTE(E411),"&amp;periodo=6&amp;tipo=por_data&amp;upos=false&amp;outequip=0")),"")</f>
        <v/>
      </c>
      <c r="AN411" s="100" t="str">
        <f t="shared" si="50"/>
        <v xml:space="preserve">ABASTECEU no 22 NORTE DESCARREGOU em ALFENAS-MG PASSOU em SÃO PAULO-SP CARREGOU em CUBATAO-SP PASSOU em SÃO PAULO-SP ABASTECEU no 22 NORTE    </v>
      </c>
    </row>
    <row r="412" spans="1:40" x14ac:dyDescent="0.25">
      <c r="A412" s="101">
        <f>IFERROR(VLOOKUP(AN412,ROTAS!$A:$B,2,FALSE),0)</f>
        <v>112</v>
      </c>
      <c r="B412" s="101">
        <f t="shared" si="51"/>
        <v>14</v>
      </c>
      <c r="C412" s="101">
        <f t="shared" si="52"/>
        <v>586.42857142857144</v>
      </c>
      <c r="D412" s="144">
        <v>44927</v>
      </c>
      <c r="E412" s="76">
        <v>44933.922222222223</v>
      </c>
      <c r="F412" s="6" t="s">
        <v>28</v>
      </c>
      <c r="G412" s="5" t="str">
        <f>IFERROR(VLOOKUP(SUMIFS(MSOLICITADA!$I:$I,MSOLICITADA!$B:$B,D412,MSOLICITADA!$F:$F,F412),CODIGOSPLACAS!$A$64:$B$89,2,FALSE),"")</f>
        <v>RONY</v>
      </c>
      <c r="H412" s="77">
        <v>245133</v>
      </c>
      <c r="I412" s="77">
        <v>245722</v>
      </c>
      <c r="J412" s="7">
        <v>369</v>
      </c>
      <c r="K412" s="78">
        <v>2357.91</v>
      </c>
      <c r="L412" s="79" t="s">
        <v>111</v>
      </c>
      <c r="M412" s="6">
        <v>294</v>
      </c>
      <c r="N412" s="5">
        <f t="shared" si="46"/>
        <v>295</v>
      </c>
      <c r="O412" s="80">
        <f t="shared" si="47"/>
        <v>6.39</v>
      </c>
      <c r="P412" s="8">
        <f t="shared" si="48"/>
        <v>1.5962059620596205</v>
      </c>
      <c r="Q412" s="8">
        <f t="shared" si="53"/>
        <v>1.519654959485309</v>
      </c>
      <c r="R412" s="81">
        <f t="shared" si="49"/>
        <v>0.49915110356536502</v>
      </c>
      <c r="S412" s="113" t="str">
        <f>IF(F412="","",IF(H412="",TEXT(_xlfn.MAXIFS($I$1:I412,$F$1:F412,F412,$H$1:H412,"&gt;"&amp;0),"000.000"),F412))</f>
        <v>FZA3E94</v>
      </c>
      <c r="T412" s="101">
        <f t="shared" si="54"/>
        <v>292.78571428571428</v>
      </c>
      <c r="U412" s="82" t="s">
        <v>220</v>
      </c>
      <c r="V412" s="98" t="s">
        <v>165</v>
      </c>
      <c r="W412" s="82" t="s">
        <v>222</v>
      </c>
      <c r="X412" s="98" t="s">
        <v>200</v>
      </c>
      <c r="Y412" s="82" t="s">
        <v>225</v>
      </c>
      <c r="Z412" s="98" t="s">
        <v>284</v>
      </c>
      <c r="AA412" s="82" t="s">
        <v>221</v>
      </c>
      <c r="AB412" s="98" t="s">
        <v>168</v>
      </c>
      <c r="AC412" s="82" t="s">
        <v>225</v>
      </c>
      <c r="AD412" s="98" t="s">
        <v>284</v>
      </c>
      <c r="AE412" s="82" t="s">
        <v>220</v>
      </c>
      <c r="AF412" s="98" t="s">
        <v>165</v>
      </c>
      <c r="AG412" s="82"/>
      <c r="AH412" s="98"/>
      <c r="AI412" s="82"/>
      <c r="AJ412" s="98"/>
      <c r="AK412" s="83"/>
      <c r="AL412" s="84" t="str">
        <f>IF(F412&lt;&gt;0,IF(_xlfn.MAXIFS($I$1:I412,$F$1:F412,F412,$H$1:H412,"&gt;"&amp;0)=0,"KM NÃO ENCONTRADO",IF(H412=0,CONCATENATE("SUGESTÃO DE KM PARA PLACA ",F412," *",_xlfn.MAXIFS($I$1:I412,$F$1:F412,F412,$H$1:H412,"&gt;"&amp;0),"*"),"")),"")</f>
        <v/>
      </c>
      <c r="AM412" s="85" t="str" cm="1">
        <f t="array" ref="AM412">IFERROR(IF(M412&lt;&gt;"","",CONCATENATE("https://btx.brasiltrack.com/logistica/trajeto.php?idveiculo=",VLOOKUP(F412,DATAS!$A$221:$B$250,2,FALSE),"&amp;lat=-22.204247","&amp;data_ini=",TEXT(IF(E412&lt;&gt;"",IF(COUNTIF($F$2:$F412,F412)&gt;1,MAX(IF($F$1:$F411=F412,$E$1:$E411)),""),""),"DD/MM/AAAA"),"&amp;data_fim=",TEXT(E412,"DD/MM/AAAA"),"&amp;hora_inicial=",HOUR(IF(E412&lt;&gt;"",IF(COUNTIF($F$2:$F412,F412)&gt;1,MAX(IF($F$1:$F411=F412,$E$1:$E411)),""),"")),"&amp;minuto_inicial=",MINUTE(IF(E412&lt;&gt;"",IF(COUNTIF($F$2:$F412,F412)&gt;1,MAX(IF($F$1:$F411=F412,$E$1:$E411)),""),"")),"&amp;hora_final=",HOUR(E412),"&amp;minuto_final=",MINUTE(E412),"&amp;periodo=6&amp;tipo=por_data&amp;upos=false&amp;outequip=0")),"")</f>
        <v/>
      </c>
      <c r="AN412" s="100" t="str">
        <f t="shared" si="50"/>
        <v xml:space="preserve">ABASTECEU no 22 NORTE DESCARREGOU em CONGONHAL-MG PASSOU em SÃO PAULO-SP CARREGOU em CUBATAO-SP PASSOU em SÃO PAULO-SP ABASTECEU no 22 NORTE    </v>
      </c>
    </row>
    <row r="413" spans="1:40" x14ac:dyDescent="0.25">
      <c r="A413" s="101">
        <f>IFERROR(VLOOKUP(AN413,ROTAS!$A:$B,2,FALSE),0)</f>
        <v>50</v>
      </c>
      <c r="B413" s="101">
        <f t="shared" si="51"/>
        <v>2</v>
      </c>
      <c r="C413" s="101">
        <f t="shared" si="52"/>
        <v>244.5</v>
      </c>
      <c r="D413" s="144">
        <v>44927</v>
      </c>
      <c r="E413" s="76">
        <v>44933.931944444441</v>
      </c>
      <c r="F413" s="6" t="s">
        <v>23</v>
      </c>
      <c r="G413" s="5" t="str">
        <f>IFERROR(VLOOKUP(SUMIFS(MSOLICITADA!$I:$I,MSOLICITADA!$B:$B,D413,MSOLICITADA!$F:$F,F413),CODIGOSPLACAS!$A$64:$B$89,2,FALSE),"")</f>
        <v>ISAC</v>
      </c>
      <c r="H413" s="77">
        <v>1207651</v>
      </c>
      <c r="I413" s="77">
        <v>1207895</v>
      </c>
      <c r="J413" s="7">
        <v>313.58</v>
      </c>
      <c r="K413" s="78">
        <v>2003.78</v>
      </c>
      <c r="L413" s="79" t="s">
        <v>111</v>
      </c>
      <c r="M413" s="6">
        <v>122</v>
      </c>
      <c r="N413" s="5">
        <f t="shared" si="46"/>
        <v>122</v>
      </c>
      <c r="O413" s="80">
        <f t="shared" si="47"/>
        <v>6.3900121181197784</v>
      </c>
      <c r="P413" s="8">
        <f t="shared" si="48"/>
        <v>0.77811084890618032</v>
      </c>
      <c r="Q413" s="8">
        <f t="shared" si="53"/>
        <v>1.4592701282718794</v>
      </c>
      <c r="R413" s="81">
        <f t="shared" si="49"/>
        <v>0.5</v>
      </c>
      <c r="S413" s="113" t="str">
        <f>IF(F413="","",IF(H413="",TEXT(_xlfn.MAXIFS($I$1:I413,$F$1:F413,F413,$H$1:H413,"&gt;"&amp;0),"000.000"),F413))</f>
        <v>HNC7I76</v>
      </c>
      <c r="T413" s="101">
        <f t="shared" si="54"/>
        <v>122.5</v>
      </c>
      <c r="U413" s="82" t="s">
        <v>220</v>
      </c>
      <c r="V413" s="98" t="s">
        <v>166</v>
      </c>
      <c r="W413" s="82" t="s">
        <v>225</v>
      </c>
      <c r="X413" s="98" t="s">
        <v>284</v>
      </c>
      <c r="Y413" s="82" t="s">
        <v>221</v>
      </c>
      <c r="Z413" s="98" t="s">
        <v>168</v>
      </c>
      <c r="AA413" s="82" t="s">
        <v>225</v>
      </c>
      <c r="AB413" s="98" t="s">
        <v>284</v>
      </c>
      <c r="AC413" s="82" t="s">
        <v>220</v>
      </c>
      <c r="AD413" s="98" t="s">
        <v>165</v>
      </c>
      <c r="AE413" s="118"/>
      <c r="AF413" s="98"/>
      <c r="AG413" s="82"/>
      <c r="AH413" s="98"/>
      <c r="AI413" s="82"/>
      <c r="AJ413" s="98"/>
      <c r="AK413" s="83"/>
      <c r="AL413" s="84" t="str">
        <f>IF(F413&lt;&gt;0,IF(_xlfn.MAXIFS($I$1:I413,$F$1:F413,F413,$H$1:H413,"&gt;"&amp;0)=0,"KM NÃO ENCONTRADO",IF(H413=0,CONCATENATE("SUGESTÃO DE KM PARA PLACA ",F413," *",_xlfn.MAXIFS($I$1:I413,$F$1:F413,F413,$H$1:H413,"&gt;"&amp;0),"*"),"")),"")</f>
        <v/>
      </c>
      <c r="AM413" s="85" t="str" cm="1">
        <f t="array" ref="AM413">IFERROR(IF(M413&lt;&gt;"","",CONCATENATE("https://btx.brasiltrack.com/logistica/trajeto.php?idveiculo=",VLOOKUP(F413,DATAS!$A$221:$B$250,2,FALSE),"&amp;lat=-22.204247","&amp;data_ini=",TEXT(IF(E413&lt;&gt;"",IF(COUNTIF($F$2:$F413,F413)&gt;1,MAX(IF($F$1:$F412=F413,$E$1:$E412)),""),""),"DD/MM/AAAA"),"&amp;data_fim=",TEXT(E413,"DD/MM/AAAA"),"&amp;hora_inicial=",HOUR(IF(E413&lt;&gt;"",IF(COUNTIF($F$2:$F413,F413)&gt;1,MAX(IF($F$1:$F412=F413,$E$1:$E412)),""),"")),"&amp;minuto_inicial=",MINUTE(IF(E413&lt;&gt;"",IF(COUNTIF($F$2:$F413,F413)&gt;1,MAX(IF($F$1:$F412=F413,$E$1:$E412)),""),"")),"&amp;hora_final=",HOUR(E413),"&amp;minuto_final=",MINUTE(E413),"&amp;periodo=6&amp;tipo=por_data&amp;upos=false&amp;outequip=0")),"")</f>
        <v/>
      </c>
      <c r="AN413" s="100" t="str">
        <f t="shared" si="50"/>
        <v xml:space="preserve">ABASTECEU no 22 SUL PASSOU em SÃO PAULO-SP CARREGOU em CUBATAO-SP PASSOU em SÃO PAULO-SP ABASTECEU no 22 NORTE      </v>
      </c>
    </row>
    <row r="414" spans="1:40" x14ac:dyDescent="0.25">
      <c r="A414" s="101">
        <f>IFERROR(VLOOKUP(AN414,ROTAS!$A:$B,2,FALSE),0)</f>
        <v>112</v>
      </c>
      <c r="B414" s="101">
        <f t="shared" si="51"/>
        <v>14</v>
      </c>
      <c r="C414" s="101">
        <f t="shared" si="52"/>
        <v>586.42857142857144</v>
      </c>
      <c r="D414" s="144">
        <v>44927</v>
      </c>
      <c r="E414" s="76">
        <v>44933.936805555553</v>
      </c>
      <c r="F414" s="6" t="s">
        <v>128</v>
      </c>
      <c r="G414" s="5" t="str">
        <f>IFERROR(VLOOKUP(SUMIFS(MSOLICITADA!$I:$I,MSOLICITADA!$B:$B,D414,MSOLICITADA!$F:$F,F414),CODIGOSPLACAS!$A$64:$B$89,2,FALSE),"")</f>
        <v>ELI RICARDO</v>
      </c>
      <c r="H414" s="77">
        <v>93316</v>
      </c>
      <c r="I414" s="77">
        <v>93909</v>
      </c>
      <c r="J414" s="7">
        <v>347.64</v>
      </c>
      <c r="K414" s="78">
        <v>2221.42</v>
      </c>
      <c r="L414" s="79" t="s">
        <v>111</v>
      </c>
      <c r="M414" s="6">
        <v>297</v>
      </c>
      <c r="N414" s="5">
        <f t="shared" si="46"/>
        <v>296</v>
      </c>
      <c r="O414" s="80">
        <f t="shared" si="47"/>
        <v>6.3900011506155794</v>
      </c>
      <c r="P414" s="8">
        <f t="shared" si="48"/>
        <v>1.7057875963640547</v>
      </c>
      <c r="Q414" s="8">
        <f t="shared" si="53"/>
        <v>1.7619806950171255</v>
      </c>
      <c r="R414" s="81">
        <f t="shared" si="49"/>
        <v>0.50084317032040471</v>
      </c>
      <c r="S414" s="113" t="str">
        <f>IF(F414="","",IF(H414="",TEXT(_xlfn.MAXIFS($I$1:I414,$F$1:F414,F414,$H$1:H414,"&gt;"&amp;0),"000.000"),F414))</f>
        <v>GFR0D47</v>
      </c>
      <c r="T414" s="101">
        <f t="shared" si="54"/>
        <v>292.78571428571428</v>
      </c>
      <c r="U414" s="82" t="s">
        <v>220</v>
      </c>
      <c r="V414" s="98" t="s">
        <v>165</v>
      </c>
      <c r="W414" s="82" t="s">
        <v>222</v>
      </c>
      <c r="X414" s="98" t="s">
        <v>200</v>
      </c>
      <c r="Y414" s="82" t="s">
        <v>225</v>
      </c>
      <c r="Z414" s="98" t="s">
        <v>284</v>
      </c>
      <c r="AA414" s="82" t="s">
        <v>221</v>
      </c>
      <c r="AB414" s="98" t="s">
        <v>168</v>
      </c>
      <c r="AC414" s="82" t="s">
        <v>225</v>
      </c>
      <c r="AD414" s="98" t="s">
        <v>284</v>
      </c>
      <c r="AE414" s="82" t="s">
        <v>220</v>
      </c>
      <c r="AF414" s="98" t="s">
        <v>165</v>
      </c>
      <c r="AG414" s="82"/>
      <c r="AH414" s="98"/>
      <c r="AI414" s="82"/>
      <c r="AJ414" s="98"/>
      <c r="AK414" s="83"/>
      <c r="AL414" s="84" t="str">
        <f>IF(F414&lt;&gt;0,IF(_xlfn.MAXIFS($I$1:I414,$F$1:F414,F414,$H$1:H414,"&gt;"&amp;0)=0,"KM NÃO ENCONTRADO",IF(H414=0,CONCATENATE("SUGESTÃO DE KM PARA PLACA ",F414," *",_xlfn.MAXIFS($I$1:I414,$F$1:F414,F414,$H$1:H414,"&gt;"&amp;0),"*"),"")),"")</f>
        <v/>
      </c>
      <c r="AM414" s="85" t="str" cm="1">
        <f t="array" ref="AM414">IFERROR(IF(M414&lt;&gt;"","",CONCATENATE("https://btx.brasiltrack.com/logistica/trajeto.php?idveiculo=",VLOOKUP(F414,DATAS!$A$221:$B$250,2,FALSE),"&amp;lat=-22.204247","&amp;data_ini=",TEXT(IF(E414&lt;&gt;"",IF(COUNTIF($F$2:$F414,F414)&gt;1,MAX(IF($F$1:$F413=F414,$E$1:$E413)),""),""),"DD/MM/AAAA"),"&amp;data_fim=",TEXT(E414,"DD/MM/AAAA"),"&amp;hora_inicial=",HOUR(IF(E414&lt;&gt;"",IF(COUNTIF($F$2:$F414,F414)&gt;1,MAX(IF($F$1:$F413=F414,$E$1:$E413)),""),"")),"&amp;minuto_inicial=",MINUTE(IF(E414&lt;&gt;"",IF(COUNTIF($F$2:$F414,F414)&gt;1,MAX(IF($F$1:$F413=F414,$E$1:$E413)),""),"")),"&amp;hora_final=",HOUR(E414),"&amp;minuto_final=",MINUTE(E414),"&amp;periodo=6&amp;tipo=por_data&amp;upos=false&amp;outequip=0")),"")</f>
        <v/>
      </c>
      <c r="AN414" s="100" t="str">
        <f t="shared" si="50"/>
        <v xml:space="preserve">ABASTECEU no 22 NORTE DESCARREGOU em CONGONHAL-MG PASSOU em SÃO PAULO-SP CARREGOU em CUBATAO-SP PASSOU em SÃO PAULO-SP ABASTECEU no 22 NORTE    </v>
      </c>
    </row>
    <row r="415" spans="1:40" x14ac:dyDescent="0.25">
      <c r="A415" s="101">
        <f>IFERROR(VLOOKUP(AN415,ROTAS!$A:$B,2,FALSE),0)</f>
        <v>116</v>
      </c>
      <c r="B415" s="101">
        <f t="shared" si="51"/>
        <v>1</v>
      </c>
      <c r="C415" s="101">
        <f t="shared" si="52"/>
        <v>810</v>
      </c>
      <c r="D415" s="144">
        <v>44927</v>
      </c>
      <c r="E415" s="76">
        <v>44935.304861111108</v>
      </c>
      <c r="F415" s="6" t="s">
        <v>126</v>
      </c>
      <c r="G415" s="5" t="str">
        <f>IFERROR(VLOOKUP(SUMIFS(MSOLICITADA!$I:$I,MSOLICITADA!$B:$B,D415,MSOLICITADA!$F:$F,F415),CODIGOSPLACAS!$A$64:$B$89,2,FALSE),"")</f>
        <v>IZAIAS</v>
      </c>
      <c r="H415" s="77">
        <v>492321</v>
      </c>
      <c r="I415" s="77">
        <v>493131</v>
      </c>
      <c r="J415" s="7">
        <v>487</v>
      </c>
      <c r="K415" s="78">
        <v>3111.93</v>
      </c>
      <c r="L415" s="79" t="s">
        <v>111</v>
      </c>
      <c r="M415" s="6">
        <v>405</v>
      </c>
      <c r="N415" s="5">
        <f t="shared" si="46"/>
        <v>405</v>
      </c>
      <c r="O415" s="80">
        <f t="shared" si="47"/>
        <v>6.39</v>
      </c>
      <c r="P415" s="8">
        <f t="shared" si="48"/>
        <v>1.6632443531827514</v>
      </c>
      <c r="Q415" s="8">
        <f t="shared" si="53"/>
        <v>1.5602257971131808</v>
      </c>
      <c r="R415" s="81">
        <f t="shared" si="49"/>
        <v>0.5</v>
      </c>
      <c r="S415" s="113" t="str">
        <f>IF(F415="","",IF(H415="",TEXT(_xlfn.MAXIFS($I$1:I415,$F$1:F415,F415,$H$1:H415,"&gt;"&amp;0),"000.000"),F415))</f>
        <v>GHX4D71</v>
      </c>
      <c r="T415" s="101">
        <f t="shared" si="54"/>
        <v>405</v>
      </c>
      <c r="U415" s="82" t="s">
        <v>220</v>
      </c>
      <c r="V415" s="98" t="s">
        <v>165</v>
      </c>
      <c r="W415" s="82" t="s">
        <v>222</v>
      </c>
      <c r="X415" s="98" t="s">
        <v>167</v>
      </c>
      <c r="Y415" s="82" t="s">
        <v>225</v>
      </c>
      <c r="Z415" s="98" t="s">
        <v>284</v>
      </c>
      <c r="AA415" s="82" t="s">
        <v>221</v>
      </c>
      <c r="AB415" s="98" t="s">
        <v>178</v>
      </c>
      <c r="AC415" s="82" t="s">
        <v>225</v>
      </c>
      <c r="AD415" s="98" t="s">
        <v>284</v>
      </c>
      <c r="AE415" s="82" t="s">
        <v>220</v>
      </c>
      <c r="AF415" s="98" t="s">
        <v>165</v>
      </c>
      <c r="AG415" s="82"/>
      <c r="AH415" s="98"/>
      <c r="AI415" s="82"/>
      <c r="AJ415" s="98"/>
      <c r="AK415" s="83"/>
      <c r="AL415" s="84" t="str">
        <f>IF(F415&lt;&gt;0,IF(_xlfn.MAXIFS($I$1:I415,$F$1:F415,F415,$H$1:H415,"&gt;"&amp;0)=0,"KM NÃO ENCONTRADO",IF(H415=0,CONCATENATE("SUGESTÃO DE KM PARA PLACA ",F415," *",_xlfn.MAXIFS($I$1:I415,$F$1:F415,F415,$H$1:H415,"&gt;"&amp;0),"*"),"")),"")</f>
        <v/>
      </c>
      <c r="AM415" s="85" t="str" cm="1">
        <f t="array" ref="AM415">IFERROR(IF(M415&lt;&gt;"","",CONCATENATE("https://btx.brasiltrack.com/logistica/trajeto.php?idveiculo=",VLOOKUP(F415,DATAS!$A$221:$B$250,2,FALSE),"&amp;lat=-22.204247","&amp;data_ini=",TEXT(IF(E415&lt;&gt;"",IF(COUNTIF($F$2:$F415,F415)&gt;1,MAX(IF($F$1:$F414=F415,$E$1:$E414)),""),""),"DD/MM/AAAA"),"&amp;data_fim=",TEXT(E415,"DD/MM/AAAA"),"&amp;hora_inicial=",HOUR(IF(E415&lt;&gt;"",IF(COUNTIF($F$2:$F415,F415)&gt;1,MAX(IF($F$1:$F414=F415,$E$1:$E414)),""),"")),"&amp;minuto_inicial=",MINUTE(IF(E415&lt;&gt;"",IF(COUNTIF($F$2:$F415,F415)&gt;1,MAX(IF($F$1:$F414=F415,$E$1:$E414)),""),"")),"&amp;hora_final=",HOUR(E415),"&amp;minuto_final=",MINUTE(E415),"&amp;periodo=6&amp;tipo=por_data&amp;upos=false&amp;outequip=0")),"")</f>
        <v/>
      </c>
      <c r="AN415" s="100" t="str">
        <f t="shared" si="50"/>
        <v xml:space="preserve">ABASTECEU no 22 NORTE DESCARREGOU em VARGINHA-MG PASSOU em SÃO PAULO-SP CARREGOU em GUARUJA-SP PASSOU em SÃO PAULO-SP ABASTECEU no 22 NORTE    </v>
      </c>
    </row>
    <row r="416" spans="1:40" x14ac:dyDescent="0.25">
      <c r="A416" s="101">
        <f>IFERROR(VLOOKUP(AN416,ROTAS!$A:$B,2,FALSE),0)</f>
        <v>113</v>
      </c>
      <c r="B416" s="101">
        <f t="shared" si="51"/>
        <v>14</v>
      </c>
      <c r="C416" s="101">
        <f t="shared" si="52"/>
        <v>633.64285714285711</v>
      </c>
      <c r="D416" s="144">
        <v>44927</v>
      </c>
      <c r="E416" s="76">
        <v>44935.897222222222</v>
      </c>
      <c r="F416" s="6" t="s">
        <v>26</v>
      </c>
      <c r="G416" s="5" t="str">
        <f>IFERROR(VLOOKUP(SUMIFS(MSOLICITADA!$I:$I,MSOLICITADA!$B:$B,D416,MSOLICITADA!$F:$F,F416),CODIGOSPLACAS!$A$64:$B$89,2,FALSE),"")</f>
        <v>DIEGO</v>
      </c>
      <c r="H416" s="77">
        <v>402381</v>
      </c>
      <c r="I416" s="77">
        <v>403023</v>
      </c>
      <c r="J416" s="7">
        <v>429.56</v>
      </c>
      <c r="K416" s="78">
        <v>2701.94</v>
      </c>
      <c r="L416" s="79" t="s">
        <v>111</v>
      </c>
      <c r="M416" s="6">
        <v>357</v>
      </c>
      <c r="N416" s="5">
        <f t="shared" si="46"/>
        <v>285</v>
      </c>
      <c r="O416" s="80">
        <f t="shared" si="47"/>
        <v>6.2900176925225812</v>
      </c>
      <c r="P416" s="8">
        <f t="shared" si="48"/>
        <v>1.4945525654157743</v>
      </c>
      <c r="Q416" s="8">
        <f t="shared" si="53"/>
        <v>1.4763574081151452</v>
      </c>
      <c r="R416" s="81">
        <f t="shared" si="49"/>
        <v>0.55607476635514019</v>
      </c>
      <c r="S416" s="113" t="str">
        <f>IF(F416="","",IF(H416="",TEXT(_xlfn.MAXIFS($I$1:I416,$F$1:F416,F416,$H$1:H416,"&gt;"&amp;0),"000.000"),F416))</f>
        <v>BZA3587</v>
      </c>
      <c r="T416" s="101">
        <f t="shared" si="54"/>
        <v>286.07142857142856</v>
      </c>
      <c r="U416" s="82" t="s">
        <v>220</v>
      </c>
      <c r="V416" s="98" t="s">
        <v>165</v>
      </c>
      <c r="W416" s="82" t="s">
        <v>222</v>
      </c>
      <c r="X416" s="98" t="s">
        <v>200</v>
      </c>
      <c r="Y416" s="82" t="s">
        <v>225</v>
      </c>
      <c r="Z416" s="98" t="s">
        <v>284</v>
      </c>
      <c r="AA416" s="82" t="s">
        <v>221</v>
      </c>
      <c r="AB416" s="98" t="s">
        <v>168</v>
      </c>
      <c r="AC416" s="82" t="s">
        <v>225</v>
      </c>
      <c r="AD416" s="98" t="s">
        <v>237</v>
      </c>
      <c r="AE416" s="82" t="s">
        <v>220</v>
      </c>
      <c r="AF416" s="98" t="s">
        <v>165</v>
      </c>
      <c r="AG416" s="82"/>
      <c r="AH416" s="98"/>
      <c r="AI416" s="82"/>
      <c r="AJ416" s="98"/>
      <c r="AK416" s="83"/>
      <c r="AL416" s="84" t="str">
        <f>IF(F416&lt;&gt;0,IF(_xlfn.MAXIFS($I$1:I416,$F$1:F416,F416,$H$1:H416,"&gt;"&amp;0)=0,"KM NÃO ENCONTRADO",IF(H416=0,CONCATENATE("SUGESTÃO DE KM PARA PLACA ",F416," *",_xlfn.MAXIFS($I$1:I416,$F$1:F416,F416,$H$1:H416,"&gt;"&amp;0),"*"),"")),"")</f>
        <v/>
      </c>
      <c r="AM416" s="85" t="str" cm="1">
        <f t="array" ref="AM416">IFERROR(IF(M416&lt;&gt;"","",CONCATENATE("https://btx.brasiltrack.com/logistica/trajeto.php?idveiculo=",VLOOKUP(F416,DATAS!$A$221:$B$250,2,FALSE),"&amp;lat=-22.204247","&amp;data_ini=",TEXT(IF(E416&lt;&gt;"",IF(COUNTIF($F$2:$F416,F416)&gt;1,MAX(IF($F$1:$F415=F416,$E$1:$E415)),""),""),"DD/MM/AAAA"),"&amp;data_fim=",TEXT(E416,"DD/MM/AAAA"),"&amp;hora_inicial=",HOUR(IF(E416&lt;&gt;"",IF(COUNTIF($F$2:$F416,F416)&gt;1,MAX(IF($F$1:$F415=F416,$E$1:$E415)),""),"")),"&amp;minuto_inicial=",MINUTE(IF(E416&lt;&gt;"",IF(COUNTIF($F$2:$F416,F416)&gt;1,MAX(IF($F$1:$F415=F416,$E$1:$E415)),""),"")),"&amp;hora_final=",HOUR(E416),"&amp;minuto_final=",MINUTE(E416),"&amp;periodo=6&amp;tipo=por_data&amp;upos=false&amp;outequip=0")),"")</f>
        <v/>
      </c>
      <c r="AN416" s="100" t="str">
        <f t="shared" si="50"/>
        <v xml:space="preserve">ABASTECEU no 22 NORTE DESCARREGOU em CONGONHAL-MG PASSOU em SÃO PAULO-SP CARREGOU em CUBATAO-SP PASSOU em ARUJÁ-SP ABASTECEU no 22 NORTE    </v>
      </c>
    </row>
    <row r="417" spans="1:40" x14ac:dyDescent="0.25">
      <c r="A417" s="101">
        <f>IFERROR(VLOOKUP(AN417,ROTAS!$A:$B,2,FALSE),0)</f>
        <v>117</v>
      </c>
      <c r="B417" s="101">
        <f t="shared" si="51"/>
        <v>1</v>
      </c>
      <c r="C417" s="101">
        <f t="shared" si="52"/>
        <v>1159</v>
      </c>
      <c r="D417" s="144">
        <v>44896</v>
      </c>
      <c r="E417" s="76">
        <v>44935.899305555555</v>
      </c>
      <c r="F417" s="6" t="s">
        <v>33</v>
      </c>
      <c r="G417" s="5" t="str">
        <f>IFERROR(VLOOKUP(SUMIFS(MSOLICITADA!$I:$I,MSOLICITADA!$B:$B,D417,MSOLICITADA!$F:$F,F417),CODIGOSPLACAS!$A$64:$B$89,2,FALSE),"")</f>
        <v>JULIO</v>
      </c>
      <c r="H417" s="77">
        <v>165393</v>
      </c>
      <c r="I417" s="77">
        <v>166552</v>
      </c>
      <c r="J417" s="7">
        <v>588</v>
      </c>
      <c r="K417" s="78">
        <v>3698.52</v>
      </c>
      <c r="L417" s="79" t="s">
        <v>111</v>
      </c>
      <c r="M417" s="6">
        <v>300</v>
      </c>
      <c r="N417" s="5">
        <f t="shared" si="46"/>
        <v>859</v>
      </c>
      <c r="O417" s="80">
        <f t="shared" si="47"/>
        <v>6.29</v>
      </c>
      <c r="P417" s="8">
        <f t="shared" si="48"/>
        <v>1.9710884353741496</v>
      </c>
      <c r="Q417" s="8">
        <f t="shared" si="53"/>
        <v>1.6210900048214474</v>
      </c>
      <c r="R417" s="81">
        <f t="shared" si="49"/>
        <v>0.25884383088869717</v>
      </c>
      <c r="S417" s="113" t="str">
        <f>IF(F417="","",IF(H417="",TEXT(_xlfn.MAXIFS($I$1:I417,$F$1:F417,F417,$H$1:H417,"&gt;"&amp;0),"000.000"),F417))</f>
        <v>GGF7G26</v>
      </c>
      <c r="T417" s="101">
        <f t="shared" si="54"/>
        <v>859</v>
      </c>
      <c r="U417" s="82" t="s">
        <v>220</v>
      </c>
      <c r="V417" s="98" t="s">
        <v>218</v>
      </c>
      <c r="W417" s="82" t="s">
        <v>222</v>
      </c>
      <c r="X417" s="98" t="s">
        <v>167</v>
      </c>
      <c r="Y417" s="82" t="s">
        <v>225</v>
      </c>
      <c r="Z417" s="98" t="s">
        <v>272</v>
      </c>
      <c r="AA417" s="82" t="s">
        <v>225</v>
      </c>
      <c r="AB417" s="98" t="s">
        <v>284</v>
      </c>
      <c r="AC417" s="82" t="s">
        <v>221</v>
      </c>
      <c r="AD417" s="98" t="s">
        <v>168</v>
      </c>
      <c r="AE417" s="82" t="s">
        <v>225</v>
      </c>
      <c r="AF417" s="98" t="s">
        <v>237</v>
      </c>
      <c r="AG417" s="82" t="s">
        <v>220</v>
      </c>
      <c r="AH417" s="98" t="s">
        <v>165</v>
      </c>
      <c r="AI417" s="82"/>
      <c r="AJ417" s="98"/>
      <c r="AK417" s="83"/>
      <c r="AL417" s="84" t="str">
        <f>IF(F417&lt;&gt;0,IF(_xlfn.MAXIFS($I$1:I417,$F$1:F417,F417,$H$1:H417,"&gt;"&amp;0)=0,"KM NÃO ENCONTRADO",IF(H417=0,CONCATENATE("SUGESTÃO DE KM PARA PLACA ",F417," *",_xlfn.MAXIFS($I$1:I417,$F$1:F417,F417,$H$1:H417,"&gt;"&amp;0),"*"),"")),"")</f>
        <v/>
      </c>
      <c r="AM417" s="85" t="str" cm="1">
        <f t="array" ref="AM417">IFERROR(IF(M417&lt;&gt;"","",CONCATENATE("https://btx.brasiltrack.com/logistica/trajeto.php?idveiculo=",VLOOKUP(F417,DATAS!$A$221:$B$250,2,FALSE),"&amp;lat=-22.204247","&amp;data_ini=",TEXT(IF(E417&lt;&gt;"",IF(COUNTIF($F$2:$F417,F417)&gt;1,MAX(IF($F$1:$F416=F417,$E$1:$E416)),""),""),"DD/MM/AAAA"),"&amp;data_fim=",TEXT(E417,"DD/MM/AAAA"),"&amp;hora_inicial=",HOUR(IF(E417&lt;&gt;"",IF(COUNTIF($F$2:$F417,F417)&gt;1,MAX(IF($F$1:$F416=F417,$E$1:$E416)),""),"")),"&amp;minuto_inicial=",MINUTE(IF(E417&lt;&gt;"",IF(COUNTIF($F$2:$F417,F417)&gt;1,MAX(IF($F$1:$F416=F417,$E$1:$E416)),""),"")),"&amp;hora_final=",HOUR(E417),"&amp;minuto_final=",MINUTE(E417),"&amp;periodo=6&amp;tipo=por_data&amp;upos=false&amp;outequip=0")),"")</f>
        <v/>
      </c>
      <c r="AN417" s="100" t="str">
        <f t="shared" si="50"/>
        <v xml:space="preserve">ABASTECEU no DP PA NORTE DESCARREGOU em VARGINHA-MG PASSOU em ARCOS-MG PASSOU em SÃO PAULO-SP CARREGOU em CUBATAO-SP PASSOU em ARUJÁ-SP ABASTECEU no 22 NORTE  </v>
      </c>
    </row>
    <row r="418" spans="1:40" x14ac:dyDescent="0.25">
      <c r="A418" s="101">
        <f>IFERROR(VLOOKUP(AN418,ROTAS!$A:$B,2,FALSE),0)</f>
        <v>71</v>
      </c>
      <c r="B418" s="101">
        <f t="shared" si="51"/>
        <v>5</v>
      </c>
      <c r="C418" s="101">
        <f t="shared" si="52"/>
        <v>737.6</v>
      </c>
      <c r="D418" s="144">
        <v>44927</v>
      </c>
      <c r="E418" s="76">
        <v>44936.170138888891</v>
      </c>
      <c r="F418" s="6" t="s">
        <v>131</v>
      </c>
      <c r="G418" s="5" t="str">
        <f>IFERROR(VLOOKUP(SUMIFS(MSOLICITADA!$I:$I,MSOLICITADA!$B:$B,D418,MSOLICITADA!$F:$F,F418),CODIGOSPLACAS!$A$64:$B$89,2,FALSE),"")</f>
        <v>ALTIELIS</v>
      </c>
      <c r="H418" s="77">
        <v>50334</v>
      </c>
      <c r="I418" s="77">
        <v>51068</v>
      </c>
      <c r="J418" s="7">
        <v>415</v>
      </c>
      <c r="K418" s="78">
        <v>2610.35</v>
      </c>
      <c r="L418" s="79" t="s">
        <v>111</v>
      </c>
      <c r="M418" s="6">
        <v>367</v>
      </c>
      <c r="N418" s="5">
        <f t="shared" si="46"/>
        <v>367</v>
      </c>
      <c r="O418" s="80">
        <f t="shared" si="47"/>
        <v>6.29</v>
      </c>
      <c r="P418" s="8">
        <f t="shared" si="48"/>
        <v>1.7686746987951807</v>
      </c>
      <c r="Q418" s="8">
        <f t="shared" si="53"/>
        <v>1.6793774979959049</v>
      </c>
      <c r="R418" s="81">
        <f t="shared" si="49"/>
        <v>0.5</v>
      </c>
      <c r="S418" s="113" t="str">
        <f>IF(F418="","",IF(H418="",TEXT(_xlfn.MAXIFS($I$1:I418,$F$1:F418,F418,$H$1:H418,"&gt;"&amp;0),"000.000"),F418))</f>
        <v>GGN4J86</v>
      </c>
      <c r="T418" s="101">
        <f t="shared" si="54"/>
        <v>369</v>
      </c>
      <c r="U418" s="82" t="s">
        <v>220</v>
      </c>
      <c r="V418" s="98" t="s">
        <v>165</v>
      </c>
      <c r="W418" s="82" t="s">
        <v>222</v>
      </c>
      <c r="X418" s="98" t="s">
        <v>201</v>
      </c>
      <c r="Y418" s="82" t="s">
        <v>225</v>
      </c>
      <c r="Z418" s="98" t="s">
        <v>284</v>
      </c>
      <c r="AA418" s="82" t="s">
        <v>221</v>
      </c>
      <c r="AB418" s="98" t="s">
        <v>168</v>
      </c>
      <c r="AC418" s="82" t="s">
        <v>225</v>
      </c>
      <c r="AD418" s="98" t="s">
        <v>284</v>
      </c>
      <c r="AE418" s="82" t="s">
        <v>220</v>
      </c>
      <c r="AF418" s="98" t="s">
        <v>165</v>
      </c>
      <c r="AG418" s="82"/>
      <c r="AH418" s="98"/>
      <c r="AI418" s="82"/>
      <c r="AJ418" s="98"/>
      <c r="AK418" s="83"/>
      <c r="AL418" s="84" t="str">
        <f>IF(F418&lt;&gt;0,IF(_xlfn.MAXIFS($I$1:I418,$F$1:F418,F418,$H$1:H418,"&gt;"&amp;0)=0,"KM NÃO ENCONTRADO",IF(H418=0,CONCATENATE("SUGESTÃO DE KM PARA PLACA ",F418," *",_xlfn.MAXIFS($I$1:I418,$F$1:F418,F418,$H$1:H418,"&gt;"&amp;0),"*"),"")),"")</f>
        <v/>
      </c>
      <c r="AM418" s="85" t="str" cm="1">
        <f t="array" ref="AM418">IFERROR(IF(M418&lt;&gt;"","",CONCATENATE("https://btx.brasiltrack.com/logistica/trajeto.php?idveiculo=",VLOOKUP(F418,DATAS!$A$221:$B$250,2,FALSE),"&amp;lat=-22.204247","&amp;data_ini=",TEXT(IF(E418&lt;&gt;"",IF(COUNTIF($F$2:$F418,F418)&gt;1,MAX(IF($F$1:$F417=F418,$E$1:$E417)),""),""),"DD/MM/AAAA"),"&amp;data_fim=",TEXT(E418,"DD/MM/AAAA"),"&amp;hora_inicial=",HOUR(IF(E418&lt;&gt;"",IF(COUNTIF($F$2:$F418,F418)&gt;1,MAX(IF($F$1:$F417=F418,$E$1:$E417)),""),"")),"&amp;minuto_inicial=",MINUTE(IF(E418&lt;&gt;"",IF(COUNTIF($F$2:$F418,F418)&gt;1,MAX(IF($F$1:$F417=F418,$E$1:$E417)),""),"")),"&amp;hora_final=",HOUR(E418),"&amp;minuto_final=",MINUTE(E418),"&amp;periodo=6&amp;tipo=por_data&amp;upos=false&amp;outequip=0")),"")</f>
        <v/>
      </c>
      <c r="AN418" s="100" t="str">
        <f t="shared" si="50"/>
        <v xml:space="preserve">ABASTECEU no 22 NORTE DESCARREGOU em TRES CORACOES-MG PASSOU em SÃO PAULO-SP CARREGOU em CUBATAO-SP PASSOU em SÃO PAULO-SP ABASTECEU no 22 NORTE    </v>
      </c>
    </row>
    <row r="419" spans="1:40" x14ac:dyDescent="0.25">
      <c r="A419" s="101">
        <f>IFERROR(VLOOKUP(AN419,ROTAS!$A:$B,2,FALSE),0)</f>
        <v>118</v>
      </c>
      <c r="B419" s="101">
        <f t="shared" si="51"/>
        <v>1</v>
      </c>
      <c r="C419" s="101">
        <f t="shared" si="52"/>
        <v>795</v>
      </c>
      <c r="D419" s="144">
        <v>44927</v>
      </c>
      <c r="E419" s="76">
        <v>44936.21875</v>
      </c>
      <c r="F419" s="6" t="s">
        <v>29</v>
      </c>
      <c r="G419" s="5" t="str">
        <f>IFERROR(VLOOKUP(SUMIFS(MSOLICITADA!$I:$I,MSOLICITADA!$B:$B,D419,MSOLICITADA!$F:$F,F419),CODIGOSPLACAS!$A$64:$B$89,2,FALSE),"")</f>
        <v>EDNILSON</v>
      </c>
      <c r="H419" s="77">
        <v>240184</v>
      </c>
      <c r="I419" s="77">
        <v>240979</v>
      </c>
      <c r="J419" s="7">
        <v>442</v>
      </c>
      <c r="K419" s="78">
        <v>2780.18</v>
      </c>
      <c r="L419" s="79" t="s">
        <v>111</v>
      </c>
      <c r="M419" s="6">
        <v>305</v>
      </c>
      <c r="N419" s="5">
        <f t="shared" si="46"/>
        <v>490</v>
      </c>
      <c r="O419" s="80">
        <f t="shared" si="47"/>
        <v>6.29</v>
      </c>
      <c r="P419" s="8">
        <f t="shared" si="48"/>
        <v>1.7986425339366516</v>
      </c>
      <c r="Q419" s="8">
        <f t="shared" si="53"/>
        <v>1.5966128652005338</v>
      </c>
      <c r="R419" s="81">
        <f t="shared" si="49"/>
        <v>0.38364779874213839</v>
      </c>
      <c r="S419" s="113" t="str">
        <f>IF(F419="","",IF(H419="",TEXT(_xlfn.MAXIFS($I$1:I419,$F$1:F419,F419,$H$1:H419,"&gt;"&amp;0),"000.000"),F419))</f>
        <v>GKA2J56</v>
      </c>
      <c r="T419" s="101">
        <f t="shared" si="54"/>
        <v>490</v>
      </c>
      <c r="U419" s="82" t="s">
        <v>220</v>
      </c>
      <c r="V419" s="98" t="s">
        <v>165</v>
      </c>
      <c r="W419" s="82" t="s">
        <v>222</v>
      </c>
      <c r="X419" s="98" t="s">
        <v>200</v>
      </c>
      <c r="Y419" s="82" t="s">
        <v>225</v>
      </c>
      <c r="Z419" s="98" t="s">
        <v>201</v>
      </c>
      <c r="AA419" s="82" t="s">
        <v>225</v>
      </c>
      <c r="AB419" s="98" t="s">
        <v>284</v>
      </c>
      <c r="AC419" s="82" t="s">
        <v>221</v>
      </c>
      <c r="AD419" s="98" t="s">
        <v>168</v>
      </c>
      <c r="AE419" s="82" t="s">
        <v>225</v>
      </c>
      <c r="AF419" s="98" t="s">
        <v>284</v>
      </c>
      <c r="AG419" s="82" t="s">
        <v>220</v>
      </c>
      <c r="AH419" s="98" t="s">
        <v>165</v>
      </c>
      <c r="AI419" s="82"/>
      <c r="AJ419" s="98"/>
      <c r="AK419" s="83"/>
      <c r="AL419" s="84" t="str">
        <f>IF(F419&lt;&gt;0,IF(_xlfn.MAXIFS($I$1:I419,$F$1:F419,F419,$H$1:H419,"&gt;"&amp;0)=0,"KM NÃO ENCONTRADO",IF(H419=0,CONCATENATE("SUGESTÃO DE KM PARA PLACA ",F419," *",_xlfn.MAXIFS($I$1:I419,$F$1:F419,F419,$H$1:H419,"&gt;"&amp;0),"*"),"")),"")</f>
        <v/>
      </c>
      <c r="AM419" s="85" t="str" cm="1">
        <f t="array" ref="AM419">IFERROR(IF(M419&lt;&gt;"","",CONCATENATE("https://btx.brasiltrack.com/logistica/trajeto.php?idveiculo=",VLOOKUP(F419,DATAS!$A$221:$B$250,2,FALSE),"&amp;lat=-22.204247","&amp;data_ini=",TEXT(IF(E419&lt;&gt;"",IF(COUNTIF($F$2:$F419,F419)&gt;1,MAX(IF($F$1:$F418=F419,$E$1:$E418)),""),""),"DD/MM/AAAA"),"&amp;data_fim=",TEXT(E419,"DD/MM/AAAA"),"&amp;hora_inicial=",HOUR(IF(E419&lt;&gt;"",IF(COUNTIF($F$2:$F419,F419)&gt;1,MAX(IF($F$1:$F418=F419,$E$1:$E418)),""),"")),"&amp;minuto_inicial=",MINUTE(IF(E419&lt;&gt;"",IF(COUNTIF($F$2:$F419,F419)&gt;1,MAX(IF($F$1:$F418=F419,$E$1:$E418)),""),"")),"&amp;hora_final=",HOUR(E419),"&amp;minuto_final=",MINUTE(E419),"&amp;periodo=6&amp;tipo=por_data&amp;upos=false&amp;outequip=0")),"")</f>
        <v/>
      </c>
      <c r="AN419" s="100" t="str">
        <f t="shared" si="50"/>
        <v xml:space="preserve">ABASTECEU no 22 NORTE DESCARREGOU em CONGONHAL-MG PASSOU em TRES CORACOES-MG PASSOU em SÃO PAULO-SP CARREGOU em CUBATAO-SP PASSOU em SÃO PAULO-SP ABASTECEU no 22 NORTE  </v>
      </c>
    </row>
    <row r="420" spans="1:40" x14ac:dyDescent="0.25">
      <c r="A420" s="101">
        <f>IFERROR(VLOOKUP(AN420,ROTAS!$A:$B,2,FALSE),0)</f>
        <v>119</v>
      </c>
      <c r="B420" s="101">
        <f t="shared" si="51"/>
        <v>2</v>
      </c>
      <c r="C420" s="101">
        <f t="shared" si="52"/>
        <v>989</v>
      </c>
      <c r="D420" s="144">
        <v>44927</v>
      </c>
      <c r="E420" s="76">
        <v>44936.239583333336</v>
      </c>
      <c r="F420" s="6" t="s">
        <v>32</v>
      </c>
      <c r="G420" s="5" t="str">
        <f>IFERROR(VLOOKUP(SUMIFS(MSOLICITADA!$I:$I,MSOLICITADA!$B:$B,D420,MSOLICITADA!$F:$F,F420),CODIGOSPLACAS!$A$64:$B$89,2,FALSE),"")</f>
        <v>ADILSON</v>
      </c>
      <c r="H420" s="77">
        <v>203008</v>
      </c>
      <c r="I420" s="77">
        <v>203993</v>
      </c>
      <c r="J420" s="7">
        <v>456</v>
      </c>
      <c r="K420" s="78">
        <v>2868.24</v>
      </c>
      <c r="L420" s="79" t="s">
        <v>111</v>
      </c>
      <c r="M420" s="6">
        <v>401</v>
      </c>
      <c r="N420" s="5">
        <f t="shared" si="46"/>
        <v>584</v>
      </c>
      <c r="O420" s="80">
        <f t="shared" si="47"/>
        <v>6.2899999999999991</v>
      </c>
      <c r="P420" s="8">
        <f t="shared" si="48"/>
        <v>1.7945544554455446</v>
      </c>
      <c r="Q420" s="8">
        <f t="shared" si="53"/>
        <v>1.6695575721559062</v>
      </c>
      <c r="R420" s="81">
        <f t="shared" si="49"/>
        <v>0.40710659898477158</v>
      </c>
      <c r="S420" s="113" t="str">
        <f>IF(F420="","",IF(H420="",TEXT(_xlfn.MAXIFS($I$1:I420,$F$1:F420,F420,$H$1:H420,"&gt;"&amp;0),"000.000"),F420))</f>
        <v>GJU9A22</v>
      </c>
      <c r="T420" s="101">
        <f t="shared" si="54"/>
        <v>584</v>
      </c>
      <c r="U420" s="82" t="s">
        <v>220</v>
      </c>
      <c r="V420" s="98" t="s">
        <v>165</v>
      </c>
      <c r="W420" s="82" t="s">
        <v>222</v>
      </c>
      <c r="X420" s="98" t="s">
        <v>201</v>
      </c>
      <c r="Y420" s="82" t="s">
        <v>225</v>
      </c>
      <c r="Z420" s="98" t="s">
        <v>206</v>
      </c>
      <c r="AA420" s="82" t="s">
        <v>225</v>
      </c>
      <c r="AB420" s="98" t="s">
        <v>284</v>
      </c>
      <c r="AC420" s="82" t="s">
        <v>221</v>
      </c>
      <c r="AD420" s="98" t="s">
        <v>168</v>
      </c>
      <c r="AE420" s="82" t="s">
        <v>225</v>
      </c>
      <c r="AF420" s="98" t="s">
        <v>284</v>
      </c>
      <c r="AG420" s="82" t="s">
        <v>220</v>
      </c>
      <c r="AH420" s="98" t="s">
        <v>165</v>
      </c>
      <c r="AI420" s="82"/>
      <c r="AJ420" s="98"/>
      <c r="AK420" s="83">
        <v>260</v>
      </c>
      <c r="AL420" s="84" t="str">
        <f>IF(F420&lt;&gt;0,IF(_xlfn.MAXIFS($I$1:I420,$F$1:F420,F420,$H$1:H420,"&gt;"&amp;0)=0,"KM NÃO ENCONTRADO",IF(H420=0,CONCATENATE("SUGESTÃO DE KM PARA PLACA ",F420," *",_xlfn.MAXIFS($I$1:I420,$F$1:F420,F420,$H$1:H420,"&gt;"&amp;0),"*"),"")),"")</f>
        <v/>
      </c>
      <c r="AM420" s="85" t="str" cm="1">
        <f t="array" ref="AM420">IFERROR(IF(M420&lt;&gt;"","",CONCATENATE("https://btx.brasiltrack.com/logistica/trajeto.php?idveiculo=",VLOOKUP(F420,DATAS!$A$221:$B$250,2,FALSE),"&amp;lat=-22.204247","&amp;data_ini=",TEXT(IF(E420&lt;&gt;"",IF(COUNTIF($F$2:$F420,F420)&gt;1,MAX(IF($F$1:$F419=F420,$E$1:$E419)),""),""),"DD/MM/AAAA"),"&amp;data_fim=",TEXT(E420,"DD/MM/AAAA"),"&amp;hora_inicial=",HOUR(IF(E420&lt;&gt;"",IF(COUNTIF($F$2:$F420,F420)&gt;1,MAX(IF($F$1:$F419=F420,$E$1:$E419)),""),"")),"&amp;minuto_inicial=",MINUTE(IF(E420&lt;&gt;"",IF(COUNTIF($F$2:$F420,F420)&gt;1,MAX(IF($F$1:$F419=F420,$E$1:$E419)),""),"")),"&amp;hora_final=",HOUR(E420),"&amp;minuto_final=",MINUTE(E420),"&amp;periodo=6&amp;tipo=por_data&amp;upos=false&amp;outequip=0")),"")</f>
        <v/>
      </c>
      <c r="AN420" s="100" t="str">
        <f t="shared" si="50"/>
        <v xml:space="preserve">ABASTECEU no 22 NORTE DESCARREGOU em TRES CORACOES-MG PASSOU em CANDEIAS-MG PASSOU em SÃO PAULO-SP CARREGOU em CUBATAO-SP PASSOU em SÃO PAULO-SP ABASTECEU no 22 NORTE  </v>
      </c>
    </row>
    <row r="421" spans="1:40" x14ac:dyDescent="0.25">
      <c r="A421" s="101">
        <f>IFERROR(VLOOKUP(AN421,ROTAS!$A:$B,2,FALSE),0)</f>
        <v>48</v>
      </c>
      <c r="B421" s="101">
        <f t="shared" si="51"/>
        <v>4</v>
      </c>
      <c r="C421" s="101">
        <f t="shared" si="52"/>
        <v>828.75</v>
      </c>
      <c r="D421" s="144">
        <v>44927</v>
      </c>
      <c r="E421" s="76">
        <v>44936.375</v>
      </c>
      <c r="F421" s="6" t="s">
        <v>127</v>
      </c>
      <c r="G421" s="5" t="str">
        <f>IFERROR(VLOOKUP(SUMIFS(MSOLICITADA!$I:$I,MSOLICITADA!$B:$B,D421,MSOLICITADA!$F:$F,F421),CODIGOSPLACAS!$A$64:$B$89,2,FALSE),"")</f>
        <v>EVERTON</v>
      </c>
      <c r="H421" s="77">
        <v>1232998</v>
      </c>
      <c r="I421" s="77">
        <v>1233840</v>
      </c>
      <c r="J421" s="7">
        <v>386.13</v>
      </c>
      <c r="K421" s="78">
        <v>2428.7600000000002</v>
      </c>
      <c r="L421" s="79" t="s">
        <v>111</v>
      </c>
      <c r="M421" s="6">
        <v>468</v>
      </c>
      <c r="N421" s="5">
        <f t="shared" si="46"/>
        <v>374</v>
      </c>
      <c r="O421" s="80">
        <f t="shared" si="47"/>
        <v>6.2900059565431334</v>
      </c>
      <c r="P421" s="8">
        <f t="shared" si="48"/>
        <v>2.1806127470023049</v>
      </c>
      <c r="Q421" s="8">
        <f t="shared" si="53"/>
        <v>1.9701972800245917</v>
      </c>
      <c r="R421" s="81">
        <f t="shared" si="49"/>
        <v>0.5558194774346793</v>
      </c>
      <c r="S421" s="113" t="str">
        <f>IF(F421="","",IF(H421="",TEXT(_xlfn.MAXIFS($I$1:I421,$F$1:F421,F421,$H$1:H421,"&gt;"&amp;0),"000.000"),F421))</f>
        <v>OPM8J51</v>
      </c>
      <c r="T421" s="101">
        <f t="shared" si="54"/>
        <v>374</v>
      </c>
      <c r="U421" s="82" t="s">
        <v>220</v>
      </c>
      <c r="V421" s="98" t="s">
        <v>165</v>
      </c>
      <c r="W421" s="82" t="s">
        <v>222</v>
      </c>
      <c r="X421" s="98" t="s">
        <v>167</v>
      </c>
      <c r="Y421" s="82" t="s">
        <v>225</v>
      </c>
      <c r="Z421" s="98" t="s">
        <v>284</v>
      </c>
      <c r="AA421" s="82" t="s">
        <v>221</v>
      </c>
      <c r="AB421" s="98" t="s">
        <v>168</v>
      </c>
      <c r="AC421" s="82" t="s">
        <v>225</v>
      </c>
      <c r="AD421" s="98" t="s">
        <v>237</v>
      </c>
      <c r="AE421" s="82" t="s">
        <v>220</v>
      </c>
      <c r="AF421" s="98" t="s">
        <v>165</v>
      </c>
      <c r="AG421" s="82"/>
      <c r="AH421" s="98"/>
      <c r="AI421" s="82"/>
      <c r="AJ421" s="98"/>
      <c r="AK421" s="83"/>
      <c r="AL421" s="84" t="str">
        <f>IF(F421&lt;&gt;0,IF(_xlfn.MAXIFS($I$1:I421,$F$1:F421,F421,$H$1:H421,"&gt;"&amp;0)=0,"KM NÃO ENCONTRADO",IF(H421=0,CONCATENATE("SUGESTÃO DE KM PARA PLACA ",F421," *",_xlfn.MAXIFS($I$1:I421,$F$1:F421,F421,$H$1:H421,"&gt;"&amp;0),"*"),"")),"")</f>
        <v/>
      </c>
      <c r="AM421" s="85" t="str" cm="1">
        <f t="array" ref="AM421">IFERROR(IF(M421&lt;&gt;"","",CONCATENATE("https://btx.brasiltrack.com/logistica/trajeto.php?idveiculo=",VLOOKUP(F421,DATAS!$A$221:$B$250,2,FALSE),"&amp;lat=-22.204247","&amp;data_ini=",TEXT(IF(E421&lt;&gt;"",IF(COUNTIF($F$2:$F421,F421)&gt;1,MAX(IF($F$1:$F420=F421,$E$1:$E420)),""),""),"DD/MM/AAAA"),"&amp;data_fim=",TEXT(E421,"DD/MM/AAAA"),"&amp;hora_inicial=",HOUR(IF(E421&lt;&gt;"",IF(COUNTIF($F$2:$F421,F421)&gt;1,MAX(IF($F$1:$F420=F421,$E$1:$E420)),""),"")),"&amp;minuto_inicial=",MINUTE(IF(E421&lt;&gt;"",IF(COUNTIF($F$2:$F421,F421)&gt;1,MAX(IF($F$1:$F420=F421,$E$1:$E420)),""),"")),"&amp;hora_final=",HOUR(E421),"&amp;minuto_final=",MINUTE(E421),"&amp;periodo=6&amp;tipo=por_data&amp;upos=false&amp;outequip=0")),"")</f>
        <v/>
      </c>
      <c r="AN421" s="100" t="str">
        <f t="shared" si="50"/>
        <v xml:space="preserve">ABASTECEU no 22 NORTE DESCARREGOU em VARGINHA-MG PASSOU em SÃO PAULO-SP CARREGOU em CUBATAO-SP PASSOU em ARUJÁ-SP ABASTECEU no 22 NORTE    </v>
      </c>
    </row>
    <row r="422" spans="1:40" x14ac:dyDescent="0.25">
      <c r="A422" s="101">
        <f>IFERROR(VLOOKUP(AN422,ROTAS!$A:$B,2,FALSE),0)</f>
        <v>120</v>
      </c>
      <c r="B422" s="101">
        <f t="shared" si="51"/>
        <v>1</v>
      </c>
      <c r="C422" s="101">
        <f t="shared" si="52"/>
        <v>834</v>
      </c>
      <c r="D422" s="144">
        <v>44896</v>
      </c>
      <c r="E422" s="76">
        <v>44936.40625</v>
      </c>
      <c r="F422" s="6" t="s">
        <v>22</v>
      </c>
      <c r="G422" s="5" t="str">
        <f>IFERROR(VLOOKUP(SUMIFS(MSOLICITADA!$I:$I,MSOLICITADA!$B:$B,D422,MSOLICITADA!$F:$F,F422),CODIGOSPLACAS!$A$64:$B$89,2,FALSE),"")</f>
        <v/>
      </c>
      <c r="H422" s="77">
        <v>1204804</v>
      </c>
      <c r="I422" s="77">
        <v>1205638</v>
      </c>
      <c r="J422" s="7">
        <v>331</v>
      </c>
      <c r="K422" s="78">
        <v>2081.9899999999998</v>
      </c>
      <c r="L422" s="79" t="s">
        <v>111</v>
      </c>
      <c r="M422" s="6">
        <v>160</v>
      </c>
      <c r="N422" s="5">
        <f t="shared" si="46"/>
        <v>674</v>
      </c>
      <c r="O422" s="80">
        <f t="shared" si="47"/>
        <v>6.2899999999999991</v>
      </c>
      <c r="P422" s="8">
        <f t="shared" si="48"/>
        <v>2.5196374622356497</v>
      </c>
      <c r="Q422" s="8">
        <f t="shared" si="53"/>
        <v>3.6561679790026247</v>
      </c>
      <c r="R422" s="81">
        <f t="shared" si="49"/>
        <v>0.19184652278177458</v>
      </c>
      <c r="S422" s="113" t="str">
        <f>IF(F422="","",IF(H422="",TEXT(_xlfn.MAXIFS($I$1:I422,$F$1:F422,F422,$H$1:H422,"&gt;"&amp;0),"000.000"),F422))</f>
        <v>OQC0C33</v>
      </c>
      <c r="T422" s="101">
        <f t="shared" si="54"/>
        <v>674</v>
      </c>
      <c r="U422" s="82" t="s">
        <v>220</v>
      </c>
      <c r="V422" s="98" t="s">
        <v>206</v>
      </c>
      <c r="W422" s="82" t="s">
        <v>225</v>
      </c>
      <c r="X422" s="98" t="s">
        <v>272</v>
      </c>
      <c r="Y422" s="82" t="s">
        <v>225</v>
      </c>
      <c r="Z422" s="98" t="s">
        <v>284</v>
      </c>
      <c r="AA422" s="82" t="s">
        <v>221</v>
      </c>
      <c r="AB422" s="98" t="s">
        <v>168</v>
      </c>
      <c r="AC422" s="82" t="s">
        <v>225</v>
      </c>
      <c r="AD422" s="98" t="s">
        <v>237</v>
      </c>
      <c r="AE422" s="82" t="s">
        <v>220</v>
      </c>
      <c r="AF422" s="98" t="s">
        <v>165</v>
      </c>
      <c r="AG422" s="82"/>
      <c r="AH422" s="98"/>
      <c r="AI422" s="82"/>
      <c r="AJ422" s="98"/>
      <c r="AK422" s="83"/>
      <c r="AL422" s="84" t="str">
        <f>IF(F422&lt;&gt;0,IF(_xlfn.MAXIFS($I$1:I422,$F$1:F422,F422,$H$1:H422,"&gt;"&amp;0)=0,"KM NÃO ENCONTRADO",IF(H422=0,CONCATENATE("SUGESTÃO DE KM PARA PLACA ",F422," *",_xlfn.MAXIFS($I$1:I422,$F$1:F422,F422,$H$1:H422,"&gt;"&amp;0),"*"),"")),"")</f>
        <v/>
      </c>
      <c r="AM422" s="85" t="str" cm="1">
        <f t="array" ref="AM422">IFERROR(IF(M422&lt;&gt;"","",CONCATENATE("https://btx.brasiltrack.com/logistica/trajeto.php?idveiculo=",VLOOKUP(F422,DATAS!$A$221:$B$250,2,FALSE),"&amp;lat=-22.204247","&amp;data_ini=",TEXT(IF(E422&lt;&gt;"",IF(COUNTIF($F$2:$F422,F422)&gt;1,MAX(IF($F$1:$F421=F422,$E$1:$E421)),""),""),"DD/MM/AAAA"),"&amp;data_fim=",TEXT(E422,"DD/MM/AAAA"),"&amp;hora_inicial=",HOUR(IF(E422&lt;&gt;"",IF(COUNTIF($F$2:$F422,F422)&gt;1,MAX(IF($F$1:$F421=F422,$E$1:$E421)),""),"")),"&amp;minuto_inicial=",MINUTE(IF(E422&lt;&gt;"",IF(COUNTIF($F$2:$F422,F422)&gt;1,MAX(IF($F$1:$F421=F422,$E$1:$E421)),""),"")),"&amp;hora_final=",HOUR(E422),"&amp;minuto_final=",MINUTE(E422),"&amp;periodo=6&amp;tipo=por_data&amp;upos=false&amp;outequip=0")),"")</f>
        <v/>
      </c>
      <c r="AN422" s="100" t="str">
        <f t="shared" si="50"/>
        <v xml:space="preserve">ABASTECEU no CANDEIAS-MG PASSOU em ARCOS-MG PASSOU em SÃO PAULO-SP CARREGOU em CUBATAO-SP PASSOU em ARUJÁ-SP ABASTECEU no 22 NORTE    </v>
      </c>
    </row>
    <row r="423" spans="1:40" x14ac:dyDescent="0.25">
      <c r="A423" s="101">
        <f>IFERROR(VLOOKUP(AN423,ROTAS!$A:$B,2,FALSE),0)</f>
        <v>121</v>
      </c>
      <c r="B423" s="101">
        <f t="shared" si="51"/>
        <v>6</v>
      </c>
      <c r="C423" s="101">
        <f t="shared" si="52"/>
        <v>679.83333333333337</v>
      </c>
      <c r="D423" s="144">
        <v>44927</v>
      </c>
      <c r="E423" s="76">
        <v>44936.406944444447</v>
      </c>
      <c r="F423" s="6" t="s">
        <v>126</v>
      </c>
      <c r="G423" s="5" t="str">
        <f>IFERROR(VLOOKUP(SUMIFS(MSOLICITADA!$I:$I,MSOLICITADA!$B:$B,D423,MSOLICITADA!$F:$F,F423),CODIGOSPLACAS!$A$64:$B$89,2,FALSE),"")</f>
        <v>IZAIAS</v>
      </c>
      <c r="H423" s="77">
        <v>493131</v>
      </c>
      <c r="I423" s="77">
        <v>493811</v>
      </c>
      <c r="J423" s="7">
        <v>415.6</v>
      </c>
      <c r="K423" s="78">
        <v>2614.12</v>
      </c>
      <c r="L423" s="79" t="s">
        <v>111</v>
      </c>
      <c r="M423" s="6">
        <v>340</v>
      </c>
      <c r="N423" s="5">
        <f t="shared" si="46"/>
        <v>340</v>
      </c>
      <c r="O423" s="80">
        <f t="shared" si="47"/>
        <v>6.2899903753609232</v>
      </c>
      <c r="P423" s="8">
        <f t="shared" si="48"/>
        <v>1.6361886429258903</v>
      </c>
      <c r="Q423" s="8">
        <f t="shared" si="53"/>
        <v>1.5602257971131808</v>
      </c>
      <c r="R423" s="81">
        <f t="shared" si="49"/>
        <v>0.5</v>
      </c>
      <c r="S423" s="113" t="str">
        <f>IF(F423="","",IF(H423="",TEXT(_xlfn.MAXIFS($I$1:I423,$F$1:F423,F423,$H$1:H423,"&gt;"&amp;0),"000.000"),F423))</f>
        <v>GHX4D71</v>
      </c>
      <c r="T423" s="101">
        <f t="shared" si="54"/>
        <v>339.83333333333331</v>
      </c>
      <c r="U423" s="82" t="s">
        <v>220</v>
      </c>
      <c r="V423" s="98" t="s">
        <v>165</v>
      </c>
      <c r="W423" s="82" t="s">
        <v>222</v>
      </c>
      <c r="X423" s="98" t="s">
        <v>200</v>
      </c>
      <c r="Y423" s="82" t="s">
        <v>225</v>
      </c>
      <c r="Z423" s="98" t="s">
        <v>237</v>
      </c>
      <c r="AA423" s="82" t="s">
        <v>221</v>
      </c>
      <c r="AB423" s="98" t="s">
        <v>168</v>
      </c>
      <c r="AC423" s="82" t="s">
        <v>225</v>
      </c>
      <c r="AD423" s="98" t="s">
        <v>237</v>
      </c>
      <c r="AE423" s="82" t="s">
        <v>220</v>
      </c>
      <c r="AF423" s="98" t="s">
        <v>165</v>
      </c>
      <c r="AG423" s="82"/>
      <c r="AH423" s="98"/>
      <c r="AI423" s="82"/>
      <c r="AJ423" s="98"/>
      <c r="AK423" s="83"/>
      <c r="AL423" s="84" t="str">
        <f>IF(F423&lt;&gt;0,IF(_xlfn.MAXIFS($I$1:I423,$F$1:F423,F423,$H$1:H423,"&gt;"&amp;0)=0,"KM NÃO ENCONTRADO",IF(H423=0,CONCATENATE("SUGESTÃO DE KM PARA PLACA ",F423," *",_xlfn.MAXIFS($I$1:I423,$F$1:F423,F423,$H$1:H423,"&gt;"&amp;0),"*"),"")),"")</f>
        <v/>
      </c>
      <c r="AM423" s="85" t="str" cm="1">
        <f t="array" ref="AM423">IFERROR(IF(M423&lt;&gt;"","",CONCATENATE("https://btx.brasiltrack.com/logistica/trajeto.php?idveiculo=",VLOOKUP(F423,DATAS!$A$221:$B$250,2,FALSE),"&amp;lat=-22.204247","&amp;data_ini=",TEXT(IF(E423&lt;&gt;"",IF(COUNTIF($F$2:$F423,F423)&gt;1,MAX(IF($F$1:$F422=F423,$E$1:$E422)),""),""),"DD/MM/AAAA"),"&amp;data_fim=",TEXT(E423,"DD/MM/AAAA"),"&amp;hora_inicial=",HOUR(IF(E423&lt;&gt;"",IF(COUNTIF($F$2:$F423,F423)&gt;1,MAX(IF($F$1:$F422=F423,$E$1:$E422)),""),"")),"&amp;minuto_inicial=",MINUTE(IF(E423&lt;&gt;"",IF(COUNTIF($F$2:$F423,F423)&gt;1,MAX(IF($F$1:$F422=F423,$E$1:$E422)),""),"")),"&amp;hora_final=",HOUR(E423),"&amp;minuto_final=",MINUTE(E423),"&amp;periodo=6&amp;tipo=por_data&amp;upos=false&amp;outequip=0")),"")</f>
        <v/>
      </c>
      <c r="AN423" s="100" t="str">
        <f t="shared" si="50"/>
        <v xml:space="preserve">ABASTECEU no 22 NORTE DESCARREGOU em CONGONHAL-MG PASSOU em ARUJÁ-SP CARREGOU em CUBATAO-SP PASSOU em ARUJÁ-SP ABASTECEU no 22 NORTE    </v>
      </c>
    </row>
    <row r="424" spans="1:40" x14ac:dyDescent="0.25">
      <c r="A424" s="101">
        <f>IFERROR(VLOOKUP(AN424,ROTAS!$A:$B,2,FALSE),0)</f>
        <v>71</v>
      </c>
      <c r="B424" s="101">
        <f t="shared" si="51"/>
        <v>5</v>
      </c>
      <c r="C424" s="101">
        <f t="shared" si="52"/>
        <v>737.6</v>
      </c>
      <c r="D424" s="144">
        <v>44927</v>
      </c>
      <c r="E424" s="76">
        <v>44937.168749999997</v>
      </c>
      <c r="F424" s="6" t="s">
        <v>27</v>
      </c>
      <c r="G424" s="5" t="str">
        <f>IFERROR(VLOOKUP(SUMIFS(MSOLICITADA!$I:$I,MSOLICITADA!$B:$B,D424,MSOLICITADA!$F:$F,F424),CODIGOSPLACAS!$A$64:$B$89,2,FALSE),"")</f>
        <v>ANTONIO</v>
      </c>
      <c r="H424" s="77">
        <v>250420</v>
      </c>
      <c r="I424" s="77">
        <v>251151</v>
      </c>
      <c r="J424" s="7">
        <v>489</v>
      </c>
      <c r="K424" s="78">
        <v>3026.91</v>
      </c>
      <c r="L424" s="79" t="s">
        <v>111</v>
      </c>
      <c r="M424" s="6">
        <v>365</v>
      </c>
      <c r="N424" s="5">
        <f t="shared" si="46"/>
        <v>366</v>
      </c>
      <c r="O424" s="80">
        <f t="shared" si="47"/>
        <v>6.1899999999999995</v>
      </c>
      <c r="P424" s="8">
        <f t="shared" si="48"/>
        <v>1.4948875255623721</v>
      </c>
      <c r="Q424" s="8">
        <f t="shared" si="53"/>
        <v>1.4666276036610979</v>
      </c>
      <c r="R424" s="81">
        <f t="shared" si="49"/>
        <v>0.4993160054719562</v>
      </c>
      <c r="S424" s="113" t="str">
        <f>IF(F424="","",IF(H424="",TEXT(_xlfn.MAXIFS($I$1:I424,$F$1:F424,F424,$H$1:H424,"&gt;"&amp;0),"000.000"),F424))</f>
        <v>GHS4J57</v>
      </c>
      <c r="T424" s="101">
        <f t="shared" si="54"/>
        <v>369</v>
      </c>
      <c r="U424" s="82" t="s">
        <v>220</v>
      </c>
      <c r="V424" s="98" t="s">
        <v>165</v>
      </c>
      <c r="W424" s="82" t="s">
        <v>222</v>
      </c>
      <c r="X424" s="98" t="s">
        <v>201</v>
      </c>
      <c r="Y424" s="82" t="s">
        <v>225</v>
      </c>
      <c r="Z424" s="98" t="s">
        <v>284</v>
      </c>
      <c r="AA424" s="82" t="s">
        <v>221</v>
      </c>
      <c r="AB424" s="98" t="s">
        <v>168</v>
      </c>
      <c r="AC424" s="82" t="s">
        <v>225</v>
      </c>
      <c r="AD424" s="98" t="s">
        <v>284</v>
      </c>
      <c r="AE424" s="82" t="s">
        <v>220</v>
      </c>
      <c r="AF424" s="98" t="s">
        <v>165</v>
      </c>
      <c r="AG424" s="82"/>
      <c r="AH424" s="98"/>
      <c r="AI424" s="82"/>
      <c r="AJ424" s="98"/>
      <c r="AK424" s="83"/>
      <c r="AL424" s="84" t="str">
        <f>IF(F424&lt;&gt;0,IF(_xlfn.MAXIFS($I$1:I424,$F$1:F424,F424,$H$1:H424,"&gt;"&amp;0)=0,"KM NÃO ENCONTRADO",IF(H424=0,CONCATENATE("SUGESTÃO DE KM PARA PLACA ",F424," *",_xlfn.MAXIFS($I$1:I424,$F$1:F424,F424,$H$1:H424,"&gt;"&amp;0),"*"),"")),"")</f>
        <v/>
      </c>
      <c r="AM424" s="85" t="str" cm="1">
        <f t="array" ref="AM424">IFERROR(IF(M424&lt;&gt;"","",CONCATENATE("https://btx.brasiltrack.com/logistica/trajeto.php?idveiculo=",VLOOKUP(F424,DATAS!$A$221:$B$250,2,FALSE),"&amp;lat=-22.204247","&amp;data_ini=",TEXT(IF(E424&lt;&gt;"",IF(COUNTIF($F$2:$F424,F424)&gt;1,MAX(IF($F$1:$F423=F424,$E$1:$E423)),""),""),"DD/MM/AAAA"),"&amp;data_fim=",TEXT(E424,"DD/MM/AAAA"),"&amp;hora_inicial=",HOUR(IF(E424&lt;&gt;"",IF(COUNTIF($F$2:$F424,F424)&gt;1,MAX(IF($F$1:$F423=F424,$E$1:$E423)),""),"")),"&amp;minuto_inicial=",MINUTE(IF(E424&lt;&gt;"",IF(COUNTIF($F$2:$F424,F424)&gt;1,MAX(IF($F$1:$F423=F424,$E$1:$E423)),""),"")),"&amp;hora_final=",HOUR(E424),"&amp;minuto_final=",MINUTE(E424),"&amp;periodo=6&amp;tipo=por_data&amp;upos=false&amp;outequip=0")),"")</f>
        <v/>
      </c>
      <c r="AN424" s="100" t="str">
        <f t="shared" si="50"/>
        <v xml:space="preserve">ABASTECEU no 22 NORTE DESCARREGOU em TRES CORACOES-MG PASSOU em SÃO PAULO-SP CARREGOU em CUBATAO-SP PASSOU em SÃO PAULO-SP ABASTECEU no 22 NORTE    </v>
      </c>
    </row>
    <row r="425" spans="1:40" x14ac:dyDescent="0.25">
      <c r="A425" s="101">
        <f>IFERROR(VLOOKUP(AN425,ROTAS!$A:$B,2,FALSE),0)</f>
        <v>71</v>
      </c>
      <c r="B425" s="101">
        <f t="shared" si="51"/>
        <v>5</v>
      </c>
      <c r="C425" s="101">
        <f t="shared" si="52"/>
        <v>737.6</v>
      </c>
      <c r="D425" s="144">
        <v>44927</v>
      </c>
      <c r="E425" s="76">
        <v>44937.171527777777</v>
      </c>
      <c r="F425" s="6" t="s">
        <v>30</v>
      </c>
      <c r="G425" s="5" t="str">
        <f>IFERROR(VLOOKUP(SUMIFS(MSOLICITADA!$I:$I,MSOLICITADA!$B:$B,D425,MSOLICITADA!$F:$F,F425),CODIGOSPLACAS!$A$64:$B$89,2,FALSE),"")</f>
        <v>RONILSON</v>
      </c>
      <c r="H425" s="77">
        <v>222082</v>
      </c>
      <c r="I425" s="77">
        <v>222819</v>
      </c>
      <c r="J425" s="7">
        <v>443</v>
      </c>
      <c r="K425" s="78">
        <v>2742.17</v>
      </c>
      <c r="L425" s="79" t="s">
        <v>111</v>
      </c>
      <c r="M425" s="6">
        <v>368</v>
      </c>
      <c r="N425" s="5">
        <f t="shared" si="46"/>
        <v>369</v>
      </c>
      <c r="O425" s="80">
        <f t="shared" si="47"/>
        <v>6.19</v>
      </c>
      <c r="P425" s="8">
        <f t="shared" si="48"/>
        <v>1.6636568848758464</v>
      </c>
      <c r="Q425" s="8">
        <f t="shared" si="53"/>
        <v>1.6205104706314435</v>
      </c>
      <c r="R425" s="81">
        <f t="shared" si="49"/>
        <v>0.49932157394843962</v>
      </c>
      <c r="S425" s="113" t="str">
        <f>IF(F425="","",IF(H425="",TEXT(_xlfn.MAXIFS($I$1:I425,$F$1:F425,F425,$H$1:H425,"&gt;"&amp;0),"000.000"),F425))</f>
        <v>GFB0I37</v>
      </c>
      <c r="T425" s="101">
        <f t="shared" si="54"/>
        <v>369</v>
      </c>
      <c r="U425" s="82" t="s">
        <v>220</v>
      </c>
      <c r="V425" s="98" t="s">
        <v>165</v>
      </c>
      <c r="W425" s="82" t="s">
        <v>222</v>
      </c>
      <c r="X425" s="98" t="s">
        <v>201</v>
      </c>
      <c r="Y425" s="82" t="s">
        <v>225</v>
      </c>
      <c r="Z425" s="98" t="s">
        <v>284</v>
      </c>
      <c r="AA425" s="82" t="s">
        <v>221</v>
      </c>
      <c r="AB425" s="98" t="s">
        <v>168</v>
      </c>
      <c r="AC425" s="82" t="s">
        <v>225</v>
      </c>
      <c r="AD425" s="98" t="s">
        <v>284</v>
      </c>
      <c r="AE425" s="82" t="s">
        <v>220</v>
      </c>
      <c r="AF425" s="98" t="s">
        <v>165</v>
      </c>
      <c r="AG425" s="82"/>
      <c r="AH425" s="98"/>
      <c r="AI425" s="82"/>
      <c r="AJ425" s="98"/>
      <c r="AK425" s="83"/>
      <c r="AL425" s="84" t="str">
        <f>IF(F425&lt;&gt;0,IF(_xlfn.MAXIFS($I$1:I425,$F$1:F425,F425,$H$1:H425,"&gt;"&amp;0)=0,"KM NÃO ENCONTRADO",IF(H425=0,CONCATENATE("SUGESTÃO DE KM PARA PLACA ",F425," *",_xlfn.MAXIFS($I$1:I425,$F$1:F425,F425,$H$1:H425,"&gt;"&amp;0),"*"),"")),"")</f>
        <v/>
      </c>
      <c r="AM425" s="85" t="str" cm="1">
        <f t="array" ref="AM425">IFERROR(IF(M425&lt;&gt;"","",CONCATENATE("https://btx.brasiltrack.com/logistica/trajeto.php?idveiculo=",VLOOKUP(F425,DATAS!$A$221:$B$250,2,FALSE),"&amp;lat=-22.204247","&amp;data_ini=",TEXT(IF(E425&lt;&gt;"",IF(COUNTIF($F$2:$F425,F425)&gt;1,MAX(IF($F$1:$F424=F425,$E$1:$E424)),""),""),"DD/MM/AAAA"),"&amp;data_fim=",TEXT(E425,"DD/MM/AAAA"),"&amp;hora_inicial=",HOUR(IF(E425&lt;&gt;"",IF(COUNTIF($F$2:$F425,F425)&gt;1,MAX(IF($F$1:$F424=F425,$E$1:$E424)),""),"")),"&amp;minuto_inicial=",MINUTE(IF(E425&lt;&gt;"",IF(COUNTIF($F$2:$F425,F425)&gt;1,MAX(IF($F$1:$F424=F425,$E$1:$E424)),""),"")),"&amp;hora_final=",HOUR(E425),"&amp;minuto_final=",MINUTE(E425),"&amp;periodo=6&amp;tipo=por_data&amp;upos=false&amp;outequip=0")),"")</f>
        <v/>
      </c>
      <c r="AN425" s="100" t="str">
        <f t="shared" si="50"/>
        <v xml:space="preserve">ABASTECEU no 22 NORTE DESCARREGOU em TRES CORACOES-MG PASSOU em SÃO PAULO-SP CARREGOU em CUBATAO-SP PASSOU em SÃO PAULO-SP ABASTECEU no 22 NORTE    </v>
      </c>
    </row>
    <row r="426" spans="1:40" x14ac:dyDescent="0.25">
      <c r="A426" s="101">
        <f>IFERROR(VLOOKUP(AN426,ROTAS!$A:$B,2,FALSE),0)</f>
        <v>115</v>
      </c>
      <c r="B426" s="101">
        <f t="shared" si="51"/>
        <v>2</v>
      </c>
      <c r="C426" s="101">
        <f t="shared" si="52"/>
        <v>783</v>
      </c>
      <c r="D426" s="144">
        <v>44927</v>
      </c>
      <c r="E426" s="76">
        <v>44937.177083333336</v>
      </c>
      <c r="F426" s="6" t="s">
        <v>24</v>
      </c>
      <c r="G426" s="5" t="str">
        <f>IFERROR(VLOOKUP(SUMIFS(MSOLICITADA!$I:$I,MSOLICITADA!$B:$B,D426,MSOLICITADA!$F:$F,F426),CODIGOSPLACAS!$A$64:$B$89,2,FALSE),"")</f>
        <v>PAULO HENR.</v>
      </c>
      <c r="H426" s="77">
        <v>949849</v>
      </c>
      <c r="I426" s="77">
        <v>950639</v>
      </c>
      <c r="J426" s="7">
        <v>508</v>
      </c>
      <c r="K426" s="78">
        <v>3144.2</v>
      </c>
      <c r="L426" s="79" t="s">
        <v>111</v>
      </c>
      <c r="M426" s="6">
        <v>395</v>
      </c>
      <c r="N426" s="5">
        <f t="shared" si="46"/>
        <v>395</v>
      </c>
      <c r="O426" s="80">
        <f t="shared" si="47"/>
        <v>6.1893700787401569</v>
      </c>
      <c r="P426" s="8">
        <f t="shared" si="48"/>
        <v>1.5551181102362204</v>
      </c>
      <c r="Q426" s="8">
        <f t="shared" si="53"/>
        <v>1.5194077812359499</v>
      </c>
      <c r="R426" s="81">
        <f t="shared" si="49"/>
        <v>0.5</v>
      </c>
      <c r="S426" s="113" t="str">
        <f>IF(F426="","",IF(H426="",TEXT(_xlfn.MAXIFS($I$1:I426,$F$1:F426,F426,$H$1:H426,"&gt;"&amp;0),"000.000"),F426))</f>
        <v>FKS0J24</v>
      </c>
      <c r="T426" s="101">
        <f t="shared" si="54"/>
        <v>391.5</v>
      </c>
      <c r="U426" s="82" t="s">
        <v>220</v>
      </c>
      <c r="V426" s="98" t="s">
        <v>165</v>
      </c>
      <c r="W426" s="82" t="s">
        <v>222</v>
      </c>
      <c r="X426" s="98" t="s">
        <v>176</v>
      </c>
      <c r="Y426" s="82" t="s">
        <v>225</v>
      </c>
      <c r="Z426" s="98" t="s">
        <v>284</v>
      </c>
      <c r="AA426" s="82" t="s">
        <v>221</v>
      </c>
      <c r="AB426" s="98" t="s">
        <v>168</v>
      </c>
      <c r="AC426" s="82" t="s">
        <v>225</v>
      </c>
      <c r="AD426" s="98" t="s">
        <v>284</v>
      </c>
      <c r="AE426" s="82" t="s">
        <v>220</v>
      </c>
      <c r="AF426" s="98" t="s">
        <v>165</v>
      </c>
      <c r="AG426" s="82"/>
      <c r="AH426" s="98"/>
      <c r="AI426" s="82"/>
      <c r="AJ426" s="98"/>
      <c r="AK426" s="83"/>
      <c r="AL426" s="84" t="str">
        <f>IF(F426&lt;&gt;0,IF(_xlfn.MAXIFS($I$1:I426,$F$1:F426,F426,$H$1:H426,"&gt;"&amp;0)=0,"KM NÃO ENCONTRADO",IF(H426=0,CONCATENATE("SUGESTÃO DE KM PARA PLACA ",F426," *",_xlfn.MAXIFS($I$1:I426,$F$1:F426,F426,$H$1:H426,"&gt;"&amp;0),"*"),"")),"")</f>
        <v/>
      </c>
      <c r="AM426" s="85" t="str" cm="1">
        <f t="array" ref="AM426">IFERROR(IF(M426&lt;&gt;"","",CONCATENATE("https://btx.brasiltrack.com/logistica/trajeto.php?idveiculo=",VLOOKUP(F426,DATAS!$A$221:$B$250,2,FALSE),"&amp;lat=-22.204247","&amp;data_ini=",TEXT(IF(E426&lt;&gt;"",IF(COUNTIF($F$2:$F426,F426)&gt;1,MAX(IF($F$1:$F425=F426,$E$1:$E425)),""),""),"DD/MM/AAAA"),"&amp;data_fim=",TEXT(E426,"DD/MM/AAAA"),"&amp;hora_inicial=",HOUR(IF(E426&lt;&gt;"",IF(COUNTIF($F$2:$F426,F426)&gt;1,MAX(IF($F$1:$F425=F426,$E$1:$E425)),""),"")),"&amp;minuto_inicial=",MINUTE(IF(E426&lt;&gt;"",IF(COUNTIF($F$2:$F426,F426)&gt;1,MAX(IF($F$1:$F425=F426,$E$1:$E425)),""),"")),"&amp;hora_final=",HOUR(E426),"&amp;minuto_final=",MINUTE(E426),"&amp;periodo=6&amp;tipo=por_data&amp;upos=false&amp;outequip=0")),"")</f>
        <v/>
      </c>
      <c r="AN426" s="100" t="str">
        <f t="shared" si="50"/>
        <v xml:space="preserve">ABASTECEU no 22 NORTE DESCARREGOU em ALFENAS-MG PASSOU em SÃO PAULO-SP CARREGOU em CUBATAO-SP PASSOU em SÃO PAULO-SP ABASTECEU no 22 NORTE    </v>
      </c>
    </row>
    <row r="427" spans="1:40" x14ac:dyDescent="0.25">
      <c r="A427" s="101">
        <f>IFERROR(VLOOKUP(AN427,ROTAS!$A:$B,2,FALSE),0)</f>
        <v>111</v>
      </c>
      <c r="B427" s="101">
        <f t="shared" si="51"/>
        <v>12</v>
      </c>
      <c r="C427" s="101">
        <f t="shared" si="52"/>
        <v>633.83333333333337</v>
      </c>
      <c r="D427" s="144">
        <v>44927</v>
      </c>
      <c r="E427" s="76">
        <v>44937.189583333333</v>
      </c>
      <c r="F427" s="6" t="s">
        <v>26</v>
      </c>
      <c r="G427" s="5" t="str">
        <f>IFERROR(VLOOKUP(SUMIFS(MSOLICITADA!$I:$I,MSOLICITADA!$B:$B,D427,MSOLICITADA!$F:$F,F427),CODIGOSPLACAS!$A$64:$B$89,2,FALSE),"")</f>
        <v>DIEGO</v>
      </c>
      <c r="H427" s="77">
        <v>403023</v>
      </c>
      <c r="I427" s="77">
        <v>403662</v>
      </c>
      <c r="J427" s="7">
        <v>404.61</v>
      </c>
      <c r="K427" s="78">
        <v>2504.5300000000002</v>
      </c>
      <c r="L427" s="79" t="s">
        <v>111</v>
      </c>
      <c r="M427" s="6">
        <v>285</v>
      </c>
      <c r="N427" s="5">
        <f t="shared" si="46"/>
        <v>354</v>
      </c>
      <c r="O427" s="80">
        <f t="shared" si="47"/>
        <v>6.189985418056895</v>
      </c>
      <c r="P427" s="8">
        <f t="shared" si="48"/>
        <v>1.5792985838214577</v>
      </c>
      <c r="Q427" s="8">
        <f t="shared" si="53"/>
        <v>1.4763574081151452</v>
      </c>
      <c r="R427" s="81">
        <f t="shared" si="49"/>
        <v>0.4460093896713615</v>
      </c>
      <c r="S427" s="113" t="str">
        <f>IF(F427="","",IF(H427="",TEXT(_xlfn.MAXIFS($I$1:I427,$F$1:F427,F427,$H$1:H427,"&gt;"&amp;0),"000.000"),F427))</f>
        <v>BZA3587</v>
      </c>
      <c r="T427" s="101">
        <f t="shared" si="54"/>
        <v>345.41666666666669</v>
      </c>
      <c r="U427" s="82" t="s">
        <v>220</v>
      </c>
      <c r="V427" s="98" t="s">
        <v>165</v>
      </c>
      <c r="W427" s="82" t="s">
        <v>222</v>
      </c>
      <c r="X427" s="98" t="s">
        <v>200</v>
      </c>
      <c r="Y427" s="82" t="s">
        <v>225</v>
      </c>
      <c r="Z427" s="98" t="s">
        <v>237</v>
      </c>
      <c r="AA427" s="82" t="s">
        <v>221</v>
      </c>
      <c r="AB427" s="98" t="s">
        <v>168</v>
      </c>
      <c r="AC427" s="82" t="s">
        <v>225</v>
      </c>
      <c r="AD427" s="98" t="s">
        <v>284</v>
      </c>
      <c r="AE427" s="82" t="s">
        <v>220</v>
      </c>
      <c r="AF427" s="98" t="s">
        <v>165</v>
      </c>
      <c r="AG427" s="82"/>
      <c r="AH427" s="98"/>
      <c r="AI427" s="82"/>
      <c r="AJ427" s="98"/>
      <c r="AK427" s="83"/>
      <c r="AL427" s="84" t="str">
        <f>IF(F427&lt;&gt;0,IF(_xlfn.MAXIFS($I$1:I427,$F$1:F427,F427,$H$1:H427,"&gt;"&amp;0)=0,"KM NÃO ENCONTRADO",IF(H427=0,CONCATENATE("SUGESTÃO DE KM PARA PLACA ",F427," *",_xlfn.MAXIFS($I$1:I427,$F$1:F427,F427,$H$1:H427,"&gt;"&amp;0),"*"),"")),"")</f>
        <v/>
      </c>
      <c r="AM427" s="85" t="str" cm="1">
        <f t="array" ref="AM427">IFERROR(IF(M427&lt;&gt;"","",CONCATENATE("https://btx.brasiltrack.com/logistica/trajeto.php?idveiculo=",VLOOKUP(F427,DATAS!$A$221:$B$250,2,FALSE),"&amp;lat=-22.204247","&amp;data_ini=",TEXT(IF(E427&lt;&gt;"",IF(COUNTIF($F$2:$F427,F427)&gt;1,MAX(IF($F$1:$F426=F427,$E$1:$E426)),""),""),"DD/MM/AAAA"),"&amp;data_fim=",TEXT(E427,"DD/MM/AAAA"),"&amp;hora_inicial=",HOUR(IF(E427&lt;&gt;"",IF(COUNTIF($F$2:$F427,F427)&gt;1,MAX(IF($F$1:$F426=F427,$E$1:$E426)),""),"")),"&amp;minuto_inicial=",MINUTE(IF(E427&lt;&gt;"",IF(COUNTIF($F$2:$F427,F427)&gt;1,MAX(IF($F$1:$F426=F427,$E$1:$E426)),""),"")),"&amp;hora_final=",HOUR(E427),"&amp;minuto_final=",MINUTE(E427),"&amp;periodo=6&amp;tipo=por_data&amp;upos=false&amp;outequip=0")),"")</f>
        <v/>
      </c>
      <c r="AN427" s="100" t="str">
        <f t="shared" si="50"/>
        <v xml:space="preserve">ABASTECEU no 22 NORTE DESCARREGOU em CONGONHAL-MG PASSOU em ARUJÁ-SP CARREGOU em CUBATAO-SP PASSOU em SÃO PAULO-SP ABASTECEU no 22 NORTE    </v>
      </c>
    </row>
    <row r="428" spans="1:40" x14ac:dyDescent="0.25">
      <c r="A428" s="101">
        <f>IFERROR(VLOOKUP(AN428,ROTAS!$A:$B,2,FALSE),0)</f>
        <v>119</v>
      </c>
      <c r="B428" s="101">
        <f t="shared" si="51"/>
        <v>2</v>
      </c>
      <c r="C428" s="101">
        <f t="shared" si="52"/>
        <v>989</v>
      </c>
      <c r="D428" s="144">
        <v>44927</v>
      </c>
      <c r="E428" s="76">
        <v>44937.189583333333</v>
      </c>
      <c r="F428" s="6" t="s">
        <v>28</v>
      </c>
      <c r="G428" s="5" t="str">
        <f>IFERROR(VLOOKUP(SUMIFS(MSOLICITADA!$I:$I,MSOLICITADA!$B:$B,D428,MSOLICITADA!$F:$F,F428),CODIGOSPLACAS!$A$64:$B$89,2,FALSE),"")</f>
        <v>RONY</v>
      </c>
      <c r="H428" s="77">
        <v>245722</v>
      </c>
      <c r="I428" s="77">
        <v>246715</v>
      </c>
      <c r="J428" s="7">
        <v>500.81</v>
      </c>
      <c r="K428" s="78">
        <v>3100.01</v>
      </c>
      <c r="L428" s="79" t="s">
        <v>111</v>
      </c>
      <c r="M428" s="6">
        <v>409</v>
      </c>
      <c r="N428" s="5">
        <f t="shared" si="46"/>
        <v>584</v>
      </c>
      <c r="O428" s="80">
        <f t="shared" si="47"/>
        <v>6.1899922126155635</v>
      </c>
      <c r="P428" s="8">
        <f t="shared" si="48"/>
        <v>1.6332078162251287</v>
      </c>
      <c r="Q428" s="8">
        <f t="shared" si="53"/>
        <v>1.519654959485309</v>
      </c>
      <c r="R428" s="81">
        <f t="shared" si="49"/>
        <v>0.41188318227593151</v>
      </c>
      <c r="S428" s="113" t="str">
        <f>IF(F428="","",IF(H428="",TEXT(_xlfn.MAXIFS($I$1:I428,$F$1:F428,F428,$H$1:H428,"&gt;"&amp;0),"000.000"),F428))</f>
        <v>FZA3E94</v>
      </c>
      <c r="T428" s="101">
        <f t="shared" si="54"/>
        <v>584</v>
      </c>
      <c r="U428" s="82" t="s">
        <v>220</v>
      </c>
      <c r="V428" s="98" t="s">
        <v>165</v>
      </c>
      <c r="W428" s="82" t="s">
        <v>222</v>
      </c>
      <c r="X428" s="98" t="s">
        <v>201</v>
      </c>
      <c r="Y428" s="82" t="s">
        <v>225</v>
      </c>
      <c r="Z428" s="98" t="s">
        <v>206</v>
      </c>
      <c r="AA428" s="82" t="s">
        <v>225</v>
      </c>
      <c r="AB428" s="98" t="s">
        <v>284</v>
      </c>
      <c r="AC428" s="82" t="s">
        <v>221</v>
      </c>
      <c r="AD428" s="98" t="s">
        <v>168</v>
      </c>
      <c r="AE428" s="82" t="s">
        <v>225</v>
      </c>
      <c r="AF428" s="98" t="s">
        <v>284</v>
      </c>
      <c r="AG428" s="82" t="s">
        <v>220</v>
      </c>
      <c r="AH428" s="98" t="s">
        <v>165</v>
      </c>
      <c r="AI428" s="82"/>
      <c r="AJ428" s="98"/>
      <c r="AK428" s="83">
        <v>260</v>
      </c>
      <c r="AL428" s="84" t="str">
        <f>IF(F428&lt;&gt;0,IF(_xlfn.MAXIFS($I$1:I428,$F$1:F428,F428,$H$1:H428,"&gt;"&amp;0)=0,"KM NÃO ENCONTRADO",IF(H428=0,CONCATENATE("SUGESTÃO DE KM PARA PLACA ",F428," *",_xlfn.MAXIFS($I$1:I428,$F$1:F428,F428,$H$1:H428,"&gt;"&amp;0),"*"),"")),"")</f>
        <v/>
      </c>
      <c r="AM428" s="85" t="str" cm="1">
        <f t="array" ref="AM428">IFERROR(IF(M428&lt;&gt;"","",CONCATENATE("https://btx.brasiltrack.com/logistica/trajeto.php?idveiculo=",VLOOKUP(F428,DATAS!$A$221:$B$250,2,FALSE),"&amp;lat=-22.204247","&amp;data_ini=",TEXT(IF(E428&lt;&gt;"",IF(COUNTIF($F$2:$F428,F428)&gt;1,MAX(IF($F$1:$F427=F428,$E$1:$E427)),""),""),"DD/MM/AAAA"),"&amp;data_fim=",TEXT(E428,"DD/MM/AAAA"),"&amp;hora_inicial=",HOUR(IF(E428&lt;&gt;"",IF(COUNTIF($F$2:$F428,F428)&gt;1,MAX(IF($F$1:$F427=F428,$E$1:$E427)),""),"")),"&amp;minuto_inicial=",MINUTE(IF(E428&lt;&gt;"",IF(COUNTIF($F$2:$F428,F428)&gt;1,MAX(IF($F$1:$F427=F428,$E$1:$E427)),""),"")),"&amp;hora_final=",HOUR(E428),"&amp;minuto_final=",MINUTE(E428),"&amp;periodo=6&amp;tipo=por_data&amp;upos=false&amp;outequip=0")),"")</f>
        <v/>
      </c>
      <c r="AN428" s="100" t="str">
        <f t="shared" si="50"/>
        <v xml:space="preserve">ABASTECEU no 22 NORTE DESCARREGOU em TRES CORACOES-MG PASSOU em CANDEIAS-MG PASSOU em SÃO PAULO-SP CARREGOU em CUBATAO-SP PASSOU em SÃO PAULO-SP ABASTECEU no 22 NORTE  </v>
      </c>
    </row>
    <row r="429" spans="1:40" x14ac:dyDescent="0.25">
      <c r="A429" s="101">
        <f>IFERROR(VLOOKUP(AN429,ROTAS!$A:$B,2,FALSE),0)</f>
        <v>59</v>
      </c>
      <c r="B429" s="101">
        <f t="shared" si="51"/>
        <v>6</v>
      </c>
      <c r="C429" s="101">
        <f t="shared" si="52"/>
        <v>783.16666666666663</v>
      </c>
      <c r="D429" s="144">
        <v>44927</v>
      </c>
      <c r="E429" s="76">
        <v>44937.219444444447</v>
      </c>
      <c r="F429" s="6" t="s">
        <v>23</v>
      </c>
      <c r="G429" s="5" t="str">
        <f>IFERROR(VLOOKUP(SUMIFS(MSOLICITADA!$I:$I,MSOLICITADA!$B:$B,D429,MSOLICITADA!$F:$F,F429),CODIGOSPLACAS!$A$64:$B$89,2,FALSE),"")</f>
        <v>ISAC</v>
      </c>
      <c r="H429" s="77">
        <v>1207895</v>
      </c>
      <c r="I429" s="77">
        <v>1208681</v>
      </c>
      <c r="J429" s="7">
        <v>481</v>
      </c>
      <c r="K429" s="78">
        <v>2977.39</v>
      </c>
      <c r="L429" s="79" t="s">
        <v>111</v>
      </c>
      <c r="M429" s="6">
        <v>353</v>
      </c>
      <c r="N429" s="5">
        <f t="shared" si="46"/>
        <v>433</v>
      </c>
      <c r="O429" s="80">
        <f t="shared" si="47"/>
        <v>6.1899999999999995</v>
      </c>
      <c r="P429" s="8">
        <f t="shared" si="48"/>
        <v>1.6340956340956341</v>
      </c>
      <c r="Q429" s="8">
        <f t="shared" si="53"/>
        <v>1.4592701282718794</v>
      </c>
      <c r="R429" s="81">
        <f t="shared" si="49"/>
        <v>0.44910941475826971</v>
      </c>
      <c r="S429" s="113" t="str">
        <f>IF(F429="","",IF(H429="",TEXT(_xlfn.MAXIFS($I$1:I429,$F$1:F429,F429,$H$1:H429,"&gt;"&amp;0),"000.000"),F429))</f>
        <v>HNC7I76</v>
      </c>
      <c r="T429" s="101">
        <f t="shared" si="54"/>
        <v>432.66666666666669</v>
      </c>
      <c r="U429" s="82" t="s">
        <v>220</v>
      </c>
      <c r="V429" s="98" t="s">
        <v>165</v>
      </c>
      <c r="W429" s="82" t="s">
        <v>222</v>
      </c>
      <c r="X429" s="98" t="s">
        <v>201</v>
      </c>
      <c r="Y429" s="82" t="s">
        <v>225</v>
      </c>
      <c r="Z429" s="98" t="s">
        <v>237</v>
      </c>
      <c r="AA429" s="82" t="s">
        <v>221</v>
      </c>
      <c r="AB429" s="98" t="s">
        <v>168</v>
      </c>
      <c r="AC429" s="82" t="s">
        <v>225</v>
      </c>
      <c r="AD429" s="98" t="s">
        <v>284</v>
      </c>
      <c r="AE429" s="82" t="s">
        <v>220</v>
      </c>
      <c r="AF429" s="98" t="s">
        <v>165</v>
      </c>
      <c r="AG429" s="82"/>
      <c r="AH429" s="98"/>
      <c r="AI429" s="82"/>
      <c r="AJ429" s="98"/>
      <c r="AK429" s="83"/>
      <c r="AL429" s="84" t="str">
        <f>IF(F429&lt;&gt;0,IF(_xlfn.MAXIFS($I$1:I429,$F$1:F429,F429,$H$1:H429,"&gt;"&amp;0)=0,"KM NÃO ENCONTRADO",IF(H429=0,CONCATENATE("SUGESTÃO DE KM PARA PLACA ",F429," *",_xlfn.MAXIFS($I$1:I429,$F$1:F429,F429,$H$1:H429,"&gt;"&amp;0),"*"),"")),"")</f>
        <v/>
      </c>
      <c r="AM429" s="85" t="str" cm="1">
        <f t="array" ref="AM429">IFERROR(IF(M429&lt;&gt;"","",CONCATENATE("https://btx.brasiltrack.com/logistica/trajeto.php?idveiculo=",VLOOKUP(F429,DATAS!$A$221:$B$250,2,FALSE),"&amp;lat=-22.204247","&amp;data_ini=",TEXT(IF(E429&lt;&gt;"",IF(COUNTIF($F$2:$F429,F429)&gt;1,MAX(IF($F$1:$F428=F429,$E$1:$E428)),""),""),"DD/MM/AAAA"),"&amp;data_fim=",TEXT(E429,"DD/MM/AAAA"),"&amp;hora_inicial=",HOUR(IF(E429&lt;&gt;"",IF(COUNTIF($F$2:$F429,F429)&gt;1,MAX(IF($F$1:$F428=F429,$E$1:$E428)),""),"")),"&amp;minuto_inicial=",MINUTE(IF(E429&lt;&gt;"",IF(COUNTIF($F$2:$F429,F429)&gt;1,MAX(IF($F$1:$F428=F429,$E$1:$E428)),""),"")),"&amp;hora_final=",HOUR(E429),"&amp;minuto_final=",MINUTE(E429),"&amp;periodo=6&amp;tipo=por_data&amp;upos=false&amp;outequip=0")),"")</f>
        <v/>
      </c>
      <c r="AN429" s="100" t="str">
        <f t="shared" si="50"/>
        <v xml:space="preserve">ABASTECEU no 22 NORTE DESCARREGOU em TRES CORACOES-MG PASSOU em ARUJÁ-SP CARREGOU em CUBATAO-SP PASSOU em SÃO PAULO-SP ABASTECEU no 22 NORTE    </v>
      </c>
    </row>
    <row r="430" spans="1:40" x14ac:dyDescent="0.25">
      <c r="A430" s="101">
        <f>IFERROR(VLOOKUP(AN430,ROTAS!$A:$B,2,FALSE),0)</f>
        <v>122</v>
      </c>
      <c r="B430" s="101">
        <f t="shared" si="51"/>
        <v>1</v>
      </c>
      <c r="C430" s="101">
        <f t="shared" si="52"/>
        <v>709</v>
      </c>
      <c r="D430" s="144">
        <v>44927</v>
      </c>
      <c r="E430" s="76">
        <v>44937.222222222219</v>
      </c>
      <c r="F430" s="6" t="s">
        <v>25</v>
      </c>
      <c r="G430" s="5" t="str">
        <f>IFERROR(VLOOKUP(SUMIFS(MSOLICITADA!$I:$I,MSOLICITADA!$B:$B,D430,MSOLICITADA!$F:$F,F430),CODIGOSPLACAS!$A$64:$B$89,2,FALSE),"")</f>
        <v>EDUALDO</v>
      </c>
      <c r="H430" s="77">
        <v>1013763</v>
      </c>
      <c r="I430" s="77">
        <v>1014472</v>
      </c>
      <c r="J430" s="7">
        <v>454</v>
      </c>
      <c r="K430" s="78">
        <v>2810.26</v>
      </c>
      <c r="L430" s="79" t="s">
        <v>111</v>
      </c>
      <c r="M430" s="6">
        <v>355</v>
      </c>
      <c r="N430" s="5">
        <f t="shared" si="46"/>
        <v>354</v>
      </c>
      <c r="O430" s="80">
        <f t="shared" si="47"/>
        <v>6.19</v>
      </c>
      <c r="P430" s="8">
        <f t="shared" si="48"/>
        <v>1.5616740088105727</v>
      </c>
      <c r="Q430" s="8">
        <f t="shared" si="53"/>
        <v>1.4288896110685252</v>
      </c>
      <c r="R430" s="81">
        <f t="shared" si="49"/>
        <v>0.50070521861777151</v>
      </c>
      <c r="S430" s="113" t="str">
        <f>IF(F430="","",IF(H430="",TEXT(_xlfn.MAXIFS($I$1:I430,$F$1:F430,F430,$H$1:H430,"&gt;"&amp;0),"000.000"),F430))</f>
        <v>QHE9735</v>
      </c>
      <c r="T430" s="101">
        <f t="shared" si="54"/>
        <v>354</v>
      </c>
      <c r="U430" s="82" t="s">
        <v>220</v>
      </c>
      <c r="V430" s="98" t="s">
        <v>165</v>
      </c>
      <c r="W430" s="82" t="s">
        <v>222</v>
      </c>
      <c r="X430" s="98" t="s">
        <v>200</v>
      </c>
      <c r="Y430" s="82" t="s">
        <v>225</v>
      </c>
      <c r="Z430" s="98" t="s">
        <v>284</v>
      </c>
      <c r="AA430" s="82" t="s">
        <v>221</v>
      </c>
      <c r="AB430" s="98" t="s">
        <v>178</v>
      </c>
      <c r="AC430" s="82" t="s">
        <v>225</v>
      </c>
      <c r="AD430" s="98" t="s">
        <v>284</v>
      </c>
      <c r="AE430" s="82" t="s">
        <v>220</v>
      </c>
      <c r="AF430" s="98" t="s">
        <v>165</v>
      </c>
      <c r="AG430" s="82"/>
      <c r="AH430" s="98"/>
      <c r="AI430" s="82"/>
      <c r="AJ430" s="98"/>
      <c r="AK430" s="83"/>
      <c r="AL430" s="84" t="str">
        <f>IF(F430&lt;&gt;0,IF(_xlfn.MAXIFS($I$1:I430,$F$1:F430,F430,$H$1:H430,"&gt;"&amp;0)=0,"KM NÃO ENCONTRADO",IF(H430=0,CONCATENATE("SUGESTÃO DE KM PARA PLACA ",F430," *",_xlfn.MAXIFS($I$1:I430,$F$1:F430,F430,$H$1:H430,"&gt;"&amp;0),"*"),"")),"")</f>
        <v/>
      </c>
      <c r="AM430" s="85" t="str" cm="1">
        <f t="array" ref="AM430">IFERROR(IF(M430&lt;&gt;"","",CONCATENATE("https://btx.brasiltrack.com/logistica/trajeto.php?idveiculo=",VLOOKUP(F430,DATAS!$A$221:$B$250,2,FALSE),"&amp;lat=-22.204247","&amp;data_ini=",TEXT(IF(E430&lt;&gt;"",IF(COUNTIF($F$2:$F430,F430)&gt;1,MAX(IF($F$1:$F429=F430,$E$1:$E429)),""),""),"DD/MM/AAAA"),"&amp;data_fim=",TEXT(E430,"DD/MM/AAAA"),"&amp;hora_inicial=",HOUR(IF(E430&lt;&gt;"",IF(COUNTIF($F$2:$F430,F430)&gt;1,MAX(IF($F$1:$F429=F430,$E$1:$E429)),""),"")),"&amp;minuto_inicial=",MINUTE(IF(E430&lt;&gt;"",IF(COUNTIF($F$2:$F430,F430)&gt;1,MAX(IF($F$1:$F429=F430,$E$1:$E429)),""),"")),"&amp;hora_final=",HOUR(E430),"&amp;minuto_final=",MINUTE(E430),"&amp;periodo=6&amp;tipo=por_data&amp;upos=false&amp;outequip=0")),"")</f>
        <v/>
      </c>
      <c r="AN430" s="100" t="str">
        <f t="shared" si="50"/>
        <v xml:space="preserve">ABASTECEU no 22 NORTE DESCARREGOU em CONGONHAL-MG PASSOU em SÃO PAULO-SP CARREGOU em GUARUJA-SP PASSOU em SÃO PAULO-SP ABASTECEU no 22 NORTE    </v>
      </c>
    </row>
    <row r="431" spans="1:40" x14ac:dyDescent="0.25">
      <c r="A431" s="101">
        <f>IFERROR(VLOOKUP(AN431,ROTAS!$A:$B,2,FALSE),0)</f>
        <v>111</v>
      </c>
      <c r="B431" s="101">
        <f t="shared" si="51"/>
        <v>12</v>
      </c>
      <c r="C431" s="101">
        <f t="shared" si="52"/>
        <v>633.83333333333337</v>
      </c>
      <c r="D431" s="144">
        <v>44927</v>
      </c>
      <c r="E431" s="76">
        <v>44937.226388888892</v>
      </c>
      <c r="F431" s="6" t="s">
        <v>33</v>
      </c>
      <c r="G431" s="5" t="str">
        <f>IFERROR(VLOOKUP(SUMIFS(MSOLICITADA!$I:$I,MSOLICITADA!$B:$B,D431,MSOLICITADA!$F:$F,F431),CODIGOSPLACAS!$A$64:$B$89,2,FALSE),"")</f>
        <v>JULIO</v>
      </c>
      <c r="H431" s="77">
        <v>166552</v>
      </c>
      <c r="I431" s="77">
        <v>167192</v>
      </c>
      <c r="J431" s="7">
        <v>373</v>
      </c>
      <c r="K431" s="78">
        <v>2308.87</v>
      </c>
      <c r="L431" s="79" t="s">
        <v>111</v>
      </c>
      <c r="M431" s="6">
        <v>292</v>
      </c>
      <c r="N431" s="5">
        <f t="shared" si="46"/>
        <v>348</v>
      </c>
      <c r="O431" s="80">
        <f t="shared" si="47"/>
        <v>6.1899999999999995</v>
      </c>
      <c r="P431" s="8">
        <f t="shared" si="48"/>
        <v>1.7158176943699732</v>
      </c>
      <c r="Q431" s="8">
        <f t="shared" si="53"/>
        <v>1.7400327790407339</v>
      </c>
      <c r="R431" s="81">
        <f t="shared" si="49"/>
        <v>0.45624999999999999</v>
      </c>
      <c r="S431" s="113" t="str">
        <f>IF(F431="","",IF(H431="",TEXT(_xlfn.MAXIFS($I$1:I431,$F$1:F431,F431,$H$1:H431,"&gt;"&amp;0),"000.000"),F431))</f>
        <v>GGF7G26</v>
      </c>
      <c r="T431" s="101">
        <f t="shared" si="54"/>
        <v>345.41666666666669</v>
      </c>
      <c r="U431" s="82" t="s">
        <v>220</v>
      </c>
      <c r="V431" s="98" t="s">
        <v>165</v>
      </c>
      <c r="W431" s="82" t="s">
        <v>222</v>
      </c>
      <c r="X431" s="98" t="s">
        <v>200</v>
      </c>
      <c r="Y431" s="82" t="s">
        <v>225</v>
      </c>
      <c r="Z431" s="98" t="s">
        <v>237</v>
      </c>
      <c r="AA431" s="82" t="s">
        <v>221</v>
      </c>
      <c r="AB431" s="98" t="s">
        <v>168</v>
      </c>
      <c r="AC431" s="82" t="s">
        <v>225</v>
      </c>
      <c r="AD431" s="98" t="s">
        <v>284</v>
      </c>
      <c r="AE431" s="82" t="s">
        <v>220</v>
      </c>
      <c r="AF431" s="98" t="s">
        <v>165</v>
      </c>
      <c r="AG431" s="82"/>
      <c r="AH431" s="98"/>
      <c r="AI431" s="82"/>
      <c r="AJ431" s="98"/>
      <c r="AK431" s="83"/>
      <c r="AL431" s="84" t="str">
        <f>IF(F431&lt;&gt;0,IF(_xlfn.MAXIFS($I$1:I431,$F$1:F431,F431,$H$1:H431,"&gt;"&amp;0)=0,"KM NÃO ENCONTRADO",IF(H431=0,CONCATENATE("SUGESTÃO DE KM PARA PLACA ",F431," *",_xlfn.MAXIFS($I$1:I431,$F$1:F431,F431,$H$1:H431,"&gt;"&amp;0),"*"),"")),"")</f>
        <v/>
      </c>
      <c r="AM431" s="85" t="str" cm="1">
        <f t="array" ref="AM431">IFERROR(IF(M431&lt;&gt;"","",CONCATENATE("https://btx.brasiltrack.com/logistica/trajeto.php?idveiculo=",VLOOKUP(F431,DATAS!$A$221:$B$250,2,FALSE),"&amp;lat=-22.204247","&amp;data_ini=",TEXT(IF(E431&lt;&gt;"",IF(COUNTIF($F$2:$F431,F431)&gt;1,MAX(IF($F$1:$F430=F431,$E$1:$E430)),""),""),"DD/MM/AAAA"),"&amp;data_fim=",TEXT(E431,"DD/MM/AAAA"),"&amp;hora_inicial=",HOUR(IF(E431&lt;&gt;"",IF(COUNTIF($F$2:$F431,F431)&gt;1,MAX(IF($F$1:$F430=F431,$E$1:$E430)),""),"")),"&amp;minuto_inicial=",MINUTE(IF(E431&lt;&gt;"",IF(COUNTIF($F$2:$F431,F431)&gt;1,MAX(IF($F$1:$F430=F431,$E$1:$E430)),""),"")),"&amp;hora_final=",HOUR(E431),"&amp;minuto_final=",MINUTE(E431),"&amp;periodo=6&amp;tipo=por_data&amp;upos=false&amp;outequip=0")),"")</f>
        <v/>
      </c>
      <c r="AN431" s="100" t="str">
        <f t="shared" si="50"/>
        <v xml:space="preserve">ABASTECEU no 22 NORTE DESCARREGOU em CONGONHAL-MG PASSOU em ARUJÁ-SP CARREGOU em CUBATAO-SP PASSOU em SÃO PAULO-SP ABASTECEU no 22 NORTE    </v>
      </c>
    </row>
    <row r="432" spans="1:40" x14ac:dyDescent="0.25">
      <c r="A432" s="101">
        <f>IFERROR(VLOOKUP(AN432,ROTAS!$A:$B,2,FALSE),0)</f>
        <v>111</v>
      </c>
      <c r="B432" s="101">
        <f t="shared" si="51"/>
        <v>12</v>
      </c>
      <c r="C432" s="101">
        <f t="shared" si="52"/>
        <v>633.83333333333337</v>
      </c>
      <c r="D432" s="144">
        <v>44927</v>
      </c>
      <c r="E432" s="76">
        <v>44937.243055555555</v>
      </c>
      <c r="F432" s="6" t="s">
        <v>29</v>
      </c>
      <c r="G432" s="5" t="str">
        <f>IFERROR(VLOOKUP(SUMIFS(MSOLICITADA!$I:$I,MSOLICITADA!$B:$B,D432,MSOLICITADA!$F:$F,F432),CODIGOSPLACAS!$A$64:$B$89,2,FALSE),"")</f>
        <v>EDNILSON</v>
      </c>
      <c r="H432" s="77">
        <v>240979</v>
      </c>
      <c r="I432" s="77">
        <v>241607</v>
      </c>
      <c r="J432" s="7">
        <v>370</v>
      </c>
      <c r="K432" s="78">
        <v>2378.98</v>
      </c>
      <c r="L432" s="79" t="s">
        <v>111</v>
      </c>
      <c r="M432" s="6">
        <v>280</v>
      </c>
      <c r="N432" s="5">
        <f t="shared" si="46"/>
        <v>348</v>
      </c>
      <c r="O432" s="80">
        <f t="shared" si="47"/>
        <v>6.4296756756756759</v>
      </c>
      <c r="P432" s="8">
        <f t="shared" si="48"/>
        <v>1.6972972972972973</v>
      </c>
      <c r="Q432" s="8">
        <f t="shared" si="53"/>
        <v>1.5966128652005338</v>
      </c>
      <c r="R432" s="81">
        <f t="shared" si="49"/>
        <v>0.44585987261146498</v>
      </c>
      <c r="S432" s="113" t="str">
        <f>IF(F432="","",IF(H432="",TEXT(_xlfn.MAXIFS($I$1:I432,$F$1:F432,F432,$H$1:H432,"&gt;"&amp;0),"000.000"),F432))</f>
        <v>GKA2J56</v>
      </c>
      <c r="T432" s="101">
        <f t="shared" si="54"/>
        <v>345.41666666666669</v>
      </c>
      <c r="U432" s="82" t="s">
        <v>220</v>
      </c>
      <c r="V432" s="98" t="s">
        <v>165</v>
      </c>
      <c r="W432" s="82" t="s">
        <v>222</v>
      </c>
      <c r="X432" s="98" t="s">
        <v>200</v>
      </c>
      <c r="Y432" s="82" t="s">
        <v>225</v>
      </c>
      <c r="Z432" s="98" t="s">
        <v>237</v>
      </c>
      <c r="AA432" s="82" t="s">
        <v>221</v>
      </c>
      <c r="AB432" s="98" t="s">
        <v>168</v>
      </c>
      <c r="AC432" s="82" t="s">
        <v>225</v>
      </c>
      <c r="AD432" s="98" t="s">
        <v>284</v>
      </c>
      <c r="AE432" s="82" t="s">
        <v>220</v>
      </c>
      <c r="AF432" s="98" t="s">
        <v>165</v>
      </c>
      <c r="AG432" s="82"/>
      <c r="AH432" s="98"/>
      <c r="AI432" s="82"/>
      <c r="AJ432" s="98"/>
      <c r="AK432" s="83"/>
      <c r="AL432" s="84" t="str">
        <f>IF(F432&lt;&gt;0,IF(_xlfn.MAXIFS($I$1:I432,$F$1:F432,F432,$H$1:H432,"&gt;"&amp;0)=0,"KM NÃO ENCONTRADO",IF(H432=0,CONCATENATE("SUGESTÃO DE KM PARA PLACA ",F432," *",_xlfn.MAXIFS($I$1:I432,$F$1:F432,F432,$H$1:H432,"&gt;"&amp;0),"*"),"")),"")</f>
        <v/>
      </c>
      <c r="AM432" s="85" t="str" cm="1">
        <f t="array" ref="AM432">IFERROR(IF(M432&lt;&gt;"","",CONCATENATE("https://btx.brasiltrack.com/logistica/trajeto.php?idveiculo=",VLOOKUP(F432,DATAS!$A$221:$B$250,2,FALSE),"&amp;lat=-22.204247","&amp;data_ini=",TEXT(IF(E432&lt;&gt;"",IF(COUNTIF($F$2:$F432,F432)&gt;1,MAX(IF($F$1:$F431=F432,$E$1:$E431)),""),""),"DD/MM/AAAA"),"&amp;data_fim=",TEXT(E432,"DD/MM/AAAA"),"&amp;hora_inicial=",HOUR(IF(E432&lt;&gt;"",IF(COUNTIF($F$2:$F432,F432)&gt;1,MAX(IF($F$1:$F431=F432,$E$1:$E431)),""),"")),"&amp;minuto_inicial=",MINUTE(IF(E432&lt;&gt;"",IF(COUNTIF($F$2:$F432,F432)&gt;1,MAX(IF($F$1:$F431=F432,$E$1:$E431)),""),"")),"&amp;hora_final=",HOUR(E432),"&amp;minuto_final=",MINUTE(E432),"&amp;periodo=6&amp;tipo=por_data&amp;upos=false&amp;outequip=0")),"")</f>
        <v/>
      </c>
      <c r="AN432" s="100" t="str">
        <f t="shared" si="50"/>
        <v xml:space="preserve">ABASTECEU no 22 NORTE DESCARREGOU em CONGONHAL-MG PASSOU em ARUJÁ-SP CARREGOU em CUBATAO-SP PASSOU em SÃO PAULO-SP ABASTECEU no 22 NORTE    </v>
      </c>
    </row>
    <row r="433" spans="1:40" x14ac:dyDescent="0.25">
      <c r="A433" s="101">
        <f>IFERROR(VLOOKUP(AN433,ROTAS!$A:$B,2,FALSE),0)</f>
        <v>79</v>
      </c>
      <c r="B433" s="101">
        <f t="shared" si="51"/>
        <v>5</v>
      </c>
      <c r="C433" s="101">
        <f t="shared" si="52"/>
        <v>807</v>
      </c>
      <c r="D433" s="144">
        <v>44927</v>
      </c>
      <c r="E433" s="76">
        <v>44937.290972222225</v>
      </c>
      <c r="F433" s="6" t="s">
        <v>128</v>
      </c>
      <c r="G433" s="5" t="str">
        <f>IFERROR(VLOOKUP(SUMIFS(MSOLICITADA!$I:$I,MSOLICITADA!$B:$B,D433,MSOLICITADA!$F:$F,F433),CODIGOSPLACAS!$A$64:$B$89,2,FALSE),"")</f>
        <v>ELI RICARDO</v>
      </c>
      <c r="H433" s="77">
        <v>93909</v>
      </c>
      <c r="I433" s="77">
        <v>94694</v>
      </c>
      <c r="J433" s="7">
        <v>417.09</v>
      </c>
      <c r="K433" s="78">
        <v>2581.79</v>
      </c>
      <c r="L433" s="79" t="s">
        <v>111</v>
      </c>
      <c r="M433" s="6">
        <v>408</v>
      </c>
      <c r="N433" s="5">
        <f t="shared" si="46"/>
        <v>377</v>
      </c>
      <c r="O433" s="80">
        <f t="shared" si="47"/>
        <v>6.1900069529358177</v>
      </c>
      <c r="P433" s="8">
        <f t="shared" si="48"/>
        <v>1.8820877987964229</v>
      </c>
      <c r="Q433" s="8">
        <f t="shared" si="53"/>
        <v>1.7619806950171255</v>
      </c>
      <c r="R433" s="81">
        <f t="shared" si="49"/>
        <v>0.5197452229299363</v>
      </c>
      <c r="S433" s="113" t="str">
        <f>IF(F433="","",IF(H433="",TEXT(_xlfn.MAXIFS($I$1:I433,$F$1:F433,F433,$H$1:H433,"&gt;"&amp;0),"000.000"),F433))</f>
        <v>GFR0D47</v>
      </c>
      <c r="T433" s="101">
        <f t="shared" si="54"/>
        <v>377</v>
      </c>
      <c r="U433" s="82" t="s">
        <v>220</v>
      </c>
      <c r="V433" s="98" t="s">
        <v>165</v>
      </c>
      <c r="W433" s="82" t="s">
        <v>222</v>
      </c>
      <c r="X433" s="98" t="s">
        <v>201</v>
      </c>
      <c r="Y433" s="82" t="s">
        <v>225</v>
      </c>
      <c r="Z433" s="98" t="s">
        <v>284</v>
      </c>
      <c r="AA433" s="82" t="s">
        <v>221</v>
      </c>
      <c r="AB433" s="98" t="s">
        <v>168</v>
      </c>
      <c r="AC433" s="82" t="s">
        <v>225</v>
      </c>
      <c r="AD433" s="98" t="s">
        <v>237</v>
      </c>
      <c r="AE433" s="82" t="s">
        <v>220</v>
      </c>
      <c r="AF433" s="98" t="s">
        <v>165</v>
      </c>
      <c r="AG433" s="82"/>
      <c r="AH433" s="98"/>
      <c r="AI433" s="82"/>
      <c r="AJ433" s="98"/>
      <c r="AK433" s="83"/>
      <c r="AL433" s="84" t="str">
        <f>IF(F433&lt;&gt;0,IF(_xlfn.MAXIFS($I$1:I433,$F$1:F433,F433,$H$1:H433,"&gt;"&amp;0)=0,"KM NÃO ENCONTRADO",IF(H433=0,CONCATENATE("SUGESTÃO DE KM PARA PLACA ",F433," *",_xlfn.MAXIFS($I$1:I433,$F$1:F433,F433,$H$1:H433,"&gt;"&amp;0),"*"),"")),"")</f>
        <v/>
      </c>
      <c r="AM433" s="85" t="str" cm="1">
        <f t="array" ref="AM433">IFERROR(IF(M433&lt;&gt;"","",CONCATENATE("https://btx.brasiltrack.com/logistica/trajeto.php?idveiculo=",VLOOKUP(F433,DATAS!$A$221:$B$250,2,FALSE),"&amp;lat=-22.204247","&amp;data_ini=",TEXT(IF(E433&lt;&gt;"",IF(COUNTIF($F$2:$F433,F433)&gt;1,MAX(IF($F$1:$F432=F433,$E$1:$E432)),""),""),"DD/MM/AAAA"),"&amp;data_fim=",TEXT(E433,"DD/MM/AAAA"),"&amp;hora_inicial=",HOUR(IF(E433&lt;&gt;"",IF(COUNTIF($F$2:$F433,F433)&gt;1,MAX(IF($F$1:$F432=F433,$E$1:$E432)),""),"")),"&amp;minuto_inicial=",MINUTE(IF(E433&lt;&gt;"",IF(COUNTIF($F$2:$F433,F433)&gt;1,MAX(IF($F$1:$F432=F433,$E$1:$E432)),""),"")),"&amp;hora_final=",HOUR(E433),"&amp;minuto_final=",MINUTE(E433),"&amp;periodo=6&amp;tipo=por_data&amp;upos=false&amp;outequip=0")),"")</f>
        <v/>
      </c>
      <c r="AN433" s="100" t="str">
        <f t="shared" si="50"/>
        <v xml:space="preserve">ABASTECEU no 22 NORTE DESCARREGOU em TRES CORACOES-MG PASSOU em SÃO PAULO-SP CARREGOU em CUBATAO-SP PASSOU em ARUJÁ-SP ABASTECEU no 22 NORTE    </v>
      </c>
    </row>
    <row r="434" spans="1:40" x14ac:dyDescent="0.25">
      <c r="A434" s="101">
        <f>IFERROR(VLOOKUP(AN434,ROTAS!$A:$B,2,FALSE),0)</f>
        <v>113</v>
      </c>
      <c r="B434" s="101">
        <f t="shared" si="51"/>
        <v>14</v>
      </c>
      <c r="C434" s="101">
        <f t="shared" si="52"/>
        <v>633.64285714285711</v>
      </c>
      <c r="D434" s="144">
        <v>44927</v>
      </c>
      <c r="E434" s="76">
        <v>44937.307638888888</v>
      </c>
      <c r="F434" s="6" t="s">
        <v>32</v>
      </c>
      <c r="G434" s="5" t="str">
        <f>IFERROR(VLOOKUP(SUMIFS(MSOLICITADA!$I:$I,MSOLICITADA!$B:$B,D434,MSOLICITADA!$F:$F,F434),CODIGOSPLACAS!$A$64:$B$89,2,FALSE),"")</f>
        <v>ADILSON</v>
      </c>
      <c r="H434" s="77">
        <v>203993</v>
      </c>
      <c r="I434" s="77">
        <v>204614</v>
      </c>
      <c r="J434" s="7">
        <v>353</v>
      </c>
      <c r="K434" s="78">
        <v>2185.0700000000002</v>
      </c>
      <c r="L434" s="79" t="s">
        <v>111</v>
      </c>
      <c r="M434" s="6">
        <v>336</v>
      </c>
      <c r="N434" s="5">
        <f t="shared" si="46"/>
        <v>285</v>
      </c>
      <c r="O434" s="80">
        <f t="shared" si="47"/>
        <v>6.19</v>
      </c>
      <c r="P434" s="8">
        <f t="shared" si="48"/>
        <v>1.7592067988668556</v>
      </c>
      <c r="Q434" s="8">
        <f t="shared" si="53"/>
        <v>1.6695575721559062</v>
      </c>
      <c r="R434" s="81">
        <f t="shared" si="49"/>
        <v>0.54106280193236711</v>
      </c>
      <c r="S434" s="113" t="str">
        <f>IF(F434="","",IF(H434="",TEXT(_xlfn.MAXIFS($I$1:I434,$F$1:F434,F434,$H$1:H434,"&gt;"&amp;0),"000.000"),F434))</f>
        <v>GJU9A22</v>
      </c>
      <c r="T434" s="101">
        <f t="shared" si="54"/>
        <v>286.07142857142856</v>
      </c>
      <c r="U434" s="82" t="s">
        <v>220</v>
      </c>
      <c r="V434" s="98" t="s">
        <v>165</v>
      </c>
      <c r="W434" s="82" t="s">
        <v>222</v>
      </c>
      <c r="X434" s="98" t="s">
        <v>200</v>
      </c>
      <c r="Y434" s="82" t="s">
        <v>225</v>
      </c>
      <c r="Z434" s="98" t="s">
        <v>284</v>
      </c>
      <c r="AA434" s="82" t="s">
        <v>221</v>
      </c>
      <c r="AB434" s="98" t="s">
        <v>168</v>
      </c>
      <c r="AC434" s="82" t="s">
        <v>225</v>
      </c>
      <c r="AD434" s="98" t="s">
        <v>237</v>
      </c>
      <c r="AE434" s="82" t="s">
        <v>220</v>
      </c>
      <c r="AF434" s="98" t="s">
        <v>165</v>
      </c>
      <c r="AG434" s="82"/>
      <c r="AH434" s="98"/>
      <c r="AI434" s="82"/>
      <c r="AJ434" s="98"/>
      <c r="AK434" s="83"/>
      <c r="AL434" s="84" t="str">
        <f>IF(F434&lt;&gt;0,IF(_xlfn.MAXIFS($I$1:I434,$F$1:F434,F434,$H$1:H434,"&gt;"&amp;0)=0,"KM NÃO ENCONTRADO",IF(H434=0,CONCATENATE("SUGESTÃO DE KM PARA PLACA ",F434," *",_xlfn.MAXIFS($I$1:I434,$F$1:F434,F434,$H$1:H434,"&gt;"&amp;0),"*"),"")),"")</f>
        <v/>
      </c>
      <c r="AM434" s="85" t="str" cm="1">
        <f t="array" ref="AM434">IFERROR(IF(M434&lt;&gt;"","",CONCATENATE("https://btx.brasiltrack.com/logistica/trajeto.php?idveiculo=",VLOOKUP(F434,DATAS!$A$221:$B$250,2,FALSE),"&amp;lat=-22.204247","&amp;data_ini=",TEXT(IF(E434&lt;&gt;"",IF(COUNTIF($F$2:$F434,F434)&gt;1,MAX(IF($F$1:$F433=F434,$E$1:$E433)),""),""),"DD/MM/AAAA"),"&amp;data_fim=",TEXT(E434,"DD/MM/AAAA"),"&amp;hora_inicial=",HOUR(IF(E434&lt;&gt;"",IF(COUNTIF($F$2:$F434,F434)&gt;1,MAX(IF($F$1:$F433=F434,$E$1:$E433)),""),"")),"&amp;minuto_inicial=",MINUTE(IF(E434&lt;&gt;"",IF(COUNTIF($F$2:$F434,F434)&gt;1,MAX(IF($F$1:$F433=F434,$E$1:$E433)),""),"")),"&amp;hora_final=",HOUR(E434),"&amp;minuto_final=",MINUTE(E434),"&amp;periodo=6&amp;tipo=por_data&amp;upos=false&amp;outequip=0")),"")</f>
        <v/>
      </c>
      <c r="AN434" s="100" t="str">
        <f t="shared" si="50"/>
        <v xml:space="preserve">ABASTECEU no 22 NORTE DESCARREGOU em CONGONHAL-MG PASSOU em SÃO PAULO-SP CARREGOU em CUBATAO-SP PASSOU em ARUJÁ-SP ABASTECEU no 22 NORTE    </v>
      </c>
    </row>
    <row r="435" spans="1:40" x14ac:dyDescent="0.25">
      <c r="A435" s="101">
        <f>IFERROR(VLOOKUP(AN435,ROTAS!$A:$B,2,FALSE),0)</f>
        <v>123</v>
      </c>
      <c r="B435" s="101">
        <f t="shared" si="51"/>
        <v>2</v>
      </c>
      <c r="C435" s="101">
        <f t="shared" si="52"/>
        <v>835</v>
      </c>
      <c r="D435" s="144">
        <v>44927</v>
      </c>
      <c r="E435" s="76">
        <v>44937.319444444445</v>
      </c>
      <c r="F435" s="6" t="s">
        <v>124</v>
      </c>
      <c r="G435" s="5" t="str">
        <f>IFERROR(VLOOKUP(SUMIFS(MSOLICITADA!$I:$I,MSOLICITADA!$B:$B,D435,MSOLICITADA!$F:$F,F435),CODIGOSPLACAS!$A$64:$B$89,2,FALSE),"")</f>
        <v>ISRAEL</v>
      </c>
      <c r="H435" s="77">
        <v>142223</v>
      </c>
      <c r="I435" s="77">
        <v>143062</v>
      </c>
      <c r="J435" s="7">
        <v>467</v>
      </c>
      <c r="K435" s="78">
        <v>2890.73</v>
      </c>
      <c r="L435" s="79" t="s">
        <v>111</v>
      </c>
      <c r="M435" s="6">
        <v>420</v>
      </c>
      <c r="N435" s="5">
        <f t="shared" si="46"/>
        <v>419</v>
      </c>
      <c r="O435" s="80">
        <f t="shared" si="47"/>
        <v>6.19</v>
      </c>
      <c r="P435" s="8">
        <f t="shared" si="48"/>
        <v>1.7965738758029979</v>
      </c>
      <c r="Q435" s="8">
        <f t="shared" si="53"/>
        <v>1.6528367477149088</v>
      </c>
      <c r="R435" s="81">
        <f t="shared" si="49"/>
        <v>0.50059594755661507</v>
      </c>
      <c r="S435" s="113" t="str">
        <f>IF(F435="","",IF(H435="",TEXT(_xlfn.MAXIFS($I$1:I435,$F$1:F435,F435,$H$1:H435,"&gt;"&amp;0),"000.000"),F435))</f>
        <v>GHH9B64</v>
      </c>
      <c r="T435" s="101">
        <f t="shared" si="54"/>
        <v>417.5</v>
      </c>
      <c r="U435" s="82" t="s">
        <v>220</v>
      </c>
      <c r="V435" s="98" t="s">
        <v>165</v>
      </c>
      <c r="W435" s="82" t="s">
        <v>222</v>
      </c>
      <c r="X435" s="98" t="s">
        <v>201</v>
      </c>
      <c r="Y435" s="82" t="s">
        <v>225</v>
      </c>
      <c r="Z435" s="98" t="s">
        <v>237</v>
      </c>
      <c r="AA435" s="82" t="s">
        <v>221</v>
      </c>
      <c r="AB435" s="98" t="s">
        <v>168</v>
      </c>
      <c r="AC435" s="82" t="s">
        <v>225</v>
      </c>
      <c r="AD435" s="98" t="s">
        <v>237</v>
      </c>
      <c r="AE435" s="82" t="s">
        <v>220</v>
      </c>
      <c r="AF435" s="98" t="s">
        <v>165</v>
      </c>
      <c r="AG435" s="82"/>
      <c r="AH435" s="98"/>
      <c r="AI435" s="82"/>
      <c r="AJ435" s="98"/>
      <c r="AK435" s="83"/>
      <c r="AL435" s="84" t="str">
        <f>IF(F435&lt;&gt;0,IF(_xlfn.MAXIFS($I$1:I435,$F$1:F435,F435,$H$1:H435,"&gt;"&amp;0)=0,"KM NÃO ENCONTRADO",IF(H435=0,CONCATENATE("SUGESTÃO DE KM PARA PLACA ",F435," *",_xlfn.MAXIFS($I$1:I435,$F$1:F435,F435,$H$1:H435,"&gt;"&amp;0),"*"),"")),"")</f>
        <v/>
      </c>
      <c r="AM435" s="85" t="str" cm="1">
        <f t="array" ref="AM435">IFERROR(IF(M435&lt;&gt;"","",CONCATENATE("https://btx.brasiltrack.com/logistica/trajeto.php?idveiculo=",VLOOKUP(F435,DATAS!$A$221:$B$250,2,FALSE),"&amp;lat=-22.204247","&amp;data_ini=",TEXT(IF(E435&lt;&gt;"",IF(COUNTIF($F$2:$F435,F435)&gt;1,MAX(IF($F$1:$F434=F435,$E$1:$E434)),""),""),"DD/MM/AAAA"),"&amp;data_fim=",TEXT(E435,"DD/MM/AAAA"),"&amp;hora_inicial=",HOUR(IF(E435&lt;&gt;"",IF(COUNTIF($F$2:$F435,F435)&gt;1,MAX(IF($F$1:$F434=F435,$E$1:$E434)),""),"")),"&amp;minuto_inicial=",MINUTE(IF(E435&lt;&gt;"",IF(COUNTIF($F$2:$F435,F435)&gt;1,MAX(IF($F$1:$F434=F435,$E$1:$E434)),""),"")),"&amp;hora_final=",HOUR(E435),"&amp;minuto_final=",MINUTE(E435),"&amp;periodo=6&amp;tipo=por_data&amp;upos=false&amp;outequip=0")),"")</f>
        <v/>
      </c>
      <c r="AN435" s="100" t="str">
        <f t="shared" si="50"/>
        <v xml:space="preserve">ABASTECEU no 22 NORTE DESCARREGOU em TRES CORACOES-MG PASSOU em ARUJÁ-SP CARREGOU em CUBATAO-SP PASSOU em ARUJÁ-SP ABASTECEU no 22 NORTE    </v>
      </c>
    </row>
    <row r="436" spans="1:40" x14ac:dyDescent="0.25">
      <c r="A436" s="101">
        <f>IFERROR(VLOOKUP(AN436,ROTAS!$A:$B,2,FALSE),0)</f>
        <v>113</v>
      </c>
      <c r="B436" s="101">
        <f t="shared" si="51"/>
        <v>14</v>
      </c>
      <c r="C436" s="101">
        <f t="shared" si="52"/>
        <v>633.64285714285711</v>
      </c>
      <c r="D436" s="144">
        <v>44927</v>
      </c>
      <c r="E436" s="76">
        <v>44937.325694444444</v>
      </c>
      <c r="F436" s="6" t="s">
        <v>131</v>
      </c>
      <c r="G436" s="5" t="str">
        <f>IFERROR(VLOOKUP(SUMIFS(MSOLICITADA!$I:$I,MSOLICITADA!$B:$B,D436,MSOLICITADA!$F:$F,F436),CODIGOSPLACAS!$A$64:$B$89,2,FALSE),"")</f>
        <v>ALTIELIS</v>
      </c>
      <c r="H436" s="77">
        <v>51068</v>
      </c>
      <c r="I436" s="77">
        <v>51687</v>
      </c>
      <c r="J436" s="7">
        <v>350</v>
      </c>
      <c r="K436" s="78">
        <v>2166.5700000000002</v>
      </c>
      <c r="L436" s="79" t="s">
        <v>111</v>
      </c>
      <c r="M436" s="6">
        <v>325</v>
      </c>
      <c r="N436" s="5">
        <f t="shared" si="46"/>
        <v>294</v>
      </c>
      <c r="O436" s="80">
        <f t="shared" si="47"/>
        <v>6.1902000000000008</v>
      </c>
      <c r="P436" s="8">
        <f t="shared" si="48"/>
        <v>1.7685714285714285</v>
      </c>
      <c r="Q436" s="8">
        <f t="shared" si="53"/>
        <v>1.6793774979959049</v>
      </c>
      <c r="R436" s="81">
        <f t="shared" si="49"/>
        <v>0.52504038772213246</v>
      </c>
      <c r="S436" s="113" t="str">
        <f>IF(F436="","",IF(H436="",TEXT(_xlfn.MAXIFS($I$1:I436,$F$1:F436,F436,$H$1:H436,"&gt;"&amp;0),"000.000"),F436))</f>
        <v>GGN4J86</v>
      </c>
      <c r="T436" s="101">
        <f t="shared" si="54"/>
        <v>286.07142857142856</v>
      </c>
      <c r="U436" s="82" t="s">
        <v>220</v>
      </c>
      <c r="V436" s="98" t="s">
        <v>165</v>
      </c>
      <c r="W436" s="82" t="s">
        <v>222</v>
      </c>
      <c r="X436" s="98" t="s">
        <v>200</v>
      </c>
      <c r="Y436" s="82" t="s">
        <v>225</v>
      </c>
      <c r="Z436" s="98" t="s">
        <v>284</v>
      </c>
      <c r="AA436" s="82" t="s">
        <v>221</v>
      </c>
      <c r="AB436" s="98" t="s">
        <v>168</v>
      </c>
      <c r="AC436" s="82" t="s">
        <v>225</v>
      </c>
      <c r="AD436" s="98" t="s">
        <v>237</v>
      </c>
      <c r="AE436" s="82" t="s">
        <v>220</v>
      </c>
      <c r="AF436" s="98" t="s">
        <v>165</v>
      </c>
      <c r="AG436" s="82"/>
      <c r="AH436" s="98"/>
      <c r="AI436" s="82"/>
      <c r="AJ436" s="98"/>
      <c r="AK436" s="83"/>
      <c r="AL436" s="84" t="str">
        <f>IF(F436&lt;&gt;0,IF(_xlfn.MAXIFS($I$1:I436,$F$1:F436,F436,$H$1:H436,"&gt;"&amp;0)=0,"KM NÃO ENCONTRADO",IF(H436=0,CONCATENATE("SUGESTÃO DE KM PARA PLACA ",F436," *",_xlfn.MAXIFS($I$1:I436,$F$1:F436,F436,$H$1:H436,"&gt;"&amp;0),"*"),"")),"")</f>
        <v/>
      </c>
      <c r="AM436" s="85" t="str" cm="1">
        <f t="array" ref="AM436">IFERROR(IF(M436&lt;&gt;"","",CONCATENATE("https://btx.brasiltrack.com/logistica/trajeto.php?idveiculo=",VLOOKUP(F436,DATAS!$A$221:$B$250,2,FALSE),"&amp;lat=-22.204247","&amp;data_ini=",TEXT(IF(E436&lt;&gt;"",IF(COUNTIF($F$2:$F436,F436)&gt;1,MAX(IF($F$1:$F435=F436,$E$1:$E435)),""),""),"DD/MM/AAAA"),"&amp;data_fim=",TEXT(E436,"DD/MM/AAAA"),"&amp;hora_inicial=",HOUR(IF(E436&lt;&gt;"",IF(COUNTIF($F$2:$F436,F436)&gt;1,MAX(IF($F$1:$F435=F436,$E$1:$E435)),""),"")),"&amp;minuto_inicial=",MINUTE(IF(E436&lt;&gt;"",IF(COUNTIF($F$2:$F436,F436)&gt;1,MAX(IF($F$1:$F435=F436,$E$1:$E435)),""),"")),"&amp;hora_final=",HOUR(E436),"&amp;minuto_final=",MINUTE(E436),"&amp;periodo=6&amp;tipo=por_data&amp;upos=false&amp;outequip=0")),"")</f>
        <v/>
      </c>
      <c r="AN436" s="100" t="str">
        <f t="shared" si="50"/>
        <v xml:space="preserve">ABASTECEU no 22 NORTE DESCARREGOU em CONGONHAL-MG PASSOU em SÃO PAULO-SP CARREGOU em CUBATAO-SP PASSOU em ARUJÁ-SP ABASTECEU no 22 NORTE    </v>
      </c>
    </row>
    <row r="437" spans="1:40" x14ac:dyDescent="0.25">
      <c r="A437" s="101">
        <f>IFERROR(VLOOKUP(AN437,ROTAS!$A:$B,2,FALSE),0)</f>
        <v>112</v>
      </c>
      <c r="B437" s="101">
        <f t="shared" si="51"/>
        <v>14</v>
      </c>
      <c r="C437" s="101">
        <f t="shared" si="52"/>
        <v>586.42857142857144</v>
      </c>
      <c r="D437" s="144">
        <v>44927</v>
      </c>
      <c r="E437" s="76">
        <v>44937.53125</v>
      </c>
      <c r="F437" s="6" t="s">
        <v>126</v>
      </c>
      <c r="G437" s="5" t="str">
        <f>IFERROR(VLOOKUP(SUMIFS(MSOLICITADA!$I:$I,MSOLICITADA!$B:$B,D437,MSOLICITADA!$F:$F,F437),CODIGOSPLACAS!$A$64:$B$89,2,FALSE),"")</f>
        <v>IZAIAS</v>
      </c>
      <c r="H437" s="77">
        <v>493811</v>
      </c>
      <c r="I437" s="77">
        <v>494397</v>
      </c>
      <c r="J437" s="7">
        <v>404.95</v>
      </c>
      <c r="K437" s="78">
        <v>2506.64</v>
      </c>
      <c r="L437" s="79" t="s">
        <v>111</v>
      </c>
      <c r="M437" s="6">
        <v>293</v>
      </c>
      <c r="N437" s="5">
        <f t="shared" si="46"/>
        <v>293</v>
      </c>
      <c r="O437" s="80">
        <f t="shared" si="47"/>
        <v>6.1899987652796638</v>
      </c>
      <c r="P437" s="8">
        <f t="shared" si="48"/>
        <v>1.4470922336090877</v>
      </c>
      <c r="Q437" s="8">
        <f t="shared" si="53"/>
        <v>1.5602257971131808</v>
      </c>
      <c r="R437" s="81">
        <f t="shared" si="49"/>
        <v>0.5</v>
      </c>
      <c r="S437" s="113" t="str">
        <f>IF(F437="","",IF(H437="",TEXT(_xlfn.MAXIFS($I$1:I437,$F$1:F437,F437,$H$1:H437,"&gt;"&amp;0),"000.000"),F437))</f>
        <v>GHX4D71</v>
      </c>
      <c r="T437" s="101">
        <f t="shared" si="54"/>
        <v>292.78571428571428</v>
      </c>
      <c r="U437" s="82" t="s">
        <v>220</v>
      </c>
      <c r="V437" s="98" t="s">
        <v>165</v>
      </c>
      <c r="W437" s="82" t="s">
        <v>222</v>
      </c>
      <c r="X437" s="98" t="s">
        <v>200</v>
      </c>
      <c r="Y437" s="82" t="s">
        <v>225</v>
      </c>
      <c r="Z437" s="98" t="s">
        <v>284</v>
      </c>
      <c r="AA437" s="82" t="s">
        <v>221</v>
      </c>
      <c r="AB437" s="98" t="s">
        <v>168</v>
      </c>
      <c r="AC437" s="82" t="s">
        <v>225</v>
      </c>
      <c r="AD437" s="98" t="s">
        <v>284</v>
      </c>
      <c r="AE437" s="82" t="s">
        <v>220</v>
      </c>
      <c r="AF437" s="98" t="s">
        <v>165</v>
      </c>
      <c r="AG437" s="82"/>
      <c r="AH437" s="98"/>
      <c r="AI437" s="82"/>
      <c r="AJ437" s="98"/>
      <c r="AK437" s="83"/>
      <c r="AL437" s="84" t="str">
        <f>IF(F437&lt;&gt;0,IF(_xlfn.MAXIFS($I$1:I437,$F$1:F437,F437,$H$1:H437,"&gt;"&amp;0)=0,"KM NÃO ENCONTRADO",IF(H437=0,CONCATENATE("SUGESTÃO DE KM PARA PLACA ",F437," *",_xlfn.MAXIFS($I$1:I437,$F$1:F437,F437,$H$1:H437,"&gt;"&amp;0),"*"),"")),"")</f>
        <v/>
      </c>
      <c r="AM437" s="85" t="str" cm="1">
        <f t="array" ref="AM437">IFERROR(IF(M437&lt;&gt;"","",CONCATENATE("https://btx.brasiltrack.com/logistica/trajeto.php?idveiculo=",VLOOKUP(F437,DATAS!$A$221:$B$250,2,FALSE),"&amp;lat=-22.204247","&amp;data_ini=",TEXT(IF(E437&lt;&gt;"",IF(COUNTIF($F$2:$F437,F437)&gt;1,MAX(IF($F$1:$F436=F437,$E$1:$E436)),""),""),"DD/MM/AAAA"),"&amp;data_fim=",TEXT(E437,"DD/MM/AAAA"),"&amp;hora_inicial=",HOUR(IF(E437&lt;&gt;"",IF(COUNTIF($F$2:$F437,F437)&gt;1,MAX(IF($F$1:$F436=F437,$E$1:$E436)),""),"")),"&amp;minuto_inicial=",MINUTE(IF(E437&lt;&gt;"",IF(COUNTIF($F$2:$F437,F437)&gt;1,MAX(IF($F$1:$F436=F437,$E$1:$E436)),""),"")),"&amp;hora_final=",HOUR(E437),"&amp;minuto_final=",MINUTE(E437),"&amp;periodo=6&amp;tipo=por_data&amp;upos=false&amp;outequip=0")),"")</f>
        <v/>
      </c>
      <c r="AN437" s="100" t="str">
        <f t="shared" si="50"/>
        <v xml:space="preserve">ABASTECEU no 22 NORTE DESCARREGOU em CONGONHAL-MG PASSOU em SÃO PAULO-SP CARREGOU em CUBATAO-SP PASSOU em SÃO PAULO-SP ABASTECEU no 22 NORTE    </v>
      </c>
    </row>
    <row r="438" spans="1:40" x14ac:dyDescent="0.25">
      <c r="A438" s="101">
        <f>IFERROR(VLOOKUP(AN438,ROTAS!$A:$B,2,FALSE),0)</f>
        <v>124</v>
      </c>
      <c r="B438" s="101">
        <f t="shared" si="51"/>
        <v>2</v>
      </c>
      <c r="C438" s="101">
        <f t="shared" si="52"/>
        <v>421</v>
      </c>
      <c r="D438" s="144">
        <v>44927</v>
      </c>
      <c r="E438" s="76">
        <v>44937.708333333336</v>
      </c>
      <c r="F438" s="6" t="s">
        <v>33</v>
      </c>
      <c r="G438" s="5" t="str">
        <f>IFERROR(VLOOKUP(SUMIFS(MSOLICITADA!$I:$I,MSOLICITADA!$B:$B,D438,MSOLICITADA!$F:$F,F438),CODIGOSPLACAS!$A$64:$B$89,2,FALSE),"")</f>
        <v>JULIO</v>
      </c>
      <c r="H438" s="77">
        <v>167192</v>
      </c>
      <c r="I438" s="77">
        <v>167613</v>
      </c>
      <c r="J438" s="7">
        <v>256.10000000000002</v>
      </c>
      <c r="K438" s="78">
        <v>1498.1849999999999</v>
      </c>
      <c r="L438" s="79" t="s">
        <v>112</v>
      </c>
      <c r="M438" s="6">
        <v>284</v>
      </c>
      <c r="N438" s="5">
        <f t="shared" si="46"/>
        <v>137</v>
      </c>
      <c r="O438" s="80">
        <f t="shared" si="47"/>
        <v>5.85</v>
      </c>
      <c r="P438" s="8">
        <f t="shared" si="48"/>
        <v>1.6438891058180396</v>
      </c>
      <c r="Q438" s="8">
        <f t="shared" si="53"/>
        <v>1.7400327790407339</v>
      </c>
      <c r="R438" s="81">
        <f t="shared" si="49"/>
        <v>0.67458432304038007</v>
      </c>
      <c r="S438" s="113" t="str">
        <f>IF(F438="","",IF(H438="",TEXT(_xlfn.MAXIFS($I$1:I438,$F$1:F438,F438,$H$1:H438,"&gt;"&amp;0),"000.000"),F438))</f>
        <v>GGF7G26</v>
      </c>
      <c r="T438" s="101">
        <f t="shared" si="54"/>
        <v>137</v>
      </c>
      <c r="U438" s="82" t="s">
        <v>220</v>
      </c>
      <c r="V438" s="98" t="s">
        <v>165</v>
      </c>
      <c r="W438" s="82" t="s">
        <v>222</v>
      </c>
      <c r="X438" s="98" t="s">
        <v>176</v>
      </c>
      <c r="Y438" s="82" t="s">
        <v>220</v>
      </c>
      <c r="Z438" s="98" t="s">
        <v>206</v>
      </c>
      <c r="AA438" s="82"/>
      <c r="AB438" s="98"/>
      <c r="AC438" s="82"/>
      <c r="AD438" s="98"/>
      <c r="AE438" s="118"/>
      <c r="AF438" s="98"/>
      <c r="AG438" s="82"/>
      <c r="AH438" s="98"/>
      <c r="AI438" s="82"/>
      <c r="AJ438" s="98"/>
      <c r="AK438" s="83"/>
      <c r="AL438" s="84" t="str">
        <f>IF(F438&lt;&gt;0,IF(_xlfn.MAXIFS($I$1:I438,$F$1:F438,F438,$H$1:H438,"&gt;"&amp;0)=0,"KM NÃO ENCONTRADO",IF(H438=0,CONCATENATE("SUGESTÃO DE KM PARA PLACA ",F438," *",_xlfn.MAXIFS($I$1:I438,$F$1:F438,F438,$H$1:H438,"&gt;"&amp;0),"*"),"")),"")</f>
        <v/>
      </c>
      <c r="AM438" s="85" t="str" cm="1">
        <f t="array" ref="AM438">IFERROR(IF(M438&lt;&gt;"","",CONCATENATE("https://btx.brasiltrack.com/logistica/trajeto.php?idveiculo=",VLOOKUP(F438,DATAS!$A$221:$B$250,2,FALSE),"&amp;lat=-22.204247","&amp;data_ini=",TEXT(IF(E438&lt;&gt;"",IF(COUNTIF($F$2:$F438,F438)&gt;1,MAX(IF($F$1:$F437=F438,$E$1:$E437)),""),""),"DD/MM/AAAA"),"&amp;data_fim=",TEXT(E438,"DD/MM/AAAA"),"&amp;hora_inicial=",HOUR(IF(E438&lt;&gt;"",IF(COUNTIF($F$2:$F438,F438)&gt;1,MAX(IF($F$1:$F437=F438,$E$1:$E437)),""),"")),"&amp;minuto_inicial=",MINUTE(IF(E438&lt;&gt;"",IF(COUNTIF($F$2:$F438,F438)&gt;1,MAX(IF($F$1:$F437=F438,$E$1:$E437)),""),"")),"&amp;hora_final=",HOUR(E438),"&amp;minuto_final=",MINUTE(E438),"&amp;periodo=6&amp;tipo=por_data&amp;upos=false&amp;outequip=0")),"")</f>
        <v/>
      </c>
      <c r="AN438" s="100" t="str">
        <f t="shared" si="50"/>
        <v xml:space="preserve">ABASTECEU no 22 NORTE DESCARREGOU em ALFENAS-MG ABASTECEU no CANDEIAS-MG          </v>
      </c>
    </row>
    <row r="439" spans="1:40" x14ac:dyDescent="0.25">
      <c r="A439" s="101">
        <f>IFERROR(VLOOKUP(AN439,ROTAS!$A:$B,2,FALSE),0)</f>
        <v>124</v>
      </c>
      <c r="B439" s="101">
        <f t="shared" si="51"/>
        <v>2</v>
      </c>
      <c r="C439" s="101">
        <f t="shared" si="52"/>
        <v>421</v>
      </c>
      <c r="D439" s="144">
        <v>44927</v>
      </c>
      <c r="E439" s="76">
        <v>44937.715277777781</v>
      </c>
      <c r="F439" s="6" t="s">
        <v>26</v>
      </c>
      <c r="G439" s="5" t="str">
        <f>IFERROR(VLOOKUP(SUMIFS(MSOLICITADA!$I:$I,MSOLICITADA!$B:$B,D439,MSOLICITADA!$F:$F,F439),CODIGOSPLACAS!$A$64:$B$89,2,FALSE),"")</f>
        <v>DIEGO</v>
      </c>
      <c r="H439" s="77">
        <v>403662</v>
      </c>
      <c r="I439" s="77">
        <v>404083</v>
      </c>
      <c r="J439" s="7">
        <v>301.5</v>
      </c>
      <c r="K439" s="78">
        <v>1763.7749999999999</v>
      </c>
      <c r="L439" s="79" t="s">
        <v>112</v>
      </c>
      <c r="M439" s="6">
        <v>284</v>
      </c>
      <c r="N439" s="5">
        <f t="shared" si="46"/>
        <v>137</v>
      </c>
      <c r="O439" s="80">
        <f t="shared" si="47"/>
        <v>5.85</v>
      </c>
      <c r="P439" s="8">
        <f t="shared" si="48"/>
        <v>1.3963515754560532</v>
      </c>
      <c r="Q439" s="8">
        <f t="shared" si="53"/>
        <v>1.4763574081151452</v>
      </c>
      <c r="R439" s="81">
        <f t="shared" si="49"/>
        <v>0.67458432304038007</v>
      </c>
      <c r="S439" s="113" t="str">
        <f>IF(F439="","",IF(H439="",TEXT(_xlfn.MAXIFS($I$1:I439,$F$1:F439,F439,$H$1:H439,"&gt;"&amp;0),"000.000"),F439))</f>
        <v>BZA3587</v>
      </c>
      <c r="T439" s="101">
        <f t="shared" si="54"/>
        <v>137</v>
      </c>
      <c r="U439" s="82" t="s">
        <v>220</v>
      </c>
      <c r="V439" s="98" t="s">
        <v>165</v>
      </c>
      <c r="W439" s="82" t="s">
        <v>222</v>
      </c>
      <c r="X439" s="98" t="s">
        <v>176</v>
      </c>
      <c r="Y439" s="82" t="s">
        <v>220</v>
      </c>
      <c r="Z439" s="98" t="s">
        <v>206</v>
      </c>
      <c r="AA439" s="82"/>
      <c r="AB439" s="98"/>
      <c r="AC439" s="82"/>
      <c r="AD439" s="98"/>
      <c r="AE439" s="118"/>
      <c r="AF439" s="98"/>
      <c r="AG439" s="82"/>
      <c r="AH439" s="98"/>
      <c r="AI439" s="82"/>
      <c r="AJ439" s="98"/>
      <c r="AK439" s="83"/>
      <c r="AL439" s="84" t="str">
        <f>IF(F439&lt;&gt;0,IF(_xlfn.MAXIFS($I$1:I439,$F$1:F439,F439,$H$1:H439,"&gt;"&amp;0)=0,"KM NÃO ENCONTRADO",IF(H439=0,CONCATENATE("SUGESTÃO DE KM PARA PLACA ",F439," *",_xlfn.MAXIFS($I$1:I439,$F$1:F439,F439,$H$1:H439,"&gt;"&amp;0),"*"),"")),"")</f>
        <v/>
      </c>
      <c r="AM439" s="85" t="str" cm="1">
        <f t="array" ref="AM439">IFERROR(IF(M439&lt;&gt;"","",CONCATENATE("https://btx.brasiltrack.com/logistica/trajeto.php?idveiculo=",VLOOKUP(F439,DATAS!$A$221:$B$250,2,FALSE),"&amp;lat=-22.204247","&amp;data_ini=",TEXT(IF(E439&lt;&gt;"",IF(COUNTIF($F$2:$F439,F439)&gt;1,MAX(IF($F$1:$F438=F439,$E$1:$E438)),""),""),"DD/MM/AAAA"),"&amp;data_fim=",TEXT(E439,"DD/MM/AAAA"),"&amp;hora_inicial=",HOUR(IF(E439&lt;&gt;"",IF(COUNTIF($F$2:$F439,F439)&gt;1,MAX(IF($F$1:$F438=F439,$E$1:$E438)),""),"")),"&amp;minuto_inicial=",MINUTE(IF(E439&lt;&gt;"",IF(COUNTIF($F$2:$F439,F439)&gt;1,MAX(IF($F$1:$F438=F439,$E$1:$E438)),""),"")),"&amp;hora_final=",HOUR(E439),"&amp;minuto_final=",MINUTE(E439),"&amp;periodo=6&amp;tipo=por_data&amp;upos=false&amp;outequip=0")),"")</f>
        <v/>
      </c>
      <c r="AN439" s="100" t="str">
        <f t="shared" si="50"/>
        <v xml:space="preserve">ABASTECEU no 22 NORTE DESCARREGOU em ALFENAS-MG ABASTECEU no CANDEIAS-MG          </v>
      </c>
    </row>
    <row r="440" spans="1:40" x14ac:dyDescent="0.25">
      <c r="A440" s="101">
        <f>IFERROR(VLOOKUP(AN440,ROTAS!$A:$B,2,FALSE),0)</f>
        <v>13</v>
      </c>
      <c r="B440" s="101">
        <f t="shared" si="51"/>
        <v>16</v>
      </c>
      <c r="C440" s="101">
        <f t="shared" si="52"/>
        <v>363.3125</v>
      </c>
      <c r="D440" s="144">
        <v>44927</v>
      </c>
      <c r="E440" s="76">
        <v>44937.736111111109</v>
      </c>
      <c r="F440" s="6" t="s">
        <v>35</v>
      </c>
      <c r="G440" s="5" t="str">
        <f>IFERROR(VLOOKUP(SUMIFS(MSOLICITADA!$I:$I,MSOLICITADA!$B:$B,D440,MSOLICITADA!$F:$F,F440),CODIGOSPLACAS!$A$64:$B$89,2,FALSE),"")</f>
        <v>JOEL</v>
      </c>
      <c r="H440" s="77">
        <v>230854</v>
      </c>
      <c r="I440" s="77">
        <v>231270</v>
      </c>
      <c r="J440" s="7">
        <v>307.2</v>
      </c>
      <c r="K440" s="78">
        <v>1794.74</v>
      </c>
      <c r="L440" s="79" t="s">
        <v>112</v>
      </c>
      <c r="M440" s="6">
        <v>208</v>
      </c>
      <c r="N440" s="5">
        <f t="shared" si="46"/>
        <v>208</v>
      </c>
      <c r="O440" s="80">
        <f t="shared" si="47"/>
        <v>5.8422526041666671</v>
      </c>
      <c r="P440" s="8">
        <f t="shared" si="48"/>
        <v>1.3541666666666667</v>
      </c>
      <c r="Q440" s="8">
        <f t="shared" si="53"/>
        <v>1.5445311844203811</v>
      </c>
      <c r="R440" s="81">
        <f t="shared" si="49"/>
        <v>0.5</v>
      </c>
      <c r="S440" s="113" t="str">
        <f>IF(F440="","",IF(H440="",TEXT(_xlfn.MAXIFS($I$1:I440,$F$1:F440,F440,$H$1:H440,"&gt;"&amp;0),"000.000"),F440))</f>
        <v>QNP3A97</v>
      </c>
      <c r="T440" s="101">
        <f t="shared" si="54"/>
        <v>186.5</v>
      </c>
      <c r="U440" s="82" t="s">
        <v>220</v>
      </c>
      <c r="V440" s="98" t="s">
        <v>206</v>
      </c>
      <c r="W440" s="82" t="s">
        <v>220</v>
      </c>
      <c r="X440" s="98" t="s">
        <v>206</v>
      </c>
      <c r="Y440" s="82"/>
      <c r="Z440" s="98"/>
      <c r="AA440" s="82"/>
      <c r="AB440" s="98"/>
      <c r="AC440" s="82"/>
      <c r="AD440" s="98"/>
      <c r="AE440" s="118"/>
      <c r="AF440" s="98"/>
      <c r="AG440" s="82"/>
      <c r="AH440" s="98"/>
      <c r="AI440" s="82"/>
      <c r="AJ440" s="98"/>
      <c r="AK440" s="83"/>
      <c r="AL440" s="84" t="str">
        <f>IF(F440&lt;&gt;0,IF(_xlfn.MAXIFS($I$1:I440,$F$1:F440,F440,$H$1:H440,"&gt;"&amp;0)=0,"KM NÃO ENCONTRADO",IF(H440=0,CONCATENATE("SUGESTÃO DE KM PARA PLACA ",F440," *",_xlfn.MAXIFS($I$1:I440,$F$1:F440,F440,$H$1:H440,"&gt;"&amp;0),"*"),"")),"")</f>
        <v/>
      </c>
      <c r="AM440" s="85" t="str" cm="1">
        <f t="array" ref="AM440">IFERROR(IF(M440&lt;&gt;"","",CONCATENATE("https://btx.brasiltrack.com/logistica/trajeto.php?idveiculo=",VLOOKUP(F440,DATAS!$A$221:$B$250,2,FALSE),"&amp;lat=-22.204247","&amp;data_ini=",TEXT(IF(E440&lt;&gt;"",IF(COUNTIF($F$2:$F440,F440)&gt;1,MAX(IF($F$1:$F439=F440,$E$1:$E439)),""),""),"DD/MM/AAAA"),"&amp;data_fim=",TEXT(E440,"DD/MM/AAAA"),"&amp;hora_inicial=",HOUR(IF(E440&lt;&gt;"",IF(COUNTIF($F$2:$F440,F440)&gt;1,MAX(IF($F$1:$F439=F440,$E$1:$E439)),""),"")),"&amp;minuto_inicial=",MINUTE(IF(E440&lt;&gt;"",IF(COUNTIF($F$2:$F440,F440)&gt;1,MAX(IF($F$1:$F439=F440,$E$1:$E439)),""),"")),"&amp;hora_final=",HOUR(E440),"&amp;minuto_final=",MINUTE(E440),"&amp;periodo=6&amp;tipo=por_data&amp;upos=false&amp;outequip=0")),"")</f>
        <v/>
      </c>
      <c r="AN440" s="100" t="str">
        <f t="shared" si="50"/>
        <v xml:space="preserve">ABASTECEU no CANDEIAS-MG ABASTECEU no CANDEIAS-MG            </v>
      </c>
    </row>
    <row r="441" spans="1:40" x14ac:dyDescent="0.25">
      <c r="A441" s="101">
        <f>IFERROR(VLOOKUP(AN441,ROTAS!$A:$B,2,FALSE),0)</f>
        <v>112</v>
      </c>
      <c r="B441" s="101">
        <f t="shared" si="51"/>
        <v>14</v>
      </c>
      <c r="C441" s="101">
        <f t="shared" si="52"/>
        <v>586.42857142857144</v>
      </c>
      <c r="D441" s="144">
        <v>44927</v>
      </c>
      <c r="E441" s="76">
        <v>44938.035416666666</v>
      </c>
      <c r="F441" s="6" t="s">
        <v>127</v>
      </c>
      <c r="G441" s="5" t="str">
        <f>IFERROR(VLOOKUP(SUMIFS(MSOLICITADA!$I:$I,MSOLICITADA!$B:$B,D441,MSOLICITADA!$F:$F,F441),CODIGOSPLACAS!$A$64:$B$89,2,FALSE),"")</f>
        <v>EVERTON</v>
      </c>
      <c r="H441" s="77">
        <v>1233840</v>
      </c>
      <c r="I441" s="77">
        <v>1234447</v>
      </c>
      <c r="J441" s="7">
        <v>315</v>
      </c>
      <c r="K441" s="78">
        <v>1949.85</v>
      </c>
      <c r="L441" s="79" t="s">
        <v>111</v>
      </c>
      <c r="M441" s="6">
        <v>303</v>
      </c>
      <c r="N441" s="5">
        <f t="shared" si="46"/>
        <v>304</v>
      </c>
      <c r="O441" s="80">
        <f t="shared" si="47"/>
        <v>6.1899999999999995</v>
      </c>
      <c r="P441" s="8">
        <f t="shared" si="48"/>
        <v>1.926984126984127</v>
      </c>
      <c r="Q441" s="8">
        <f t="shared" si="53"/>
        <v>1.9701972800245917</v>
      </c>
      <c r="R441" s="81">
        <f t="shared" si="49"/>
        <v>0.49917627677100496</v>
      </c>
      <c r="S441" s="113" t="str">
        <f>IF(F441="","",IF(H441="",TEXT(_xlfn.MAXIFS($I$1:I441,$F$1:F441,F441,$H$1:H441,"&gt;"&amp;0),"000.000"),F441))</f>
        <v>OPM8J51</v>
      </c>
      <c r="T441" s="101">
        <f t="shared" si="54"/>
        <v>292.78571428571428</v>
      </c>
      <c r="U441" s="82" t="s">
        <v>220</v>
      </c>
      <c r="V441" s="98" t="s">
        <v>165</v>
      </c>
      <c r="W441" s="82" t="s">
        <v>222</v>
      </c>
      <c r="X441" s="98" t="s">
        <v>200</v>
      </c>
      <c r="Y441" s="82" t="s">
        <v>225</v>
      </c>
      <c r="Z441" s="98" t="s">
        <v>284</v>
      </c>
      <c r="AA441" s="82" t="s">
        <v>221</v>
      </c>
      <c r="AB441" s="98" t="s">
        <v>168</v>
      </c>
      <c r="AC441" s="82" t="s">
        <v>225</v>
      </c>
      <c r="AD441" s="98" t="s">
        <v>284</v>
      </c>
      <c r="AE441" s="82" t="s">
        <v>220</v>
      </c>
      <c r="AF441" s="98" t="s">
        <v>165</v>
      </c>
      <c r="AG441" s="82"/>
      <c r="AH441" s="98"/>
      <c r="AI441" s="82"/>
      <c r="AJ441" s="98"/>
      <c r="AK441" s="83"/>
      <c r="AL441" s="84" t="str">
        <f>IF(F441&lt;&gt;0,IF(_xlfn.MAXIFS($I$1:I441,$F$1:F441,F441,$H$1:H441,"&gt;"&amp;0)=0,"KM NÃO ENCONTRADO",IF(H441=0,CONCATENATE("SUGESTÃO DE KM PARA PLACA ",F441," *",_xlfn.MAXIFS($I$1:I441,$F$1:F441,F441,$H$1:H441,"&gt;"&amp;0),"*"),"")),"")</f>
        <v/>
      </c>
      <c r="AM441" s="85" t="str" cm="1">
        <f t="array" ref="AM441">IFERROR(IF(M441&lt;&gt;"","",CONCATENATE("https://btx.brasiltrack.com/logistica/trajeto.php?idveiculo=",VLOOKUP(F441,DATAS!$A$221:$B$250,2,FALSE),"&amp;lat=-22.204247","&amp;data_ini=",TEXT(IF(E441&lt;&gt;"",IF(COUNTIF($F$2:$F441,F441)&gt;1,MAX(IF($F$1:$F440=F441,$E$1:$E440)),""),""),"DD/MM/AAAA"),"&amp;data_fim=",TEXT(E441,"DD/MM/AAAA"),"&amp;hora_inicial=",HOUR(IF(E441&lt;&gt;"",IF(COUNTIF($F$2:$F441,F441)&gt;1,MAX(IF($F$1:$F440=F441,$E$1:$E440)),""),"")),"&amp;minuto_inicial=",MINUTE(IF(E441&lt;&gt;"",IF(COUNTIF($F$2:$F441,F441)&gt;1,MAX(IF($F$1:$F440=F441,$E$1:$E440)),""),"")),"&amp;hora_final=",HOUR(E441),"&amp;minuto_final=",MINUTE(E441),"&amp;periodo=6&amp;tipo=por_data&amp;upos=false&amp;outequip=0")),"")</f>
        <v/>
      </c>
      <c r="AN441" s="100" t="str">
        <f t="shared" si="50"/>
        <v xml:space="preserve">ABASTECEU no 22 NORTE DESCARREGOU em CONGONHAL-MG PASSOU em SÃO PAULO-SP CARREGOU em CUBATAO-SP PASSOU em SÃO PAULO-SP ABASTECEU no 22 NORTE    </v>
      </c>
    </row>
    <row r="442" spans="1:40" x14ac:dyDescent="0.25">
      <c r="A442" s="101">
        <f>IFERROR(VLOOKUP(AN442,ROTAS!$A:$B,2,FALSE),0)</f>
        <v>112</v>
      </c>
      <c r="B442" s="101">
        <f t="shared" si="51"/>
        <v>14</v>
      </c>
      <c r="C442" s="101">
        <f t="shared" si="52"/>
        <v>586.42857142857144</v>
      </c>
      <c r="D442" s="144">
        <v>44927</v>
      </c>
      <c r="E442" s="76">
        <v>44938.037499999999</v>
      </c>
      <c r="F442" s="6" t="s">
        <v>22</v>
      </c>
      <c r="G442" s="5" t="str">
        <f>IFERROR(VLOOKUP(SUMIFS(MSOLICITADA!$I:$I,MSOLICITADA!$B:$B,D442,MSOLICITADA!$F:$F,F442),CODIGOSPLACAS!$A$64:$B$89,2,FALSE),"")</f>
        <v>GUILHERME</v>
      </c>
      <c r="H442" s="77">
        <v>1205638</v>
      </c>
      <c r="I442" s="77">
        <v>1206219</v>
      </c>
      <c r="J442" s="7">
        <v>306</v>
      </c>
      <c r="K442" s="78">
        <v>1894.14</v>
      </c>
      <c r="L442" s="79" t="s">
        <v>111</v>
      </c>
      <c r="M442" s="6">
        <v>290</v>
      </c>
      <c r="N442" s="5">
        <f t="shared" si="46"/>
        <v>291</v>
      </c>
      <c r="O442" s="80">
        <f t="shared" si="47"/>
        <v>6.19</v>
      </c>
      <c r="P442" s="8">
        <f t="shared" si="48"/>
        <v>1.8986928104575163</v>
      </c>
      <c r="Q442" s="8">
        <f t="shared" si="53"/>
        <v>1.8671963699182104</v>
      </c>
      <c r="R442" s="81">
        <f t="shared" si="49"/>
        <v>0.49913941480206542</v>
      </c>
      <c r="S442" s="113" t="str">
        <f>IF(F442="","",IF(H442="",TEXT(_xlfn.MAXIFS($I$1:I442,$F$1:F442,F442,$H$1:H442,"&gt;"&amp;0),"000.000"),F442))</f>
        <v>OQC0C33</v>
      </c>
      <c r="T442" s="101">
        <f t="shared" si="54"/>
        <v>292.78571428571428</v>
      </c>
      <c r="U442" s="82" t="s">
        <v>220</v>
      </c>
      <c r="V442" s="98" t="s">
        <v>165</v>
      </c>
      <c r="W442" s="82" t="s">
        <v>222</v>
      </c>
      <c r="X442" s="98" t="s">
        <v>200</v>
      </c>
      <c r="Y442" s="82" t="s">
        <v>225</v>
      </c>
      <c r="Z442" s="98" t="s">
        <v>284</v>
      </c>
      <c r="AA442" s="82" t="s">
        <v>221</v>
      </c>
      <c r="AB442" s="98" t="s">
        <v>168</v>
      </c>
      <c r="AC442" s="82" t="s">
        <v>225</v>
      </c>
      <c r="AD442" s="98" t="s">
        <v>284</v>
      </c>
      <c r="AE442" s="82" t="s">
        <v>220</v>
      </c>
      <c r="AF442" s="98" t="s">
        <v>165</v>
      </c>
      <c r="AG442" s="82"/>
      <c r="AH442" s="98"/>
      <c r="AI442" s="82"/>
      <c r="AJ442" s="98"/>
      <c r="AK442" s="83"/>
      <c r="AL442" s="84" t="str">
        <f>IF(F442&lt;&gt;0,IF(_xlfn.MAXIFS($I$1:I442,$F$1:F442,F442,$H$1:H442,"&gt;"&amp;0)=0,"KM NÃO ENCONTRADO",IF(H442=0,CONCATENATE("SUGESTÃO DE KM PARA PLACA ",F442," *",_xlfn.MAXIFS($I$1:I442,$F$1:F442,F442,$H$1:H442,"&gt;"&amp;0),"*"),"")),"")</f>
        <v/>
      </c>
      <c r="AM442" s="85" t="str" cm="1">
        <f t="array" ref="AM442">IFERROR(IF(M442&lt;&gt;"","",CONCATENATE("https://btx.brasiltrack.com/logistica/trajeto.php?idveiculo=",VLOOKUP(F442,DATAS!$A$221:$B$250,2,FALSE),"&amp;lat=-22.204247","&amp;data_ini=",TEXT(IF(E442&lt;&gt;"",IF(COUNTIF($F$2:$F442,F442)&gt;1,MAX(IF($F$1:$F441=F442,$E$1:$E441)),""),""),"DD/MM/AAAA"),"&amp;data_fim=",TEXT(E442,"DD/MM/AAAA"),"&amp;hora_inicial=",HOUR(IF(E442&lt;&gt;"",IF(COUNTIF($F$2:$F442,F442)&gt;1,MAX(IF($F$1:$F441=F442,$E$1:$E441)),""),"")),"&amp;minuto_inicial=",MINUTE(IF(E442&lt;&gt;"",IF(COUNTIF($F$2:$F442,F442)&gt;1,MAX(IF($F$1:$F441=F442,$E$1:$E441)),""),"")),"&amp;hora_final=",HOUR(E442),"&amp;minuto_final=",MINUTE(E442),"&amp;periodo=6&amp;tipo=por_data&amp;upos=false&amp;outequip=0")),"")</f>
        <v/>
      </c>
      <c r="AN442" s="100" t="str">
        <f t="shared" si="50"/>
        <v xml:space="preserve">ABASTECEU no 22 NORTE DESCARREGOU em CONGONHAL-MG PASSOU em SÃO PAULO-SP CARREGOU em CUBATAO-SP PASSOU em SÃO PAULO-SP ABASTECEU no 22 NORTE    </v>
      </c>
    </row>
    <row r="443" spans="1:40" x14ac:dyDescent="0.25">
      <c r="A443" s="101">
        <f>IFERROR(VLOOKUP(AN443,ROTAS!$A:$B,2,FALSE),0)</f>
        <v>113</v>
      </c>
      <c r="B443" s="101">
        <f t="shared" si="51"/>
        <v>14</v>
      </c>
      <c r="C443" s="101">
        <f t="shared" si="52"/>
        <v>633.64285714285711</v>
      </c>
      <c r="D443" s="144">
        <v>44927</v>
      </c>
      <c r="E443" s="76">
        <v>44938.524305555555</v>
      </c>
      <c r="F443" s="6" t="s">
        <v>30</v>
      </c>
      <c r="G443" s="5" t="str">
        <f>IFERROR(VLOOKUP(SUMIFS(MSOLICITADA!$I:$I,MSOLICITADA!$B:$B,D443,MSOLICITADA!$F:$F,F443),CODIGOSPLACAS!$A$64:$B$89,2,FALSE),"")</f>
        <v>RONILSON</v>
      </c>
      <c r="H443" s="77">
        <v>222819</v>
      </c>
      <c r="I443" s="77">
        <v>223450</v>
      </c>
      <c r="J443" s="7">
        <v>405.02</v>
      </c>
      <c r="K443" s="78">
        <v>2507.6999999999998</v>
      </c>
      <c r="L443" s="79" t="s">
        <v>111</v>
      </c>
      <c r="M443" s="6">
        <v>346</v>
      </c>
      <c r="N443" s="5">
        <f t="shared" si="46"/>
        <v>285</v>
      </c>
      <c r="O443" s="80">
        <f t="shared" si="47"/>
        <v>6.1915460964890618</v>
      </c>
      <c r="P443" s="8">
        <f t="shared" si="48"/>
        <v>1.557947755666387</v>
      </c>
      <c r="Q443" s="8">
        <f t="shared" si="53"/>
        <v>1.6205104706314435</v>
      </c>
      <c r="R443" s="81">
        <f t="shared" si="49"/>
        <v>0.5483359746434231</v>
      </c>
      <c r="S443" s="113" t="str">
        <f>IF(F443="","",IF(H443="",TEXT(_xlfn.MAXIFS($I$1:I443,$F$1:F443,F443,$H$1:H443,"&gt;"&amp;0),"000.000"),F443))</f>
        <v>GFB0I37</v>
      </c>
      <c r="T443" s="101">
        <f t="shared" si="54"/>
        <v>286.07142857142856</v>
      </c>
      <c r="U443" s="82" t="s">
        <v>220</v>
      </c>
      <c r="V443" s="98" t="s">
        <v>165</v>
      </c>
      <c r="W443" s="82" t="s">
        <v>222</v>
      </c>
      <c r="X443" s="98" t="s">
        <v>200</v>
      </c>
      <c r="Y443" s="82" t="s">
        <v>225</v>
      </c>
      <c r="Z443" s="98" t="s">
        <v>284</v>
      </c>
      <c r="AA443" s="82" t="s">
        <v>221</v>
      </c>
      <c r="AB443" s="98" t="s">
        <v>168</v>
      </c>
      <c r="AC443" s="82" t="s">
        <v>225</v>
      </c>
      <c r="AD443" s="98" t="s">
        <v>237</v>
      </c>
      <c r="AE443" s="82" t="s">
        <v>220</v>
      </c>
      <c r="AF443" s="98" t="s">
        <v>165</v>
      </c>
      <c r="AG443" s="82"/>
      <c r="AH443" s="98"/>
      <c r="AI443" s="82"/>
      <c r="AJ443" s="98"/>
      <c r="AK443" s="83"/>
      <c r="AL443" s="84" t="str">
        <f>IF(F443&lt;&gt;0,IF(_xlfn.MAXIFS($I$1:I443,$F$1:F443,F443,$H$1:H443,"&gt;"&amp;0)=0,"KM NÃO ENCONTRADO",IF(H443=0,CONCATENATE("SUGESTÃO DE KM PARA PLACA ",F443," *",_xlfn.MAXIFS($I$1:I443,$F$1:F443,F443,$H$1:H443,"&gt;"&amp;0),"*"),"")),"")</f>
        <v/>
      </c>
      <c r="AM443" s="85" t="str" cm="1">
        <f t="array" ref="AM443">IFERROR(IF(M443&lt;&gt;"","",CONCATENATE("https://btx.brasiltrack.com/logistica/trajeto.php?idveiculo=",VLOOKUP(F443,DATAS!$A$221:$B$250,2,FALSE),"&amp;lat=-22.204247","&amp;data_ini=",TEXT(IF(E443&lt;&gt;"",IF(COUNTIF($F$2:$F443,F443)&gt;1,MAX(IF($F$1:$F442=F443,$E$1:$E442)),""),""),"DD/MM/AAAA"),"&amp;data_fim=",TEXT(E443,"DD/MM/AAAA"),"&amp;hora_inicial=",HOUR(IF(E443&lt;&gt;"",IF(COUNTIF($F$2:$F443,F443)&gt;1,MAX(IF($F$1:$F442=F443,$E$1:$E442)),""),"")),"&amp;minuto_inicial=",MINUTE(IF(E443&lt;&gt;"",IF(COUNTIF($F$2:$F443,F443)&gt;1,MAX(IF($F$1:$F442=F443,$E$1:$E442)),""),"")),"&amp;hora_final=",HOUR(E443),"&amp;minuto_final=",MINUTE(E443),"&amp;periodo=6&amp;tipo=por_data&amp;upos=false&amp;outequip=0")),"")</f>
        <v/>
      </c>
      <c r="AN443" s="100" t="str">
        <f t="shared" si="50"/>
        <v xml:space="preserve">ABASTECEU no 22 NORTE DESCARREGOU em CONGONHAL-MG PASSOU em SÃO PAULO-SP CARREGOU em CUBATAO-SP PASSOU em ARUJÁ-SP ABASTECEU no 22 NORTE    </v>
      </c>
    </row>
    <row r="444" spans="1:40" x14ac:dyDescent="0.25">
      <c r="A444" s="101">
        <f>IFERROR(VLOOKUP(AN444,ROTAS!$A:$B,2,FALSE),0)</f>
        <v>113</v>
      </c>
      <c r="B444" s="101">
        <f t="shared" si="51"/>
        <v>14</v>
      </c>
      <c r="C444" s="101">
        <f t="shared" si="52"/>
        <v>633.64285714285711</v>
      </c>
      <c r="D444" s="144">
        <v>44927</v>
      </c>
      <c r="E444" s="76">
        <v>44938.526388888888</v>
      </c>
      <c r="F444" s="6" t="s">
        <v>27</v>
      </c>
      <c r="G444" s="5" t="str">
        <f>IFERROR(VLOOKUP(SUMIFS(MSOLICITADA!$I:$I,MSOLICITADA!$B:$B,D444,MSOLICITADA!$F:$F,F444),CODIGOSPLACAS!$A$64:$B$89,2,FALSE),"")</f>
        <v>ANTONIO</v>
      </c>
      <c r="H444" s="77">
        <v>251151</v>
      </c>
      <c r="I444" s="77">
        <v>251777</v>
      </c>
      <c r="J444" s="7">
        <v>428.74</v>
      </c>
      <c r="K444" s="78">
        <v>2653.9</v>
      </c>
      <c r="L444" s="79" t="s">
        <v>111</v>
      </c>
      <c r="M444" s="6">
        <v>341</v>
      </c>
      <c r="N444" s="5">
        <f t="shared" si="46"/>
        <v>285</v>
      </c>
      <c r="O444" s="80">
        <f t="shared" si="47"/>
        <v>6.1899986005504504</v>
      </c>
      <c r="P444" s="8">
        <f t="shared" si="48"/>
        <v>1.4600923636702896</v>
      </c>
      <c r="Q444" s="8">
        <f t="shared" si="53"/>
        <v>1.4666276036610979</v>
      </c>
      <c r="R444" s="81">
        <f t="shared" si="49"/>
        <v>0.54472843450479236</v>
      </c>
      <c r="S444" s="113" t="str">
        <f>IF(F444="","",IF(H444="",TEXT(_xlfn.MAXIFS($I$1:I444,$F$1:F444,F444,$H$1:H444,"&gt;"&amp;0),"000.000"),F444))</f>
        <v>GHS4J57</v>
      </c>
      <c r="T444" s="101">
        <f t="shared" si="54"/>
        <v>286.07142857142856</v>
      </c>
      <c r="U444" s="82" t="s">
        <v>220</v>
      </c>
      <c r="V444" s="98" t="s">
        <v>165</v>
      </c>
      <c r="W444" s="82" t="s">
        <v>222</v>
      </c>
      <c r="X444" s="98" t="s">
        <v>200</v>
      </c>
      <c r="Y444" s="82" t="s">
        <v>225</v>
      </c>
      <c r="Z444" s="98" t="s">
        <v>284</v>
      </c>
      <c r="AA444" s="82" t="s">
        <v>221</v>
      </c>
      <c r="AB444" s="98" t="s">
        <v>168</v>
      </c>
      <c r="AC444" s="82" t="s">
        <v>225</v>
      </c>
      <c r="AD444" s="98" t="s">
        <v>237</v>
      </c>
      <c r="AE444" s="82" t="s">
        <v>220</v>
      </c>
      <c r="AF444" s="98" t="s">
        <v>165</v>
      </c>
      <c r="AG444" s="82"/>
      <c r="AH444" s="98"/>
      <c r="AI444" s="82"/>
      <c r="AJ444" s="98"/>
      <c r="AK444" s="83"/>
      <c r="AL444" s="84" t="str">
        <f>IF(F444&lt;&gt;0,IF(_xlfn.MAXIFS($I$1:I444,$F$1:F444,F444,$H$1:H444,"&gt;"&amp;0)=0,"KM NÃO ENCONTRADO",IF(H444=0,CONCATENATE("SUGESTÃO DE KM PARA PLACA ",F444," *",_xlfn.MAXIFS($I$1:I444,$F$1:F444,F444,$H$1:H444,"&gt;"&amp;0),"*"),"")),"")</f>
        <v/>
      </c>
      <c r="AM444" s="85" t="str" cm="1">
        <f t="array" ref="AM444">IFERROR(IF(M444&lt;&gt;"","",CONCATENATE("https://btx.brasiltrack.com/logistica/trajeto.php?idveiculo=",VLOOKUP(F444,DATAS!$A$221:$B$250,2,FALSE),"&amp;lat=-22.204247","&amp;data_ini=",TEXT(IF(E444&lt;&gt;"",IF(COUNTIF($F$2:$F444,F444)&gt;1,MAX(IF($F$1:$F443=F444,$E$1:$E443)),""),""),"DD/MM/AAAA"),"&amp;data_fim=",TEXT(E444,"DD/MM/AAAA"),"&amp;hora_inicial=",HOUR(IF(E444&lt;&gt;"",IF(COUNTIF($F$2:$F444,F444)&gt;1,MAX(IF($F$1:$F443=F444,$E$1:$E443)),""),"")),"&amp;minuto_inicial=",MINUTE(IF(E444&lt;&gt;"",IF(COUNTIF($F$2:$F444,F444)&gt;1,MAX(IF($F$1:$F443=F444,$E$1:$E443)),""),"")),"&amp;hora_final=",HOUR(E444),"&amp;minuto_final=",MINUTE(E444),"&amp;periodo=6&amp;tipo=por_data&amp;upos=false&amp;outequip=0")),"")</f>
        <v/>
      </c>
      <c r="AN444" s="100" t="str">
        <f t="shared" si="50"/>
        <v xml:space="preserve">ABASTECEU no 22 NORTE DESCARREGOU em CONGONHAL-MG PASSOU em SÃO PAULO-SP CARREGOU em CUBATAO-SP PASSOU em ARUJÁ-SP ABASTECEU no 22 NORTE    </v>
      </c>
    </row>
    <row r="445" spans="1:40" x14ac:dyDescent="0.25">
      <c r="A445" s="101">
        <f>IFERROR(VLOOKUP(AN445,ROTAS!$A:$B,2,FALSE),0)</f>
        <v>113</v>
      </c>
      <c r="B445" s="101">
        <f t="shared" si="51"/>
        <v>14</v>
      </c>
      <c r="C445" s="101">
        <f t="shared" si="52"/>
        <v>633.64285714285711</v>
      </c>
      <c r="D445" s="144">
        <v>44927</v>
      </c>
      <c r="E445" s="76">
        <v>44938.536805555559</v>
      </c>
      <c r="F445" s="6" t="s">
        <v>24</v>
      </c>
      <c r="G445" s="5" t="str">
        <f>IFERROR(VLOOKUP(SUMIFS(MSOLICITADA!$I:$I,MSOLICITADA!$B:$B,D445,MSOLICITADA!$F:$F,F445),CODIGOSPLACAS!$A$64:$B$89,2,FALSE),"")</f>
        <v>PAULO HENR.</v>
      </c>
      <c r="H445" s="77">
        <v>950639</v>
      </c>
      <c r="I445" s="77">
        <v>951272</v>
      </c>
      <c r="J445" s="7">
        <v>394.42</v>
      </c>
      <c r="K445" s="78">
        <v>2441.4699999999998</v>
      </c>
      <c r="L445" s="79" t="s">
        <v>111</v>
      </c>
      <c r="M445" s="6">
        <v>348</v>
      </c>
      <c r="N445" s="5">
        <f t="shared" si="46"/>
        <v>285</v>
      </c>
      <c r="O445" s="80">
        <f t="shared" si="47"/>
        <v>6.1900258607575669</v>
      </c>
      <c r="P445" s="8">
        <f t="shared" si="48"/>
        <v>1.6048881902540439</v>
      </c>
      <c r="Q445" s="8">
        <f t="shared" si="53"/>
        <v>1.5194077812359499</v>
      </c>
      <c r="R445" s="81">
        <f t="shared" si="49"/>
        <v>0.54976303317535546</v>
      </c>
      <c r="S445" s="113" t="str">
        <f>IF(F445="","",IF(H445="",TEXT(_xlfn.MAXIFS($I$1:I445,$F$1:F445,F445,$H$1:H445,"&gt;"&amp;0),"000.000"),F445))</f>
        <v>FKS0J24</v>
      </c>
      <c r="T445" s="101">
        <f t="shared" si="54"/>
        <v>286.07142857142856</v>
      </c>
      <c r="U445" s="82" t="s">
        <v>220</v>
      </c>
      <c r="V445" s="98" t="s">
        <v>165</v>
      </c>
      <c r="W445" s="82" t="s">
        <v>222</v>
      </c>
      <c r="X445" s="98" t="s">
        <v>200</v>
      </c>
      <c r="Y445" s="82" t="s">
        <v>225</v>
      </c>
      <c r="Z445" s="98" t="s">
        <v>284</v>
      </c>
      <c r="AA445" s="82" t="s">
        <v>221</v>
      </c>
      <c r="AB445" s="98" t="s">
        <v>168</v>
      </c>
      <c r="AC445" s="82" t="s">
        <v>225</v>
      </c>
      <c r="AD445" s="98" t="s">
        <v>237</v>
      </c>
      <c r="AE445" s="82" t="s">
        <v>220</v>
      </c>
      <c r="AF445" s="98" t="s">
        <v>165</v>
      </c>
      <c r="AG445" s="82"/>
      <c r="AH445" s="98"/>
      <c r="AI445" s="82"/>
      <c r="AJ445" s="98"/>
      <c r="AK445" s="83"/>
      <c r="AL445" s="84" t="str">
        <f>IF(F445&lt;&gt;0,IF(_xlfn.MAXIFS($I$1:I445,$F$1:F445,F445,$H$1:H445,"&gt;"&amp;0)=0,"KM NÃO ENCONTRADO",IF(H445=0,CONCATENATE("SUGESTÃO DE KM PARA PLACA ",F445," *",_xlfn.MAXIFS($I$1:I445,$F$1:F445,F445,$H$1:H445,"&gt;"&amp;0),"*"),"")),"")</f>
        <v/>
      </c>
      <c r="AM445" s="85" t="str" cm="1">
        <f t="array" ref="AM445">IFERROR(IF(M445&lt;&gt;"","",CONCATENATE("https://btx.brasiltrack.com/logistica/trajeto.php?idveiculo=",VLOOKUP(F445,DATAS!$A$221:$B$250,2,FALSE),"&amp;lat=-22.204247","&amp;data_ini=",TEXT(IF(E445&lt;&gt;"",IF(COUNTIF($F$2:$F445,F445)&gt;1,MAX(IF($F$1:$F444=F445,$E$1:$E444)),""),""),"DD/MM/AAAA"),"&amp;data_fim=",TEXT(E445,"DD/MM/AAAA"),"&amp;hora_inicial=",HOUR(IF(E445&lt;&gt;"",IF(COUNTIF($F$2:$F445,F445)&gt;1,MAX(IF($F$1:$F444=F445,$E$1:$E444)),""),"")),"&amp;minuto_inicial=",MINUTE(IF(E445&lt;&gt;"",IF(COUNTIF($F$2:$F445,F445)&gt;1,MAX(IF($F$1:$F444=F445,$E$1:$E444)),""),"")),"&amp;hora_final=",HOUR(E445),"&amp;minuto_final=",MINUTE(E445),"&amp;periodo=6&amp;tipo=por_data&amp;upos=false&amp;outequip=0")),"")</f>
        <v/>
      </c>
      <c r="AN445" s="100" t="str">
        <f t="shared" si="50"/>
        <v xml:space="preserve">ABASTECEU no 22 NORTE DESCARREGOU em CONGONHAL-MG PASSOU em SÃO PAULO-SP CARREGOU em CUBATAO-SP PASSOU em ARUJÁ-SP ABASTECEU no 22 NORTE    </v>
      </c>
    </row>
    <row r="446" spans="1:40" x14ac:dyDescent="0.25">
      <c r="A446" s="101">
        <f>IFERROR(VLOOKUP(AN446,ROTAS!$A:$B,2,FALSE),0)</f>
        <v>113</v>
      </c>
      <c r="B446" s="101">
        <f t="shared" si="51"/>
        <v>14</v>
      </c>
      <c r="C446" s="101">
        <f t="shared" si="52"/>
        <v>633.64285714285711</v>
      </c>
      <c r="D446" s="144">
        <v>44927</v>
      </c>
      <c r="E446" s="76">
        <v>44938.60833333333</v>
      </c>
      <c r="F446" s="6" t="s">
        <v>25</v>
      </c>
      <c r="G446" s="5" t="str">
        <f>IFERROR(VLOOKUP(SUMIFS(MSOLICITADA!$I:$I,MSOLICITADA!$B:$B,D446,MSOLICITADA!$F:$F,F446),CODIGOSPLACAS!$A$64:$B$89,2,FALSE),"")</f>
        <v>EDUALDO</v>
      </c>
      <c r="H446" s="77">
        <v>1014472</v>
      </c>
      <c r="I446" s="77">
        <v>1015114</v>
      </c>
      <c r="J446" s="7">
        <v>421</v>
      </c>
      <c r="K446" s="78">
        <v>2605.9899999999998</v>
      </c>
      <c r="L446" s="79" t="s">
        <v>111</v>
      </c>
      <c r="M446" s="6">
        <v>357</v>
      </c>
      <c r="N446" s="5">
        <f t="shared" si="46"/>
        <v>285</v>
      </c>
      <c r="O446" s="80">
        <f t="shared" si="47"/>
        <v>6.1899999999999995</v>
      </c>
      <c r="P446" s="8">
        <f t="shared" si="48"/>
        <v>1.5249406175771971</v>
      </c>
      <c r="Q446" s="8">
        <f t="shared" si="53"/>
        <v>1.4288896110685252</v>
      </c>
      <c r="R446" s="81">
        <f t="shared" si="49"/>
        <v>0.55607476635514019</v>
      </c>
      <c r="S446" s="113" t="str">
        <f>IF(F446="","",IF(H446="",TEXT(_xlfn.MAXIFS($I$1:I446,$F$1:F446,F446,$H$1:H446,"&gt;"&amp;0),"000.000"),F446))</f>
        <v>QHE9735</v>
      </c>
      <c r="T446" s="101">
        <f t="shared" si="54"/>
        <v>286.07142857142856</v>
      </c>
      <c r="U446" s="82" t="s">
        <v>220</v>
      </c>
      <c r="V446" s="98" t="s">
        <v>165</v>
      </c>
      <c r="W446" s="82" t="s">
        <v>222</v>
      </c>
      <c r="X446" s="98" t="s">
        <v>200</v>
      </c>
      <c r="Y446" s="82" t="s">
        <v>225</v>
      </c>
      <c r="Z446" s="98" t="s">
        <v>284</v>
      </c>
      <c r="AA446" s="82" t="s">
        <v>221</v>
      </c>
      <c r="AB446" s="98" t="s">
        <v>168</v>
      </c>
      <c r="AC446" s="82" t="s">
        <v>225</v>
      </c>
      <c r="AD446" s="98" t="s">
        <v>237</v>
      </c>
      <c r="AE446" s="82" t="s">
        <v>220</v>
      </c>
      <c r="AF446" s="98" t="s">
        <v>165</v>
      </c>
      <c r="AG446" s="82"/>
      <c r="AH446" s="98"/>
      <c r="AI446" s="82"/>
      <c r="AJ446" s="98"/>
      <c r="AK446" s="83"/>
      <c r="AL446" s="84" t="str">
        <f>IF(F446&lt;&gt;0,IF(_xlfn.MAXIFS($I$1:I446,$F$1:F446,F446,$H$1:H446,"&gt;"&amp;0)=0,"KM NÃO ENCONTRADO",IF(H446=0,CONCATENATE("SUGESTÃO DE KM PARA PLACA ",F446," *",_xlfn.MAXIFS($I$1:I446,$F$1:F446,F446,$H$1:H446,"&gt;"&amp;0),"*"),"")),"")</f>
        <v/>
      </c>
      <c r="AM446" s="85" t="str" cm="1">
        <f t="array" ref="AM446">IFERROR(IF(M446&lt;&gt;"","",CONCATENATE("https://btx.brasiltrack.com/logistica/trajeto.php?idveiculo=",VLOOKUP(F446,DATAS!$A$221:$B$250,2,FALSE),"&amp;lat=-22.204247","&amp;data_ini=",TEXT(IF(E446&lt;&gt;"",IF(COUNTIF($F$2:$F446,F446)&gt;1,MAX(IF($F$1:$F445=F446,$E$1:$E445)),""),""),"DD/MM/AAAA"),"&amp;data_fim=",TEXT(E446,"DD/MM/AAAA"),"&amp;hora_inicial=",HOUR(IF(E446&lt;&gt;"",IF(COUNTIF($F$2:$F446,F446)&gt;1,MAX(IF($F$1:$F445=F446,$E$1:$E445)),""),"")),"&amp;minuto_inicial=",MINUTE(IF(E446&lt;&gt;"",IF(COUNTIF($F$2:$F446,F446)&gt;1,MAX(IF($F$1:$F445=F446,$E$1:$E445)),""),"")),"&amp;hora_final=",HOUR(E446),"&amp;minuto_final=",MINUTE(E446),"&amp;periodo=6&amp;tipo=por_data&amp;upos=false&amp;outequip=0")),"")</f>
        <v/>
      </c>
      <c r="AN446" s="100" t="str">
        <f t="shared" si="50"/>
        <v xml:space="preserve">ABASTECEU no 22 NORTE DESCARREGOU em CONGONHAL-MG PASSOU em SÃO PAULO-SP CARREGOU em CUBATAO-SP PASSOU em ARUJÁ-SP ABASTECEU no 22 NORTE    </v>
      </c>
    </row>
    <row r="447" spans="1:40" x14ac:dyDescent="0.25">
      <c r="A447" s="101">
        <f>IFERROR(VLOOKUP(AN447,ROTAS!$A:$B,2,FALSE),0)</f>
        <v>112</v>
      </c>
      <c r="B447" s="101">
        <f t="shared" si="51"/>
        <v>14</v>
      </c>
      <c r="C447" s="101">
        <f t="shared" si="52"/>
        <v>586.42857142857144</v>
      </c>
      <c r="D447" s="144">
        <v>44927</v>
      </c>
      <c r="E447" s="76">
        <v>44938.65347222222</v>
      </c>
      <c r="F447" s="6" t="s">
        <v>28</v>
      </c>
      <c r="G447" s="5" t="str">
        <f>IFERROR(VLOOKUP(SUMIFS(MSOLICITADA!$I:$I,MSOLICITADA!$B:$B,D447,MSOLICITADA!$F:$F,F447),CODIGOSPLACAS!$A$64:$B$89,2,FALSE),"")</f>
        <v>RONY</v>
      </c>
      <c r="H447" s="77">
        <v>246715</v>
      </c>
      <c r="I447" s="77">
        <v>247302</v>
      </c>
      <c r="J447" s="7">
        <v>380</v>
      </c>
      <c r="K447" s="78">
        <v>2352.1999999999998</v>
      </c>
      <c r="L447" s="79" t="s">
        <v>111</v>
      </c>
      <c r="M447" s="6">
        <v>293</v>
      </c>
      <c r="N447" s="5">
        <f t="shared" si="46"/>
        <v>294</v>
      </c>
      <c r="O447" s="80">
        <f t="shared" si="47"/>
        <v>6.1899999999999995</v>
      </c>
      <c r="P447" s="8">
        <f t="shared" si="48"/>
        <v>1.5447368421052632</v>
      </c>
      <c r="Q447" s="8">
        <f t="shared" si="53"/>
        <v>1.519654959485309</v>
      </c>
      <c r="R447" s="81">
        <f t="shared" si="49"/>
        <v>0.49914821124361158</v>
      </c>
      <c r="S447" s="113" t="str">
        <f>IF(F447="","",IF(H447="",TEXT(_xlfn.MAXIFS($I$1:I447,$F$1:F447,F447,$H$1:H447,"&gt;"&amp;0),"000.000"),F447))</f>
        <v>FZA3E94</v>
      </c>
      <c r="T447" s="101">
        <f t="shared" si="54"/>
        <v>292.78571428571428</v>
      </c>
      <c r="U447" s="82" t="s">
        <v>220</v>
      </c>
      <c r="V447" s="98" t="s">
        <v>165</v>
      </c>
      <c r="W447" s="82" t="s">
        <v>222</v>
      </c>
      <c r="X447" s="98" t="s">
        <v>200</v>
      </c>
      <c r="Y447" s="82" t="s">
        <v>225</v>
      </c>
      <c r="Z447" s="98" t="s">
        <v>284</v>
      </c>
      <c r="AA447" s="82" t="s">
        <v>221</v>
      </c>
      <c r="AB447" s="98" t="s">
        <v>168</v>
      </c>
      <c r="AC447" s="82" t="s">
        <v>225</v>
      </c>
      <c r="AD447" s="98" t="s">
        <v>284</v>
      </c>
      <c r="AE447" s="82" t="s">
        <v>220</v>
      </c>
      <c r="AF447" s="98" t="s">
        <v>165</v>
      </c>
      <c r="AG447" s="82"/>
      <c r="AH447" s="98"/>
      <c r="AI447" s="82"/>
      <c r="AJ447" s="98"/>
      <c r="AK447" s="83"/>
      <c r="AL447" s="84" t="str">
        <f>IF(F447&lt;&gt;0,IF(_xlfn.MAXIFS($I$1:I447,$F$1:F447,F447,$H$1:H447,"&gt;"&amp;0)=0,"KM NÃO ENCONTRADO",IF(H447=0,CONCATENATE("SUGESTÃO DE KM PARA PLACA ",F447," *",_xlfn.MAXIFS($I$1:I447,$F$1:F447,F447,$H$1:H447,"&gt;"&amp;0),"*"),"")),"")</f>
        <v/>
      </c>
      <c r="AM447" s="85" t="str" cm="1">
        <f t="array" ref="AM447">IFERROR(IF(M447&lt;&gt;"","",CONCATENATE("https://btx.brasiltrack.com/logistica/trajeto.php?idveiculo=",VLOOKUP(F447,DATAS!$A$221:$B$250,2,FALSE),"&amp;lat=-22.204247","&amp;data_ini=",TEXT(IF(E447&lt;&gt;"",IF(COUNTIF($F$2:$F447,F447)&gt;1,MAX(IF($F$1:$F446=F447,$E$1:$E446)),""),""),"DD/MM/AAAA"),"&amp;data_fim=",TEXT(E447,"DD/MM/AAAA"),"&amp;hora_inicial=",HOUR(IF(E447&lt;&gt;"",IF(COUNTIF($F$2:$F447,F447)&gt;1,MAX(IF($F$1:$F446=F447,$E$1:$E446)),""),"")),"&amp;minuto_inicial=",MINUTE(IF(E447&lt;&gt;"",IF(COUNTIF($F$2:$F447,F447)&gt;1,MAX(IF($F$1:$F446=F447,$E$1:$E446)),""),"")),"&amp;hora_final=",HOUR(E447),"&amp;minuto_final=",MINUTE(E447),"&amp;periodo=6&amp;tipo=por_data&amp;upos=false&amp;outequip=0")),"")</f>
        <v/>
      </c>
      <c r="AN447" s="100" t="str">
        <f t="shared" si="50"/>
        <v xml:space="preserve">ABASTECEU no 22 NORTE DESCARREGOU em CONGONHAL-MG PASSOU em SÃO PAULO-SP CARREGOU em CUBATAO-SP PASSOU em SÃO PAULO-SP ABASTECEU no 22 NORTE    </v>
      </c>
    </row>
    <row r="448" spans="1:40" x14ac:dyDescent="0.25">
      <c r="A448" s="101">
        <f>IFERROR(VLOOKUP(AN448,ROTAS!$A:$B,2,FALSE),0)</f>
        <v>113</v>
      </c>
      <c r="B448" s="101">
        <f t="shared" si="51"/>
        <v>14</v>
      </c>
      <c r="C448" s="101">
        <f t="shared" si="52"/>
        <v>633.64285714285711</v>
      </c>
      <c r="D448" s="144">
        <v>44927</v>
      </c>
      <c r="E448" s="76">
        <v>44938.684027777781</v>
      </c>
      <c r="F448" s="6" t="s">
        <v>23</v>
      </c>
      <c r="G448" s="5" t="str">
        <f>IFERROR(VLOOKUP(SUMIFS(MSOLICITADA!$I:$I,MSOLICITADA!$B:$B,D448,MSOLICITADA!$F:$F,F448),CODIGOSPLACAS!$A$64:$B$89,2,FALSE),"")</f>
        <v>ISAC</v>
      </c>
      <c r="H448" s="77">
        <v>1208681</v>
      </c>
      <c r="I448" s="77">
        <v>1209320</v>
      </c>
      <c r="J448" s="7">
        <v>417.18</v>
      </c>
      <c r="K448" s="78">
        <v>2582.35</v>
      </c>
      <c r="L448" s="79" t="s">
        <v>111</v>
      </c>
      <c r="M448" s="6">
        <v>353</v>
      </c>
      <c r="N448" s="5">
        <f t="shared" si="46"/>
        <v>286</v>
      </c>
      <c r="O448" s="80">
        <f t="shared" si="47"/>
        <v>6.1900139028716614</v>
      </c>
      <c r="P448" s="8">
        <f t="shared" si="48"/>
        <v>1.5317129296706458</v>
      </c>
      <c r="Q448" s="8">
        <f t="shared" si="53"/>
        <v>1.4592701282718794</v>
      </c>
      <c r="R448" s="81">
        <f t="shared" si="49"/>
        <v>0.55242566510172142</v>
      </c>
      <c r="S448" s="113" t="str">
        <f>IF(F448="","",IF(H448="",TEXT(_xlfn.MAXIFS($I$1:I448,$F$1:F448,F448,$H$1:H448,"&gt;"&amp;0),"000.000"),F448))</f>
        <v>HNC7I76</v>
      </c>
      <c r="T448" s="101">
        <f t="shared" si="54"/>
        <v>286.07142857142856</v>
      </c>
      <c r="U448" s="82" t="s">
        <v>220</v>
      </c>
      <c r="V448" s="98" t="s">
        <v>165</v>
      </c>
      <c r="W448" s="82" t="s">
        <v>222</v>
      </c>
      <c r="X448" s="98" t="s">
        <v>200</v>
      </c>
      <c r="Y448" s="82" t="s">
        <v>225</v>
      </c>
      <c r="Z448" s="98" t="s">
        <v>284</v>
      </c>
      <c r="AA448" s="82" t="s">
        <v>221</v>
      </c>
      <c r="AB448" s="98" t="s">
        <v>168</v>
      </c>
      <c r="AC448" s="82" t="s">
        <v>225</v>
      </c>
      <c r="AD448" s="98" t="s">
        <v>237</v>
      </c>
      <c r="AE448" s="82" t="s">
        <v>220</v>
      </c>
      <c r="AF448" s="98" t="s">
        <v>165</v>
      </c>
      <c r="AG448" s="82"/>
      <c r="AH448" s="98"/>
      <c r="AI448" s="82"/>
      <c r="AJ448" s="98"/>
      <c r="AK448" s="83"/>
      <c r="AL448" s="84" t="str">
        <f>IF(F448&lt;&gt;0,IF(_xlfn.MAXIFS($I$1:I448,$F$1:F448,F448,$H$1:H448,"&gt;"&amp;0)=0,"KM NÃO ENCONTRADO",IF(H448=0,CONCATENATE("SUGESTÃO DE KM PARA PLACA ",F448," *",_xlfn.MAXIFS($I$1:I448,$F$1:F448,F448,$H$1:H448,"&gt;"&amp;0),"*"),"")),"")</f>
        <v/>
      </c>
      <c r="AM448" s="85" t="str" cm="1">
        <f t="array" ref="AM448">IFERROR(IF(M448&lt;&gt;"","",CONCATENATE("https://btx.brasiltrack.com/logistica/trajeto.php?idveiculo=",VLOOKUP(F448,DATAS!$A$221:$B$250,2,FALSE),"&amp;lat=-22.204247","&amp;data_ini=",TEXT(IF(E448&lt;&gt;"",IF(COUNTIF($F$2:$F448,F448)&gt;1,MAX(IF($F$1:$F447=F448,$E$1:$E447)),""),""),"DD/MM/AAAA"),"&amp;data_fim=",TEXT(E448,"DD/MM/AAAA"),"&amp;hora_inicial=",HOUR(IF(E448&lt;&gt;"",IF(COUNTIF($F$2:$F448,F448)&gt;1,MAX(IF($F$1:$F447=F448,$E$1:$E447)),""),"")),"&amp;minuto_inicial=",MINUTE(IF(E448&lt;&gt;"",IF(COUNTIF($F$2:$F448,F448)&gt;1,MAX(IF($F$1:$F447=F448,$E$1:$E447)),""),"")),"&amp;hora_final=",HOUR(E448),"&amp;minuto_final=",MINUTE(E448),"&amp;periodo=6&amp;tipo=por_data&amp;upos=false&amp;outequip=0")),"")</f>
        <v/>
      </c>
      <c r="AN448" s="100" t="str">
        <f t="shared" si="50"/>
        <v xml:space="preserve">ABASTECEU no 22 NORTE DESCARREGOU em CONGONHAL-MG PASSOU em SÃO PAULO-SP CARREGOU em CUBATAO-SP PASSOU em ARUJÁ-SP ABASTECEU no 22 NORTE    </v>
      </c>
    </row>
    <row r="449" spans="1:40" x14ac:dyDescent="0.25">
      <c r="A449" s="101">
        <f>IFERROR(VLOOKUP(AN449,ROTAS!$A:$B,2,FALSE),0)</f>
        <v>125</v>
      </c>
      <c r="B449" s="101">
        <f t="shared" si="51"/>
        <v>2</v>
      </c>
      <c r="C449" s="101">
        <f t="shared" si="52"/>
        <v>818.5</v>
      </c>
      <c r="D449" s="144">
        <v>44927</v>
      </c>
      <c r="E449" s="76">
        <v>44938.697222222225</v>
      </c>
      <c r="F449" s="6" t="s">
        <v>29</v>
      </c>
      <c r="G449" s="5" t="str">
        <f>IFERROR(VLOOKUP(SUMIFS(MSOLICITADA!$I:$I,MSOLICITADA!$B:$B,D449,MSOLICITADA!$F:$F,F449),CODIGOSPLACAS!$A$64:$B$89,2,FALSE),"")</f>
        <v>EDNILSON</v>
      </c>
      <c r="H449" s="77">
        <v>241607</v>
      </c>
      <c r="I449" s="77">
        <v>242422</v>
      </c>
      <c r="J449" s="7">
        <v>492.73</v>
      </c>
      <c r="K449" s="78">
        <v>3050</v>
      </c>
      <c r="L449" s="79" t="s">
        <v>111</v>
      </c>
      <c r="M449" s="6">
        <v>441</v>
      </c>
      <c r="N449" s="5">
        <f t="shared" si="46"/>
        <v>374</v>
      </c>
      <c r="O449" s="80">
        <f t="shared" si="47"/>
        <v>6.1900026383617801</v>
      </c>
      <c r="P449" s="8">
        <f t="shared" si="48"/>
        <v>1.6540498853327379</v>
      </c>
      <c r="Q449" s="8">
        <f t="shared" si="53"/>
        <v>1.5966128652005338</v>
      </c>
      <c r="R449" s="81">
        <f t="shared" si="49"/>
        <v>0.54110429447852759</v>
      </c>
      <c r="S449" s="113" t="str">
        <f>IF(F449="","",IF(H449="",TEXT(_xlfn.MAXIFS($I$1:I449,$F$1:F449,F449,$H$1:H449,"&gt;"&amp;0),"000.000"),F449))</f>
        <v>GKA2J56</v>
      </c>
      <c r="T449" s="101">
        <f t="shared" si="54"/>
        <v>374</v>
      </c>
      <c r="U449" s="82" t="s">
        <v>220</v>
      </c>
      <c r="V449" s="98" t="s">
        <v>165</v>
      </c>
      <c r="W449" s="82" t="s">
        <v>222</v>
      </c>
      <c r="X449" s="98" t="s">
        <v>176</v>
      </c>
      <c r="Y449" s="82" t="s">
        <v>225</v>
      </c>
      <c r="Z449" s="98" t="s">
        <v>284</v>
      </c>
      <c r="AA449" s="82" t="s">
        <v>221</v>
      </c>
      <c r="AB449" s="98" t="s">
        <v>168</v>
      </c>
      <c r="AC449" s="82" t="s">
        <v>225</v>
      </c>
      <c r="AD449" s="98" t="s">
        <v>237</v>
      </c>
      <c r="AE449" s="82" t="s">
        <v>220</v>
      </c>
      <c r="AF449" s="98" t="s">
        <v>165</v>
      </c>
      <c r="AG449" s="82"/>
      <c r="AH449" s="98"/>
      <c r="AI449" s="82"/>
      <c r="AJ449" s="98"/>
      <c r="AK449" s="83"/>
      <c r="AL449" s="84" t="str">
        <f>IF(F449&lt;&gt;0,IF(_xlfn.MAXIFS($I$1:I449,$F$1:F449,F449,$H$1:H449,"&gt;"&amp;0)=0,"KM NÃO ENCONTRADO",IF(H449=0,CONCATENATE("SUGESTÃO DE KM PARA PLACA ",F449," *",_xlfn.MAXIFS($I$1:I449,$F$1:F449,F449,$H$1:H449,"&gt;"&amp;0),"*"),"")),"")</f>
        <v/>
      </c>
      <c r="AM449" s="85" t="str" cm="1">
        <f t="array" ref="AM449">IFERROR(IF(M449&lt;&gt;"","",CONCATENATE("https://btx.brasiltrack.com/logistica/trajeto.php?idveiculo=",VLOOKUP(F449,DATAS!$A$221:$B$250,2,FALSE),"&amp;lat=-22.204247","&amp;data_ini=",TEXT(IF(E449&lt;&gt;"",IF(COUNTIF($F$2:$F449,F449)&gt;1,MAX(IF($F$1:$F448=F449,$E$1:$E448)),""),""),"DD/MM/AAAA"),"&amp;data_fim=",TEXT(E449,"DD/MM/AAAA"),"&amp;hora_inicial=",HOUR(IF(E449&lt;&gt;"",IF(COUNTIF($F$2:$F449,F449)&gt;1,MAX(IF($F$1:$F448=F449,$E$1:$E448)),""),"")),"&amp;minuto_inicial=",MINUTE(IF(E449&lt;&gt;"",IF(COUNTIF($F$2:$F449,F449)&gt;1,MAX(IF($F$1:$F448=F449,$E$1:$E448)),""),"")),"&amp;hora_final=",HOUR(E449),"&amp;minuto_final=",MINUTE(E449),"&amp;periodo=6&amp;tipo=por_data&amp;upos=false&amp;outequip=0")),"")</f>
        <v/>
      </c>
      <c r="AN449" s="100" t="str">
        <f t="shared" si="50"/>
        <v xml:space="preserve">ABASTECEU no 22 NORTE DESCARREGOU em ALFENAS-MG PASSOU em SÃO PAULO-SP CARREGOU em CUBATAO-SP PASSOU em ARUJÁ-SP ABASTECEU no 22 NORTE    </v>
      </c>
    </row>
    <row r="450" spans="1:40" x14ac:dyDescent="0.25">
      <c r="A450" s="101">
        <f>IFERROR(VLOOKUP(AN450,ROTAS!$A:$B,2,FALSE),0)</f>
        <v>121</v>
      </c>
      <c r="B450" s="101">
        <f t="shared" si="51"/>
        <v>6</v>
      </c>
      <c r="C450" s="101">
        <f t="shared" si="52"/>
        <v>679.83333333333337</v>
      </c>
      <c r="D450" s="144">
        <v>44927</v>
      </c>
      <c r="E450" s="76">
        <v>44938.718055555553</v>
      </c>
      <c r="F450" s="6" t="s">
        <v>32</v>
      </c>
      <c r="G450" s="5" t="str">
        <f>IFERROR(VLOOKUP(SUMIFS(MSOLICITADA!$I:$I,MSOLICITADA!$B:$B,D450,MSOLICITADA!$F:$F,F450),CODIGOSPLACAS!$A$64:$B$89,2,FALSE),"")</f>
        <v>ADILSON</v>
      </c>
      <c r="H450" s="77">
        <v>204614</v>
      </c>
      <c r="I450" s="77">
        <v>205291</v>
      </c>
      <c r="J450" s="7">
        <v>383.74</v>
      </c>
      <c r="K450" s="78">
        <v>2375.35</v>
      </c>
      <c r="L450" s="79" t="s">
        <v>111</v>
      </c>
      <c r="M450" s="6">
        <v>339</v>
      </c>
      <c r="N450" s="5">
        <f t="shared" si="46"/>
        <v>338</v>
      </c>
      <c r="O450" s="80">
        <f t="shared" si="47"/>
        <v>6.1899984364413401</v>
      </c>
      <c r="P450" s="8">
        <f t="shared" si="48"/>
        <v>1.7642153541460364</v>
      </c>
      <c r="Q450" s="8">
        <f t="shared" si="53"/>
        <v>1.6695575721559062</v>
      </c>
      <c r="R450" s="81">
        <f t="shared" si="49"/>
        <v>0.50073855243722309</v>
      </c>
      <c r="S450" s="113" t="str">
        <f>IF(F450="","",IF(H450="",TEXT(_xlfn.MAXIFS($I$1:I450,$F$1:F450,F450,$H$1:H450,"&gt;"&amp;0),"000.000"),F450))</f>
        <v>GJU9A22</v>
      </c>
      <c r="T450" s="101">
        <f t="shared" si="54"/>
        <v>339.83333333333331</v>
      </c>
      <c r="U450" s="82" t="s">
        <v>220</v>
      </c>
      <c r="V450" s="98" t="s">
        <v>165</v>
      </c>
      <c r="W450" s="82" t="s">
        <v>222</v>
      </c>
      <c r="X450" s="98" t="s">
        <v>200</v>
      </c>
      <c r="Y450" s="82" t="s">
        <v>225</v>
      </c>
      <c r="Z450" s="98" t="s">
        <v>237</v>
      </c>
      <c r="AA450" s="82" t="s">
        <v>221</v>
      </c>
      <c r="AB450" s="98" t="s">
        <v>168</v>
      </c>
      <c r="AC450" s="82" t="s">
        <v>225</v>
      </c>
      <c r="AD450" s="98" t="s">
        <v>237</v>
      </c>
      <c r="AE450" s="82" t="s">
        <v>220</v>
      </c>
      <c r="AF450" s="98" t="s">
        <v>165</v>
      </c>
      <c r="AG450" s="82"/>
      <c r="AH450" s="98"/>
      <c r="AI450" s="82"/>
      <c r="AJ450" s="98"/>
      <c r="AK450" s="83"/>
      <c r="AL450" s="84" t="str">
        <f>IF(F450&lt;&gt;0,IF(_xlfn.MAXIFS($I$1:I450,$F$1:F450,F450,$H$1:H450,"&gt;"&amp;0)=0,"KM NÃO ENCONTRADO",IF(H450=0,CONCATENATE("SUGESTÃO DE KM PARA PLACA ",F450," *",_xlfn.MAXIFS($I$1:I450,$F$1:F450,F450,$H$1:H450,"&gt;"&amp;0),"*"),"")),"")</f>
        <v/>
      </c>
      <c r="AM450" s="85" t="str" cm="1">
        <f t="array" ref="AM450">IFERROR(IF(M450&lt;&gt;"","",CONCATENATE("https://btx.brasiltrack.com/logistica/trajeto.php?idveiculo=",VLOOKUP(F450,DATAS!$A$221:$B$250,2,FALSE),"&amp;lat=-22.204247","&amp;data_ini=",TEXT(IF(E450&lt;&gt;"",IF(COUNTIF($F$2:$F450,F450)&gt;1,MAX(IF($F$1:$F449=F450,$E$1:$E449)),""),""),"DD/MM/AAAA"),"&amp;data_fim=",TEXT(E450,"DD/MM/AAAA"),"&amp;hora_inicial=",HOUR(IF(E450&lt;&gt;"",IF(COUNTIF($F$2:$F450,F450)&gt;1,MAX(IF($F$1:$F449=F450,$E$1:$E449)),""),"")),"&amp;minuto_inicial=",MINUTE(IF(E450&lt;&gt;"",IF(COUNTIF($F$2:$F450,F450)&gt;1,MAX(IF($F$1:$F449=F450,$E$1:$E449)),""),"")),"&amp;hora_final=",HOUR(E450),"&amp;minuto_final=",MINUTE(E450),"&amp;periodo=6&amp;tipo=por_data&amp;upos=false&amp;outequip=0")),"")</f>
        <v/>
      </c>
      <c r="AN450" s="100" t="str">
        <f t="shared" si="50"/>
        <v xml:space="preserve">ABASTECEU no 22 NORTE DESCARREGOU em CONGONHAL-MG PASSOU em ARUJÁ-SP CARREGOU em CUBATAO-SP PASSOU em ARUJÁ-SP ABASTECEU no 22 NORTE    </v>
      </c>
    </row>
    <row r="451" spans="1:40" x14ac:dyDescent="0.25">
      <c r="A451" s="101">
        <f>IFERROR(VLOOKUP(AN451,ROTAS!$A:$B,2,FALSE),0)</f>
        <v>113</v>
      </c>
      <c r="B451" s="101">
        <f t="shared" si="51"/>
        <v>14</v>
      </c>
      <c r="C451" s="101">
        <f t="shared" si="52"/>
        <v>633.64285714285711</v>
      </c>
      <c r="D451" s="144">
        <v>44927</v>
      </c>
      <c r="E451" s="76">
        <v>44938.729861111111</v>
      </c>
      <c r="F451" s="6" t="s">
        <v>131</v>
      </c>
      <c r="G451" s="5" t="str">
        <f>IFERROR(VLOOKUP(SUMIFS(MSOLICITADA!$I:$I,MSOLICITADA!$B:$B,D451,MSOLICITADA!$F:$F,F451),CODIGOSPLACAS!$A$64:$B$89,2,FALSE),"")</f>
        <v>ALTIELIS</v>
      </c>
      <c r="H451" s="77">
        <v>51687</v>
      </c>
      <c r="I451" s="77">
        <v>52311</v>
      </c>
      <c r="J451" s="7">
        <v>384</v>
      </c>
      <c r="K451" s="78">
        <v>2376.96</v>
      </c>
      <c r="L451" s="79" t="s">
        <v>111</v>
      </c>
      <c r="M451" s="6">
        <v>338</v>
      </c>
      <c r="N451" s="5">
        <f t="shared" ref="N451:N514" si="55">IF(IF((I451-H451-M451)&lt;0,"ERRO",I451-H451-M451)=0,"",IF((I451-H451-M451)&lt;0,"ERRO",I451-H451-M451))</f>
        <v>286</v>
      </c>
      <c r="O451" s="80">
        <f t="shared" ref="O451:O514" si="56">IFERROR(K451/J451,"")</f>
        <v>6.19</v>
      </c>
      <c r="P451" s="8">
        <f t="shared" ref="P451:P514" si="57">IF(F451&lt;&gt;"",(SUM(M451:N451)-AK451)/(J451-(AK451/5)),0)</f>
        <v>1.625</v>
      </c>
      <c r="Q451" s="8">
        <f t="shared" si="53"/>
        <v>1.6793774979959049</v>
      </c>
      <c r="R451" s="81">
        <f t="shared" ref="R451:R514" si="58">IFERROR(IF(M451/(I451-H451)=0,0,M451/(I451-H451)),0)</f>
        <v>0.54166666666666663</v>
      </c>
      <c r="S451" s="113" t="str">
        <f>IF(F451="","",IF(H451="",TEXT(_xlfn.MAXIFS($I$1:I451,$F$1:F451,F451,$H$1:H451,"&gt;"&amp;0),"000.000"),F451))</f>
        <v>GGN4J86</v>
      </c>
      <c r="T451" s="101">
        <f t="shared" si="54"/>
        <v>286.07142857142856</v>
      </c>
      <c r="U451" s="82" t="s">
        <v>220</v>
      </c>
      <c r="V451" s="98" t="s">
        <v>165</v>
      </c>
      <c r="W451" s="82" t="s">
        <v>222</v>
      </c>
      <c r="X451" s="98" t="s">
        <v>200</v>
      </c>
      <c r="Y451" s="82" t="s">
        <v>225</v>
      </c>
      <c r="Z451" s="98" t="s">
        <v>284</v>
      </c>
      <c r="AA451" s="82" t="s">
        <v>221</v>
      </c>
      <c r="AB451" s="98" t="s">
        <v>168</v>
      </c>
      <c r="AC451" s="82" t="s">
        <v>225</v>
      </c>
      <c r="AD451" s="98" t="s">
        <v>237</v>
      </c>
      <c r="AE451" s="82" t="s">
        <v>220</v>
      </c>
      <c r="AF451" s="98" t="s">
        <v>165</v>
      </c>
      <c r="AG451" s="82"/>
      <c r="AH451" s="98"/>
      <c r="AI451" s="82"/>
      <c r="AJ451" s="98"/>
      <c r="AK451" s="83"/>
      <c r="AL451" s="84" t="str">
        <f>IF(F451&lt;&gt;0,IF(_xlfn.MAXIFS($I$1:I451,$F$1:F451,F451,$H$1:H451,"&gt;"&amp;0)=0,"KM NÃO ENCONTRADO",IF(H451=0,CONCATENATE("SUGESTÃO DE KM PARA PLACA ",F451," *",_xlfn.MAXIFS($I$1:I451,$F$1:F451,F451,$H$1:H451,"&gt;"&amp;0),"*"),"")),"")</f>
        <v/>
      </c>
      <c r="AM451" s="85" t="str" cm="1">
        <f t="array" ref="AM451">IFERROR(IF(M451&lt;&gt;"","",CONCATENATE("https://btx.brasiltrack.com/logistica/trajeto.php?idveiculo=",VLOOKUP(F451,DATAS!$A$221:$B$250,2,FALSE),"&amp;lat=-22.204247","&amp;data_ini=",TEXT(IF(E451&lt;&gt;"",IF(COUNTIF($F$2:$F451,F451)&gt;1,MAX(IF($F$1:$F450=F451,$E$1:$E450)),""),""),"DD/MM/AAAA"),"&amp;data_fim=",TEXT(E451,"DD/MM/AAAA"),"&amp;hora_inicial=",HOUR(IF(E451&lt;&gt;"",IF(COUNTIF($F$2:$F451,F451)&gt;1,MAX(IF($F$1:$F450=F451,$E$1:$E450)),""),"")),"&amp;minuto_inicial=",MINUTE(IF(E451&lt;&gt;"",IF(COUNTIF($F$2:$F451,F451)&gt;1,MAX(IF($F$1:$F450=F451,$E$1:$E450)),""),"")),"&amp;hora_final=",HOUR(E451),"&amp;minuto_final=",MINUTE(E451),"&amp;periodo=6&amp;tipo=por_data&amp;upos=false&amp;outequip=0")),"")</f>
        <v/>
      </c>
      <c r="AN451" s="100" t="str">
        <f t="shared" ref="AN451:AN514" si="59">CONCATENATE(U451," ",V451," ",W451," ",X451," ",Y451," ",Z451," ",AA451," ",AB451," ",AC451," ",AD451," ",AE451," ",AF451," ",AG451," ",AH451," ",AI451," ",AJ451)</f>
        <v xml:space="preserve">ABASTECEU no 22 NORTE DESCARREGOU em CONGONHAL-MG PASSOU em SÃO PAULO-SP CARREGOU em CUBATAO-SP PASSOU em ARUJÁ-SP ABASTECEU no 22 NORTE    </v>
      </c>
    </row>
    <row r="452" spans="1:40" x14ac:dyDescent="0.25">
      <c r="A452" s="101">
        <f>IFERROR(VLOOKUP(AN452,ROTAS!$A:$B,2,FALSE),0)</f>
        <v>121</v>
      </c>
      <c r="B452" s="101">
        <f t="shared" si="51"/>
        <v>6</v>
      </c>
      <c r="C452" s="101">
        <f t="shared" si="52"/>
        <v>679.83333333333337</v>
      </c>
      <c r="D452" s="144">
        <v>44927</v>
      </c>
      <c r="E452" s="76">
        <v>44938.745138888888</v>
      </c>
      <c r="F452" s="6" t="s">
        <v>128</v>
      </c>
      <c r="G452" s="5" t="str">
        <f>IFERROR(VLOOKUP(SUMIFS(MSOLICITADA!$I:$I,MSOLICITADA!$B:$B,D452,MSOLICITADA!$F:$F,F452),CODIGOSPLACAS!$A$64:$B$89,2,FALSE),"")</f>
        <v>ELI RICARDO</v>
      </c>
      <c r="H452" s="77">
        <v>94694</v>
      </c>
      <c r="I452" s="77">
        <v>95379</v>
      </c>
      <c r="J452" s="7">
        <v>384.42</v>
      </c>
      <c r="K452" s="78">
        <v>2379.5700000000002</v>
      </c>
      <c r="L452" s="79" t="s">
        <v>111</v>
      </c>
      <c r="M452" s="6">
        <v>343</v>
      </c>
      <c r="N452" s="5">
        <f t="shared" si="55"/>
        <v>342</v>
      </c>
      <c r="O452" s="80">
        <f t="shared" si="56"/>
        <v>6.1900265334790072</v>
      </c>
      <c r="P452" s="8">
        <f t="shared" si="57"/>
        <v>1.7819052078455855</v>
      </c>
      <c r="Q452" s="8">
        <f t="shared" si="53"/>
        <v>1.7619806950171255</v>
      </c>
      <c r="R452" s="81">
        <f t="shared" si="58"/>
        <v>0.50072992700729924</v>
      </c>
      <c r="S452" s="113" t="str">
        <f>IF(F452="","",IF(H452="",TEXT(_xlfn.MAXIFS($I$1:I452,$F$1:F452,F452,$H$1:H452,"&gt;"&amp;0),"000.000"),F452))</f>
        <v>GFR0D47</v>
      </c>
      <c r="T452" s="101">
        <f t="shared" si="54"/>
        <v>339.83333333333331</v>
      </c>
      <c r="U452" s="82" t="s">
        <v>220</v>
      </c>
      <c r="V452" s="98" t="s">
        <v>165</v>
      </c>
      <c r="W452" s="82" t="s">
        <v>222</v>
      </c>
      <c r="X452" s="98" t="s">
        <v>200</v>
      </c>
      <c r="Y452" s="82" t="s">
        <v>225</v>
      </c>
      <c r="Z452" s="98" t="s">
        <v>237</v>
      </c>
      <c r="AA452" s="82" t="s">
        <v>221</v>
      </c>
      <c r="AB452" s="98" t="s">
        <v>168</v>
      </c>
      <c r="AC452" s="82" t="s">
        <v>225</v>
      </c>
      <c r="AD452" s="98" t="s">
        <v>237</v>
      </c>
      <c r="AE452" s="82" t="s">
        <v>220</v>
      </c>
      <c r="AF452" s="98" t="s">
        <v>165</v>
      </c>
      <c r="AG452" s="82"/>
      <c r="AH452" s="98"/>
      <c r="AI452" s="82"/>
      <c r="AJ452" s="98"/>
      <c r="AK452" s="83"/>
      <c r="AL452" s="84" t="str">
        <f>IF(F452&lt;&gt;0,IF(_xlfn.MAXIFS($I$1:I452,$F$1:F452,F452,$H$1:H452,"&gt;"&amp;0)=0,"KM NÃO ENCONTRADO",IF(H452=0,CONCATENATE("SUGESTÃO DE KM PARA PLACA ",F452," *",_xlfn.MAXIFS($I$1:I452,$F$1:F452,F452,$H$1:H452,"&gt;"&amp;0),"*"),"")),"")</f>
        <v/>
      </c>
      <c r="AM452" s="85" t="str" cm="1">
        <f t="array" ref="AM452">IFERROR(IF(M452&lt;&gt;"","",CONCATENATE("https://btx.brasiltrack.com/logistica/trajeto.php?idveiculo=",VLOOKUP(F452,DATAS!$A$221:$B$250,2,FALSE),"&amp;lat=-22.204247","&amp;data_ini=",TEXT(IF(E452&lt;&gt;"",IF(COUNTIF($F$2:$F452,F452)&gt;1,MAX(IF($F$1:$F451=F452,$E$1:$E451)),""),""),"DD/MM/AAAA"),"&amp;data_fim=",TEXT(E452,"DD/MM/AAAA"),"&amp;hora_inicial=",HOUR(IF(E452&lt;&gt;"",IF(COUNTIF($F$2:$F452,F452)&gt;1,MAX(IF($F$1:$F451=F452,$E$1:$E451)),""),"")),"&amp;minuto_inicial=",MINUTE(IF(E452&lt;&gt;"",IF(COUNTIF($F$2:$F452,F452)&gt;1,MAX(IF($F$1:$F451=F452,$E$1:$E451)),""),"")),"&amp;hora_final=",HOUR(E452),"&amp;minuto_final=",MINUTE(E452),"&amp;periodo=6&amp;tipo=por_data&amp;upos=false&amp;outequip=0")),"")</f>
        <v/>
      </c>
      <c r="AN452" s="100" t="str">
        <f t="shared" si="59"/>
        <v xml:space="preserve">ABASTECEU no 22 NORTE DESCARREGOU em CONGONHAL-MG PASSOU em ARUJÁ-SP CARREGOU em CUBATAO-SP PASSOU em ARUJÁ-SP ABASTECEU no 22 NORTE    </v>
      </c>
    </row>
    <row r="453" spans="1:40" x14ac:dyDescent="0.25">
      <c r="A453" s="101">
        <f>IFERROR(VLOOKUP(AN453,ROTAS!$A:$B,2,FALSE),0)</f>
        <v>125</v>
      </c>
      <c r="B453" s="101">
        <f t="shared" si="51"/>
        <v>2</v>
      </c>
      <c r="C453" s="101">
        <f t="shared" si="52"/>
        <v>818.5</v>
      </c>
      <c r="D453" s="144">
        <v>44927</v>
      </c>
      <c r="E453" s="76">
        <v>44938.822222222225</v>
      </c>
      <c r="F453" s="6" t="s">
        <v>124</v>
      </c>
      <c r="G453" s="5" t="str">
        <f>IFERROR(VLOOKUP(SUMIFS(MSOLICITADA!$I:$I,MSOLICITADA!$B:$B,D453,MSOLICITADA!$F:$F,F453),CODIGOSPLACAS!$A$64:$B$89,2,FALSE),"")</f>
        <v>ISRAEL</v>
      </c>
      <c r="H453" s="77">
        <v>143062</v>
      </c>
      <c r="I453" s="77">
        <v>143884</v>
      </c>
      <c r="J453" s="7">
        <v>502</v>
      </c>
      <c r="K453" s="78">
        <v>3107.38</v>
      </c>
      <c r="L453" s="79" t="s">
        <v>111</v>
      </c>
      <c r="M453" s="6">
        <v>448</v>
      </c>
      <c r="N453" s="5">
        <f t="shared" si="55"/>
        <v>374</v>
      </c>
      <c r="O453" s="80">
        <f t="shared" si="56"/>
        <v>6.19</v>
      </c>
      <c r="P453" s="8">
        <f t="shared" si="57"/>
        <v>1.6374501992031874</v>
      </c>
      <c r="Q453" s="8">
        <f t="shared" si="53"/>
        <v>1.6528367477149088</v>
      </c>
      <c r="R453" s="81">
        <f t="shared" si="58"/>
        <v>0.54501216545012166</v>
      </c>
      <c r="S453" s="113" t="str">
        <f>IF(F453="","",IF(H453="",TEXT(_xlfn.MAXIFS($I$1:I453,$F$1:F453,F453,$H$1:H453,"&gt;"&amp;0),"000.000"),F453))</f>
        <v>GHH9B64</v>
      </c>
      <c r="T453" s="101">
        <f t="shared" si="54"/>
        <v>374</v>
      </c>
      <c r="U453" s="82" t="s">
        <v>220</v>
      </c>
      <c r="V453" s="98" t="s">
        <v>165</v>
      </c>
      <c r="W453" s="82" t="s">
        <v>222</v>
      </c>
      <c r="X453" s="98" t="s">
        <v>176</v>
      </c>
      <c r="Y453" s="82" t="s">
        <v>225</v>
      </c>
      <c r="Z453" s="98" t="s">
        <v>284</v>
      </c>
      <c r="AA453" s="82" t="s">
        <v>221</v>
      </c>
      <c r="AB453" s="98" t="s">
        <v>168</v>
      </c>
      <c r="AC453" s="82" t="s">
        <v>225</v>
      </c>
      <c r="AD453" s="98" t="s">
        <v>237</v>
      </c>
      <c r="AE453" s="82" t="s">
        <v>220</v>
      </c>
      <c r="AF453" s="98" t="s">
        <v>165</v>
      </c>
      <c r="AG453" s="82"/>
      <c r="AH453" s="98"/>
      <c r="AI453" s="82"/>
      <c r="AJ453" s="98"/>
      <c r="AK453" s="83"/>
      <c r="AL453" s="84" t="str">
        <f>IF(F453&lt;&gt;0,IF(_xlfn.MAXIFS($I$1:I453,$F$1:F453,F453,$H$1:H453,"&gt;"&amp;0)=0,"KM NÃO ENCONTRADO",IF(H453=0,CONCATENATE("SUGESTÃO DE KM PARA PLACA ",F453," *",_xlfn.MAXIFS($I$1:I453,$F$1:F453,F453,$H$1:H453,"&gt;"&amp;0),"*"),"")),"")</f>
        <v/>
      </c>
      <c r="AM453" s="85" t="str" cm="1">
        <f t="array" ref="AM453">IFERROR(IF(M453&lt;&gt;"","",CONCATENATE("https://btx.brasiltrack.com/logistica/trajeto.php?idveiculo=",VLOOKUP(F453,DATAS!$A$221:$B$250,2,FALSE),"&amp;lat=-22.204247","&amp;data_ini=",TEXT(IF(E453&lt;&gt;"",IF(COUNTIF($F$2:$F453,F453)&gt;1,MAX(IF($F$1:$F452=F453,$E$1:$E452)),""),""),"DD/MM/AAAA"),"&amp;data_fim=",TEXT(E453,"DD/MM/AAAA"),"&amp;hora_inicial=",HOUR(IF(E453&lt;&gt;"",IF(COUNTIF($F$2:$F453,F453)&gt;1,MAX(IF($F$1:$F452=F453,$E$1:$E452)),""),"")),"&amp;minuto_inicial=",MINUTE(IF(E453&lt;&gt;"",IF(COUNTIF($F$2:$F453,F453)&gt;1,MAX(IF($F$1:$F452=F453,$E$1:$E452)),""),"")),"&amp;hora_final=",HOUR(E453),"&amp;minuto_final=",MINUTE(E453),"&amp;periodo=6&amp;tipo=por_data&amp;upos=false&amp;outequip=0")),"")</f>
        <v/>
      </c>
      <c r="AN453" s="100" t="str">
        <f t="shared" si="59"/>
        <v xml:space="preserve">ABASTECEU no 22 NORTE DESCARREGOU em ALFENAS-MG PASSOU em SÃO PAULO-SP CARREGOU em CUBATAO-SP PASSOU em ARUJÁ-SP ABASTECEU no 22 NORTE    </v>
      </c>
    </row>
    <row r="454" spans="1:40" x14ac:dyDescent="0.25">
      <c r="A454" s="101">
        <f>IFERROR(VLOOKUP(AN454,ROTAS!$A:$B,2,FALSE),0)</f>
        <v>113</v>
      </c>
      <c r="B454" s="101">
        <f t="shared" si="51"/>
        <v>14</v>
      </c>
      <c r="C454" s="101">
        <f t="shared" si="52"/>
        <v>633.64285714285711</v>
      </c>
      <c r="D454" s="144">
        <v>44927</v>
      </c>
      <c r="E454" s="76">
        <v>44938.89166666667</v>
      </c>
      <c r="F454" s="6" t="s">
        <v>126</v>
      </c>
      <c r="G454" s="5" t="str">
        <f>IFERROR(VLOOKUP(SUMIFS(MSOLICITADA!$I:$I,MSOLICITADA!$B:$B,D454,MSOLICITADA!$F:$F,F454),CODIGOSPLACAS!$A$64:$B$89,2,FALSE),"")</f>
        <v>IZAIAS</v>
      </c>
      <c r="H454" s="77">
        <v>494397</v>
      </c>
      <c r="I454" s="77">
        <v>495029</v>
      </c>
      <c r="J454" s="7">
        <v>424.85</v>
      </c>
      <c r="K454" s="78">
        <v>2629.82</v>
      </c>
      <c r="L454" s="79" t="s">
        <v>111</v>
      </c>
      <c r="M454" s="6">
        <v>346</v>
      </c>
      <c r="N454" s="5">
        <f t="shared" si="55"/>
        <v>286</v>
      </c>
      <c r="O454" s="80">
        <f t="shared" si="56"/>
        <v>6.1899964693421206</v>
      </c>
      <c r="P454" s="8">
        <f t="shared" si="57"/>
        <v>1.4875838531246321</v>
      </c>
      <c r="Q454" s="8">
        <f t="shared" si="53"/>
        <v>1.5602257971131808</v>
      </c>
      <c r="R454" s="81">
        <f t="shared" si="58"/>
        <v>0.54746835443037978</v>
      </c>
      <c r="S454" s="113" t="str">
        <f>IF(F454="","",IF(H454="",TEXT(_xlfn.MAXIFS($I$1:I454,$F$1:F454,F454,$H$1:H454,"&gt;"&amp;0),"000.000"),F454))</f>
        <v>GHX4D71</v>
      </c>
      <c r="T454" s="101">
        <f t="shared" si="54"/>
        <v>286.07142857142856</v>
      </c>
      <c r="U454" s="82" t="s">
        <v>220</v>
      </c>
      <c r="V454" s="98" t="s">
        <v>165</v>
      </c>
      <c r="W454" s="82" t="s">
        <v>222</v>
      </c>
      <c r="X454" s="98" t="s">
        <v>200</v>
      </c>
      <c r="Y454" s="82" t="s">
        <v>225</v>
      </c>
      <c r="Z454" s="98" t="s">
        <v>284</v>
      </c>
      <c r="AA454" s="82" t="s">
        <v>221</v>
      </c>
      <c r="AB454" s="98" t="s">
        <v>168</v>
      </c>
      <c r="AC454" s="82" t="s">
        <v>225</v>
      </c>
      <c r="AD454" s="98" t="s">
        <v>237</v>
      </c>
      <c r="AE454" s="82" t="s">
        <v>220</v>
      </c>
      <c r="AF454" s="98" t="s">
        <v>165</v>
      </c>
      <c r="AG454" s="82"/>
      <c r="AH454" s="98"/>
      <c r="AI454" s="82"/>
      <c r="AJ454" s="98"/>
      <c r="AK454" s="83"/>
      <c r="AL454" s="84" t="str">
        <f>IF(F454&lt;&gt;0,IF(_xlfn.MAXIFS($I$1:I454,$F$1:F454,F454,$H$1:H454,"&gt;"&amp;0)=0,"KM NÃO ENCONTRADO",IF(H454=0,CONCATENATE("SUGESTÃO DE KM PARA PLACA ",F454," *",_xlfn.MAXIFS($I$1:I454,$F$1:F454,F454,$H$1:H454,"&gt;"&amp;0),"*"),"")),"")</f>
        <v/>
      </c>
      <c r="AM454" s="85" t="str" cm="1">
        <f t="array" ref="AM454">IFERROR(IF(M454&lt;&gt;"","",CONCATENATE("https://btx.brasiltrack.com/logistica/trajeto.php?idveiculo=",VLOOKUP(F454,DATAS!$A$221:$B$250,2,FALSE),"&amp;lat=-22.204247","&amp;data_ini=",TEXT(IF(E454&lt;&gt;"",IF(COUNTIF($F$2:$F454,F454)&gt;1,MAX(IF($F$1:$F453=F454,$E$1:$E453)),""),""),"DD/MM/AAAA"),"&amp;data_fim=",TEXT(E454,"DD/MM/AAAA"),"&amp;hora_inicial=",HOUR(IF(E454&lt;&gt;"",IF(COUNTIF($F$2:$F454,F454)&gt;1,MAX(IF($F$1:$F453=F454,$E$1:$E453)),""),"")),"&amp;minuto_inicial=",MINUTE(IF(E454&lt;&gt;"",IF(COUNTIF($F$2:$F454,F454)&gt;1,MAX(IF($F$1:$F453=F454,$E$1:$E453)),""),"")),"&amp;hora_final=",HOUR(E454),"&amp;minuto_final=",MINUTE(E454),"&amp;periodo=6&amp;tipo=por_data&amp;upos=false&amp;outequip=0")),"")</f>
        <v/>
      </c>
      <c r="AN454" s="100" t="str">
        <f t="shared" si="59"/>
        <v xml:space="preserve">ABASTECEU no 22 NORTE DESCARREGOU em CONGONHAL-MG PASSOU em SÃO PAULO-SP CARREGOU em CUBATAO-SP PASSOU em ARUJÁ-SP ABASTECEU no 22 NORTE    </v>
      </c>
    </row>
    <row r="455" spans="1:40" x14ac:dyDescent="0.25">
      <c r="A455" s="101">
        <f>IFERROR(VLOOKUP(AN455,ROTAS!$A:$B,2,FALSE),0)</f>
        <v>13</v>
      </c>
      <c r="B455" s="101">
        <f t="shared" si="51"/>
        <v>16</v>
      </c>
      <c r="C455" s="101">
        <f t="shared" si="52"/>
        <v>363.3125</v>
      </c>
      <c r="D455" s="144">
        <v>44927</v>
      </c>
      <c r="E455" s="76">
        <v>44939.635416666664</v>
      </c>
      <c r="F455" s="6" t="s">
        <v>35</v>
      </c>
      <c r="G455" s="5" t="str">
        <f>IFERROR(VLOOKUP(SUMIFS(MSOLICITADA!$I:$I,MSOLICITADA!$B:$B,D455,MSOLICITADA!$F:$F,F455),CODIGOSPLACAS!$A$64:$B$89,2,FALSE),"")</f>
        <v>JOEL</v>
      </c>
      <c r="H455" s="77">
        <v>231270</v>
      </c>
      <c r="I455" s="77">
        <v>231451</v>
      </c>
      <c r="J455" s="7">
        <v>111.9</v>
      </c>
      <c r="K455" s="78">
        <v>653.75</v>
      </c>
      <c r="L455" s="79" t="s">
        <v>112</v>
      </c>
      <c r="M455" s="6">
        <v>90</v>
      </c>
      <c r="N455" s="5">
        <f t="shared" si="55"/>
        <v>91</v>
      </c>
      <c r="O455" s="80">
        <f t="shared" si="56"/>
        <v>5.8422698838248435</v>
      </c>
      <c r="P455" s="8">
        <f t="shared" si="57"/>
        <v>1.61751563896336</v>
      </c>
      <c r="Q455" s="8">
        <f t="shared" si="53"/>
        <v>1.5445311844203811</v>
      </c>
      <c r="R455" s="81">
        <f t="shared" si="58"/>
        <v>0.49723756906077349</v>
      </c>
      <c r="S455" s="113" t="str">
        <f>IF(F455="","",IF(H455="",TEXT(_xlfn.MAXIFS($I$1:I455,$F$1:F455,F455,$H$1:H455,"&gt;"&amp;0),"000.000"),F455))</f>
        <v>QNP3A97</v>
      </c>
      <c r="T455" s="101">
        <f t="shared" si="54"/>
        <v>186.5</v>
      </c>
      <c r="U455" s="82" t="s">
        <v>220</v>
      </c>
      <c r="V455" s="98" t="s">
        <v>206</v>
      </c>
      <c r="W455" s="82" t="s">
        <v>220</v>
      </c>
      <c r="X455" s="98" t="s">
        <v>206</v>
      </c>
      <c r="Y455" s="82"/>
      <c r="Z455" s="98"/>
      <c r="AA455" s="82"/>
      <c r="AB455" s="98"/>
      <c r="AC455" s="82"/>
      <c r="AD455" s="98"/>
      <c r="AE455" s="118"/>
      <c r="AF455" s="98"/>
      <c r="AG455" s="82"/>
      <c r="AH455" s="98"/>
      <c r="AI455" s="82"/>
      <c r="AJ455" s="98"/>
      <c r="AK455" s="83"/>
      <c r="AL455" s="84" t="str">
        <f>IF(F455&lt;&gt;0,IF(_xlfn.MAXIFS($I$1:I455,$F$1:F455,F455,$H$1:H455,"&gt;"&amp;0)=0,"KM NÃO ENCONTRADO",IF(H455=0,CONCATENATE("SUGESTÃO DE KM PARA PLACA ",F455," *",_xlfn.MAXIFS($I$1:I455,$F$1:F455,F455,$H$1:H455,"&gt;"&amp;0),"*"),"")),"")</f>
        <v/>
      </c>
      <c r="AM455" s="85" t="str" cm="1">
        <f t="array" ref="AM455">IFERROR(IF(M455&lt;&gt;"","",CONCATENATE("https://btx.brasiltrack.com/logistica/trajeto.php?idveiculo=",VLOOKUP(F455,DATAS!$A$221:$B$250,2,FALSE),"&amp;lat=-22.204247","&amp;data_ini=",TEXT(IF(E455&lt;&gt;"",IF(COUNTIF($F$2:$F455,F455)&gt;1,MAX(IF($F$1:$F454=F455,$E$1:$E454)),""),""),"DD/MM/AAAA"),"&amp;data_fim=",TEXT(E455,"DD/MM/AAAA"),"&amp;hora_inicial=",HOUR(IF(E455&lt;&gt;"",IF(COUNTIF($F$2:$F455,F455)&gt;1,MAX(IF($F$1:$F454=F455,$E$1:$E454)),""),"")),"&amp;minuto_inicial=",MINUTE(IF(E455&lt;&gt;"",IF(COUNTIF($F$2:$F455,F455)&gt;1,MAX(IF($F$1:$F454=F455,$E$1:$E454)),""),"")),"&amp;hora_final=",HOUR(E455),"&amp;minuto_final=",MINUTE(E455),"&amp;periodo=6&amp;tipo=por_data&amp;upos=false&amp;outequip=0")),"")</f>
        <v/>
      </c>
      <c r="AN455" s="100" t="str">
        <f t="shared" si="59"/>
        <v xml:space="preserve">ABASTECEU no CANDEIAS-MG ABASTECEU no CANDEIAS-MG            </v>
      </c>
    </row>
    <row r="456" spans="1:40" x14ac:dyDescent="0.25">
      <c r="A456" s="101">
        <f>IFERROR(VLOOKUP(AN456,ROTAS!$A:$B,2,FALSE),0)</f>
        <v>2</v>
      </c>
      <c r="B456" s="101">
        <f t="shared" si="51"/>
        <v>11</v>
      </c>
      <c r="C456" s="101">
        <f t="shared" si="52"/>
        <v>865.72727272727275</v>
      </c>
      <c r="D456" s="144">
        <v>44927</v>
      </c>
      <c r="E456" s="76">
        <v>44939.795138888891</v>
      </c>
      <c r="F456" s="6" t="s">
        <v>30</v>
      </c>
      <c r="G456" s="5" t="str">
        <f>IFERROR(VLOOKUP(SUMIFS(MSOLICITADA!$I:$I,MSOLICITADA!$B:$B,D456,MSOLICITADA!$F:$F,F456),CODIGOSPLACAS!$A$64:$B$89,2,FALSE),"")</f>
        <v>RONILSON</v>
      </c>
      <c r="H456" s="77">
        <v>223450</v>
      </c>
      <c r="I456" s="77">
        <v>224307</v>
      </c>
      <c r="J456" s="7">
        <v>506.02</v>
      </c>
      <c r="K456" s="78">
        <v>3132.27</v>
      </c>
      <c r="L456" s="79" t="s">
        <v>111</v>
      </c>
      <c r="M456" s="6">
        <v>428</v>
      </c>
      <c r="N456" s="5">
        <f t="shared" si="55"/>
        <v>429</v>
      </c>
      <c r="O456" s="80">
        <f t="shared" si="56"/>
        <v>6.1900122524801393</v>
      </c>
      <c r="P456" s="8">
        <f t="shared" si="57"/>
        <v>1.6936089482629146</v>
      </c>
      <c r="Q456" s="8">
        <f t="shared" si="53"/>
        <v>1.6205104706314435</v>
      </c>
      <c r="R456" s="81">
        <f t="shared" si="58"/>
        <v>0.49941656942823803</v>
      </c>
      <c r="S456" s="113" t="str">
        <f>IF(F456="","",IF(H456="",TEXT(_xlfn.MAXIFS($I$1:I456,$F$1:F456,F456,$H$1:H456,"&gt;"&amp;0),"000.000"),F456))</f>
        <v>GFB0I37</v>
      </c>
      <c r="T456" s="101">
        <f t="shared" si="54"/>
        <v>432.72727272727275</v>
      </c>
      <c r="U456" s="82" t="s">
        <v>220</v>
      </c>
      <c r="V456" s="98" t="s">
        <v>165</v>
      </c>
      <c r="W456" s="82" t="s">
        <v>222</v>
      </c>
      <c r="X456" s="98" t="s">
        <v>176</v>
      </c>
      <c r="Y456" s="82" t="s">
        <v>225</v>
      </c>
      <c r="Z456" s="98" t="s">
        <v>237</v>
      </c>
      <c r="AA456" s="82" t="s">
        <v>221</v>
      </c>
      <c r="AB456" s="98" t="s">
        <v>168</v>
      </c>
      <c r="AC456" s="82" t="s">
        <v>225</v>
      </c>
      <c r="AD456" s="98" t="s">
        <v>237</v>
      </c>
      <c r="AE456" s="82" t="s">
        <v>220</v>
      </c>
      <c r="AF456" s="98" t="s">
        <v>165</v>
      </c>
      <c r="AG456" s="82"/>
      <c r="AH456" s="98"/>
      <c r="AI456" s="82"/>
      <c r="AJ456" s="98"/>
      <c r="AK456" s="83"/>
      <c r="AL456" s="84" t="str">
        <f>IF(F456&lt;&gt;0,IF(_xlfn.MAXIFS($I$1:I456,$F$1:F456,F456,$H$1:H456,"&gt;"&amp;0)=0,"KM NÃO ENCONTRADO",IF(H456=0,CONCATENATE("SUGESTÃO DE KM PARA PLACA ",F456," *",_xlfn.MAXIFS($I$1:I456,$F$1:F456,F456,$H$1:H456,"&gt;"&amp;0),"*"),"")),"")</f>
        <v/>
      </c>
      <c r="AM456" s="85" t="str" cm="1">
        <f t="array" ref="AM456">IFERROR(IF(M456&lt;&gt;"","",CONCATENATE("https://btx.brasiltrack.com/logistica/trajeto.php?idveiculo=",VLOOKUP(F456,DATAS!$A$221:$B$250,2,FALSE),"&amp;lat=-22.204247","&amp;data_ini=",TEXT(IF(E456&lt;&gt;"",IF(COUNTIF($F$2:$F456,F456)&gt;1,MAX(IF($F$1:$F455=F456,$E$1:$E455)),""),""),"DD/MM/AAAA"),"&amp;data_fim=",TEXT(E456,"DD/MM/AAAA"),"&amp;hora_inicial=",HOUR(IF(E456&lt;&gt;"",IF(COUNTIF($F$2:$F456,F456)&gt;1,MAX(IF($F$1:$F455=F456,$E$1:$E455)),""),"")),"&amp;minuto_inicial=",MINUTE(IF(E456&lt;&gt;"",IF(COUNTIF($F$2:$F456,F456)&gt;1,MAX(IF($F$1:$F455=F456,$E$1:$E455)),""),"")),"&amp;hora_final=",HOUR(E456),"&amp;minuto_final=",MINUTE(E456),"&amp;periodo=6&amp;tipo=por_data&amp;upos=false&amp;outequip=0")),"")</f>
        <v/>
      </c>
      <c r="AN456" s="100" t="str">
        <f t="shared" si="59"/>
        <v xml:space="preserve">ABASTECEU no 22 NORTE DESCARREGOU em ALFENAS-MG PASSOU em ARUJÁ-SP CARREGOU em CUBATAO-SP PASSOU em ARUJÁ-SP ABASTECEU no 22 NORTE    </v>
      </c>
    </row>
    <row r="457" spans="1:40" x14ac:dyDescent="0.25">
      <c r="A457" s="101">
        <f>IFERROR(VLOOKUP(AN457,ROTAS!$A:$B,2,FALSE),0)</f>
        <v>2</v>
      </c>
      <c r="B457" s="101">
        <f t="shared" si="51"/>
        <v>11</v>
      </c>
      <c r="C457" s="101">
        <f t="shared" si="52"/>
        <v>865.72727272727275</v>
      </c>
      <c r="D457" s="144">
        <v>44927</v>
      </c>
      <c r="E457" s="76">
        <v>44939.797222222223</v>
      </c>
      <c r="F457" s="6" t="s">
        <v>27</v>
      </c>
      <c r="G457" s="5" t="str">
        <f>IFERROR(VLOOKUP(SUMIFS(MSOLICITADA!$I:$I,MSOLICITADA!$B:$B,D457,MSOLICITADA!$F:$F,F457),CODIGOSPLACAS!$A$64:$B$89,2,FALSE),"")</f>
        <v>ANTONIO</v>
      </c>
      <c r="H457" s="77">
        <v>251777</v>
      </c>
      <c r="I457" s="77">
        <v>252626</v>
      </c>
      <c r="J457" s="7">
        <v>540</v>
      </c>
      <c r="K457" s="78">
        <v>3342.6</v>
      </c>
      <c r="L457" s="79" t="s">
        <v>111</v>
      </c>
      <c r="M457" s="6">
        <v>425</v>
      </c>
      <c r="N457" s="5">
        <f t="shared" si="55"/>
        <v>424</v>
      </c>
      <c r="O457" s="80">
        <f t="shared" si="56"/>
        <v>6.1899999999999995</v>
      </c>
      <c r="P457" s="8">
        <f t="shared" si="57"/>
        <v>1.5722222222222222</v>
      </c>
      <c r="Q457" s="8">
        <f t="shared" si="53"/>
        <v>1.4666276036610979</v>
      </c>
      <c r="R457" s="81">
        <f t="shared" si="58"/>
        <v>0.50058892815076561</v>
      </c>
      <c r="S457" s="113" t="str">
        <f>IF(F457="","",IF(H457="",TEXT(_xlfn.MAXIFS($I$1:I457,$F$1:F457,F457,$H$1:H457,"&gt;"&amp;0),"000.000"),F457))</f>
        <v>GHS4J57</v>
      </c>
      <c r="T457" s="101">
        <f t="shared" si="54"/>
        <v>432.72727272727275</v>
      </c>
      <c r="U457" s="82" t="s">
        <v>220</v>
      </c>
      <c r="V457" s="98" t="s">
        <v>165</v>
      </c>
      <c r="W457" s="82" t="s">
        <v>222</v>
      </c>
      <c r="X457" s="98" t="s">
        <v>176</v>
      </c>
      <c r="Y457" s="82" t="s">
        <v>225</v>
      </c>
      <c r="Z457" s="98" t="s">
        <v>237</v>
      </c>
      <c r="AA457" s="82" t="s">
        <v>221</v>
      </c>
      <c r="AB457" s="98" t="s">
        <v>168</v>
      </c>
      <c r="AC457" s="82" t="s">
        <v>225</v>
      </c>
      <c r="AD457" s="98" t="s">
        <v>237</v>
      </c>
      <c r="AE457" s="82" t="s">
        <v>220</v>
      </c>
      <c r="AF457" s="98" t="s">
        <v>165</v>
      </c>
      <c r="AG457" s="82"/>
      <c r="AH457" s="98"/>
      <c r="AI457" s="82"/>
      <c r="AJ457" s="98"/>
      <c r="AK457" s="83"/>
      <c r="AL457" s="84" t="str">
        <f>IF(F457&lt;&gt;0,IF(_xlfn.MAXIFS($I$1:I457,$F$1:F457,F457,$H$1:H457,"&gt;"&amp;0)=0,"KM NÃO ENCONTRADO",IF(H457=0,CONCATENATE("SUGESTÃO DE KM PARA PLACA ",F457," *",_xlfn.MAXIFS($I$1:I457,$F$1:F457,F457,$H$1:H457,"&gt;"&amp;0),"*"),"")),"")</f>
        <v/>
      </c>
      <c r="AM457" s="85" t="str" cm="1">
        <f t="array" ref="AM457">IFERROR(IF(M457&lt;&gt;"","",CONCATENATE("https://btx.brasiltrack.com/logistica/trajeto.php?idveiculo=",VLOOKUP(F457,DATAS!$A$221:$B$250,2,FALSE),"&amp;lat=-22.204247","&amp;data_ini=",TEXT(IF(E457&lt;&gt;"",IF(COUNTIF($F$2:$F457,F457)&gt;1,MAX(IF($F$1:$F456=F457,$E$1:$E456)),""),""),"DD/MM/AAAA"),"&amp;data_fim=",TEXT(E457,"DD/MM/AAAA"),"&amp;hora_inicial=",HOUR(IF(E457&lt;&gt;"",IF(COUNTIF($F$2:$F457,F457)&gt;1,MAX(IF($F$1:$F456=F457,$E$1:$E456)),""),"")),"&amp;minuto_inicial=",MINUTE(IF(E457&lt;&gt;"",IF(COUNTIF($F$2:$F457,F457)&gt;1,MAX(IF($F$1:$F456=F457,$E$1:$E456)),""),"")),"&amp;hora_final=",HOUR(E457),"&amp;minuto_final=",MINUTE(E457),"&amp;periodo=6&amp;tipo=por_data&amp;upos=false&amp;outequip=0")),"")</f>
        <v/>
      </c>
      <c r="AN457" s="100" t="str">
        <f t="shared" si="59"/>
        <v xml:space="preserve">ABASTECEU no 22 NORTE DESCARREGOU em ALFENAS-MG PASSOU em ARUJÁ-SP CARREGOU em CUBATAO-SP PASSOU em ARUJÁ-SP ABASTECEU no 22 NORTE    </v>
      </c>
    </row>
    <row r="458" spans="1:40" x14ac:dyDescent="0.25">
      <c r="A458" s="101">
        <f>IFERROR(VLOOKUP(AN458,ROTAS!$A:$B,2,FALSE),0)</f>
        <v>2</v>
      </c>
      <c r="B458" s="101">
        <f t="shared" si="51"/>
        <v>11</v>
      </c>
      <c r="C458" s="101">
        <f t="shared" si="52"/>
        <v>865.72727272727275</v>
      </c>
      <c r="D458" s="144">
        <v>44927</v>
      </c>
      <c r="E458" s="76">
        <v>44939.847916666666</v>
      </c>
      <c r="F458" s="6" t="s">
        <v>127</v>
      </c>
      <c r="G458" s="5" t="str">
        <f>IFERROR(VLOOKUP(SUMIFS(MSOLICITADA!$I:$I,MSOLICITADA!$B:$B,D458,MSOLICITADA!$F:$F,F458),CODIGOSPLACAS!$A$64:$B$89,2,FALSE),"")</f>
        <v>EVERTON</v>
      </c>
      <c r="H458" s="77">
        <v>1234447</v>
      </c>
      <c r="I458" s="77">
        <v>1235340</v>
      </c>
      <c r="J458" s="7">
        <v>421.06</v>
      </c>
      <c r="K458" s="78">
        <v>2606.36</v>
      </c>
      <c r="L458" s="79" t="s">
        <v>111</v>
      </c>
      <c r="M458" s="6">
        <v>447</v>
      </c>
      <c r="N458" s="5">
        <f t="shared" si="55"/>
        <v>446</v>
      </c>
      <c r="O458" s="80">
        <f t="shared" si="56"/>
        <v>6.189996675058187</v>
      </c>
      <c r="P458" s="8">
        <f t="shared" si="57"/>
        <v>2.1208378853370067</v>
      </c>
      <c r="Q458" s="8">
        <f t="shared" si="53"/>
        <v>1.9701972800245917</v>
      </c>
      <c r="R458" s="81">
        <f t="shared" si="58"/>
        <v>0.50055991041433368</v>
      </c>
      <c r="S458" s="113" t="str">
        <f>IF(F458="","",IF(H458="",TEXT(_xlfn.MAXIFS($I$1:I458,$F$1:F458,F458,$H$1:H458,"&gt;"&amp;0),"000.000"),F458))</f>
        <v>OPM8J51</v>
      </c>
      <c r="T458" s="101">
        <f t="shared" si="54"/>
        <v>432.72727272727275</v>
      </c>
      <c r="U458" s="82" t="s">
        <v>220</v>
      </c>
      <c r="V458" s="98" t="s">
        <v>165</v>
      </c>
      <c r="W458" s="82" t="s">
        <v>222</v>
      </c>
      <c r="X458" s="98" t="s">
        <v>176</v>
      </c>
      <c r="Y458" s="82" t="s">
        <v>225</v>
      </c>
      <c r="Z458" s="98" t="s">
        <v>237</v>
      </c>
      <c r="AA458" s="82" t="s">
        <v>221</v>
      </c>
      <c r="AB458" s="98" t="s">
        <v>168</v>
      </c>
      <c r="AC458" s="82" t="s">
        <v>225</v>
      </c>
      <c r="AD458" s="98" t="s">
        <v>237</v>
      </c>
      <c r="AE458" s="82" t="s">
        <v>220</v>
      </c>
      <c r="AF458" s="98" t="s">
        <v>165</v>
      </c>
      <c r="AG458" s="82"/>
      <c r="AH458" s="98"/>
      <c r="AI458" s="82"/>
      <c r="AJ458" s="98"/>
      <c r="AK458" s="83"/>
      <c r="AL458" s="84" t="str">
        <f>IF(F458&lt;&gt;0,IF(_xlfn.MAXIFS($I$1:I458,$F$1:F458,F458,$H$1:H458,"&gt;"&amp;0)=0,"KM NÃO ENCONTRADO",IF(H458=0,CONCATENATE("SUGESTÃO DE KM PARA PLACA ",F458," *",_xlfn.MAXIFS($I$1:I458,$F$1:F458,F458,$H$1:H458,"&gt;"&amp;0),"*"),"")),"")</f>
        <v/>
      </c>
      <c r="AM458" s="85" t="str" cm="1">
        <f t="array" ref="AM458">IFERROR(IF(M458&lt;&gt;"","",CONCATENATE("https://btx.brasiltrack.com/logistica/trajeto.php?idveiculo=",VLOOKUP(F458,DATAS!$A$221:$B$250,2,FALSE),"&amp;lat=-22.204247","&amp;data_ini=",TEXT(IF(E458&lt;&gt;"",IF(COUNTIF($F$2:$F458,F458)&gt;1,MAX(IF($F$1:$F457=F458,$E$1:$E457)),""),""),"DD/MM/AAAA"),"&amp;data_fim=",TEXT(E458,"DD/MM/AAAA"),"&amp;hora_inicial=",HOUR(IF(E458&lt;&gt;"",IF(COUNTIF($F$2:$F458,F458)&gt;1,MAX(IF($F$1:$F457=F458,$E$1:$E457)),""),"")),"&amp;minuto_inicial=",MINUTE(IF(E458&lt;&gt;"",IF(COUNTIF($F$2:$F458,F458)&gt;1,MAX(IF($F$1:$F457=F458,$E$1:$E457)),""),"")),"&amp;hora_final=",HOUR(E458),"&amp;minuto_final=",MINUTE(E458),"&amp;periodo=6&amp;tipo=por_data&amp;upos=false&amp;outequip=0")),"")</f>
        <v/>
      </c>
      <c r="AN458" s="100" t="str">
        <f t="shared" si="59"/>
        <v xml:space="preserve">ABASTECEU no 22 NORTE DESCARREGOU em ALFENAS-MG PASSOU em ARUJÁ-SP CARREGOU em CUBATAO-SP PASSOU em ARUJÁ-SP ABASTECEU no 22 NORTE    </v>
      </c>
    </row>
    <row r="459" spans="1:40" x14ac:dyDescent="0.25">
      <c r="A459" s="101">
        <f>IFERROR(VLOOKUP(AN459,ROTAS!$A:$B,2,FALSE),0)</f>
        <v>2</v>
      </c>
      <c r="B459" s="101">
        <f t="shared" si="51"/>
        <v>11</v>
      </c>
      <c r="C459" s="101">
        <f t="shared" si="52"/>
        <v>865.72727272727275</v>
      </c>
      <c r="D459" s="144">
        <v>44927</v>
      </c>
      <c r="E459" s="76">
        <v>44939.865972222222</v>
      </c>
      <c r="F459" s="6" t="s">
        <v>22</v>
      </c>
      <c r="G459" s="5" t="str">
        <f>IFERROR(VLOOKUP(SUMIFS(MSOLICITADA!$I:$I,MSOLICITADA!$B:$B,D459,MSOLICITADA!$F:$F,F459),CODIGOSPLACAS!$A$64:$B$89,2,FALSE),"")</f>
        <v>GUILHERME</v>
      </c>
      <c r="H459" s="77">
        <v>1206219</v>
      </c>
      <c r="I459" s="77">
        <v>1207073</v>
      </c>
      <c r="J459" s="7">
        <v>438.01</v>
      </c>
      <c r="K459" s="78">
        <v>2711.28</v>
      </c>
      <c r="L459" s="79" t="s">
        <v>111</v>
      </c>
      <c r="M459" s="6">
        <v>427</v>
      </c>
      <c r="N459" s="5">
        <f t="shared" si="55"/>
        <v>427</v>
      </c>
      <c r="O459" s="80">
        <f t="shared" si="56"/>
        <v>6.189995662199494</v>
      </c>
      <c r="P459" s="8">
        <f t="shared" si="57"/>
        <v>1.9497271751786489</v>
      </c>
      <c r="Q459" s="8">
        <f t="shared" si="53"/>
        <v>1.8671963699182104</v>
      </c>
      <c r="R459" s="81">
        <f t="shared" si="58"/>
        <v>0.5</v>
      </c>
      <c r="S459" s="113" t="str">
        <f>IF(F459="","",IF(H459="",TEXT(_xlfn.MAXIFS($I$1:I459,$F$1:F459,F459,$H$1:H459,"&gt;"&amp;0),"000.000"),F459))</f>
        <v>OQC0C33</v>
      </c>
      <c r="T459" s="101">
        <f t="shared" si="54"/>
        <v>432.72727272727275</v>
      </c>
      <c r="U459" s="82" t="s">
        <v>220</v>
      </c>
      <c r="V459" s="98" t="s">
        <v>165</v>
      </c>
      <c r="W459" s="82" t="s">
        <v>222</v>
      </c>
      <c r="X459" s="98" t="s">
        <v>176</v>
      </c>
      <c r="Y459" s="82" t="s">
        <v>225</v>
      </c>
      <c r="Z459" s="98" t="s">
        <v>237</v>
      </c>
      <c r="AA459" s="82" t="s">
        <v>221</v>
      </c>
      <c r="AB459" s="98" t="s">
        <v>168</v>
      </c>
      <c r="AC459" s="82" t="s">
        <v>225</v>
      </c>
      <c r="AD459" s="98" t="s">
        <v>237</v>
      </c>
      <c r="AE459" s="82" t="s">
        <v>220</v>
      </c>
      <c r="AF459" s="98" t="s">
        <v>165</v>
      </c>
      <c r="AG459" s="82"/>
      <c r="AH459" s="98"/>
      <c r="AI459" s="82"/>
      <c r="AJ459" s="98"/>
      <c r="AK459" s="83"/>
      <c r="AL459" s="84" t="str">
        <f>IF(F459&lt;&gt;0,IF(_xlfn.MAXIFS($I$1:I459,$F$1:F459,F459,$H$1:H459,"&gt;"&amp;0)=0,"KM NÃO ENCONTRADO",IF(H459=0,CONCATENATE("SUGESTÃO DE KM PARA PLACA ",F459," *",_xlfn.MAXIFS($I$1:I459,$F$1:F459,F459,$H$1:H459,"&gt;"&amp;0),"*"),"")),"")</f>
        <v/>
      </c>
      <c r="AM459" s="85" t="str" cm="1">
        <f t="array" ref="AM459">IFERROR(IF(M459&lt;&gt;"","",CONCATENATE("https://btx.brasiltrack.com/logistica/trajeto.php?idveiculo=",VLOOKUP(F459,DATAS!$A$221:$B$250,2,FALSE),"&amp;lat=-22.204247","&amp;data_ini=",TEXT(IF(E459&lt;&gt;"",IF(COUNTIF($F$2:$F459,F459)&gt;1,MAX(IF($F$1:$F458=F459,$E$1:$E458)),""),""),"DD/MM/AAAA"),"&amp;data_fim=",TEXT(E459,"DD/MM/AAAA"),"&amp;hora_inicial=",HOUR(IF(E459&lt;&gt;"",IF(COUNTIF($F$2:$F459,F459)&gt;1,MAX(IF($F$1:$F458=F459,$E$1:$E458)),""),"")),"&amp;minuto_inicial=",MINUTE(IF(E459&lt;&gt;"",IF(COUNTIF($F$2:$F459,F459)&gt;1,MAX(IF($F$1:$F458=F459,$E$1:$E458)),""),"")),"&amp;hora_final=",HOUR(E459),"&amp;minuto_final=",MINUTE(E459),"&amp;periodo=6&amp;tipo=por_data&amp;upos=false&amp;outequip=0")),"")</f>
        <v/>
      </c>
      <c r="AN459" s="100" t="str">
        <f t="shared" si="59"/>
        <v xml:space="preserve">ABASTECEU no 22 NORTE DESCARREGOU em ALFENAS-MG PASSOU em ARUJÁ-SP CARREGOU em CUBATAO-SP PASSOU em ARUJÁ-SP ABASTECEU no 22 NORTE    </v>
      </c>
    </row>
    <row r="460" spans="1:40" x14ac:dyDescent="0.25">
      <c r="A460" s="101">
        <f>IFERROR(VLOOKUP(AN460,ROTAS!$A:$B,2,FALSE),0)</f>
        <v>126</v>
      </c>
      <c r="B460" s="101">
        <f t="shared" si="51"/>
        <v>1</v>
      </c>
      <c r="C460" s="101">
        <f t="shared" si="52"/>
        <v>702</v>
      </c>
      <c r="D460" s="144">
        <v>44927</v>
      </c>
      <c r="E460" s="76">
        <v>44942.677083333336</v>
      </c>
      <c r="F460" s="6" t="s">
        <v>128</v>
      </c>
      <c r="G460" s="5" t="str">
        <f>IFERROR(VLOOKUP(SUMIFS(MSOLICITADA!$I:$I,MSOLICITADA!$B:$B,D460,MSOLICITADA!$F:$F,F460),CODIGOSPLACAS!$A$64:$B$89,2,FALSE),"")</f>
        <v>ELI RICARDO</v>
      </c>
      <c r="H460" s="77">
        <v>95379</v>
      </c>
      <c r="I460" s="77">
        <v>96081</v>
      </c>
      <c r="J460" s="7">
        <v>416.1</v>
      </c>
      <c r="K460" s="78">
        <v>2434.1849999999999</v>
      </c>
      <c r="L460" s="79"/>
      <c r="M460" s="6">
        <v>376</v>
      </c>
      <c r="N460" s="5">
        <f t="shared" si="55"/>
        <v>326</v>
      </c>
      <c r="O460" s="80">
        <f t="shared" si="56"/>
        <v>5.85</v>
      </c>
      <c r="P460" s="8">
        <f t="shared" si="57"/>
        <v>1.6870944484498918</v>
      </c>
      <c r="Q460" s="8">
        <f t="shared" si="53"/>
        <v>1.7619806950171255</v>
      </c>
      <c r="R460" s="81">
        <f t="shared" si="58"/>
        <v>0.53561253561253563</v>
      </c>
      <c r="S460" s="113" t="str">
        <f>IF(F460="","",IF(H460="",TEXT(_xlfn.MAXIFS($I$1:I460,$F$1:F460,F460,$H$1:H460,"&gt;"&amp;0),"000.000"),F460))</f>
        <v>GFR0D47</v>
      </c>
      <c r="T460" s="101">
        <f t="shared" si="54"/>
        <v>326</v>
      </c>
      <c r="U460" s="82" t="s">
        <v>220</v>
      </c>
      <c r="V460" s="98" t="s">
        <v>165</v>
      </c>
      <c r="W460" s="82" t="s">
        <v>222</v>
      </c>
      <c r="X460" s="98" t="s">
        <v>200</v>
      </c>
      <c r="Y460" s="82" t="s">
        <v>221</v>
      </c>
      <c r="Z460" s="98" t="s">
        <v>171</v>
      </c>
      <c r="AA460" s="82" t="s">
        <v>220</v>
      </c>
      <c r="AB460" s="98" t="s">
        <v>206</v>
      </c>
      <c r="AC460" s="82"/>
      <c r="AD460" s="98"/>
      <c r="AE460" s="118"/>
      <c r="AF460" s="98"/>
      <c r="AG460" s="82"/>
      <c r="AH460" s="98"/>
      <c r="AI460" s="82"/>
      <c r="AJ460" s="98"/>
      <c r="AK460" s="83"/>
      <c r="AL460" s="84" t="str">
        <f>IF(F460&lt;&gt;0,IF(_xlfn.MAXIFS($I$1:I460,$F$1:F460,F460,$H$1:H460,"&gt;"&amp;0)=0,"KM NÃO ENCONTRADO",IF(H460=0,CONCATENATE("SUGESTÃO DE KM PARA PLACA ",F460," *",_xlfn.MAXIFS($I$1:I460,$F$1:F460,F460,$H$1:H460,"&gt;"&amp;0),"*"),"")),"")</f>
        <v/>
      </c>
      <c r="AM460" s="85" t="str" cm="1">
        <f t="array" ref="AM460">IFERROR(IF(M460&lt;&gt;"","",CONCATENATE("https://btx.brasiltrack.com/logistica/trajeto.php?idveiculo=",VLOOKUP(F460,DATAS!$A$221:$B$250,2,FALSE),"&amp;lat=-22.204247","&amp;data_ini=",TEXT(IF(E460&lt;&gt;"",IF(COUNTIF($F$2:$F460,F460)&gt;1,MAX(IF($F$1:$F459=F460,$E$1:$E459)),""),""),"DD/MM/AAAA"),"&amp;data_fim=",TEXT(E460,"DD/MM/AAAA"),"&amp;hora_inicial=",HOUR(IF(E460&lt;&gt;"",IF(COUNTIF($F$2:$F460,F460)&gt;1,MAX(IF($F$1:$F459=F460,$E$1:$E459)),""),"")),"&amp;minuto_inicial=",MINUTE(IF(E460&lt;&gt;"",IF(COUNTIF($F$2:$F460,F460)&gt;1,MAX(IF($F$1:$F459=F460,$E$1:$E459)),""),"")),"&amp;hora_final=",HOUR(E460),"&amp;minuto_final=",MINUTE(E460),"&amp;periodo=6&amp;tipo=por_data&amp;upos=false&amp;outequip=0")),"")</f>
        <v/>
      </c>
      <c r="AN460" s="100" t="str">
        <f t="shared" si="59"/>
        <v xml:space="preserve">ABASTECEU no 22 NORTE DESCARREGOU em CONGONHAL-MG CARREGOU em IGUATAMA-MG ABASTECEU no CANDEIAS-MG        </v>
      </c>
    </row>
    <row r="461" spans="1:40" x14ac:dyDescent="0.25">
      <c r="A461" s="101">
        <f>IFERROR(VLOOKUP(AN461,ROTAS!$A:$B,2,FALSE),0)</f>
        <v>113</v>
      </c>
      <c r="B461" s="101">
        <f t="shared" si="51"/>
        <v>14</v>
      </c>
      <c r="C461" s="101">
        <f t="shared" si="52"/>
        <v>633.64285714285711</v>
      </c>
      <c r="D461" s="144">
        <v>44927</v>
      </c>
      <c r="E461" s="76">
        <v>44942.72152777778</v>
      </c>
      <c r="F461" s="6" t="s">
        <v>25</v>
      </c>
      <c r="G461" s="5" t="str">
        <f>IFERROR(VLOOKUP(SUMIFS(MSOLICITADA!$I:$I,MSOLICITADA!$B:$B,D461,MSOLICITADA!$F:$F,F461),CODIGOSPLACAS!$A$64:$B$89,2,FALSE),"")</f>
        <v>EDUALDO</v>
      </c>
      <c r="H461" s="77">
        <v>1015114</v>
      </c>
      <c r="I461" s="77">
        <v>1015758</v>
      </c>
      <c r="J461" s="7">
        <v>434</v>
      </c>
      <c r="K461" s="78">
        <v>2686.46</v>
      </c>
      <c r="L461" s="79" t="s">
        <v>111</v>
      </c>
      <c r="M461" s="6">
        <v>358</v>
      </c>
      <c r="N461" s="5">
        <f t="shared" si="55"/>
        <v>286</v>
      </c>
      <c r="O461" s="80">
        <f t="shared" si="56"/>
        <v>6.19</v>
      </c>
      <c r="P461" s="8">
        <f t="shared" si="57"/>
        <v>1.4838709677419355</v>
      </c>
      <c r="Q461" s="8">
        <f t="shared" si="53"/>
        <v>1.4288896110685252</v>
      </c>
      <c r="R461" s="81">
        <f t="shared" si="58"/>
        <v>0.55590062111801242</v>
      </c>
      <c r="S461" s="113" t="str">
        <f>IF(F461="","",IF(H461="",TEXT(_xlfn.MAXIFS($I$1:I461,$F$1:F461,F461,$H$1:H461,"&gt;"&amp;0),"000.000"),F461))</f>
        <v>QHE9735</v>
      </c>
      <c r="T461" s="101">
        <f t="shared" si="54"/>
        <v>286.07142857142856</v>
      </c>
      <c r="U461" s="82" t="s">
        <v>220</v>
      </c>
      <c r="V461" s="98" t="s">
        <v>165</v>
      </c>
      <c r="W461" s="82" t="s">
        <v>222</v>
      </c>
      <c r="X461" s="98" t="s">
        <v>200</v>
      </c>
      <c r="Y461" s="82" t="s">
        <v>225</v>
      </c>
      <c r="Z461" s="98" t="s">
        <v>284</v>
      </c>
      <c r="AA461" s="82" t="s">
        <v>221</v>
      </c>
      <c r="AB461" s="98" t="s">
        <v>168</v>
      </c>
      <c r="AC461" s="82" t="s">
        <v>225</v>
      </c>
      <c r="AD461" s="98" t="s">
        <v>237</v>
      </c>
      <c r="AE461" s="82" t="s">
        <v>220</v>
      </c>
      <c r="AF461" s="98" t="s">
        <v>165</v>
      </c>
      <c r="AG461" s="82"/>
      <c r="AH461" s="98"/>
      <c r="AI461" s="82"/>
      <c r="AJ461" s="98"/>
      <c r="AK461" s="83"/>
      <c r="AL461" s="84" t="str">
        <f>IF(F461&lt;&gt;0,IF(_xlfn.MAXIFS($I$1:I461,$F$1:F461,F461,$H$1:H461,"&gt;"&amp;0)=0,"KM NÃO ENCONTRADO",IF(H461=0,CONCATENATE("SUGESTÃO DE KM PARA PLACA ",F461," *",_xlfn.MAXIFS($I$1:I461,$F$1:F461,F461,$H$1:H461,"&gt;"&amp;0),"*"),"")),"")</f>
        <v/>
      </c>
      <c r="AM461" s="85" t="str" cm="1">
        <f t="array" ref="AM461">IFERROR(IF(M461&lt;&gt;"","",CONCATENATE("https://btx.brasiltrack.com/logistica/trajeto.php?idveiculo=",VLOOKUP(F461,DATAS!$A$221:$B$250,2,FALSE),"&amp;lat=-22.204247","&amp;data_ini=",TEXT(IF(E461&lt;&gt;"",IF(COUNTIF($F$2:$F461,F461)&gt;1,MAX(IF($F$1:$F460=F461,$E$1:$E460)),""),""),"DD/MM/AAAA"),"&amp;data_fim=",TEXT(E461,"DD/MM/AAAA"),"&amp;hora_inicial=",HOUR(IF(E461&lt;&gt;"",IF(COUNTIF($F$2:$F461,F461)&gt;1,MAX(IF($F$1:$F460=F461,$E$1:$E460)),""),"")),"&amp;minuto_inicial=",MINUTE(IF(E461&lt;&gt;"",IF(COUNTIF($F$2:$F461,F461)&gt;1,MAX(IF($F$1:$F460=F461,$E$1:$E460)),""),"")),"&amp;hora_final=",HOUR(E461),"&amp;minuto_final=",MINUTE(E461),"&amp;periodo=6&amp;tipo=por_data&amp;upos=false&amp;outequip=0")),"")</f>
        <v/>
      </c>
      <c r="AN461" s="100" t="str">
        <f t="shared" si="59"/>
        <v xml:space="preserve">ABASTECEU no 22 NORTE DESCARREGOU em CONGONHAL-MG PASSOU em SÃO PAULO-SP CARREGOU em CUBATAO-SP PASSOU em ARUJÁ-SP ABASTECEU no 22 NORTE    </v>
      </c>
    </row>
    <row r="462" spans="1:40" x14ac:dyDescent="0.25">
      <c r="A462" s="101">
        <f>IFERROR(VLOOKUP(AN462,ROTAS!$A:$B,2,FALSE),0)</f>
        <v>113</v>
      </c>
      <c r="B462" s="101">
        <f t="shared" si="51"/>
        <v>14</v>
      </c>
      <c r="C462" s="101">
        <f t="shared" si="52"/>
        <v>633.64285714285711</v>
      </c>
      <c r="D462" s="144">
        <v>44927</v>
      </c>
      <c r="E462" s="76">
        <v>44942.722222222219</v>
      </c>
      <c r="F462" s="6" t="s">
        <v>32</v>
      </c>
      <c r="G462" s="5" t="str">
        <f>IFERROR(VLOOKUP(SUMIFS(MSOLICITADA!$I:$I,MSOLICITADA!$B:$B,D462,MSOLICITADA!$F:$F,F462),CODIGOSPLACAS!$A$64:$B$89,2,FALSE),"")</f>
        <v>ADILSON</v>
      </c>
      <c r="H462" s="77">
        <v>205291</v>
      </c>
      <c r="I462" s="77">
        <v>205921</v>
      </c>
      <c r="J462" s="7">
        <v>371.43099999999998</v>
      </c>
      <c r="K462" s="78">
        <v>2299.16</v>
      </c>
      <c r="L462" s="79" t="s">
        <v>111</v>
      </c>
      <c r="M462" s="6">
        <v>344</v>
      </c>
      <c r="N462" s="5">
        <f t="shared" si="55"/>
        <v>286</v>
      </c>
      <c r="O462" s="80">
        <f t="shared" si="56"/>
        <v>6.1900056807320878</v>
      </c>
      <c r="P462" s="8">
        <f t="shared" si="57"/>
        <v>1.6961427559896725</v>
      </c>
      <c r="Q462" s="8">
        <f t="shared" si="53"/>
        <v>1.6695575721559062</v>
      </c>
      <c r="R462" s="81">
        <f t="shared" si="58"/>
        <v>0.54603174603174598</v>
      </c>
      <c r="S462" s="113" t="str">
        <f>IF(F462="","",IF(H462="",TEXT(_xlfn.MAXIFS($I$1:I462,$F$1:F462,F462,$H$1:H462,"&gt;"&amp;0),"000.000"),F462))</f>
        <v>GJU9A22</v>
      </c>
      <c r="T462" s="101">
        <f t="shared" si="54"/>
        <v>286.07142857142856</v>
      </c>
      <c r="U462" s="82" t="s">
        <v>220</v>
      </c>
      <c r="V462" s="98" t="s">
        <v>165</v>
      </c>
      <c r="W462" s="82" t="s">
        <v>222</v>
      </c>
      <c r="X462" s="98" t="s">
        <v>200</v>
      </c>
      <c r="Y462" s="82" t="s">
        <v>225</v>
      </c>
      <c r="Z462" s="98" t="s">
        <v>284</v>
      </c>
      <c r="AA462" s="82" t="s">
        <v>221</v>
      </c>
      <c r="AB462" s="98" t="s">
        <v>168</v>
      </c>
      <c r="AC462" s="82" t="s">
        <v>225</v>
      </c>
      <c r="AD462" s="98" t="s">
        <v>237</v>
      </c>
      <c r="AE462" s="82" t="s">
        <v>220</v>
      </c>
      <c r="AF462" s="98" t="s">
        <v>165</v>
      </c>
      <c r="AG462" s="82"/>
      <c r="AH462" s="98"/>
      <c r="AI462" s="82"/>
      <c r="AJ462" s="98"/>
      <c r="AK462" s="83"/>
      <c r="AL462" s="84" t="str">
        <f>IF(F462&lt;&gt;0,IF(_xlfn.MAXIFS($I$1:I462,$F$1:F462,F462,$H$1:H462,"&gt;"&amp;0)=0,"KM NÃO ENCONTRADO",IF(H462=0,CONCATENATE("SUGESTÃO DE KM PARA PLACA ",F462," *",_xlfn.MAXIFS($I$1:I462,$F$1:F462,F462,$H$1:H462,"&gt;"&amp;0),"*"),"")),"")</f>
        <v/>
      </c>
      <c r="AM462" s="85" t="str" cm="1">
        <f t="array" ref="AM462">IFERROR(IF(M462&lt;&gt;"","",CONCATENATE("https://btx.brasiltrack.com/logistica/trajeto.php?idveiculo=",VLOOKUP(F462,DATAS!$A$221:$B$250,2,FALSE),"&amp;lat=-22.204247","&amp;data_ini=",TEXT(IF(E462&lt;&gt;"",IF(COUNTIF($F$2:$F462,F462)&gt;1,MAX(IF($F$1:$F461=F462,$E$1:$E461)),""),""),"DD/MM/AAAA"),"&amp;data_fim=",TEXT(E462,"DD/MM/AAAA"),"&amp;hora_inicial=",HOUR(IF(E462&lt;&gt;"",IF(COUNTIF($F$2:$F462,F462)&gt;1,MAX(IF($F$1:$F461=F462,$E$1:$E461)),""),"")),"&amp;minuto_inicial=",MINUTE(IF(E462&lt;&gt;"",IF(COUNTIF($F$2:$F462,F462)&gt;1,MAX(IF($F$1:$F461=F462,$E$1:$E461)),""),"")),"&amp;hora_final=",HOUR(E462),"&amp;minuto_final=",MINUTE(E462),"&amp;periodo=6&amp;tipo=por_data&amp;upos=false&amp;outequip=0")),"")</f>
        <v/>
      </c>
      <c r="AN462" s="100" t="str">
        <f t="shared" si="59"/>
        <v xml:space="preserve">ABASTECEU no 22 NORTE DESCARREGOU em CONGONHAL-MG PASSOU em SÃO PAULO-SP CARREGOU em CUBATAO-SP PASSOU em ARUJÁ-SP ABASTECEU no 22 NORTE    </v>
      </c>
    </row>
    <row r="463" spans="1:40" x14ac:dyDescent="0.25">
      <c r="A463" s="101">
        <f>IFERROR(VLOOKUP(AN463,ROTAS!$A:$B,2,FALSE),0)</f>
        <v>127</v>
      </c>
      <c r="B463" s="101">
        <f t="shared" si="51"/>
        <v>1</v>
      </c>
      <c r="C463" s="101">
        <f t="shared" si="52"/>
        <v>1137</v>
      </c>
      <c r="D463" s="144">
        <v>44927</v>
      </c>
      <c r="E463" s="76">
        <v>44942.728472222225</v>
      </c>
      <c r="F463" s="6" t="s">
        <v>24</v>
      </c>
      <c r="G463" s="5" t="str">
        <f>IFERROR(VLOOKUP(SUMIFS(MSOLICITADA!$I:$I,MSOLICITADA!$B:$B,D463,MSOLICITADA!$F:$F,F463),CODIGOSPLACAS!$A$64:$B$89,2,FALSE),"")</f>
        <v>PAULO HENR.</v>
      </c>
      <c r="H463" s="77">
        <v>951272</v>
      </c>
      <c r="I463" s="77">
        <v>952409</v>
      </c>
      <c r="J463" s="7">
        <v>599.20000000000005</v>
      </c>
      <c r="K463" s="78">
        <v>3709</v>
      </c>
      <c r="L463" s="79" t="s">
        <v>111</v>
      </c>
      <c r="M463" s="6">
        <v>655</v>
      </c>
      <c r="N463" s="5">
        <f t="shared" si="55"/>
        <v>482</v>
      </c>
      <c r="O463" s="80">
        <f t="shared" si="56"/>
        <v>6.189919893190921</v>
      </c>
      <c r="P463" s="8">
        <f t="shared" si="57"/>
        <v>1.8975300400534043</v>
      </c>
      <c r="Q463" s="8">
        <f t="shared" si="53"/>
        <v>1.5194077812359499</v>
      </c>
      <c r="R463" s="81">
        <f t="shared" si="58"/>
        <v>0.57607739665787161</v>
      </c>
      <c r="S463" s="113" t="str">
        <f>IF(F463="","",IF(H463="",TEXT(_xlfn.MAXIFS($I$1:I463,$F$1:F463,F463,$H$1:H463,"&gt;"&amp;0),"000.000"),F463))</f>
        <v>FKS0J24</v>
      </c>
      <c r="T463" s="101">
        <f t="shared" si="54"/>
        <v>482</v>
      </c>
      <c r="U463" s="82" t="s">
        <v>220</v>
      </c>
      <c r="V463" s="98" t="s">
        <v>165</v>
      </c>
      <c r="W463" s="82" t="s">
        <v>222</v>
      </c>
      <c r="X463" s="98" t="s">
        <v>200</v>
      </c>
      <c r="Y463" s="82" t="s">
        <v>225</v>
      </c>
      <c r="Z463" s="98" t="s">
        <v>206</v>
      </c>
      <c r="AA463" s="82" t="s">
        <v>225</v>
      </c>
      <c r="AB463" s="98" t="s">
        <v>284</v>
      </c>
      <c r="AC463" s="82" t="s">
        <v>221</v>
      </c>
      <c r="AD463" s="98" t="s">
        <v>168</v>
      </c>
      <c r="AE463" s="82" t="s">
        <v>225</v>
      </c>
      <c r="AF463" s="98" t="s">
        <v>237</v>
      </c>
      <c r="AG463" s="82" t="s">
        <v>220</v>
      </c>
      <c r="AH463" s="98" t="s">
        <v>165</v>
      </c>
      <c r="AI463" s="82"/>
      <c r="AJ463" s="98"/>
      <c r="AK463" s="83"/>
      <c r="AL463" s="84" t="str">
        <f>IF(F463&lt;&gt;0,IF(_xlfn.MAXIFS($I$1:I463,$F$1:F463,F463,$H$1:H463,"&gt;"&amp;0)=0,"KM NÃO ENCONTRADO",IF(H463=0,CONCATENATE("SUGESTÃO DE KM PARA PLACA ",F463," *",_xlfn.MAXIFS($I$1:I463,$F$1:F463,F463,$H$1:H463,"&gt;"&amp;0),"*"),"")),"")</f>
        <v/>
      </c>
      <c r="AM463" s="85" t="str" cm="1">
        <f t="array" ref="AM463">IFERROR(IF(M463&lt;&gt;"","",CONCATENATE("https://btx.brasiltrack.com/logistica/trajeto.php?idveiculo=",VLOOKUP(F463,DATAS!$A$221:$B$250,2,FALSE),"&amp;lat=-22.204247","&amp;data_ini=",TEXT(IF(E463&lt;&gt;"",IF(COUNTIF($F$2:$F463,F463)&gt;1,MAX(IF($F$1:$F462=F463,$E$1:$E462)),""),""),"DD/MM/AAAA"),"&amp;data_fim=",TEXT(E463,"DD/MM/AAAA"),"&amp;hora_inicial=",HOUR(IF(E463&lt;&gt;"",IF(COUNTIF($F$2:$F463,F463)&gt;1,MAX(IF($F$1:$F462=F463,$E$1:$E462)),""),"")),"&amp;minuto_inicial=",MINUTE(IF(E463&lt;&gt;"",IF(COUNTIF($F$2:$F463,F463)&gt;1,MAX(IF($F$1:$F462=F463,$E$1:$E462)),""),"")),"&amp;hora_final=",HOUR(E463),"&amp;minuto_final=",MINUTE(E463),"&amp;periodo=6&amp;tipo=por_data&amp;upos=false&amp;outequip=0")),"")</f>
        <v/>
      </c>
      <c r="AN463" s="100" t="str">
        <f t="shared" si="59"/>
        <v xml:space="preserve">ABASTECEU no 22 NORTE DESCARREGOU em CONGONHAL-MG PASSOU em CANDEIAS-MG PASSOU em SÃO PAULO-SP CARREGOU em CUBATAO-SP PASSOU em ARUJÁ-SP ABASTECEU no 22 NORTE  </v>
      </c>
    </row>
    <row r="464" spans="1:40" x14ac:dyDescent="0.25">
      <c r="A464" s="101">
        <f>IFERROR(VLOOKUP(AN464,ROTAS!$A:$B,2,FALSE),0)</f>
        <v>113</v>
      </c>
      <c r="B464" s="101">
        <f t="shared" si="51"/>
        <v>14</v>
      </c>
      <c r="C464" s="101">
        <f t="shared" si="52"/>
        <v>633.64285714285711</v>
      </c>
      <c r="D464" s="144">
        <v>44927</v>
      </c>
      <c r="E464" s="76">
        <v>44942.760416666664</v>
      </c>
      <c r="F464" s="6" t="s">
        <v>23</v>
      </c>
      <c r="G464" s="5" t="str">
        <f>IFERROR(VLOOKUP(SUMIFS(MSOLICITADA!$I:$I,MSOLICITADA!$B:$B,D464,MSOLICITADA!$F:$F,F464),CODIGOSPLACAS!$A$64:$B$89,2,FALSE),"")</f>
        <v>ISAC</v>
      </c>
      <c r="H464" s="77">
        <v>1209320</v>
      </c>
      <c r="I464" s="77">
        <v>1209958</v>
      </c>
      <c r="J464" s="7">
        <v>420.22</v>
      </c>
      <c r="K464" s="78">
        <v>2601.17</v>
      </c>
      <c r="L464" s="79" t="s">
        <v>111</v>
      </c>
      <c r="M464" s="6">
        <v>352</v>
      </c>
      <c r="N464" s="5">
        <f t="shared" si="55"/>
        <v>286</v>
      </c>
      <c r="O464" s="80">
        <f t="shared" si="56"/>
        <v>6.19001951358812</v>
      </c>
      <c r="P464" s="8">
        <f t="shared" si="57"/>
        <v>1.5182523440102802</v>
      </c>
      <c r="Q464" s="8">
        <f t="shared" si="53"/>
        <v>1.4592701282718794</v>
      </c>
      <c r="R464" s="81">
        <f t="shared" si="58"/>
        <v>0.55172413793103448</v>
      </c>
      <c r="S464" s="113" t="str">
        <f>IF(F464="","",IF(H464="",TEXT(_xlfn.MAXIFS($I$1:I464,$F$1:F464,F464,$H$1:H464,"&gt;"&amp;0),"000.000"),F464))</f>
        <v>HNC7I76</v>
      </c>
      <c r="T464" s="101">
        <f t="shared" si="54"/>
        <v>286.07142857142856</v>
      </c>
      <c r="U464" s="82" t="s">
        <v>220</v>
      </c>
      <c r="V464" s="98" t="s">
        <v>165</v>
      </c>
      <c r="W464" s="82" t="s">
        <v>222</v>
      </c>
      <c r="X464" s="98" t="s">
        <v>200</v>
      </c>
      <c r="Y464" s="82" t="s">
        <v>225</v>
      </c>
      <c r="Z464" s="98" t="s">
        <v>284</v>
      </c>
      <c r="AA464" s="82" t="s">
        <v>221</v>
      </c>
      <c r="AB464" s="98" t="s">
        <v>168</v>
      </c>
      <c r="AC464" s="82" t="s">
        <v>225</v>
      </c>
      <c r="AD464" s="98" t="s">
        <v>237</v>
      </c>
      <c r="AE464" s="82" t="s">
        <v>220</v>
      </c>
      <c r="AF464" s="98" t="s">
        <v>165</v>
      </c>
      <c r="AG464" s="82"/>
      <c r="AH464" s="98"/>
      <c r="AI464" s="82"/>
      <c r="AJ464" s="98"/>
      <c r="AK464" s="83"/>
      <c r="AL464" s="84" t="str">
        <f>IF(F464&lt;&gt;0,IF(_xlfn.MAXIFS($I$1:I464,$F$1:F464,F464,$H$1:H464,"&gt;"&amp;0)=0,"KM NÃO ENCONTRADO",IF(H464=0,CONCATENATE("SUGESTÃO DE KM PARA PLACA ",F464," *",_xlfn.MAXIFS($I$1:I464,$F$1:F464,F464,$H$1:H464,"&gt;"&amp;0),"*"),"")),"")</f>
        <v/>
      </c>
      <c r="AM464" s="85" t="str" cm="1">
        <f t="array" ref="AM464">IFERROR(IF(M464&lt;&gt;"","",CONCATENATE("https://btx.brasiltrack.com/logistica/trajeto.php?idveiculo=",VLOOKUP(F464,DATAS!$A$221:$B$250,2,FALSE),"&amp;lat=-22.204247","&amp;data_ini=",TEXT(IF(E464&lt;&gt;"",IF(COUNTIF($F$2:$F464,F464)&gt;1,MAX(IF($F$1:$F463=F464,$E$1:$E463)),""),""),"DD/MM/AAAA"),"&amp;data_fim=",TEXT(E464,"DD/MM/AAAA"),"&amp;hora_inicial=",HOUR(IF(E464&lt;&gt;"",IF(COUNTIF($F$2:$F464,F464)&gt;1,MAX(IF($F$1:$F463=F464,$E$1:$E463)),""),"")),"&amp;minuto_inicial=",MINUTE(IF(E464&lt;&gt;"",IF(COUNTIF($F$2:$F464,F464)&gt;1,MAX(IF($F$1:$F463=F464,$E$1:$E463)),""),"")),"&amp;hora_final=",HOUR(E464),"&amp;minuto_final=",MINUTE(E464),"&amp;periodo=6&amp;tipo=por_data&amp;upos=false&amp;outequip=0")),"")</f>
        <v/>
      </c>
      <c r="AN464" s="100" t="str">
        <f t="shared" si="59"/>
        <v xml:space="preserve">ABASTECEU no 22 NORTE DESCARREGOU em CONGONHAL-MG PASSOU em SÃO PAULO-SP CARREGOU em CUBATAO-SP PASSOU em ARUJÁ-SP ABASTECEU no 22 NORTE    </v>
      </c>
    </row>
    <row r="465" spans="1:40" x14ac:dyDescent="0.25">
      <c r="A465" s="101">
        <f>IFERROR(VLOOKUP(AN465,ROTAS!$A:$B,2,FALSE),0)</f>
        <v>2</v>
      </c>
      <c r="B465" s="101">
        <f t="shared" si="51"/>
        <v>11</v>
      </c>
      <c r="C465" s="101">
        <f t="shared" si="52"/>
        <v>865.72727272727275</v>
      </c>
      <c r="D465" s="144">
        <v>44927</v>
      </c>
      <c r="E465" s="76">
        <v>44942.845833333333</v>
      </c>
      <c r="F465" s="6" t="s">
        <v>124</v>
      </c>
      <c r="G465" s="5" t="str">
        <f>IFERROR(VLOOKUP(SUMIFS(MSOLICITADA!$I:$I,MSOLICITADA!$B:$B,D465,MSOLICITADA!$F:$F,F465),CODIGOSPLACAS!$A$64:$B$89,2,FALSE),"")</f>
        <v>ISRAEL</v>
      </c>
      <c r="H465" s="77">
        <v>143884</v>
      </c>
      <c r="I465" s="77">
        <v>144748</v>
      </c>
      <c r="J465" s="7">
        <v>500.01</v>
      </c>
      <c r="K465" s="78">
        <v>3095.06</v>
      </c>
      <c r="L465" s="79" t="s">
        <v>111</v>
      </c>
      <c r="M465" s="6">
        <v>432</v>
      </c>
      <c r="N465" s="5">
        <f t="shared" si="55"/>
        <v>432</v>
      </c>
      <c r="O465" s="80">
        <f t="shared" si="56"/>
        <v>6.1899962000759983</v>
      </c>
      <c r="P465" s="8">
        <f t="shared" si="57"/>
        <v>1.7279654406911862</v>
      </c>
      <c r="Q465" s="8">
        <f t="shared" si="53"/>
        <v>1.6528367477149088</v>
      </c>
      <c r="R465" s="81">
        <f t="shared" si="58"/>
        <v>0.5</v>
      </c>
      <c r="S465" s="113" t="str">
        <f>IF(F465="","",IF(H465="",TEXT(_xlfn.MAXIFS($I$1:I465,$F$1:F465,F465,$H$1:H465,"&gt;"&amp;0),"000.000"),F465))</f>
        <v>GHH9B64</v>
      </c>
      <c r="T465" s="101">
        <f t="shared" si="54"/>
        <v>432.72727272727275</v>
      </c>
      <c r="U465" s="82" t="s">
        <v>220</v>
      </c>
      <c r="V465" s="98" t="s">
        <v>165</v>
      </c>
      <c r="W465" s="82" t="s">
        <v>222</v>
      </c>
      <c r="X465" s="98" t="s">
        <v>176</v>
      </c>
      <c r="Y465" s="82" t="s">
        <v>225</v>
      </c>
      <c r="Z465" s="98" t="s">
        <v>237</v>
      </c>
      <c r="AA465" s="82" t="s">
        <v>221</v>
      </c>
      <c r="AB465" s="98" t="s">
        <v>168</v>
      </c>
      <c r="AC465" s="82" t="s">
        <v>225</v>
      </c>
      <c r="AD465" s="98" t="s">
        <v>237</v>
      </c>
      <c r="AE465" s="82" t="s">
        <v>220</v>
      </c>
      <c r="AF465" s="98" t="s">
        <v>165</v>
      </c>
      <c r="AG465" s="82"/>
      <c r="AH465" s="98"/>
      <c r="AI465" s="82"/>
      <c r="AJ465" s="98"/>
      <c r="AK465" s="83"/>
      <c r="AL465" s="84" t="str">
        <f>IF(F465&lt;&gt;0,IF(_xlfn.MAXIFS($I$1:I465,$F$1:F465,F465,$H$1:H465,"&gt;"&amp;0)=0,"KM NÃO ENCONTRADO",IF(H465=0,CONCATENATE("SUGESTÃO DE KM PARA PLACA ",F465," *",_xlfn.MAXIFS($I$1:I465,$F$1:F465,F465,$H$1:H465,"&gt;"&amp;0),"*"),"")),"")</f>
        <v/>
      </c>
      <c r="AM465" s="85" t="str" cm="1">
        <f t="array" ref="AM465">IFERROR(IF(M465&lt;&gt;"","",CONCATENATE("https://btx.brasiltrack.com/logistica/trajeto.php?idveiculo=",VLOOKUP(F465,DATAS!$A$221:$B$250,2,FALSE),"&amp;lat=-22.204247","&amp;data_ini=",TEXT(IF(E465&lt;&gt;"",IF(COUNTIF($F$2:$F465,F465)&gt;1,MAX(IF($F$1:$F464=F465,$E$1:$E464)),""),""),"DD/MM/AAAA"),"&amp;data_fim=",TEXT(E465,"DD/MM/AAAA"),"&amp;hora_inicial=",HOUR(IF(E465&lt;&gt;"",IF(COUNTIF($F$2:$F465,F465)&gt;1,MAX(IF($F$1:$F464=F465,$E$1:$E464)),""),"")),"&amp;minuto_inicial=",MINUTE(IF(E465&lt;&gt;"",IF(COUNTIF($F$2:$F465,F465)&gt;1,MAX(IF($F$1:$F464=F465,$E$1:$E464)),""),"")),"&amp;hora_final=",HOUR(E465),"&amp;minuto_final=",MINUTE(E465),"&amp;periodo=6&amp;tipo=por_data&amp;upos=false&amp;outequip=0")),"")</f>
        <v/>
      </c>
      <c r="AN465" s="100" t="str">
        <f t="shared" si="59"/>
        <v xml:space="preserve">ABASTECEU no 22 NORTE DESCARREGOU em ALFENAS-MG PASSOU em ARUJÁ-SP CARREGOU em CUBATAO-SP PASSOU em ARUJÁ-SP ABASTECEU no 22 NORTE    </v>
      </c>
    </row>
    <row r="466" spans="1:40" x14ac:dyDescent="0.25">
      <c r="A466" s="101">
        <f>IFERROR(VLOOKUP(AN466,ROTAS!$A:$B,2,FALSE),0)</f>
        <v>2</v>
      </c>
      <c r="B466" s="101">
        <f t="shared" si="51"/>
        <v>11</v>
      </c>
      <c r="C466" s="101">
        <f t="shared" si="52"/>
        <v>865.72727272727275</v>
      </c>
      <c r="D466" s="144">
        <v>44927</v>
      </c>
      <c r="E466" s="76">
        <v>44942.87222222222</v>
      </c>
      <c r="F466" s="6" t="s">
        <v>29</v>
      </c>
      <c r="G466" s="5" t="str">
        <f>IFERROR(VLOOKUP(SUMIFS(MSOLICITADA!$I:$I,MSOLICITADA!$B:$B,D466,MSOLICITADA!$F:$F,F466),CODIGOSPLACAS!$A$64:$B$89,2,FALSE),"")</f>
        <v>EDNILSON</v>
      </c>
      <c r="H466" s="77">
        <v>242422</v>
      </c>
      <c r="I466" s="77">
        <v>243282</v>
      </c>
      <c r="J466" s="7">
        <v>527</v>
      </c>
      <c r="K466" s="78">
        <v>3263</v>
      </c>
      <c r="L466" s="79" t="s">
        <v>111</v>
      </c>
      <c r="M466" s="6">
        <v>430</v>
      </c>
      <c r="N466" s="5">
        <f t="shared" si="55"/>
        <v>430</v>
      </c>
      <c r="O466" s="80">
        <f t="shared" si="56"/>
        <v>6.1916508538899429</v>
      </c>
      <c r="P466" s="8">
        <f t="shared" si="57"/>
        <v>1.6318785578747628</v>
      </c>
      <c r="Q466" s="8">
        <f t="shared" si="53"/>
        <v>1.5966128652005338</v>
      </c>
      <c r="R466" s="81">
        <f t="shared" si="58"/>
        <v>0.5</v>
      </c>
      <c r="S466" s="113" t="str">
        <f>IF(F466="","",IF(H466="",TEXT(_xlfn.MAXIFS($I$1:I466,$F$1:F466,F466,$H$1:H466,"&gt;"&amp;0),"000.000"),F466))</f>
        <v>GKA2J56</v>
      </c>
      <c r="T466" s="101">
        <f t="shared" si="54"/>
        <v>432.72727272727275</v>
      </c>
      <c r="U466" s="82" t="s">
        <v>220</v>
      </c>
      <c r="V466" s="98" t="s">
        <v>165</v>
      </c>
      <c r="W466" s="82" t="s">
        <v>222</v>
      </c>
      <c r="X466" s="98" t="s">
        <v>176</v>
      </c>
      <c r="Y466" s="82" t="s">
        <v>225</v>
      </c>
      <c r="Z466" s="98" t="s">
        <v>237</v>
      </c>
      <c r="AA466" s="82" t="s">
        <v>221</v>
      </c>
      <c r="AB466" s="98" t="s">
        <v>168</v>
      </c>
      <c r="AC466" s="82" t="s">
        <v>225</v>
      </c>
      <c r="AD466" s="98" t="s">
        <v>237</v>
      </c>
      <c r="AE466" s="82" t="s">
        <v>220</v>
      </c>
      <c r="AF466" s="98" t="s">
        <v>165</v>
      </c>
      <c r="AG466" s="82"/>
      <c r="AH466" s="98"/>
      <c r="AI466" s="82"/>
      <c r="AJ466" s="98"/>
      <c r="AK466" s="83"/>
      <c r="AL466" s="84" t="str">
        <f>IF(F466&lt;&gt;0,IF(_xlfn.MAXIFS($I$1:I466,$F$1:F466,F466,$H$1:H466,"&gt;"&amp;0)=0,"KM NÃO ENCONTRADO",IF(H466=0,CONCATENATE("SUGESTÃO DE KM PARA PLACA ",F466," *",_xlfn.MAXIFS($I$1:I466,$F$1:F466,F466,$H$1:H466,"&gt;"&amp;0),"*"),"")),"")</f>
        <v/>
      </c>
      <c r="AM466" s="85" t="str" cm="1">
        <f t="array" ref="AM466">IFERROR(IF(M466&lt;&gt;"","",CONCATENATE("https://btx.brasiltrack.com/logistica/trajeto.php?idveiculo=",VLOOKUP(F466,DATAS!$A$221:$B$250,2,FALSE),"&amp;lat=-22.204247","&amp;data_ini=",TEXT(IF(E466&lt;&gt;"",IF(COUNTIF($F$2:$F466,F466)&gt;1,MAX(IF($F$1:$F465=F466,$E$1:$E465)),""),""),"DD/MM/AAAA"),"&amp;data_fim=",TEXT(E466,"DD/MM/AAAA"),"&amp;hora_inicial=",HOUR(IF(E466&lt;&gt;"",IF(COUNTIF($F$2:$F466,F466)&gt;1,MAX(IF($F$1:$F465=F466,$E$1:$E465)),""),"")),"&amp;minuto_inicial=",MINUTE(IF(E466&lt;&gt;"",IF(COUNTIF($F$2:$F466,F466)&gt;1,MAX(IF($F$1:$F465=F466,$E$1:$E465)),""),"")),"&amp;hora_final=",HOUR(E466),"&amp;minuto_final=",MINUTE(E466),"&amp;periodo=6&amp;tipo=por_data&amp;upos=false&amp;outequip=0")),"")</f>
        <v/>
      </c>
      <c r="AN466" s="100" t="str">
        <f t="shared" si="59"/>
        <v xml:space="preserve">ABASTECEU no 22 NORTE DESCARREGOU em ALFENAS-MG PASSOU em ARUJÁ-SP CARREGOU em CUBATAO-SP PASSOU em ARUJÁ-SP ABASTECEU no 22 NORTE    </v>
      </c>
    </row>
    <row r="467" spans="1:40" x14ac:dyDescent="0.25">
      <c r="A467" s="101">
        <f>IFERROR(VLOOKUP(AN467,ROTAS!$A:$B,2,FALSE),0)</f>
        <v>3</v>
      </c>
      <c r="B467" s="101">
        <f t="shared" si="51"/>
        <v>6</v>
      </c>
      <c r="C467" s="101">
        <f t="shared" si="52"/>
        <v>826.16666666666663</v>
      </c>
      <c r="D467" s="144">
        <v>44927</v>
      </c>
      <c r="E467" s="76">
        <v>44942.945138888892</v>
      </c>
      <c r="F467" s="6" t="s">
        <v>28</v>
      </c>
      <c r="G467" s="5" t="str">
        <f>IFERROR(VLOOKUP(SUMIFS(MSOLICITADA!$I:$I,MSOLICITADA!$B:$B,D467,MSOLICITADA!$F:$F,F467),CODIGOSPLACAS!$A$64:$B$89,2,FALSE),"")</f>
        <v>RONY</v>
      </c>
      <c r="H467" s="77">
        <v>247302</v>
      </c>
      <c r="I467" s="77">
        <v>248131</v>
      </c>
      <c r="J467" s="7">
        <v>513.87</v>
      </c>
      <c r="K467" s="78">
        <v>3180.85</v>
      </c>
      <c r="L467" s="79" t="s">
        <v>111</v>
      </c>
      <c r="M467" s="6">
        <v>369</v>
      </c>
      <c r="N467" s="5">
        <f t="shared" si="55"/>
        <v>460</v>
      </c>
      <c r="O467" s="80">
        <f t="shared" si="56"/>
        <v>6.1899896861073813</v>
      </c>
      <c r="P467" s="8">
        <f t="shared" si="57"/>
        <v>1.613248486971413</v>
      </c>
      <c r="Q467" s="8">
        <f t="shared" si="53"/>
        <v>1.519654959485309</v>
      </c>
      <c r="R467" s="81">
        <f t="shared" si="58"/>
        <v>0.44511459589867308</v>
      </c>
      <c r="S467" s="113" t="str">
        <f>IF(F467="","",IF(H467="",TEXT(_xlfn.MAXIFS($I$1:I467,$F$1:F467,F467,$H$1:H467,"&gt;"&amp;0),"000.000"),F467))</f>
        <v>FZA3E94</v>
      </c>
      <c r="T467" s="101">
        <f t="shared" si="54"/>
        <v>446.66666666666669</v>
      </c>
      <c r="U467" s="82" t="s">
        <v>220</v>
      </c>
      <c r="V467" s="98" t="s">
        <v>165</v>
      </c>
      <c r="W467" s="82" t="s">
        <v>222</v>
      </c>
      <c r="X467" s="98" t="s">
        <v>176</v>
      </c>
      <c r="Y467" s="82" t="s">
        <v>225</v>
      </c>
      <c r="Z467" s="98" t="s">
        <v>237</v>
      </c>
      <c r="AA467" s="82" t="s">
        <v>221</v>
      </c>
      <c r="AB467" s="98" t="s">
        <v>168</v>
      </c>
      <c r="AC467" s="82" t="s">
        <v>225</v>
      </c>
      <c r="AD467" s="98" t="s">
        <v>284</v>
      </c>
      <c r="AE467" s="82" t="s">
        <v>220</v>
      </c>
      <c r="AF467" s="98" t="s">
        <v>165</v>
      </c>
      <c r="AG467" s="82"/>
      <c r="AH467" s="98"/>
      <c r="AI467" s="82"/>
      <c r="AJ467" s="98"/>
      <c r="AK467" s="83"/>
      <c r="AL467" s="84" t="str">
        <f>IF(F467&lt;&gt;0,IF(_xlfn.MAXIFS($I$1:I467,$F$1:F467,F467,$H$1:H467,"&gt;"&amp;0)=0,"KM NÃO ENCONTRADO",IF(H467=0,CONCATENATE("SUGESTÃO DE KM PARA PLACA ",F467," *",_xlfn.MAXIFS($I$1:I467,$F$1:F467,F467,$H$1:H467,"&gt;"&amp;0),"*"),"")),"")</f>
        <v/>
      </c>
      <c r="AM467" s="85" t="str" cm="1">
        <f t="array" ref="AM467">IFERROR(IF(M467&lt;&gt;"","",CONCATENATE("https://btx.brasiltrack.com/logistica/trajeto.php?idveiculo=",VLOOKUP(F467,DATAS!$A$221:$B$250,2,FALSE),"&amp;lat=-22.204247","&amp;data_ini=",TEXT(IF(E467&lt;&gt;"",IF(COUNTIF($F$2:$F467,F467)&gt;1,MAX(IF($F$1:$F466=F467,$E$1:$E466)),""),""),"DD/MM/AAAA"),"&amp;data_fim=",TEXT(E467,"DD/MM/AAAA"),"&amp;hora_inicial=",HOUR(IF(E467&lt;&gt;"",IF(COUNTIF($F$2:$F467,F467)&gt;1,MAX(IF($F$1:$F466=F467,$E$1:$E466)),""),"")),"&amp;minuto_inicial=",MINUTE(IF(E467&lt;&gt;"",IF(COUNTIF($F$2:$F467,F467)&gt;1,MAX(IF($F$1:$F466=F467,$E$1:$E466)),""),"")),"&amp;hora_final=",HOUR(E467),"&amp;minuto_final=",MINUTE(E467),"&amp;periodo=6&amp;tipo=por_data&amp;upos=false&amp;outequip=0")),"")</f>
        <v/>
      </c>
      <c r="AN467" s="100" t="str">
        <f t="shared" si="59"/>
        <v xml:space="preserve">ABASTECEU no 22 NORTE DESCARREGOU em ALFENAS-MG PASSOU em ARUJÁ-SP CARREGOU em CUBATAO-SP PASSOU em SÃO PAULO-SP ABASTECEU no 22 NORTE    </v>
      </c>
    </row>
    <row r="468" spans="1:40" x14ac:dyDescent="0.25">
      <c r="A468" s="101">
        <f>IFERROR(VLOOKUP(AN468,ROTAS!$A:$B,2,FALSE),0)</f>
        <v>3</v>
      </c>
      <c r="B468" s="101">
        <f t="shared" ref="B468:B531" si="60">COUNTIFS(A:A,A468)</f>
        <v>6</v>
      </c>
      <c r="C468" s="101">
        <f t="shared" ref="C468:C531" si="61">(SUMIFS(M:M,A:A,A468)+SUMIFS(N:N,A:A,A468))/B468</f>
        <v>826.16666666666663</v>
      </c>
      <c r="D468" s="144">
        <v>44927</v>
      </c>
      <c r="E468" s="76">
        <v>44942.997916666667</v>
      </c>
      <c r="F468" s="6" t="s">
        <v>131</v>
      </c>
      <c r="G468" s="5" t="str">
        <f>IFERROR(VLOOKUP(SUMIFS(MSOLICITADA!$I:$I,MSOLICITADA!$B:$B,D468,MSOLICITADA!$F:$F,F468),CODIGOSPLACAS!$A$64:$B$89,2,FALSE),"")</f>
        <v>ALTIELIS</v>
      </c>
      <c r="H468" s="77">
        <v>52311</v>
      </c>
      <c r="I468" s="77">
        <v>53114</v>
      </c>
      <c r="J468" s="7">
        <v>470</v>
      </c>
      <c r="K468" s="78">
        <v>2909.3</v>
      </c>
      <c r="L468" s="79" t="s">
        <v>111</v>
      </c>
      <c r="M468" s="6">
        <v>343</v>
      </c>
      <c r="N468" s="5">
        <f t="shared" si="55"/>
        <v>460</v>
      </c>
      <c r="O468" s="80">
        <f t="shared" si="56"/>
        <v>6.19</v>
      </c>
      <c r="P468" s="8">
        <f t="shared" si="57"/>
        <v>1.7085106382978723</v>
      </c>
      <c r="Q468" s="8">
        <f t="shared" ref="Q468:Q531" si="62">IFERROR((SUMIFS(M:M,D:D,D468,F:F,F468)+SUMIFS(N:N,D:D,D468,F:F,F468)-SUMIFS(AK:AK,D:D,D468,F:F,F468))/(SUMIFS(J:J,D:D,D468,F:F,F468)-(SUMIFS(AK:AK,D:D,D468,F:F,F468)/5)),0)</f>
        <v>1.6793774979959049</v>
      </c>
      <c r="R468" s="81">
        <f t="shared" si="58"/>
        <v>0.42714819427148193</v>
      </c>
      <c r="S468" s="113" t="str">
        <f>IF(F468="","",IF(H468="",TEXT(_xlfn.MAXIFS($I$1:I468,$F$1:F468,F468,$H$1:H468,"&gt;"&amp;0),"000.000"),F468))</f>
        <v>GGN4J86</v>
      </c>
      <c r="T468" s="101">
        <f t="shared" ref="T468:T531" si="63">IF(E468&lt;&gt;"",IF(A468=0,"ERRO",IFERROR(AVERAGEIFS(N:N,A:A,A468,M:M,"&gt;"&amp;0),"")),"")</f>
        <v>446.66666666666669</v>
      </c>
      <c r="U468" s="82" t="s">
        <v>220</v>
      </c>
      <c r="V468" s="98" t="s">
        <v>165</v>
      </c>
      <c r="W468" s="82" t="s">
        <v>222</v>
      </c>
      <c r="X468" s="98" t="s">
        <v>176</v>
      </c>
      <c r="Y468" s="82" t="s">
        <v>225</v>
      </c>
      <c r="Z468" s="98" t="s">
        <v>237</v>
      </c>
      <c r="AA468" s="82" t="s">
        <v>221</v>
      </c>
      <c r="AB468" s="98" t="s">
        <v>168</v>
      </c>
      <c r="AC468" s="82" t="s">
        <v>225</v>
      </c>
      <c r="AD468" s="98" t="s">
        <v>284</v>
      </c>
      <c r="AE468" s="82" t="s">
        <v>220</v>
      </c>
      <c r="AF468" s="98" t="s">
        <v>165</v>
      </c>
      <c r="AG468" s="82"/>
      <c r="AH468" s="98"/>
      <c r="AI468" s="82"/>
      <c r="AJ468" s="98"/>
      <c r="AK468" s="83"/>
      <c r="AL468" s="84" t="str">
        <f>IF(F468&lt;&gt;0,IF(_xlfn.MAXIFS($I$1:I468,$F$1:F468,F468,$H$1:H468,"&gt;"&amp;0)=0,"KM NÃO ENCONTRADO",IF(H468=0,CONCATENATE("SUGESTÃO DE KM PARA PLACA ",F468," *",_xlfn.MAXIFS($I$1:I468,$F$1:F468,F468,$H$1:H468,"&gt;"&amp;0),"*"),"")),"")</f>
        <v/>
      </c>
      <c r="AM468" s="85" t="str" cm="1">
        <f t="array" ref="AM468">IFERROR(IF(M468&lt;&gt;"","",CONCATENATE("https://btx.brasiltrack.com/logistica/trajeto.php?idveiculo=",VLOOKUP(F468,DATAS!$A$221:$B$250,2,FALSE),"&amp;lat=-22.204247","&amp;data_ini=",TEXT(IF(E468&lt;&gt;"",IF(COUNTIF($F$2:$F468,F468)&gt;1,MAX(IF($F$1:$F467=F468,$E$1:$E467)),""),""),"DD/MM/AAAA"),"&amp;data_fim=",TEXT(E468,"DD/MM/AAAA"),"&amp;hora_inicial=",HOUR(IF(E468&lt;&gt;"",IF(COUNTIF($F$2:$F468,F468)&gt;1,MAX(IF($F$1:$F467=F468,$E$1:$E467)),""),"")),"&amp;minuto_inicial=",MINUTE(IF(E468&lt;&gt;"",IF(COUNTIF($F$2:$F468,F468)&gt;1,MAX(IF($F$1:$F467=F468,$E$1:$E467)),""),"")),"&amp;hora_final=",HOUR(E468),"&amp;minuto_final=",MINUTE(E468),"&amp;periodo=6&amp;tipo=por_data&amp;upos=false&amp;outequip=0")),"")</f>
        <v/>
      </c>
      <c r="AN468" s="100" t="str">
        <f t="shared" si="59"/>
        <v xml:space="preserve">ABASTECEU no 22 NORTE DESCARREGOU em ALFENAS-MG PASSOU em ARUJÁ-SP CARREGOU em CUBATAO-SP PASSOU em SÃO PAULO-SP ABASTECEU no 22 NORTE    </v>
      </c>
    </row>
    <row r="469" spans="1:40" x14ac:dyDescent="0.25">
      <c r="A469" s="101">
        <f>IFERROR(VLOOKUP(AN469,ROTAS!$A:$B,2,FALSE),0)</f>
        <v>128</v>
      </c>
      <c r="B469" s="101">
        <f t="shared" si="60"/>
        <v>1</v>
      </c>
      <c r="C469" s="101">
        <f t="shared" si="61"/>
        <v>846</v>
      </c>
      <c r="D469" s="144">
        <v>44927</v>
      </c>
      <c r="E469" s="76">
        <v>44943.021527777775</v>
      </c>
      <c r="F469" s="6" t="s">
        <v>33</v>
      </c>
      <c r="G469" s="5" t="str">
        <f>IFERROR(VLOOKUP(SUMIFS(MSOLICITADA!$I:$I,MSOLICITADA!$B:$B,D469,MSOLICITADA!$F:$F,F469),CODIGOSPLACAS!$A$64:$B$89,2,FALSE),"")</f>
        <v>JULIO</v>
      </c>
      <c r="H469" s="77">
        <v>167613</v>
      </c>
      <c r="I469" s="77">
        <v>168459</v>
      </c>
      <c r="J469" s="7">
        <v>520</v>
      </c>
      <c r="K469" s="78">
        <v>3218.8</v>
      </c>
      <c r="L469" s="79" t="s">
        <v>111</v>
      </c>
      <c r="M469" s="6">
        <v>388</v>
      </c>
      <c r="N469" s="5">
        <f t="shared" si="55"/>
        <v>458</v>
      </c>
      <c r="O469" s="80">
        <f t="shared" si="56"/>
        <v>6.19</v>
      </c>
      <c r="P469" s="8">
        <f t="shared" si="57"/>
        <v>1.6269230769230769</v>
      </c>
      <c r="Q469" s="8">
        <f t="shared" si="62"/>
        <v>1.7400327790407339</v>
      </c>
      <c r="R469" s="81">
        <f t="shared" si="58"/>
        <v>0.45862884160756501</v>
      </c>
      <c r="S469" s="113" t="str">
        <f>IF(F469="","",IF(H469="",TEXT(_xlfn.MAXIFS($I$1:I469,$F$1:F469,F469,$H$1:H469,"&gt;"&amp;0),"000.000"),F469))</f>
        <v>GGF7G26</v>
      </c>
      <c r="T469" s="101">
        <f t="shared" si="63"/>
        <v>458</v>
      </c>
      <c r="U469" s="82" t="s">
        <v>220</v>
      </c>
      <c r="V469" s="98" t="s">
        <v>206</v>
      </c>
      <c r="W469" s="82" t="s">
        <v>221</v>
      </c>
      <c r="X469" s="98" t="s">
        <v>171</v>
      </c>
      <c r="Y469" s="82" t="s">
        <v>222</v>
      </c>
      <c r="Z469" s="98" t="s">
        <v>201</v>
      </c>
      <c r="AA469" s="82" t="s">
        <v>221</v>
      </c>
      <c r="AB469" s="98" t="s">
        <v>168</v>
      </c>
      <c r="AC469" s="82" t="s">
        <v>225</v>
      </c>
      <c r="AD469" s="98" t="s">
        <v>284</v>
      </c>
      <c r="AE469" s="82" t="s">
        <v>220</v>
      </c>
      <c r="AF469" s="98" t="s">
        <v>165</v>
      </c>
      <c r="AG469" s="82"/>
      <c r="AH469" s="98"/>
      <c r="AI469" s="82"/>
      <c r="AJ469" s="98"/>
      <c r="AK469" s="83"/>
      <c r="AL469" s="84" t="str">
        <f>IF(F469&lt;&gt;0,IF(_xlfn.MAXIFS($I$1:I469,$F$1:F469,F469,$H$1:H469,"&gt;"&amp;0)=0,"KM NÃO ENCONTRADO",IF(H469=0,CONCATENATE("SUGESTÃO DE KM PARA PLACA ",F469," *",_xlfn.MAXIFS($I$1:I469,$F$1:F469,F469,$H$1:H469,"&gt;"&amp;0),"*"),"")),"")</f>
        <v/>
      </c>
      <c r="AM469" s="85" t="str" cm="1">
        <f t="array" ref="AM469">IFERROR(IF(M469&lt;&gt;"","",CONCATENATE("https://btx.brasiltrack.com/logistica/trajeto.php?idveiculo=",VLOOKUP(F469,DATAS!$A$221:$B$250,2,FALSE),"&amp;lat=-22.204247","&amp;data_ini=",TEXT(IF(E469&lt;&gt;"",IF(COUNTIF($F$2:$F469,F469)&gt;1,MAX(IF($F$1:$F468=F469,$E$1:$E468)),""),""),"DD/MM/AAAA"),"&amp;data_fim=",TEXT(E469,"DD/MM/AAAA"),"&amp;hora_inicial=",HOUR(IF(E469&lt;&gt;"",IF(COUNTIF($F$2:$F469,F469)&gt;1,MAX(IF($F$1:$F468=F469,$E$1:$E468)),""),"")),"&amp;minuto_inicial=",MINUTE(IF(E469&lt;&gt;"",IF(COUNTIF($F$2:$F469,F469)&gt;1,MAX(IF($F$1:$F468=F469,$E$1:$E468)),""),"")),"&amp;hora_final=",HOUR(E469),"&amp;minuto_final=",MINUTE(E469),"&amp;periodo=6&amp;tipo=por_data&amp;upos=false&amp;outequip=0")),"")</f>
        <v/>
      </c>
      <c r="AN469" s="100" t="str">
        <f t="shared" si="59"/>
        <v xml:space="preserve">ABASTECEU no CANDEIAS-MG CARREGOU em IGUATAMA-MG DESCARREGOU em TRES CORACOES-MG CARREGOU em CUBATAO-SP PASSOU em SÃO PAULO-SP ABASTECEU no 22 NORTE    </v>
      </c>
    </row>
    <row r="470" spans="1:40" x14ac:dyDescent="0.25">
      <c r="A470" s="101">
        <f>IFERROR(VLOOKUP(AN470,ROTAS!$A:$B,2,FALSE),0)</f>
        <v>56</v>
      </c>
      <c r="B470" s="101">
        <f t="shared" si="60"/>
        <v>7</v>
      </c>
      <c r="C470" s="101">
        <f t="shared" si="61"/>
        <v>379.28571428571428</v>
      </c>
      <c r="D470" s="144">
        <v>44927</v>
      </c>
      <c r="E470" s="76">
        <v>44943.206250000003</v>
      </c>
      <c r="F470" s="6" t="s">
        <v>32</v>
      </c>
      <c r="G470" s="5" t="str">
        <f>IFERROR(VLOOKUP(SUMIFS(MSOLICITADA!$I:$I,MSOLICITADA!$B:$B,D470,MSOLICITADA!$F:$F,F470),CODIGOSPLACAS!$A$64:$B$89,2,FALSE),"")</f>
        <v>ADILSON</v>
      </c>
      <c r="H470" s="77">
        <v>205921</v>
      </c>
      <c r="I470" s="77">
        <v>206294</v>
      </c>
      <c r="J470" s="7">
        <v>250</v>
      </c>
      <c r="K470" s="78">
        <v>1462.5</v>
      </c>
      <c r="L470" s="79" t="s">
        <v>112</v>
      </c>
      <c r="M470" s="6">
        <v>373</v>
      </c>
      <c r="N470" s="5" t="str">
        <f t="shared" si="55"/>
        <v/>
      </c>
      <c r="O470" s="80">
        <f t="shared" si="56"/>
        <v>5.85</v>
      </c>
      <c r="P470" s="8">
        <f t="shared" si="57"/>
        <v>1.492</v>
      </c>
      <c r="Q470" s="8">
        <f t="shared" si="62"/>
        <v>1.6695575721559062</v>
      </c>
      <c r="R470" s="81">
        <f t="shared" si="58"/>
        <v>1</v>
      </c>
      <c r="S470" s="113" t="str">
        <f>IF(F470="","",IF(H470="",TEXT(_xlfn.MAXIFS($I$1:I470,$F$1:F470,F470,$H$1:H470,"&gt;"&amp;0),"000.000"),F470))</f>
        <v>GJU9A22</v>
      </c>
      <c r="T470" s="101" t="str">
        <f t="shared" si="63"/>
        <v/>
      </c>
      <c r="U470" s="82" t="s">
        <v>220</v>
      </c>
      <c r="V470" s="98" t="s">
        <v>165</v>
      </c>
      <c r="W470" s="82" t="s">
        <v>220</v>
      </c>
      <c r="X470" s="98" t="s">
        <v>206</v>
      </c>
      <c r="Y470" s="82"/>
      <c r="Z470" s="98"/>
      <c r="AA470" s="82"/>
      <c r="AB470" s="98"/>
      <c r="AC470" s="82"/>
      <c r="AD470" s="98"/>
      <c r="AE470" s="118"/>
      <c r="AF470" s="98"/>
      <c r="AG470" s="82"/>
      <c r="AH470" s="98"/>
      <c r="AI470" s="82"/>
      <c r="AJ470" s="98"/>
      <c r="AK470" s="83"/>
      <c r="AL470" s="84" t="str">
        <f>IF(F470&lt;&gt;0,IF(_xlfn.MAXIFS($I$1:I470,$F$1:F470,F470,$H$1:H470,"&gt;"&amp;0)=0,"KM NÃO ENCONTRADO",IF(H470=0,CONCATENATE("SUGESTÃO DE KM PARA PLACA ",F470," *",_xlfn.MAXIFS($I$1:I470,$F$1:F470,F470,$H$1:H470,"&gt;"&amp;0),"*"),"")),"")</f>
        <v/>
      </c>
      <c r="AM470" s="85" t="str" cm="1">
        <f t="array" ref="AM470">IFERROR(IF(M470&lt;&gt;"","",CONCATENATE("https://btx.brasiltrack.com/logistica/trajeto.php?idveiculo=",VLOOKUP(F470,DATAS!$A$221:$B$250,2,FALSE),"&amp;lat=-22.204247","&amp;data_ini=",TEXT(IF(E470&lt;&gt;"",IF(COUNTIF($F$2:$F470,F470)&gt;1,MAX(IF($F$1:$F469=F470,$E$1:$E469)),""),""),"DD/MM/AAAA"),"&amp;data_fim=",TEXT(E470,"DD/MM/AAAA"),"&amp;hora_inicial=",HOUR(IF(E470&lt;&gt;"",IF(COUNTIF($F$2:$F470,F470)&gt;1,MAX(IF($F$1:$F469=F470,$E$1:$E469)),""),"")),"&amp;minuto_inicial=",MINUTE(IF(E470&lt;&gt;"",IF(COUNTIF($F$2:$F470,F470)&gt;1,MAX(IF($F$1:$F469=F470,$E$1:$E469)),""),"")),"&amp;hora_final=",HOUR(E470),"&amp;minuto_final=",MINUTE(E470),"&amp;periodo=6&amp;tipo=por_data&amp;upos=false&amp;outequip=0")),"")</f>
        <v/>
      </c>
      <c r="AN470" s="100" t="str">
        <f t="shared" si="59"/>
        <v xml:space="preserve">ABASTECEU no 22 NORTE ABASTECEU no CANDEIAS-MG            </v>
      </c>
    </row>
    <row r="471" spans="1:40" x14ac:dyDescent="0.25">
      <c r="A471" s="101">
        <f>IFERROR(VLOOKUP(AN471,ROTAS!$A:$B,2,FALSE),0)</f>
        <v>56</v>
      </c>
      <c r="B471" s="101">
        <f t="shared" si="60"/>
        <v>7</v>
      </c>
      <c r="C471" s="101">
        <f t="shared" si="61"/>
        <v>379.28571428571428</v>
      </c>
      <c r="D471" s="144">
        <v>44927</v>
      </c>
      <c r="E471" s="76">
        <v>44943.209722222222</v>
      </c>
      <c r="F471" s="6" t="s">
        <v>25</v>
      </c>
      <c r="G471" s="5" t="str">
        <f>IFERROR(VLOOKUP(SUMIFS(MSOLICITADA!$I:$I,MSOLICITADA!$B:$B,D471,MSOLICITADA!$F:$F,F471),CODIGOSPLACAS!$A$64:$B$89,2,FALSE),"")</f>
        <v>EDUALDO</v>
      </c>
      <c r="H471" s="77">
        <v>1015758</v>
      </c>
      <c r="I471" s="77">
        <v>1016137</v>
      </c>
      <c r="J471" s="7">
        <v>274.5</v>
      </c>
      <c r="K471" s="78">
        <v>1605.8249999999998</v>
      </c>
      <c r="L471" s="79" t="s">
        <v>112</v>
      </c>
      <c r="M471" s="6">
        <v>379</v>
      </c>
      <c r="N471" s="5" t="str">
        <f t="shared" si="55"/>
        <v/>
      </c>
      <c r="O471" s="80">
        <f t="shared" si="56"/>
        <v>5.85</v>
      </c>
      <c r="P471" s="8">
        <f t="shared" si="57"/>
        <v>1.3806921675774135</v>
      </c>
      <c r="Q471" s="8">
        <f t="shared" si="62"/>
        <v>1.4288896110685252</v>
      </c>
      <c r="R471" s="81">
        <f t="shared" si="58"/>
        <v>1</v>
      </c>
      <c r="S471" s="113" t="str">
        <f>IF(F471="","",IF(H471="",TEXT(_xlfn.MAXIFS($I$1:I471,$F$1:F471,F471,$H$1:H471,"&gt;"&amp;0),"000.000"),F471))</f>
        <v>QHE9735</v>
      </c>
      <c r="T471" s="101" t="str">
        <f t="shared" si="63"/>
        <v/>
      </c>
      <c r="U471" s="82" t="s">
        <v>220</v>
      </c>
      <c r="V471" s="98" t="s">
        <v>165</v>
      </c>
      <c r="W471" s="82" t="s">
        <v>220</v>
      </c>
      <c r="X471" s="98" t="s">
        <v>206</v>
      </c>
      <c r="Y471" s="82"/>
      <c r="Z471" s="98"/>
      <c r="AA471" s="82"/>
      <c r="AB471" s="98"/>
      <c r="AC471" s="82"/>
      <c r="AD471" s="98"/>
      <c r="AE471" s="118"/>
      <c r="AF471" s="98"/>
      <c r="AG471" s="82"/>
      <c r="AH471" s="98"/>
      <c r="AI471" s="82"/>
      <c r="AJ471" s="98"/>
      <c r="AK471" s="83"/>
      <c r="AL471" s="84" t="str">
        <f>IF(F471&lt;&gt;0,IF(_xlfn.MAXIFS($I$1:I471,$F$1:F471,F471,$H$1:H471,"&gt;"&amp;0)=0,"KM NÃO ENCONTRADO",IF(H471=0,CONCATENATE("SUGESTÃO DE KM PARA PLACA ",F471," *",_xlfn.MAXIFS($I$1:I471,$F$1:F471,F471,$H$1:H471,"&gt;"&amp;0),"*"),"")),"")</f>
        <v/>
      </c>
      <c r="AM471" s="85" t="str" cm="1">
        <f t="array" ref="AM471">IFERROR(IF(M471&lt;&gt;"","",CONCATENATE("https://btx.brasiltrack.com/logistica/trajeto.php?idveiculo=",VLOOKUP(F471,DATAS!$A$221:$B$250,2,FALSE),"&amp;lat=-22.204247","&amp;data_ini=",TEXT(IF(E471&lt;&gt;"",IF(COUNTIF($F$2:$F471,F471)&gt;1,MAX(IF($F$1:$F470=F471,$E$1:$E470)),""),""),"DD/MM/AAAA"),"&amp;data_fim=",TEXT(E471,"DD/MM/AAAA"),"&amp;hora_inicial=",HOUR(IF(E471&lt;&gt;"",IF(COUNTIF($F$2:$F471,F471)&gt;1,MAX(IF($F$1:$F470=F471,$E$1:$E470)),""),"")),"&amp;minuto_inicial=",MINUTE(IF(E471&lt;&gt;"",IF(COUNTIF($F$2:$F471,F471)&gt;1,MAX(IF($F$1:$F470=F471,$E$1:$E470)),""),"")),"&amp;hora_final=",HOUR(E471),"&amp;minuto_final=",MINUTE(E471),"&amp;periodo=6&amp;tipo=por_data&amp;upos=false&amp;outequip=0")),"")</f>
        <v/>
      </c>
      <c r="AN471" s="100" t="str">
        <f t="shared" si="59"/>
        <v xml:space="preserve">ABASTECEU no 22 NORTE ABASTECEU no CANDEIAS-MG            </v>
      </c>
    </row>
    <row r="472" spans="1:40" x14ac:dyDescent="0.25">
      <c r="A472" s="101">
        <f>IFERROR(VLOOKUP(AN472,ROTAS!$A:$B,2,FALSE),0)</f>
        <v>56</v>
      </c>
      <c r="B472" s="101">
        <f t="shared" si="60"/>
        <v>7</v>
      </c>
      <c r="C472" s="101">
        <f t="shared" si="61"/>
        <v>379.28571428571428</v>
      </c>
      <c r="D472" s="144">
        <v>44927</v>
      </c>
      <c r="E472" s="76">
        <v>44943.284722222219</v>
      </c>
      <c r="F472" s="6" t="s">
        <v>23</v>
      </c>
      <c r="G472" s="5" t="str">
        <f>IFERROR(VLOOKUP(SUMIFS(MSOLICITADA!$I:$I,MSOLICITADA!$B:$B,D472,MSOLICITADA!$F:$F,F472),CODIGOSPLACAS!$A$64:$B$89,2,FALSE),"")</f>
        <v>ISAC</v>
      </c>
      <c r="H472" s="77">
        <v>1209958</v>
      </c>
      <c r="I472" s="77">
        <v>1210337</v>
      </c>
      <c r="J472" s="7">
        <v>258.2</v>
      </c>
      <c r="K472" s="78">
        <v>1510.4699999999998</v>
      </c>
      <c r="L472" s="79" t="s">
        <v>112</v>
      </c>
      <c r="M472" s="6">
        <v>379</v>
      </c>
      <c r="N472" s="5" t="str">
        <f t="shared" si="55"/>
        <v/>
      </c>
      <c r="O472" s="80">
        <f t="shared" si="56"/>
        <v>5.85</v>
      </c>
      <c r="P472" s="8">
        <f t="shared" si="57"/>
        <v>1.4678543764523626</v>
      </c>
      <c r="Q472" s="8">
        <f t="shared" si="62"/>
        <v>1.4592701282718794</v>
      </c>
      <c r="R472" s="81">
        <f t="shared" si="58"/>
        <v>1</v>
      </c>
      <c r="S472" s="113" t="str">
        <f>IF(F472="","",IF(H472="",TEXT(_xlfn.MAXIFS($I$1:I472,$F$1:F472,F472,$H$1:H472,"&gt;"&amp;0),"000.000"),F472))</f>
        <v>HNC7I76</v>
      </c>
      <c r="T472" s="101" t="str">
        <f t="shared" si="63"/>
        <v/>
      </c>
      <c r="U472" s="82" t="s">
        <v>220</v>
      </c>
      <c r="V472" s="98" t="s">
        <v>165</v>
      </c>
      <c r="W472" s="82" t="s">
        <v>220</v>
      </c>
      <c r="X472" s="98" t="s">
        <v>206</v>
      </c>
      <c r="Y472" s="82"/>
      <c r="Z472" s="98"/>
      <c r="AA472" s="82"/>
      <c r="AB472" s="98"/>
      <c r="AC472" s="82"/>
      <c r="AD472" s="98"/>
      <c r="AE472" s="118"/>
      <c r="AF472" s="98"/>
      <c r="AG472" s="82"/>
      <c r="AH472" s="98"/>
      <c r="AI472" s="82"/>
      <c r="AJ472" s="98"/>
      <c r="AK472" s="83"/>
      <c r="AL472" s="84" t="str">
        <f>IF(F472&lt;&gt;0,IF(_xlfn.MAXIFS($I$1:I472,$F$1:F472,F472,$H$1:H472,"&gt;"&amp;0)=0,"KM NÃO ENCONTRADO",IF(H472=0,CONCATENATE("SUGESTÃO DE KM PARA PLACA ",F472," *",_xlfn.MAXIFS($I$1:I472,$F$1:F472,F472,$H$1:H472,"&gt;"&amp;0),"*"),"")),"")</f>
        <v/>
      </c>
      <c r="AM472" s="85" t="str" cm="1">
        <f t="array" ref="AM472">IFERROR(IF(M472&lt;&gt;"","",CONCATENATE("https://btx.brasiltrack.com/logistica/trajeto.php?idveiculo=",VLOOKUP(F472,DATAS!$A$221:$B$250,2,FALSE),"&amp;lat=-22.204247","&amp;data_ini=",TEXT(IF(E472&lt;&gt;"",IF(COUNTIF($F$2:$F472,F472)&gt;1,MAX(IF($F$1:$F471=F472,$E$1:$E471)),""),""),"DD/MM/AAAA"),"&amp;data_fim=",TEXT(E472,"DD/MM/AAAA"),"&amp;hora_inicial=",HOUR(IF(E472&lt;&gt;"",IF(COUNTIF($F$2:$F472,F472)&gt;1,MAX(IF($F$1:$F471=F472,$E$1:$E471)),""),"")),"&amp;minuto_inicial=",MINUTE(IF(E472&lt;&gt;"",IF(COUNTIF($F$2:$F472,F472)&gt;1,MAX(IF($F$1:$F471=F472,$E$1:$E471)),""),"")),"&amp;hora_final=",HOUR(E472),"&amp;minuto_final=",MINUTE(E472),"&amp;periodo=6&amp;tipo=por_data&amp;upos=false&amp;outequip=0")),"")</f>
        <v/>
      </c>
      <c r="AN472" s="100" t="str">
        <f t="shared" si="59"/>
        <v xml:space="preserve">ABASTECEU no 22 NORTE ABASTECEU no CANDEIAS-MG            </v>
      </c>
    </row>
    <row r="473" spans="1:40" x14ac:dyDescent="0.25">
      <c r="A473" s="101">
        <f>IFERROR(VLOOKUP(AN473,ROTAS!$A:$B,2,FALSE),0)</f>
        <v>56</v>
      </c>
      <c r="B473" s="101">
        <f t="shared" si="60"/>
        <v>7</v>
      </c>
      <c r="C473" s="101">
        <f t="shared" si="61"/>
        <v>379.28571428571428</v>
      </c>
      <c r="D473" s="144">
        <v>44927</v>
      </c>
      <c r="E473" s="76">
        <v>44943.291666666664</v>
      </c>
      <c r="F473" s="6" t="s">
        <v>24</v>
      </c>
      <c r="G473" s="5" t="str">
        <f>IFERROR(VLOOKUP(SUMIFS(MSOLICITADA!$I:$I,MSOLICITADA!$B:$B,D473,MSOLICITADA!$F:$F,F473),CODIGOSPLACAS!$A$64:$B$89,2,FALSE),"")</f>
        <v>PAULO HENR.</v>
      </c>
      <c r="H473" s="77">
        <v>952409</v>
      </c>
      <c r="I473" s="77">
        <v>952784</v>
      </c>
      <c r="J473" s="7">
        <v>245.8</v>
      </c>
      <c r="K473" s="78">
        <v>1437.93</v>
      </c>
      <c r="L473" s="79" t="s">
        <v>112</v>
      </c>
      <c r="M473" s="6">
        <v>375</v>
      </c>
      <c r="N473" s="5" t="str">
        <f t="shared" si="55"/>
        <v/>
      </c>
      <c r="O473" s="80">
        <f t="shared" si="56"/>
        <v>5.85</v>
      </c>
      <c r="P473" s="8">
        <f t="shared" si="57"/>
        <v>1.5256305939788446</v>
      </c>
      <c r="Q473" s="8">
        <f t="shared" si="62"/>
        <v>1.5194077812359499</v>
      </c>
      <c r="R473" s="81">
        <f t="shared" si="58"/>
        <v>1</v>
      </c>
      <c r="S473" s="113" t="str">
        <f>IF(F473="","",IF(H473="",TEXT(_xlfn.MAXIFS($I$1:I473,$F$1:F473,F473,$H$1:H473,"&gt;"&amp;0),"000.000"),F473))</f>
        <v>FKS0J24</v>
      </c>
      <c r="T473" s="101" t="str">
        <f t="shared" si="63"/>
        <v/>
      </c>
      <c r="U473" s="82" t="s">
        <v>220</v>
      </c>
      <c r="V473" s="98" t="s">
        <v>165</v>
      </c>
      <c r="W473" s="82" t="s">
        <v>220</v>
      </c>
      <c r="X473" s="98" t="s">
        <v>206</v>
      </c>
      <c r="Y473" s="82"/>
      <c r="Z473" s="98"/>
      <c r="AA473" s="82"/>
      <c r="AB473" s="98"/>
      <c r="AC473" s="82"/>
      <c r="AD473" s="98"/>
      <c r="AE473" s="118"/>
      <c r="AF473" s="98"/>
      <c r="AG473" s="82"/>
      <c r="AH473" s="98"/>
      <c r="AI473" s="82"/>
      <c r="AJ473" s="98"/>
      <c r="AK473" s="83"/>
      <c r="AL473" s="84" t="str">
        <f>IF(F473&lt;&gt;0,IF(_xlfn.MAXIFS($I$1:I473,$F$1:F473,F473,$H$1:H473,"&gt;"&amp;0)=0,"KM NÃO ENCONTRADO",IF(H473=0,CONCATENATE("SUGESTÃO DE KM PARA PLACA ",F473," *",_xlfn.MAXIFS($I$1:I473,$F$1:F473,F473,$H$1:H473,"&gt;"&amp;0),"*"),"")),"")</f>
        <v/>
      </c>
      <c r="AM473" s="85" t="str" cm="1">
        <f t="array" ref="AM473">IFERROR(IF(M473&lt;&gt;"","",CONCATENATE("https://btx.brasiltrack.com/logistica/trajeto.php?idveiculo=",VLOOKUP(F473,DATAS!$A$221:$B$250,2,FALSE),"&amp;lat=-22.204247","&amp;data_ini=",TEXT(IF(E473&lt;&gt;"",IF(COUNTIF($F$2:$F473,F473)&gt;1,MAX(IF($F$1:$F472=F473,$E$1:$E472)),""),""),"DD/MM/AAAA"),"&amp;data_fim=",TEXT(E473,"DD/MM/AAAA"),"&amp;hora_inicial=",HOUR(IF(E473&lt;&gt;"",IF(COUNTIF($F$2:$F473,F473)&gt;1,MAX(IF($F$1:$F472=F473,$E$1:$E472)),""),"")),"&amp;minuto_inicial=",MINUTE(IF(E473&lt;&gt;"",IF(COUNTIF($F$2:$F473,F473)&gt;1,MAX(IF($F$1:$F472=F473,$E$1:$E472)),""),"")),"&amp;hora_final=",HOUR(E473),"&amp;minuto_final=",MINUTE(E473),"&amp;periodo=6&amp;tipo=por_data&amp;upos=false&amp;outequip=0")),"")</f>
        <v/>
      </c>
      <c r="AN473" s="100" t="str">
        <f t="shared" si="59"/>
        <v xml:space="preserve">ABASTECEU no 22 NORTE ABASTECEU no CANDEIAS-MG            </v>
      </c>
    </row>
    <row r="474" spans="1:40" x14ac:dyDescent="0.25">
      <c r="A474" s="101">
        <f>IFERROR(VLOOKUP(AN474,ROTAS!$A:$B,2,FALSE),0)</f>
        <v>13</v>
      </c>
      <c r="B474" s="101">
        <f t="shared" si="60"/>
        <v>16</v>
      </c>
      <c r="C474" s="101">
        <f t="shared" si="61"/>
        <v>363.3125</v>
      </c>
      <c r="D474" s="144">
        <v>44927</v>
      </c>
      <c r="E474" s="76">
        <v>44943.694444444445</v>
      </c>
      <c r="F474" s="6" t="s">
        <v>35</v>
      </c>
      <c r="G474" s="5" t="str">
        <f>IFERROR(VLOOKUP(SUMIFS(MSOLICITADA!$I:$I,MSOLICITADA!$B:$B,D474,MSOLICITADA!$F:$F,F474),CODIGOSPLACAS!$A$64:$B$89,2,FALSE),"")</f>
        <v>JOEL</v>
      </c>
      <c r="H474" s="77">
        <v>231451</v>
      </c>
      <c r="I474" s="77">
        <v>231758</v>
      </c>
      <c r="J474" s="7">
        <v>163.6</v>
      </c>
      <c r="K474" s="78">
        <v>955.79</v>
      </c>
      <c r="L474" s="79" t="s">
        <v>112</v>
      </c>
      <c r="M474" s="6">
        <v>153</v>
      </c>
      <c r="N474" s="5">
        <f t="shared" si="55"/>
        <v>154</v>
      </c>
      <c r="O474" s="80">
        <f t="shared" si="56"/>
        <v>5.8422371638141808</v>
      </c>
      <c r="P474" s="8">
        <f t="shared" si="57"/>
        <v>1.8765281173594133</v>
      </c>
      <c r="Q474" s="8">
        <f t="shared" si="62"/>
        <v>1.5445311844203811</v>
      </c>
      <c r="R474" s="81">
        <f t="shared" si="58"/>
        <v>0.49837133550488599</v>
      </c>
      <c r="S474" s="113" t="str">
        <f>IF(F474="","",IF(H474="",TEXT(_xlfn.MAXIFS($I$1:I474,$F$1:F474,F474,$H$1:H474,"&gt;"&amp;0),"000.000"),F474))</f>
        <v>QNP3A97</v>
      </c>
      <c r="T474" s="101">
        <f t="shared" si="63"/>
        <v>186.5</v>
      </c>
      <c r="U474" s="82" t="s">
        <v>220</v>
      </c>
      <c r="V474" s="98" t="s">
        <v>206</v>
      </c>
      <c r="W474" s="82" t="s">
        <v>220</v>
      </c>
      <c r="X474" s="98" t="s">
        <v>206</v>
      </c>
      <c r="Y474" s="82"/>
      <c r="Z474" s="98"/>
      <c r="AA474" s="82"/>
      <c r="AB474" s="98"/>
      <c r="AC474" s="82"/>
      <c r="AD474" s="98"/>
      <c r="AE474" s="118"/>
      <c r="AF474" s="98"/>
      <c r="AG474" s="82"/>
      <c r="AH474" s="98"/>
      <c r="AI474" s="82"/>
      <c r="AJ474" s="98"/>
      <c r="AK474" s="83"/>
      <c r="AL474" s="84" t="str">
        <f>IF(F474&lt;&gt;0,IF(_xlfn.MAXIFS($I$1:I474,$F$1:F474,F474,$H$1:H474,"&gt;"&amp;0)=0,"KM NÃO ENCONTRADO",IF(H474=0,CONCATENATE("SUGESTÃO DE KM PARA PLACA ",F474," *",_xlfn.MAXIFS($I$1:I474,$F$1:F474,F474,$H$1:H474,"&gt;"&amp;0),"*"),"")),"")</f>
        <v/>
      </c>
      <c r="AM474" s="85" t="str" cm="1">
        <f t="array" ref="AM474">IFERROR(IF(M474&lt;&gt;"","",CONCATENATE("https://btx.brasiltrack.com/logistica/trajeto.php?idveiculo=",VLOOKUP(F474,DATAS!$A$221:$B$250,2,FALSE),"&amp;lat=-22.204247","&amp;data_ini=",TEXT(IF(E474&lt;&gt;"",IF(COUNTIF($F$2:$F474,F474)&gt;1,MAX(IF($F$1:$F473=F474,$E$1:$E473)),""),""),"DD/MM/AAAA"),"&amp;data_fim=",TEXT(E474,"DD/MM/AAAA"),"&amp;hora_inicial=",HOUR(IF(E474&lt;&gt;"",IF(COUNTIF($F$2:$F474,F474)&gt;1,MAX(IF($F$1:$F473=F474,$E$1:$E473)),""),"")),"&amp;minuto_inicial=",MINUTE(IF(E474&lt;&gt;"",IF(COUNTIF($F$2:$F474,F474)&gt;1,MAX(IF($F$1:$F473=F474,$E$1:$E473)),""),"")),"&amp;hora_final=",HOUR(E474),"&amp;minuto_final=",MINUTE(E474),"&amp;periodo=6&amp;tipo=por_data&amp;upos=false&amp;outequip=0")),"")</f>
        <v/>
      </c>
      <c r="AN474" s="100" t="str">
        <f t="shared" si="59"/>
        <v xml:space="preserve">ABASTECEU no CANDEIAS-MG ABASTECEU no CANDEIAS-MG            </v>
      </c>
    </row>
    <row r="475" spans="1:40" x14ac:dyDescent="0.25">
      <c r="A475" s="101">
        <f>IFERROR(VLOOKUP(AN475,ROTAS!$A:$B,2,FALSE),0)</f>
        <v>2</v>
      </c>
      <c r="B475" s="101">
        <f t="shared" si="60"/>
        <v>11</v>
      </c>
      <c r="C475" s="101">
        <f t="shared" si="61"/>
        <v>865.72727272727275</v>
      </c>
      <c r="D475" s="144">
        <v>44927</v>
      </c>
      <c r="E475" s="76">
        <v>44943.8</v>
      </c>
      <c r="F475" s="6" t="s">
        <v>127</v>
      </c>
      <c r="G475" s="5" t="str">
        <f>IFERROR(VLOOKUP(SUMIFS(MSOLICITADA!$I:$I,MSOLICITADA!$B:$B,D475,MSOLICITADA!$F:$F,F475),CODIGOSPLACAS!$A$64:$B$89,2,FALSE),"")</f>
        <v>EVERTON</v>
      </c>
      <c r="H475" s="77">
        <v>1235340</v>
      </c>
      <c r="I475" s="77">
        <v>1236236</v>
      </c>
      <c r="J475" s="7">
        <v>423.37</v>
      </c>
      <c r="K475" s="78">
        <v>2578.33</v>
      </c>
      <c r="L475" s="79" t="s">
        <v>111</v>
      </c>
      <c r="M475" s="6">
        <v>448</v>
      </c>
      <c r="N475" s="5">
        <f t="shared" si="55"/>
        <v>448</v>
      </c>
      <c r="O475" s="80">
        <f t="shared" si="56"/>
        <v>6.0900158254009495</v>
      </c>
      <c r="P475" s="8">
        <f t="shared" si="57"/>
        <v>2.1163521269811274</v>
      </c>
      <c r="Q475" s="8">
        <f t="shared" si="62"/>
        <v>1.9701972800245917</v>
      </c>
      <c r="R475" s="81">
        <f t="shared" si="58"/>
        <v>0.5</v>
      </c>
      <c r="S475" s="113" t="str">
        <f>IF(F475="","",IF(H475="",TEXT(_xlfn.MAXIFS($I$1:I475,$F$1:F475,F475,$H$1:H475,"&gt;"&amp;0),"000.000"),F475))</f>
        <v>OPM8J51</v>
      </c>
      <c r="T475" s="101">
        <f t="shared" si="63"/>
        <v>432.72727272727275</v>
      </c>
      <c r="U475" s="82" t="s">
        <v>220</v>
      </c>
      <c r="V475" s="98" t="s">
        <v>165</v>
      </c>
      <c r="W475" s="82" t="s">
        <v>222</v>
      </c>
      <c r="X475" s="98" t="s">
        <v>176</v>
      </c>
      <c r="Y475" s="82" t="s">
        <v>225</v>
      </c>
      <c r="Z475" s="98" t="s">
        <v>237</v>
      </c>
      <c r="AA475" s="82" t="s">
        <v>221</v>
      </c>
      <c r="AB475" s="98" t="s">
        <v>168</v>
      </c>
      <c r="AC475" s="82" t="s">
        <v>225</v>
      </c>
      <c r="AD475" s="98" t="s">
        <v>237</v>
      </c>
      <c r="AE475" s="82" t="s">
        <v>220</v>
      </c>
      <c r="AF475" s="98" t="s">
        <v>165</v>
      </c>
      <c r="AG475" s="82"/>
      <c r="AH475" s="98"/>
      <c r="AI475" s="82"/>
      <c r="AJ475" s="98"/>
      <c r="AK475" s="83"/>
      <c r="AL475" s="84" t="str">
        <f>IF(F475&lt;&gt;0,IF(_xlfn.MAXIFS($I$1:I475,$F$1:F475,F475,$H$1:H475,"&gt;"&amp;0)=0,"KM NÃO ENCONTRADO",IF(H475=0,CONCATENATE("SUGESTÃO DE KM PARA PLACA ",F475," *",_xlfn.MAXIFS($I$1:I475,$F$1:F475,F475,$H$1:H475,"&gt;"&amp;0),"*"),"")),"")</f>
        <v/>
      </c>
      <c r="AM475" s="85" t="str" cm="1">
        <f t="array" ref="AM475">IFERROR(IF(M475&lt;&gt;"","",CONCATENATE("https://btx.brasiltrack.com/logistica/trajeto.php?idveiculo=",VLOOKUP(F475,DATAS!$A$221:$B$250,2,FALSE),"&amp;lat=-22.204247","&amp;data_ini=",TEXT(IF(E475&lt;&gt;"",IF(COUNTIF($F$2:$F475,F475)&gt;1,MAX(IF($F$1:$F474=F475,$E$1:$E474)),""),""),"DD/MM/AAAA"),"&amp;data_fim=",TEXT(E475,"DD/MM/AAAA"),"&amp;hora_inicial=",HOUR(IF(E475&lt;&gt;"",IF(COUNTIF($F$2:$F475,F475)&gt;1,MAX(IF($F$1:$F474=F475,$E$1:$E474)),""),"")),"&amp;minuto_inicial=",MINUTE(IF(E475&lt;&gt;"",IF(COUNTIF($F$2:$F475,F475)&gt;1,MAX(IF($F$1:$F474=F475,$E$1:$E474)),""),"")),"&amp;hora_final=",HOUR(E475),"&amp;minuto_final=",MINUTE(E475),"&amp;periodo=6&amp;tipo=por_data&amp;upos=false&amp;outequip=0")),"")</f>
        <v/>
      </c>
      <c r="AN475" s="100" t="str">
        <f t="shared" si="59"/>
        <v xml:space="preserve">ABASTECEU no 22 NORTE DESCARREGOU em ALFENAS-MG PASSOU em ARUJÁ-SP CARREGOU em CUBATAO-SP PASSOU em ARUJÁ-SP ABASTECEU no 22 NORTE    </v>
      </c>
    </row>
    <row r="476" spans="1:40" x14ac:dyDescent="0.25">
      <c r="A476" s="101">
        <f>IFERROR(VLOOKUP(AN476,ROTAS!$A:$B,2,FALSE),0)</f>
        <v>2</v>
      </c>
      <c r="B476" s="101">
        <f t="shared" si="60"/>
        <v>11</v>
      </c>
      <c r="C476" s="101">
        <f t="shared" si="61"/>
        <v>865.72727272727275</v>
      </c>
      <c r="D476" s="144">
        <v>44927</v>
      </c>
      <c r="E476" s="76">
        <v>44943.807638888888</v>
      </c>
      <c r="F476" s="6" t="s">
        <v>30</v>
      </c>
      <c r="G476" s="5" t="str">
        <f>IFERROR(VLOOKUP(SUMIFS(MSOLICITADA!$I:$I,MSOLICITADA!$B:$B,D476,MSOLICITADA!$F:$F,F476),CODIGOSPLACAS!$A$64:$B$89,2,FALSE),"")</f>
        <v>RONILSON</v>
      </c>
      <c r="H476" s="77">
        <v>224307</v>
      </c>
      <c r="I476" s="77">
        <v>225177</v>
      </c>
      <c r="J476" s="7">
        <v>526.6</v>
      </c>
      <c r="K476" s="78">
        <v>3206.99</v>
      </c>
      <c r="L476" s="79" t="s">
        <v>111</v>
      </c>
      <c r="M476" s="6">
        <v>435</v>
      </c>
      <c r="N476" s="5">
        <f t="shared" si="55"/>
        <v>435</v>
      </c>
      <c r="O476" s="80">
        <f t="shared" si="56"/>
        <v>6.0899924041017846</v>
      </c>
      <c r="P476" s="8">
        <f t="shared" si="57"/>
        <v>1.6521078617546525</v>
      </c>
      <c r="Q476" s="8">
        <f t="shared" si="62"/>
        <v>1.6205104706314435</v>
      </c>
      <c r="R476" s="81">
        <f t="shared" si="58"/>
        <v>0.5</v>
      </c>
      <c r="S476" s="113" t="str">
        <f>IF(F476="","",IF(H476="",TEXT(_xlfn.MAXIFS($I$1:I476,$F$1:F476,F476,$H$1:H476,"&gt;"&amp;0),"000.000"),F476))</f>
        <v>GFB0I37</v>
      </c>
      <c r="T476" s="101">
        <f t="shared" si="63"/>
        <v>432.72727272727275</v>
      </c>
      <c r="U476" s="82" t="s">
        <v>220</v>
      </c>
      <c r="V476" s="98" t="s">
        <v>165</v>
      </c>
      <c r="W476" s="82" t="s">
        <v>222</v>
      </c>
      <c r="X476" s="98" t="s">
        <v>176</v>
      </c>
      <c r="Y476" s="82" t="s">
        <v>225</v>
      </c>
      <c r="Z476" s="98" t="s">
        <v>237</v>
      </c>
      <c r="AA476" s="82" t="s">
        <v>221</v>
      </c>
      <c r="AB476" s="98" t="s">
        <v>168</v>
      </c>
      <c r="AC476" s="82" t="s">
        <v>225</v>
      </c>
      <c r="AD476" s="98" t="s">
        <v>237</v>
      </c>
      <c r="AE476" s="82" t="s">
        <v>220</v>
      </c>
      <c r="AF476" s="98" t="s">
        <v>165</v>
      </c>
      <c r="AG476" s="82"/>
      <c r="AH476" s="98"/>
      <c r="AI476" s="82"/>
      <c r="AJ476" s="98"/>
      <c r="AK476" s="83"/>
      <c r="AL476" s="84" t="str">
        <f>IF(F476&lt;&gt;0,IF(_xlfn.MAXIFS($I$1:I476,$F$1:F476,F476,$H$1:H476,"&gt;"&amp;0)=0,"KM NÃO ENCONTRADO",IF(H476=0,CONCATENATE("SUGESTÃO DE KM PARA PLACA ",F476," *",_xlfn.MAXIFS($I$1:I476,$F$1:F476,F476,$H$1:H476,"&gt;"&amp;0),"*"),"")),"")</f>
        <v/>
      </c>
      <c r="AM476" s="85" t="str" cm="1">
        <f t="array" ref="AM476">IFERROR(IF(M476&lt;&gt;"","",CONCATENATE("https://btx.brasiltrack.com/logistica/trajeto.php?idveiculo=",VLOOKUP(F476,DATAS!$A$221:$B$250,2,FALSE),"&amp;lat=-22.204247","&amp;data_ini=",TEXT(IF(E476&lt;&gt;"",IF(COUNTIF($F$2:$F476,F476)&gt;1,MAX(IF($F$1:$F475=F476,$E$1:$E475)),""),""),"DD/MM/AAAA"),"&amp;data_fim=",TEXT(E476,"DD/MM/AAAA"),"&amp;hora_inicial=",HOUR(IF(E476&lt;&gt;"",IF(COUNTIF($F$2:$F476,F476)&gt;1,MAX(IF($F$1:$F475=F476,$E$1:$E475)),""),"")),"&amp;minuto_inicial=",MINUTE(IF(E476&lt;&gt;"",IF(COUNTIF($F$2:$F476,F476)&gt;1,MAX(IF($F$1:$F475=F476,$E$1:$E475)),""),"")),"&amp;hora_final=",HOUR(E476),"&amp;minuto_final=",MINUTE(E476),"&amp;periodo=6&amp;tipo=por_data&amp;upos=false&amp;outequip=0")),"")</f>
        <v/>
      </c>
      <c r="AN476" s="100" t="str">
        <f t="shared" si="59"/>
        <v xml:space="preserve">ABASTECEU no 22 NORTE DESCARREGOU em ALFENAS-MG PASSOU em ARUJÁ-SP CARREGOU em CUBATAO-SP PASSOU em ARUJÁ-SP ABASTECEU no 22 NORTE    </v>
      </c>
    </row>
    <row r="477" spans="1:40" x14ac:dyDescent="0.25">
      <c r="A477" s="101">
        <f>IFERROR(VLOOKUP(AN477,ROTAS!$A:$B,2,FALSE),0)</f>
        <v>2</v>
      </c>
      <c r="B477" s="101">
        <f t="shared" si="60"/>
        <v>11</v>
      </c>
      <c r="C477" s="101">
        <f t="shared" si="61"/>
        <v>865.72727272727275</v>
      </c>
      <c r="D477" s="144">
        <v>44927</v>
      </c>
      <c r="E477" s="76">
        <v>44943.811805555553</v>
      </c>
      <c r="F477" s="6" t="s">
        <v>22</v>
      </c>
      <c r="G477" s="5" t="str">
        <f>IFERROR(VLOOKUP(SUMIFS(MSOLICITADA!$I:$I,MSOLICITADA!$B:$B,D477,MSOLICITADA!$F:$F,F477),CODIGOSPLACAS!$A$64:$B$89,2,FALSE),"")</f>
        <v>GUILHERME</v>
      </c>
      <c r="H477" s="77">
        <v>1207073</v>
      </c>
      <c r="I477" s="77">
        <v>1207929</v>
      </c>
      <c r="J477" s="7">
        <v>454.01100000000002</v>
      </c>
      <c r="K477" s="78">
        <v>2764.92</v>
      </c>
      <c r="L477" s="79" t="s">
        <v>111</v>
      </c>
      <c r="M477" s="6">
        <v>428</v>
      </c>
      <c r="N477" s="5">
        <f t="shared" si="55"/>
        <v>428</v>
      </c>
      <c r="O477" s="80">
        <f t="shared" si="56"/>
        <v>6.0899846038972623</v>
      </c>
      <c r="P477" s="8">
        <f t="shared" si="57"/>
        <v>1.8854168731594607</v>
      </c>
      <c r="Q477" s="8">
        <f t="shared" si="62"/>
        <v>1.8671963699182104</v>
      </c>
      <c r="R477" s="81">
        <f t="shared" si="58"/>
        <v>0.5</v>
      </c>
      <c r="S477" s="113" t="str">
        <f>IF(F477="","",IF(H477="",TEXT(_xlfn.MAXIFS($I$1:I477,$F$1:F477,F477,$H$1:H477,"&gt;"&amp;0),"000.000"),F477))</f>
        <v>OQC0C33</v>
      </c>
      <c r="T477" s="101">
        <f t="shared" si="63"/>
        <v>432.72727272727275</v>
      </c>
      <c r="U477" s="82" t="s">
        <v>220</v>
      </c>
      <c r="V477" s="98" t="s">
        <v>165</v>
      </c>
      <c r="W477" s="82" t="s">
        <v>222</v>
      </c>
      <c r="X477" s="98" t="s">
        <v>176</v>
      </c>
      <c r="Y477" s="82" t="s">
        <v>225</v>
      </c>
      <c r="Z477" s="98" t="s">
        <v>237</v>
      </c>
      <c r="AA477" s="82" t="s">
        <v>221</v>
      </c>
      <c r="AB477" s="98" t="s">
        <v>168</v>
      </c>
      <c r="AC477" s="82" t="s">
        <v>225</v>
      </c>
      <c r="AD477" s="98" t="s">
        <v>237</v>
      </c>
      <c r="AE477" s="82" t="s">
        <v>220</v>
      </c>
      <c r="AF477" s="98" t="s">
        <v>165</v>
      </c>
      <c r="AG477" s="82"/>
      <c r="AH477" s="98"/>
      <c r="AI477" s="82"/>
      <c r="AJ477" s="98"/>
      <c r="AK477" s="83"/>
      <c r="AL477" s="84" t="str">
        <f>IF(F477&lt;&gt;0,IF(_xlfn.MAXIFS($I$1:I477,$F$1:F477,F477,$H$1:H477,"&gt;"&amp;0)=0,"KM NÃO ENCONTRADO",IF(H477=0,CONCATENATE("SUGESTÃO DE KM PARA PLACA ",F477," *",_xlfn.MAXIFS($I$1:I477,$F$1:F477,F477,$H$1:H477,"&gt;"&amp;0),"*"),"")),"")</f>
        <v/>
      </c>
      <c r="AM477" s="85" t="str" cm="1">
        <f t="array" ref="AM477">IFERROR(IF(M477&lt;&gt;"","",CONCATENATE("https://btx.brasiltrack.com/logistica/trajeto.php?idveiculo=",VLOOKUP(F477,DATAS!$A$221:$B$250,2,FALSE),"&amp;lat=-22.204247","&amp;data_ini=",TEXT(IF(E477&lt;&gt;"",IF(COUNTIF($F$2:$F477,F477)&gt;1,MAX(IF($F$1:$F476=F477,$E$1:$E476)),""),""),"DD/MM/AAAA"),"&amp;data_fim=",TEXT(E477,"DD/MM/AAAA"),"&amp;hora_inicial=",HOUR(IF(E477&lt;&gt;"",IF(COUNTIF($F$2:$F477,F477)&gt;1,MAX(IF($F$1:$F476=F477,$E$1:$E476)),""),"")),"&amp;minuto_inicial=",MINUTE(IF(E477&lt;&gt;"",IF(COUNTIF($F$2:$F477,F477)&gt;1,MAX(IF($F$1:$F476=F477,$E$1:$E476)),""),"")),"&amp;hora_final=",HOUR(E477),"&amp;minuto_final=",MINUTE(E477),"&amp;periodo=6&amp;tipo=por_data&amp;upos=false&amp;outequip=0")),"")</f>
        <v/>
      </c>
      <c r="AN477" s="100" t="str">
        <f t="shared" si="59"/>
        <v xml:space="preserve">ABASTECEU no 22 NORTE DESCARREGOU em ALFENAS-MG PASSOU em ARUJÁ-SP CARREGOU em CUBATAO-SP PASSOU em ARUJÁ-SP ABASTECEU no 22 NORTE    </v>
      </c>
    </row>
    <row r="478" spans="1:40" x14ac:dyDescent="0.25">
      <c r="A478" s="101">
        <f>IFERROR(VLOOKUP(AN478,ROTAS!$A:$B,2,FALSE),0)</f>
        <v>129</v>
      </c>
      <c r="B478" s="101">
        <f t="shared" si="60"/>
        <v>1</v>
      </c>
      <c r="C478" s="101">
        <f t="shared" si="61"/>
        <v>1099</v>
      </c>
      <c r="D478" s="144">
        <v>44927</v>
      </c>
      <c r="E478" s="76">
        <v>44943.907638888886</v>
      </c>
      <c r="F478" s="6" t="s">
        <v>27</v>
      </c>
      <c r="G478" s="5" t="str">
        <f>IFERROR(VLOOKUP(SUMIFS(MSOLICITADA!$I:$I,MSOLICITADA!$B:$B,D478,MSOLICITADA!$F:$F,F478),CODIGOSPLACAS!$A$64:$B$89,2,FALSE),"")</f>
        <v>ANTONIO</v>
      </c>
      <c r="H478" s="77">
        <v>252626</v>
      </c>
      <c r="I478" s="77">
        <v>253725</v>
      </c>
      <c r="J478" s="7">
        <v>632.33000000000004</v>
      </c>
      <c r="K478" s="78">
        <v>3850.89</v>
      </c>
      <c r="L478" s="79" t="s">
        <v>111</v>
      </c>
      <c r="M478" s="6">
        <v>577</v>
      </c>
      <c r="N478" s="5">
        <f t="shared" si="55"/>
        <v>522</v>
      </c>
      <c r="O478" s="80">
        <f t="shared" si="56"/>
        <v>6.0900004744358158</v>
      </c>
      <c r="P478" s="8">
        <f t="shared" si="57"/>
        <v>1.4210608505543698</v>
      </c>
      <c r="Q478" s="8">
        <f t="shared" si="62"/>
        <v>1.4666276036610979</v>
      </c>
      <c r="R478" s="81">
        <f t="shared" si="58"/>
        <v>0.52502274795268422</v>
      </c>
      <c r="S478" s="113" t="str">
        <f>IF(F478="","",IF(H478="",TEXT(_xlfn.MAXIFS($I$1:I478,$F$1:F478,F478,$H$1:H478,"&gt;"&amp;0),"000.000"),F478))</f>
        <v>GHS4J57</v>
      </c>
      <c r="T478" s="101">
        <f t="shared" si="63"/>
        <v>522</v>
      </c>
      <c r="U478" s="82" t="s">
        <v>220</v>
      </c>
      <c r="V478" s="98" t="s">
        <v>165</v>
      </c>
      <c r="W478" s="82" t="s">
        <v>222</v>
      </c>
      <c r="X478" s="98" t="s">
        <v>176</v>
      </c>
      <c r="Y478" s="82" t="s">
        <v>225</v>
      </c>
      <c r="Z478" s="98" t="s">
        <v>206</v>
      </c>
      <c r="AA478" s="82" t="s">
        <v>225</v>
      </c>
      <c r="AB478" s="98" t="s">
        <v>284</v>
      </c>
      <c r="AC478" s="82" t="s">
        <v>221</v>
      </c>
      <c r="AD478" s="98" t="s">
        <v>168</v>
      </c>
      <c r="AE478" s="82" t="s">
        <v>225</v>
      </c>
      <c r="AF478" s="98" t="s">
        <v>237</v>
      </c>
      <c r="AG478" s="82" t="s">
        <v>220</v>
      </c>
      <c r="AH478" s="98" t="s">
        <v>165</v>
      </c>
      <c r="AI478" s="82"/>
      <c r="AJ478" s="98"/>
      <c r="AK478" s="83">
        <v>280</v>
      </c>
      <c r="AL478" s="84" t="str">
        <f>IF(F478&lt;&gt;0,IF(_xlfn.MAXIFS($I$1:I478,$F$1:F478,F478,$H$1:H478,"&gt;"&amp;0)=0,"KM NÃO ENCONTRADO",IF(H478=0,CONCATENATE("SUGESTÃO DE KM PARA PLACA ",F478," *",_xlfn.MAXIFS($I$1:I478,$F$1:F478,F478,$H$1:H478,"&gt;"&amp;0),"*"),"")),"")</f>
        <v/>
      </c>
      <c r="AM478" s="85" t="str" cm="1">
        <f t="array" ref="AM478">IFERROR(IF(M478&lt;&gt;"","",CONCATENATE("https://btx.brasiltrack.com/logistica/trajeto.php?idveiculo=",VLOOKUP(F478,DATAS!$A$221:$B$250,2,FALSE),"&amp;lat=-22.204247","&amp;data_ini=",TEXT(IF(E478&lt;&gt;"",IF(COUNTIF($F$2:$F478,F478)&gt;1,MAX(IF($F$1:$F477=F478,$E$1:$E477)),""),""),"DD/MM/AAAA"),"&amp;data_fim=",TEXT(E478,"DD/MM/AAAA"),"&amp;hora_inicial=",HOUR(IF(E478&lt;&gt;"",IF(COUNTIF($F$2:$F478,F478)&gt;1,MAX(IF($F$1:$F477=F478,$E$1:$E477)),""),"")),"&amp;minuto_inicial=",MINUTE(IF(E478&lt;&gt;"",IF(COUNTIF($F$2:$F478,F478)&gt;1,MAX(IF($F$1:$F477=F478,$E$1:$E477)),""),"")),"&amp;hora_final=",HOUR(E478),"&amp;minuto_final=",MINUTE(E478),"&amp;periodo=6&amp;tipo=por_data&amp;upos=false&amp;outequip=0")),"")</f>
        <v/>
      </c>
      <c r="AN478" s="100" t="str">
        <f t="shared" si="59"/>
        <v xml:space="preserve">ABASTECEU no 22 NORTE DESCARREGOU em ALFENAS-MG PASSOU em CANDEIAS-MG PASSOU em SÃO PAULO-SP CARREGOU em CUBATAO-SP PASSOU em ARUJÁ-SP ABASTECEU no 22 NORTE  </v>
      </c>
    </row>
    <row r="479" spans="1:40" x14ac:dyDescent="0.25">
      <c r="A479" s="101">
        <f>IFERROR(VLOOKUP(AN479,ROTAS!$A:$B,2,FALSE),0)</f>
        <v>111</v>
      </c>
      <c r="B479" s="101">
        <f t="shared" si="60"/>
        <v>12</v>
      </c>
      <c r="C479" s="101">
        <f t="shared" si="61"/>
        <v>633.83333333333337</v>
      </c>
      <c r="D479" s="144">
        <v>44927</v>
      </c>
      <c r="E479" s="76">
        <v>44944.181250000001</v>
      </c>
      <c r="F479" s="6" t="s">
        <v>29</v>
      </c>
      <c r="G479" s="5" t="str">
        <f>IFERROR(VLOOKUP(SUMIFS(MSOLICITADA!$I:$I,MSOLICITADA!$B:$B,D479,MSOLICITADA!$F:$F,F479),CODIGOSPLACAS!$A$64:$B$89,2,FALSE),"")</f>
        <v>EDNILSON</v>
      </c>
      <c r="H479" s="77">
        <v>243282</v>
      </c>
      <c r="I479" s="77">
        <v>243904</v>
      </c>
      <c r="J479" s="7">
        <v>366</v>
      </c>
      <c r="K479" s="78">
        <v>2228.94</v>
      </c>
      <c r="L479" s="79" t="s">
        <v>111</v>
      </c>
      <c r="M479" s="6">
        <v>282</v>
      </c>
      <c r="N479" s="5">
        <f t="shared" si="55"/>
        <v>340</v>
      </c>
      <c r="O479" s="80">
        <f t="shared" si="56"/>
        <v>6.09</v>
      </c>
      <c r="P479" s="8">
        <f t="shared" si="57"/>
        <v>1.6994535519125684</v>
      </c>
      <c r="Q479" s="8">
        <f t="shared" si="62"/>
        <v>1.5966128652005338</v>
      </c>
      <c r="R479" s="81">
        <f t="shared" si="58"/>
        <v>0.45337620578778137</v>
      </c>
      <c r="S479" s="113" t="str">
        <f>IF(F479="","",IF(H479="",TEXT(_xlfn.MAXIFS($I$1:I479,$F$1:F479,F479,$H$1:H479,"&gt;"&amp;0),"000.000"),F479))</f>
        <v>GKA2J56</v>
      </c>
      <c r="T479" s="101">
        <f t="shared" si="63"/>
        <v>345.41666666666669</v>
      </c>
      <c r="U479" s="82" t="s">
        <v>220</v>
      </c>
      <c r="V479" s="98" t="s">
        <v>165</v>
      </c>
      <c r="W479" s="82" t="s">
        <v>222</v>
      </c>
      <c r="X479" s="98" t="s">
        <v>200</v>
      </c>
      <c r="Y479" s="82" t="s">
        <v>225</v>
      </c>
      <c r="Z479" s="98" t="s">
        <v>237</v>
      </c>
      <c r="AA479" s="82" t="s">
        <v>221</v>
      </c>
      <c r="AB479" s="98" t="s">
        <v>168</v>
      </c>
      <c r="AC479" s="82" t="s">
        <v>225</v>
      </c>
      <c r="AD479" s="98" t="s">
        <v>284</v>
      </c>
      <c r="AE479" s="82" t="s">
        <v>220</v>
      </c>
      <c r="AF479" s="98" t="s">
        <v>165</v>
      </c>
      <c r="AG479" s="82"/>
      <c r="AH479" s="98"/>
      <c r="AI479" s="82"/>
      <c r="AJ479" s="98"/>
      <c r="AK479" s="83"/>
      <c r="AL479" s="84" t="str">
        <f>IF(F479&lt;&gt;0,IF(_xlfn.MAXIFS($I$1:I479,$F$1:F479,F479,$H$1:H479,"&gt;"&amp;0)=0,"KM NÃO ENCONTRADO",IF(H479=0,CONCATENATE("SUGESTÃO DE KM PARA PLACA ",F479," *",_xlfn.MAXIFS($I$1:I479,$F$1:F479,F479,$H$1:H479,"&gt;"&amp;0),"*"),"")),"")</f>
        <v/>
      </c>
      <c r="AM479" s="85" t="str" cm="1">
        <f t="array" ref="AM479">IFERROR(IF(M479&lt;&gt;"","",CONCATENATE("https://btx.brasiltrack.com/logistica/trajeto.php?idveiculo=",VLOOKUP(F479,DATAS!$A$221:$B$250,2,FALSE),"&amp;lat=-22.204247","&amp;data_ini=",TEXT(IF(E479&lt;&gt;"",IF(COUNTIF($F$2:$F479,F479)&gt;1,MAX(IF($F$1:$F478=F479,$E$1:$E478)),""),""),"DD/MM/AAAA"),"&amp;data_fim=",TEXT(E479,"DD/MM/AAAA"),"&amp;hora_inicial=",HOUR(IF(E479&lt;&gt;"",IF(COUNTIF($F$2:$F479,F479)&gt;1,MAX(IF($F$1:$F478=F479,$E$1:$E478)),""),"")),"&amp;minuto_inicial=",MINUTE(IF(E479&lt;&gt;"",IF(COUNTIF($F$2:$F479,F479)&gt;1,MAX(IF($F$1:$F478=F479,$E$1:$E478)),""),"")),"&amp;hora_final=",HOUR(E479),"&amp;minuto_final=",MINUTE(E479),"&amp;periodo=6&amp;tipo=por_data&amp;upos=false&amp;outequip=0")),"")</f>
        <v/>
      </c>
      <c r="AN479" s="100" t="str">
        <f t="shared" si="59"/>
        <v xml:space="preserve">ABASTECEU no 22 NORTE DESCARREGOU em CONGONHAL-MG PASSOU em ARUJÁ-SP CARREGOU em CUBATAO-SP PASSOU em SÃO PAULO-SP ABASTECEU no 22 NORTE    </v>
      </c>
    </row>
    <row r="480" spans="1:40" x14ac:dyDescent="0.25">
      <c r="A480" s="101">
        <f>IFERROR(VLOOKUP(AN480,ROTAS!$A:$B,2,FALSE),0)</f>
        <v>111</v>
      </c>
      <c r="B480" s="101">
        <f t="shared" si="60"/>
        <v>12</v>
      </c>
      <c r="C480" s="101">
        <f t="shared" si="61"/>
        <v>633.83333333333337</v>
      </c>
      <c r="D480" s="144">
        <v>44927</v>
      </c>
      <c r="E480" s="76">
        <v>44944.193055555559</v>
      </c>
      <c r="F480" s="6" t="s">
        <v>124</v>
      </c>
      <c r="G480" s="5" t="str">
        <f>IFERROR(VLOOKUP(SUMIFS(MSOLICITADA!$I:$I,MSOLICITADA!$B:$B,D480,MSOLICITADA!$F:$F,F480),CODIGOSPLACAS!$A$64:$B$89,2,FALSE),"")</f>
        <v>ISRAEL</v>
      </c>
      <c r="H480" s="77">
        <v>144748</v>
      </c>
      <c r="I480" s="77">
        <v>145378</v>
      </c>
      <c r="J480" s="7">
        <v>372.03</v>
      </c>
      <c r="K480" s="78">
        <v>2265.67</v>
      </c>
      <c r="L480" s="79" t="s">
        <v>111</v>
      </c>
      <c r="M480" s="6">
        <v>290</v>
      </c>
      <c r="N480" s="5">
        <f t="shared" si="55"/>
        <v>340</v>
      </c>
      <c r="O480" s="80">
        <f t="shared" si="56"/>
        <v>6.0900196220734895</v>
      </c>
      <c r="P480" s="8">
        <f t="shared" si="57"/>
        <v>1.6934118216272882</v>
      </c>
      <c r="Q480" s="8">
        <f t="shared" si="62"/>
        <v>1.6528367477149088</v>
      </c>
      <c r="R480" s="81">
        <f t="shared" si="58"/>
        <v>0.46031746031746029</v>
      </c>
      <c r="S480" s="113" t="str">
        <f>IF(F480="","",IF(H480="",TEXT(_xlfn.MAXIFS($I$1:I480,$F$1:F480,F480,$H$1:H480,"&gt;"&amp;0),"000.000"),F480))</f>
        <v>GHH9B64</v>
      </c>
      <c r="T480" s="101">
        <f t="shared" si="63"/>
        <v>345.41666666666669</v>
      </c>
      <c r="U480" s="82" t="s">
        <v>220</v>
      </c>
      <c r="V480" s="98" t="s">
        <v>165</v>
      </c>
      <c r="W480" s="82" t="s">
        <v>222</v>
      </c>
      <c r="X480" s="98" t="s">
        <v>200</v>
      </c>
      <c r="Y480" s="82" t="s">
        <v>225</v>
      </c>
      <c r="Z480" s="98" t="s">
        <v>237</v>
      </c>
      <c r="AA480" s="82" t="s">
        <v>221</v>
      </c>
      <c r="AB480" s="98" t="s">
        <v>168</v>
      </c>
      <c r="AC480" s="82" t="s">
        <v>225</v>
      </c>
      <c r="AD480" s="98" t="s">
        <v>284</v>
      </c>
      <c r="AE480" s="82" t="s">
        <v>220</v>
      </c>
      <c r="AF480" s="98" t="s">
        <v>165</v>
      </c>
      <c r="AG480" s="82"/>
      <c r="AH480" s="98"/>
      <c r="AI480" s="82"/>
      <c r="AJ480" s="98"/>
      <c r="AK480" s="83"/>
      <c r="AL480" s="84" t="str">
        <f>IF(F480&lt;&gt;0,IF(_xlfn.MAXIFS($I$1:I480,$F$1:F480,F480,$H$1:H480,"&gt;"&amp;0)=0,"KM NÃO ENCONTRADO",IF(H480=0,CONCATENATE("SUGESTÃO DE KM PARA PLACA ",F480," *",_xlfn.MAXIFS($I$1:I480,$F$1:F480,F480,$H$1:H480,"&gt;"&amp;0),"*"),"")),"")</f>
        <v/>
      </c>
      <c r="AM480" s="85" t="str" cm="1">
        <f t="array" ref="AM480">IFERROR(IF(M480&lt;&gt;"","",CONCATENATE("https://btx.brasiltrack.com/logistica/trajeto.php?idveiculo=",VLOOKUP(F480,DATAS!$A$221:$B$250,2,FALSE),"&amp;lat=-22.204247","&amp;data_ini=",TEXT(IF(E480&lt;&gt;"",IF(COUNTIF($F$2:$F480,F480)&gt;1,MAX(IF($F$1:$F479=F480,$E$1:$E479)),""),""),"DD/MM/AAAA"),"&amp;data_fim=",TEXT(E480,"DD/MM/AAAA"),"&amp;hora_inicial=",HOUR(IF(E480&lt;&gt;"",IF(COUNTIF($F$2:$F480,F480)&gt;1,MAX(IF($F$1:$F479=F480,$E$1:$E479)),""),"")),"&amp;minuto_inicial=",MINUTE(IF(E480&lt;&gt;"",IF(COUNTIF($F$2:$F480,F480)&gt;1,MAX(IF($F$1:$F479=F480,$E$1:$E479)),""),"")),"&amp;hora_final=",HOUR(E480),"&amp;minuto_final=",MINUTE(E480),"&amp;periodo=6&amp;tipo=por_data&amp;upos=false&amp;outequip=0")),"")</f>
        <v/>
      </c>
      <c r="AN480" s="100" t="str">
        <f t="shared" si="59"/>
        <v xml:space="preserve">ABASTECEU no 22 NORTE DESCARREGOU em CONGONHAL-MG PASSOU em ARUJÁ-SP CARREGOU em CUBATAO-SP PASSOU em SÃO PAULO-SP ABASTECEU no 22 NORTE    </v>
      </c>
    </row>
    <row r="481" spans="1:40" x14ac:dyDescent="0.25">
      <c r="A481" s="101">
        <f>IFERROR(VLOOKUP(AN481,ROTAS!$A:$B,2,FALSE),0)</f>
        <v>130</v>
      </c>
      <c r="B481" s="101">
        <f t="shared" si="60"/>
        <v>1</v>
      </c>
      <c r="C481" s="101">
        <f t="shared" si="61"/>
        <v>724</v>
      </c>
      <c r="D481" s="144">
        <v>44927</v>
      </c>
      <c r="E481" s="76">
        <v>44944.616666666669</v>
      </c>
      <c r="F481" s="6" t="s">
        <v>25</v>
      </c>
      <c r="G481" s="5" t="str">
        <f>IFERROR(VLOOKUP(SUMIFS(MSOLICITADA!$I:$I,MSOLICITADA!$B:$B,D481,MSOLICITADA!$F:$F,F481),CODIGOSPLACAS!$A$64:$B$89,2,FALSE),"")</f>
        <v>EDUALDO</v>
      </c>
      <c r="H481" s="77">
        <v>1016137</v>
      </c>
      <c r="I481" s="77">
        <v>1016861</v>
      </c>
      <c r="J481" s="7">
        <v>100</v>
      </c>
      <c r="K481" s="78">
        <v>624</v>
      </c>
      <c r="L481" s="79" t="s">
        <v>111</v>
      </c>
      <c r="M481" s="6">
        <v>602</v>
      </c>
      <c r="N481" s="5">
        <f t="shared" si="55"/>
        <v>122</v>
      </c>
      <c r="O481" s="80">
        <f t="shared" si="56"/>
        <v>6.24</v>
      </c>
      <c r="P481" s="8">
        <f t="shared" si="57"/>
        <v>7.24</v>
      </c>
      <c r="Q481" s="8">
        <f t="shared" si="62"/>
        <v>1.4288896110685252</v>
      </c>
      <c r="R481" s="81">
        <f t="shared" si="58"/>
        <v>0.83149171270718236</v>
      </c>
      <c r="S481" s="113" t="str">
        <f>IF(F481="","",IF(H481="",TEXT(_xlfn.MAXIFS($I$1:I481,$F$1:F481,F481,$H$1:H481,"&gt;"&amp;0),"000.000"),F481))</f>
        <v>QHE9735</v>
      </c>
      <c r="T481" s="101">
        <f t="shared" si="63"/>
        <v>122</v>
      </c>
      <c r="U481" s="82" t="s">
        <v>220</v>
      </c>
      <c r="V481" s="98" t="s">
        <v>206</v>
      </c>
      <c r="W481" s="82" t="s">
        <v>222</v>
      </c>
      <c r="X481" s="98" t="s">
        <v>182</v>
      </c>
      <c r="Y481" s="82" t="s">
        <v>221</v>
      </c>
      <c r="Z481" s="98" t="s">
        <v>172</v>
      </c>
      <c r="AA481" s="82" t="s">
        <v>220</v>
      </c>
      <c r="AB481" s="98" t="s">
        <v>286</v>
      </c>
      <c r="AC481" s="82"/>
      <c r="AD481" s="98"/>
      <c r="AE481" s="118"/>
      <c r="AF481" s="98"/>
      <c r="AG481" s="82"/>
      <c r="AH481" s="98"/>
      <c r="AI481" s="82"/>
      <c r="AJ481" s="98"/>
      <c r="AK481" s="83"/>
      <c r="AL481" s="84" t="str">
        <f>IF(F481&lt;&gt;0,IF(_xlfn.MAXIFS($I$1:I481,$F$1:F481,F481,$H$1:H481,"&gt;"&amp;0)=0,"KM NÃO ENCONTRADO",IF(H481=0,CONCATENATE("SUGESTÃO DE KM PARA PLACA ",F481," *",_xlfn.MAXIFS($I$1:I481,$F$1:F481,F481,$H$1:H481,"&gt;"&amp;0),"*"),"")),"")</f>
        <v/>
      </c>
      <c r="AM481" s="85" t="str" cm="1">
        <f t="array" ref="AM481">IFERROR(IF(M481&lt;&gt;"","",CONCATENATE("https://btx.brasiltrack.com/logistica/trajeto.php?idveiculo=",VLOOKUP(F481,DATAS!$A$221:$B$250,2,FALSE),"&amp;lat=-22.204247","&amp;data_ini=",TEXT(IF(E481&lt;&gt;"",IF(COUNTIF($F$2:$F481,F481)&gt;1,MAX(IF($F$1:$F480=F481,$E$1:$E480)),""),""),"DD/MM/AAAA"),"&amp;data_fim=",TEXT(E481,"DD/MM/AAAA"),"&amp;hora_inicial=",HOUR(IF(E481&lt;&gt;"",IF(COUNTIF($F$2:$F481,F481)&gt;1,MAX(IF($F$1:$F480=F481,$E$1:$E480)),""),"")),"&amp;minuto_inicial=",MINUTE(IF(E481&lt;&gt;"",IF(COUNTIF($F$2:$F481,F481)&gt;1,MAX(IF($F$1:$F480=F481,$E$1:$E480)),""),"")),"&amp;hora_final=",HOUR(E481),"&amp;minuto_final=",MINUTE(E481),"&amp;periodo=6&amp;tipo=por_data&amp;upos=false&amp;outequip=0")),"")</f>
        <v/>
      </c>
      <c r="AN481" s="100" t="str">
        <f t="shared" si="59"/>
        <v xml:space="preserve">ABASTECEU no CANDEIAS-MG DESCARREGOU em PATOS DE MINAS-MG CARREGOU em COROMANDEL-MG ABASTECEU no PMG CORR. DANTA        </v>
      </c>
    </row>
    <row r="482" spans="1:40" x14ac:dyDescent="0.25">
      <c r="A482" s="101">
        <f>IFERROR(VLOOKUP(AN482,ROTAS!$A:$B,2,FALSE),0)</f>
        <v>131</v>
      </c>
      <c r="B482" s="101">
        <f t="shared" si="60"/>
        <v>1</v>
      </c>
      <c r="C482" s="101">
        <f t="shared" si="61"/>
        <v>895</v>
      </c>
      <c r="D482" s="144">
        <v>44927</v>
      </c>
      <c r="E482" s="76">
        <v>44944.8125</v>
      </c>
      <c r="F482" s="6" t="s">
        <v>32</v>
      </c>
      <c r="G482" s="5" t="str">
        <f>IFERROR(VLOOKUP(SUMIFS(MSOLICITADA!$I:$I,MSOLICITADA!$B:$B,D482,MSOLICITADA!$F:$F,F482),CODIGOSPLACAS!$A$64:$B$89,2,FALSE),"")</f>
        <v>ADILSON</v>
      </c>
      <c r="H482" s="77">
        <v>206294</v>
      </c>
      <c r="I482" s="77">
        <v>207189</v>
      </c>
      <c r="J482" s="7">
        <v>629.5</v>
      </c>
      <c r="K482" s="78">
        <v>3682.5749999999998</v>
      </c>
      <c r="L482" s="79" t="s">
        <v>112</v>
      </c>
      <c r="M482" s="6">
        <v>773</v>
      </c>
      <c r="N482" s="5">
        <f t="shared" si="55"/>
        <v>122</v>
      </c>
      <c r="O482" s="80">
        <f t="shared" si="56"/>
        <v>5.85</v>
      </c>
      <c r="P482" s="8">
        <f t="shared" si="57"/>
        <v>1.4217633042096902</v>
      </c>
      <c r="Q482" s="8">
        <f t="shared" si="62"/>
        <v>1.6695575721559062</v>
      </c>
      <c r="R482" s="81">
        <f t="shared" si="58"/>
        <v>0.86368715083798886</v>
      </c>
      <c r="S482" s="113" t="str">
        <f>IF(F482="","",IF(H482="",TEXT(_xlfn.MAXIFS($I$1:I482,$F$1:F482,F482,$H$1:H482,"&gt;"&amp;0),"000.000"),F482))</f>
        <v>GJU9A22</v>
      </c>
      <c r="T482" s="101">
        <f t="shared" si="63"/>
        <v>122</v>
      </c>
      <c r="U482" s="82" t="s">
        <v>220</v>
      </c>
      <c r="V482" s="98" t="s">
        <v>206</v>
      </c>
      <c r="W482" s="82" t="s">
        <v>222</v>
      </c>
      <c r="X482" s="98" t="s">
        <v>182</v>
      </c>
      <c r="Y482" s="82" t="s">
        <v>221</v>
      </c>
      <c r="Z482" s="98" t="s">
        <v>172</v>
      </c>
      <c r="AA482" s="82" t="s">
        <v>220</v>
      </c>
      <c r="AB482" s="98" t="s">
        <v>206</v>
      </c>
      <c r="AC482" s="82"/>
      <c r="AD482" s="98"/>
      <c r="AE482" s="118"/>
      <c r="AF482" s="98"/>
      <c r="AG482" s="82"/>
      <c r="AH482" s="98"/>
      <c r="AI482" s="82"/>
      <c r="AJ482" s="98"/>
      <c r="AK482" s="83"/>
      <c r="AL482" s="84" t="str">
        <f>IF(F482&lt;&gt;0,IF(_xlfn.MAXIFS($I$1:I482,$F$1:F482,F482,$H$1:H482,"&gt;"&amp;0)=0,"KM NÃO ENCONTRADO",IF(H482=0,CONCATENATE("SUGESTÃO DE KM PARA PLACA ",F482," *",_xlfn.MAXIFS($I$1:I482,$F$1:F482,F482,$H$1:H482,"&gt;"&amp;0),"*"),"")),"")</f>
        <v/>
      </c>
      <c r="AM482" s="85" t="str" cm="1">
        <f t="array" ref="AM482">IFERROR(IF(M482&lt;&gt;"","",CONCATENATE("https://btx.brasiltrack.com/logistica/trajeto.php?idveiculo=",VLOOKUP(F482,DATAS!$A$221:$B$250,2,FALSE),"&amp;lat=-22.204247","&amp;data_ini=",TEXT(IF(E482&lt;&gt;"",IF(COUNTIF($F$2:$F482,F482)&gt;1,MAX(IF($F$1:$F481=F482,$E$1:$E481)),""),""),"DD/MM/AAAA"),"&amp;data_fim=",TEXT(E482,"DD/MM/AAAA"),"&amp;hora_inicial=",HOUR(IF(E482&lt;&gt;"",IF(COUNTIF($F$2:$F482,F482)&gt;1,MAX(IF($F$1:$F481=F482,$E$1:$E481)),""),"")),"&amp;minuto_inicial=",MINUTE(IF(E482&lt;&gt;"",IF(COUNTIF($F$2:$F482,F482)&gt;1,MAX(IF($F$1:$F481=F482,$E$1:$E481)),""),"")),"&amp;hora_final=",HOUR(E482),"&amp;minuto_final=",MINUTE(E482),"&amp;periodo=6&amp;tipo=por_data&amp;upos=false&amp;outequip=0")),"")</f>
        <v/>
      </c>
      <c r="AN482" s="100" t="str">
        <f t="shared" si="59"/>
        <v xml:space="preserve">ABASTECEU no CANDEIAS-MG DESCARREGOU em PATOS DE MINAS-MG CARREGOU em COROMANDEL-MG ABASTECEU no CANDEIAS-MG        </v>
      </c>
    </row>
    <row r="483" spans="1:40" x14ac:dyDescent="0.25">
      <c r="A483" s="101">
        <f>IFERROR(VLOOKUP(AN483,ROTAS!$A:$B,2,FALSE),0)</f>
        <v>132</v>
      </c>
      <c r="B483" s="101">
        <f t="shared" si="60"/>
        <v>1</v>
      </c>
      <c r="C483" s="101">
        <f t="shared" si="61"/>
        <v>183</v>
      </c>
      <c r="D483" s="144">
        <v>44927</v>
      </c>
      <c r="E483" s="76">
        <v>44944.8125</v>
      </c>
      <c r="F483" s="6" t="s">
        <v>25</v>
      </c>
      <c r="G483" s="5" t="str">
        <f>IFERROR(VLOOKUP(SUMIFS(MSOLICITADA!$I:$I,MSOLICITADA!$B:$B,D483,MSOLICITADA!$F:$F,F483),CODIGOSPLACAS!$A$64:$B$89,2,FALSE),"")</f>
        <v>EDUALDO</v>
      </c>
      <c r="H483" s="77">
        <v>1016861</v>
      </c>
      <c r="I483" s="77">
        <v>1017044</v>
      </c>
      <c r="J483" s="7">
        <v>625.6</v>
      </c>
      <c r="K483" s="78">
        <v>3659.7599999999998</v>
      </c>
      <c r="L483" s="79" t="s">
        <v>112</v>
      </c>
      <c r="M483" s="6">
        <v>183</v>
      </c>
      <c r="N483" s="5" t="str">
        <f t="shared" si="55"/>
        <v/>
      </c>
      <c r="O483" s="80">
        <f t="shared" si="56"/>
        <v>5.85</v>
      </c>
      <c r="P483" s="8">
        <f t="shared" si="57"/>
        <v>0.29251918158567775</v>
      </c>
      <c r="Q483" s="8">
        <f t="shared" si="62"/>
        <v>1.4288896110685252</v>
      </c>
      <c r="R483" s="81">
        <f t="shared" si="58"/>
        <v>1</v>
      </c>
      <c r="S483" s="113" t="str">
        <f>IF(F483="","",IF(H483="",TEXT(_xlfn.MAXIFS($I$1:I483,$F$1:F483,F483,$H$1:H483,"&gt;"&amp;0),"000.000"),F483))</f>
        <v>QHE9735</v>
      </c>
      <c r="T483" s="101" t="str">
        <f t="shared" si="63"/>
        <v/>
      </c>
      <c r="U483" s="82" t="s">
        <v>220</v>
      </c>
      <c r="V483" s="98" t="s">
        <v>286</v>
      </c>
      <c r="W483" s="82" t="s">
        <v>220</v>
      </c>
      <c r="X483" s="98" t="s">
        <v>206</v>
      </c>
      <c r="Y483" s="82"/>
      <c r="Z483" s="98"/>
      <c r="AA483" s="82"/>
      <c r="AB483" s="98"/>
      <c r="AC483" s="82"/>
      <c r="AD483" s="98"/>
      <c r="AE483" s="118"/>
      <c r="AF483" s="98"/>
      <c r="AG483" s="82"/>
      <c r="AH483" s="98"/>
      <c r="AI483" s="82"/>
      <c r="AJ483" s="98"/>
      <c r="AK483" s="83"/>
      <c r="AL483" s="84" t="str">
        <f>IF(F483&lt;&gt;0,IF(_xlfn.MAXIFS($I$1:I483,$F$1:F483,F483,$H$1:H483,"&gt;"&amp;0)=0,"KM NÃO ENCONTRADO",IF(H483=0,CONCATENATE("SUGESTÃO DE KM PARA PLACA ",F483," *",_xlfn.MAXIFS($I$1:I483,$F$1:F483,F483,$H$1:H483,"&gt;"&amp;0),"*"),"")),"")</f>
        <v/>
      </c>
      <c r="AM483" s="85" t="str" cm="1">
        <f t="array" ref="AM483">IFERROR(IF(M483&lt;&gt;"","",CONCATENATE("https://btx.brasiltrack.com/logistica/trajeto.php?idveiculo=",VLOOKUP(F483,DATAS!$A$221:$B$250,2,FALSE),"&amp;lat=-22.204247","&amp;data_ini=",TEXT(IF(E483&lt;&gt;"",IF(COUNTIF($F$2:$F483,F483)&gt;1,MAX(IF($F$1:$F482=F483,$E$1:$E482)),""),""),"DD/MM/AAAA"),"&amp;data_fim=",TEXT(E483,"DD/MM/AAAA"),"&amp;hora_inicial=",HOUR(IF(E483&lt;&gt;"",IF(COUNTIF($F$2:$F483,F483)&gt;1,MAX(IF($F$1:$F482=F483,$E$1:$E482)),""),"")),"&amp;minuto_inicial=",MINUTE(IF(E483&lt;&gt;"",IF(COUNTIF($F$2:$F483,F483)&gt;1,MAX(IF($F$1:$F482=F483,$E$1:$E482)),""),"")),"&amp;hora_final=",HOUR(E483),"&amp;minuto_final=",MINUTE(E483),"&amp;periodo=6&amp;tipo=por_data&amp;upos=false&amp;outequip=0")),"")</f>
        <v/>
      </c>
      <c r="AN483" s="100" t="str">
        <f t="shared" si="59"/>
        <v xml:space="preserve">ABASTECEU no PMG CORR. DANTA ABASTECEU no CANDEIAS-MG            </v>
      </c>
    </row>
    <row r="484" spans="1:40" x14ac:dyDescent="0.25">
      <c r="A484" s="101">
        <f>IFERROR(VLOOKUP(AN484,ROTAS!$A:$B,2,FALSE),0)</f>
        <v>3</v>
      </c>
      <c r="B484" s="101">
        <f t="shared" si="60"/>
        <v>6</v>
      </c>
      <c r="C484" s="101">
        <f t="shared" si="61"/>
        <v>826.16666666666663</v>
      </c>
      <c r="D484" s="144">
        <v>44927</v>
      </c>
      <c r="E484" s="76">
        <v>44945.089583333334</v>
      </c>
      <c r="F484" s="6" t="s">
        <v>126</v>
      </c>
      <c r="G484" s="5" t="str">
        <f>IFERROR(VLOOKUP(SUMIFS(MSOLICITADA!$I:$I,MSOLICITADA!$B:$B,D484,MSOLICITADA!$F:$F,F484),CODIGOSPLACAS!$A$64:$B$89,2,FALSE),"")</f>
        <v>IZAIAS</v>
      </c>
      <c r="H484" s="77">
        <v>495029</v>
      </c>
      <c r="I484" s="77">
        <v>495846</v>
      </c>
      <c r="J484" s="7">
        <v>525</v>
      </c>
      <c r="K484" s="78">
        <v>3197.25</v>
      </c>
      <c r="L484" s="79" t="s">
        <v>111</v>
      </c>
      <c r="M484" s="6">
        <v>397</v>
      </c>
      <c r="N484" s="5">
        <f t="shared" si="55"/>
        <v>420</v>
      </c>
      <c r="O484" s="80">
        <f t="shared" si="56"/>
        <v>6.09</v>
      </c>
      <c r="P484" s="8">
        <f t="shared" si="57"/>
        <v>1.5561904761904761</v>
      </c>
      <c r="Q484" s="8">
        <f t="shared" si="62"/>
        <v>1.5602257971131808</v>
      </c>
      <c r="R484" s="81">
        <f t="shared" si="58"/>
        <v>0.48592411260709917</v>
      </c>
      <c r="S484" s="113" t="str">
        <f>IF(F484="","",IF(H484="",TEXT(_xlfn.MAXIFS($I$1:I484,$F$1:F484,F484,$H$1:H484,"&gt;"&amp;0),"000.000"),F484))</f>
        <v>GHX4D71</v>
      </c>
      <c r="T484" s="101">
        <f t="shared" si="63"/>
        <v>446.66666666666669</v>
      </c>
      <c r="U484" s="82" t="s">
        <v>220</v>
      </c>
      <c r="V484" s="98" t="s">
        <v>165</v>
      </c>
      <c r="W484" s="82" t="s">
        <v>222</v>
      </c>
      <c r="X484" s="98" t="s">
        <v>176</v>
      </c>
      <c r="Y484" s="82" t="s">
        <v>225</v>
      </c>
      <c r="Z484" s="98" t="s">
        <v>237</v>
      </c>
      <c r="AA484" s="82" t="s">
        <v>221</v>
      </c>
      <c r="AB484" s="98" t="s">
        <v>168</v>
      </c>
      <c r="AC484" s="82" t="s">
        <v>225</v>
      </c>
      <c r="AD484" s="98" t="s">
        <v>284</v>
      </c>
      <c r="AE484" s="82" t="s">
        <v>220</v>
      </c>
      <c r="AF484" s="98" t="s">
        <v>165</v>
      </c>
      <c r="AG484" s="82"/>
      <c r="AH484" s="98"/>
      <c r="AI484" s="82"/>
      <c r="AJ484" s="98"/>
      <c r="AK484" s="83"/>
      <c r="AL484" s="84" t="str">
        <f>IF(F484&lt;&gt;0,IF(_xlfn.MAXIFS($I$1:I484,$F$1:F484,F484,$H$1:H484,"&gt;"&amp;0)=0,"KM NÃO ENCONTRADO",IF(H484=0,CONCATENATE("SUGESTÃO DE KM PARA PLACA ",F484," *",_xlfn.MAXIFS($I$1:I484,$F$1:F484,F484,$H$1:H484,"&gt;"&amp;0),"*"),"")),"")</f>
        <v/>
      </c>
      <c r="AM484" s="85" t="str" cm="1">
        <f t="array" ref="AM484">IFERROR(IF(M484&lt;&gt;"","",CONCATENATE("https://btx.brasiltrack.com/logistica/trajeto.php?idveiculo=",VLOOKUP(F484,DATAS!$A$221:$B$250,2,FALSE),"&amp;lat=-22.204247","&amp;data_ini=",TEXT(IF(E484&lt;&gt;"",IF(COUNTIF($F$2:$F484,F484)&gt;1,MAX(IF($F$1:$F483=F484,$E$1:$E483)),""),""),"DD/MM/AAAA"),"&amp;data_fim=",TEXT(E484,"DD/MM/AAAA"),"&amp;hora_inicial=",HOUR(IF(E484&lt;&gt;"",IF(COUNTIF($F$2:$F484,F484)&gt;1,MAX(IF($F$1:$F483=F484,$E$1:$E483)),""),"")),"&amp;minuto_inicial=",MINUTE(IF(E484&lt;&gt;"",IF(COUNTIF($F$2:$F484,F484)&gt;1,MAX(IF($F$1:$F483=F484,$E$1:$E483)),""),"")),"&amp;hora_final=",HOUR(E484),"&amp;minuto_final=",MINUTE(E484),"&amp;periodo=6&amp;tipo=por_data&amp;upos=false&amp;outequip=0")),"")</f>
        <v/>
      </c>
      <c r="AN484" s="100" t="str">
        <f t="shared" si="59"/>
        <v xml:space="preserve">ABASTECEU no 22 NORTE DESCARREGOU em ALFENAS-MG PASSOU em ARUJÁ-SP CARREGOU em CUBATAO-SP PASSOU em SÃO PAULO-SP ABASTECEU no 22 NORTE    </v>
      </c>
    </row>
    <row r="485" spans="1:40" x14ac:dyDescent="0.25">
      <c r="A485" s="101">
        <f>IFERROR(VLOOKUP(AN485,ROTAS!$A:$B,2,FALSE),0)</f>
        <v>111</v>
      </c>
      <c r="B485" s="101">
        <f t="shared" si="60"/>
        <v>12</v>
      </c>
      <c r="C485" s="101">
        <f t="shared" si="61"/>
        <v>633.83333333333337</v>
      </c>
      <c r="D485" s="144">
        <v>44927</v>
      </c>
      <c r="E485" s="76">
        <v>44945.090277777781</v>
      </c>
      <c r="F485" s="6" t="s">
        <v>28</v>
      </c>
      <c r="G485" s="5" t="str">
        <f>IFERROR(VLOOKUP(SUMIFS(MSOLICITADA!$I:$I,MSOLICITADA!$B:$B,D485,MSOLICITADA!$F:$F,F485),CODIGOSPLACAS!$A$64:$B$89,2,FALSE),"")</f>
        <v>RONY</v>
      </c>
      <c r="H485" s="77">
        <v>248131</v>
      </c>
      <c r="I485" s="77">
        <v>248772</v>
      </c>
      <c r="J485" s="7">
        <v>411</v>
      </c>
      <c r="K485" s="78">
        <v>2503.0100000000002</v>
      </c>
      <c r="L485" s="79" t="s">
        <v>111</v>
      </c>
      <c r="M485" s="6">
        <v>301</v>
      </c>
      <c r="N485" s="5">
        <f t="shared" si="55"/>
        <v>340</v>
      </c>
      <c r="O485" s="80">
        <f t="shared" si="56"/>
        <v>6.0900486618004868</v>
      </c>
      <c r="P485" s="8">
        <f t="shared" si="57"/>
        <v>1.559610705596107</v>
      </c>
      <c r="Q485" s="8">
        <f t="shared" si="62"/>
        <v>1.519654959485309</v>
      </c>
      <c r="R485" s="81">
        <f t="shared" si="58"/>
        <v>0.46957878315132606</v>
      </c>
      <c r="S485" s="113" t="str">
        <f>IF(F485="","",IF(H485="",TEXT(_xlfn.MAXIFS($I$1:I485,$F$1:F485,F485,$H$1:H485,"&gt;"&amp;0),"000.000"),F485))</f>
        <v>FZA3E94</v>
      </c>
      <c r="T485" s="101">
        <f t="shared" si="63"/>
        <v>345.41666666666669</v>
      </c>
      <c r="U485" s="82" t="s">
        <v>220</v>
      </c>
      <c r="V485" s="98" t="s">
        <v>165</v>
      </c>
      <c r="W485" s="82" t="s">
        <v>222</v>
      </c>
      <c r="X485" s="98" t="s">
        <v>200</v>
      </c>
      <c r="Y485" s="82" t="s">
        <v>225</v>
      </c>
      <c r="Z485" s="98" t="s">
        <v>237</v>
      </c>
      <c r="AA485" s="82" t="s">
        <v>221</v>
      </c>
      <c r="AB485" s="98" t="s">
        <v>168</v>
      </c>
      <c r="AC485" s="82" t="s">
        <v>225</v>
      </c>
      <c r="AD485" s="98" t="s">
        <v>284</v>
      </c>
      <c r="AE485" s="82" t="s">
        <v>220</v>
      </c>
      <c r="AF485" s="98" t="s">
        <v>165</v>
      </c>
      <c r="AG485" s="82"/>
      <c r="AH485" s="98"/>
      <c r="AI485" s="82"/>
      <c r="AJ485" s="98"/>
      <c r="AK485" s="83"/>
      <c r="AL485" s="84" t="str">
        <f>IF(F485&lt;&gt;0,IF(_xlfn.MAXIFS($I$1:I485,$F$1:F485,F485,$H$1:H485,"&gt;"&amp;0)=0,"KM NÃO ENCONTRADO",IF(H485=0,CONCATENATE("SUGESTÃO DE KM PARA PLACA ",F485," *",_xlfn.MAXIFS($I$1:I485,$F$1:F485,F485,$H$1:H485,"&gt;"&amp;0),"*"),"")),"")</f>
        <v/>
      </c>
      <c r="AM485" s="85" t="str" cm="1">
        <f t="array" ref="AM485">IFERROR(IF(M485&lt;&gt;"","",CONCATENATE("https://btx.brasiltrack.com/logistica/trajeto.php?idveiculo=",VLOOKUP(F485,DATAS!$A$221:$B$250,2,FALSE),"&amp;lat=-22.204247","&amp;data_ini=",TEXT(IF(E485&lt;&gt;"",IF(COUNTIF($F$2:$F485,F485)&gt;1,MAX(IF($F$1:$F484=F485,$E$1:$E484)),""),""),"DD/MM/AAAA"),"&amp;data_fim=",TEXT(E485,"DD/MM/AAAA"),"&amp;hora_inicial=",HOUR(IF(E485&lt;&gt;"",IF(COUNTIF($F$2:$F485,F485)&gt;1,MAX(IF($F$1:$F484=F485,$E$1:$E484)),""),"")),"&amp;minuto_inicial=",MINUTE(IF(E485&lt;&gt;"",IF(COUNTIF($F$2:$F485,F485)&gt;1,MAX(IF($F$1:$F484=F485,$E$1:$E484)),""),"")),"&amp;hora_final=",HOUR(E485),"&amp;minuto_final=",MINUTE(E485),"&amp;periodo=6&amp;tipo=por_data&amp;upos=false&amp;outequip=0")),"")</f>
        <v/>
      </c>
      <c r="AN485" s="100" t="str">
        <f t="shared" si="59"/>
        <v xml:space="preserve">ABASTECEU no 22 NORTE DESCARREGOU em CONGONHAL-MG PASSOU em ARUJÁ-SP CARREGOU em CUBATAO-SP PASSOU em SÃO PAULO-SP ABASTECEU no 22 NORTE    </v>
      </c>
    </row>
    <row r="486" spans="1:40" x14ac:dyDescent="0.25">
      <c r="A486" s="101">
        <f>IFERROR(VLOOKUP(AN486,ROTAS!$A:$B,2,FALSE),0)</f>
        <v>111</v>
      </c>
      <c r="B486" s="101">
        <f t="shared" si="60"/>
        <v>12</v>
      </c>
      <c r="C486" s="101">
        <f t="shared" si="61"/>
        <v>633.83333333333337</v>
      </c>
      <c r="D486" s="144">
        <v>44927</v>
      </c>
      <c r="E486" s="76">
        <v>44945.215277777781</v>
      </c>
      <c r="F486" s="6" t="s">
        <v>127</v>
      </c>
      <c r="G486" s="5" t="str">
        <f>IFERROR(VLOOKUP(SUMIFS(MSOLICITADA!$I:$I,MSOLICITADA!$B:$B,D486,MSOLICITADA!$F:$F,F486),CODIGOSPLACAS!$A$64:$B$89,2,FALSE),"")</f>
        <v>EVERTON</v>
      </c>
      <c r="H486" s="77">
        <v>1236236</v>
      </c>
      <c r="I486" s="77">
        <v>1236882</v>
      </c>
      <c r="J486" s="7">
        <v>321.53100000000001</v>
      </c>
      <c r="K486" s="78">
        <v>1958.12</v>
      </c>
      <c r="L486" s="79" t="s">
        <v>111</v>
      </c>
      <c r="M486" s="6">
        <v>306</v>
      </c>
      <c r="N486" s="5">
        <f t="shared" si="55"/>
        <v>340</v>
      </c>
      <c r="O486" s="80">
        <f t="shared" si="56"/>
        <v>6.0899882126451255</v>
      </c>
      <c r="P486" s="8">
        <f t="shared" si="57"/>
        <v>2.0091375326173835</v>
      </c>
      <c r="Q486" s="8">
        <f t="shared" si="62"/>
        <v>1.9701972800245917</v>
      </c>
      <c r="R486" s="81">
        <f t="shared" si="58"/>
        <v>0.47368421052631576</v>
      </c>
      <c r="S486" s="113" t="str">
        <f>IF(F486="","",IF(H486="",TEXT(_xlfn.MAXIFS($I$1:I486,$F$1:F486,F486,$H$1:H486,"&gt;"&amp;0),"000.000"),F486))</f>
        <v>OPM8J51</v>
      </c>
      <c r="T486" s="101">
        <f t="shared" si="63"/>
        <v>345.41666666666669</v>
      </c>
      <c r="U486" s="82" t="s">
        <v>220</v>
      </c>
      <c r="V486" s="98" t="s">
        <v>165</v>
      </c>
      <c r="W486" s="82" t="s">
        <v>222</v>
      </c>
      <c r="X486" s="98" t="s">
        <v>200</v>
      </c>
      <c r="Y486" s="82" t="s">
        <v>225</v>
      </c>
      <c r="Z486" s="98" t="s">
        <v>237</v>
      </c>
      <c r="AA486" s="82" t="s">
        <v>221</v>
      </c>
      <c r="AB486" s="98" t="s">
        <v>168</v>
      </c>
      <c r="AC486" s="82" t="s">
        <v>225</v>
      </c>
      <c r="AD486" s="98" t="s">
        <v>284</v>
      </c>
      <c r="AE486" s="82" t="s">
        <v>220</v>
      </c>
      <c r="AF486" s="98" t="s">
        <v>165</v>
      </c>
      <c r="AG486" s="82"/>
      <c r="AH486" s="98"/>
      <c r="AI486" s="82"/>
      <c r="AJ486" s="98"/>
      <c r="AK486" s="83"/>
      <c r="AL486" s="84" t="str">
        <f>IF(F486&lt;&gt;0,IF(_xlfn.MAXIFS($I$1:I486,$F$1:F486,F486,$H$1:H486,"&gt;"&amp;0)=0,"KM NÃO ENCONTRADO",IF(H486=0,CONCATENATE("SUGESTÃO DE KM PARA PLACA ",F486," *",_xlfn.MAXIFS($I$1:I486,$F$1:F486,F486,$H$1:H486,"&gt;"&amp;0),"*"),"")),"")</f>
        <v/>
      </c>
      <c r="AM486" s="85" t="str" cm="1">
        <f t="array" ref="AM486">IFERROR(IF(M486&lt;&gt;"","",CONCATENATE("https://btx.brasiltrack.com/logistica/trajeto.php?idveiculo=",VLOOKUP(F486,DATAS!$A$221:$B$250,2,FALSE),"&amp;lat=-22.204247","&amp;data_ini=",TEXT(IF(E486&lt;&gt;"",IF(COUNTIF($F$2:$F486,F486)&gt;1,MAX(IF($F$1:$F485=F486,$E$1:$E485)),""),""),"DD/MM/AAAA"),"&amp;data_fim=",TEXT(E486,"DD/MM/AAAA"),"&amp;hora_inicial=",HOUR(IF(E486&lt;&gt;"",IF(COUNTIF($F$2:$F486,F486)&gt;1,MAX(IF($F$1:$F485=F486,$E$1:$E485)),""),"")),"&amp;minuto_inicial=",MINUTE(IF(E486&lt;&gt;"",IF(COUNTIF($F$2:$F486,F486)&gt;1,MAX(IF($F$1:$F485=F486,$E$1:$E485)),""),"")),"&amp;hora_final=",HOUR(E486),"&amp;minuto_final=",MINUTE(E486),"&amp;periodo=6&amp;tipo=por_data&amp;upos=false&amp;outequip=0")),"")</f>
        <v/>
      </c>
      <c r="AN486" s="100" t="str">
        <f t="shared" si="59"/>
        <v xml:space="preserve">ABASTECEU no 22 NORTE DESCARREGOU em CONGONHAL-MG PASSOU em ARUJÁ-SP CARREGOU em CUBATAO-SP PASSOU em SÃO PAULO-SP ABASTECEU no 22 NORTE    </v>
      </c>
    </row>
    <row r="487" spans="1:40" x14ac:dyDescent="0.25">
      <c r="A487" s="101">
        <f>IFERROR(VLOOKUP(AN487,ROTAS!$A:$B,2,FALSE),0)</f>
        <v>133</v>
      </c>
      <c r="B487" s="101">
        <f t="shared" si="60"/>
        <v>2</v>
      </c>
      <c r="C487" s="101">
        <f t="shared" si="61"/>
        <v>840</v>
      </c>
      <c r="D487" s="144">
        <v>44927</v>
      </c>
      <c r="E487" s="76">
        <v>44945.566666666666</v>
      </c>
      <c r="F487" s="6" t="s">
        <v>23</v>
      </c>
      <c r="G487" s="5" t="str">
        <f>IFERROR(VLOOKUP(SUMIFS(MSOLICITADA!$I:$I,MSOLICITADA!$B:$B,D487,MSOLICITADA!$F:$F,F487),CODIGOSPLACAS!$A$64:$B$89,2,FALSE),"")</f>
        <v>ISAC</v>
      </c>
      <c r="H487" s="77">
        <v>1210337</v>
      </c>
      <c r="I487" s="77">
        <v>1211165</v>
      </c>
      <c r="J487" s="7">
        <v>532.29999999999995</v>
      </c>
      <c r="K487" s="78">
        <v>3380.1</v>
      </c>
      <c r="L487" s="79" t="s">
        <v>111</v>
      </c>
      <c r="M487" s="6">
        <v>391</v>
      </c>
      <c r="N487" s="5">
        <f t="shared" si="55"/>
        <v>437</v>
      </c>
      <c r="O487" s="80">
        <f t="shared" si="56"/>
        <v>6.3499906068006764</v>
      </c>
      <c r="P487" s="8">
        <f t="shared" si="57"/>
        <v>1.555513808003006</v>
      </c>
      <c r="Q487" s="8">
        <f t="shared" si="62"/>
        <v>1.4592701282718794</v>
      </c>
      <c r="R487" s="81">
        <f t="shared" si="58"/>
        <v>0.47222222222222221</v>
      </c>
      <c r="S487" s="113" t="str">
        <f>IF(F487="","",IF(H487="",TEXT(_xlfn.MAXIFS($I$1:I487,$F$1:F487,F487,$H$1:H487,"&gt;"&amp;0),"000.000"),F487))</f>
        <v>HNC7I76</v>
      </c>
      <c r="T487" s="101">
        <f t="shared" si="63"/>
        <v>437</v>
      </c>
      <c r="U487" s="82" t="s">
        <v>220</v>
      </c>
      <c r="V487" s="98" t="s">
        <v>206</v>
      </c>
      <c r="W487" s="82" t="s">
        <v>222</v>
      </c>
      <c r="X487" s="98" t="s">
        <v>182</v>
      </c>
      <c r="Y487" s="82" t="s">
        <v>221</v>
      </c>
      <c r="Z487" s="98" t="s">
        <v>287</v>
      </c>
      <c r="AA487" s="82" t="s">
        <v>220</v>
      </c>
      <c r="AB487" s="98" t="s">
        <v>288</v>
      </c>
      <c r="AC487" s="82"/>
      <c r="AD487" s="98"/>
      <c r="AE487" s="118"/>
      <c r="AF487" s="98"/>
      <c r="AG487" s="82"/>
      <c r="AH487" s="98"/>
      <c r="AI487" s="82"/>
      <c r="AJ487" s="98"/>
      <c r="AK487" s="83"/>
      <c r="AL487" s="84" t="str">
        <f>IF(F487&lt;&gt;0,IF(_xlfn.MAXIFS($I$1:I487,$F$1:F487,F487,$H$1:H487,"&gt;"&amp;0)=0,"KM NÃO ENCONTRADO",IF(H487=0,CONCATENATE("SUGESTÃO DE KM PARA PLACA ",F487," *",_xlfn.MAXIFS($I$1:I487,$F$1:F487,F487,$H$1:H487,"&gt;"&amp;0),"*"),"")),"")</f>
        <v/>
      </c>
      <c r="AM487" s="85" t="str" cm="1">
        <f t="array" ref="AM487">IFERROR(IF(M487&lt;&gt;"","",CONCATENATE("https://btx.brasiltrack.com/logistica/trajeto.php?idveiculo=",VLOOKUP(F487,DATAS!$A$221:$B$250,2,FALSE),"&amp;lat=-22.204247","&amp;data_ini=",TEXT(IF(E487&lt;&gt;"",IF(COUNTIF($F$2:$F487,F487)&gt;1,MAX(IF($F$1:$F486=F487,$E$1:$E486)),""),""),"DD/MM/AAAA"),"&amp;data_fim=",TEXT(E487,"DD/MM/AAAA"),"&amp;hora_inicial=",HOUR(IF(E487&lt;&gt;"",IF(COUNTIF($F$2:$F487,F487)&gt;1,MAX(IF($F$1:$F486=F487,$E$1:$E486)),""),"")),"&amp;minuto_inicial=",MINUTE(IF(E487&lt;&gt;"",IF(COUNTIF($F$2:$F487,F487)&gt;1,MAX(IF($F$1:$F486=F487,$E$1:$E486)),""),"")),"&amp;hora_final=",HOUR(E487),"&amp;minuto_final=",MINUTE(E487),"&amp;periodo=6&amp;tipo=por_data&amp;upos=false&amp;outequip=0")),"")</f>
        <v/>
      </c>
      <c r="AN487" s="100" t="str">
        <f t="shared" si="59"/>
        <v xml:space="preserve">ABASTECEU no CANDEIAS-MG DESCARREGOU em PATOS DE MINAS-MG CARREGOU em UNAÍ-MG ABASTECEU no POSTO W3 UNAÍ        </v>
      </c>
    </row>
    <row r="488" spans="1:40" x14ac:dyDescent="0.25">
      <c r="A488" s="101">
        <f>IFERROR(VLOOKUP(AN488,ROTAS!$A:$B,2,FALSE),0)</f>
        <v>133</v>
      </c>
      <c r="B488" s="101">
        <f t="shared" si="60"/>
        <v>2</v>
      </c>
      <c r="C488" s="101">
        <f t="shared" si="61"/>
        <v>840</v>
      </c>
      <c r="D488" s="144">
        <v>44927</v>
      </c>
      <c r="E488" s="76">
        <v>44945.568055555559</v>
      </c>
      <c r="F488" s="6" t="s">
        <v>24</v>
      </c>
      <c r="G488" s="5" t="str">
        <f>IFERROR(VLOOKUP(SUMIFS(MSOLICITADA!$I:$I,MSOLICITADA!$B:$B,D488,MSOLICITADA!$F:$F,F488),CODIGOSPLACAS!$A$64:$B$89,2,FALSE),"")</f>
        <v>PAULO HENR.</v>
      </c>
      <c r="H488" s="77">
        <v>952784</v>
      </c>
      <c r="I488" s="77">
        <v>953636</v>
      </c>
      <c r="J488" s="7">
        <v>503.58</v>
      </c>
      <c r="K488" s="78">
        <v>3197.73</v>
      </c>
      <c r="L488" s="79" t="s">
        <v>111</v>
      </c>
      <c r="M488" s="6">
        <v>415</v>
      </c>
      <c r="N488" s="5">
        <f t="shared" si="55"/>
        <v>437</v>
      </c>
      <c r="O488" s="80">
        <f t="shared" si="56"/>
        <v>6.3499940426545933</v>
      </c>
      <c r="P488" s="8">
        <f t="shared" si="57"/>
        <v>1.6918860955558204</v>
      </c>
      <c r="Q488" s="8">
        <f t="shared" si="62"/>
        <v>1.5194077812359499</v>
      </c>
      <c r="R488" s="81">
        <f t="shared" si="58"/>
        <v>0.48708920187793425</v>
      </c>
      <c r="S488" s="113" t="str">
        <f>IF(F488="","",IF(H488="",TEXT(_xlfn.MAXIFS($I$1:I488,$F$1:F488,F488,$H$1:H488,"&gt;"&amp;0),"000.000"),F488))</f>
        <v>FKS0J24</v>
      </c>
      <c r="T488" s="101">
        <f t="shared" si="63"/>
        <v>437</v>
      </c>
      <c r="U488" s="82" t="s">
        <v>220</v>
      </c>
      <c r="V488" s="98" t="s">
        <v>206</v>
      </c>
      <c r="W488" s="82" t="s">
        <v>222</v>
      </c>
      <c r="X488" s="98" t="s">
        <v>182</v>
      </c>
      <c r="Y488" s="82" t="s">
        <v>221</v>
      </c>
      <c r="Z488" s="98" t="s">
        <v>287</v>
      </c>
      <c r="AA488" s="82" t="s">
        <v>220</v>
      </c>
      <c r="AB488" s="98" t="s">
        <v>288</v>
      </c>
      <c r="AC488" s="82"/>
      <c r="AD488" s="98"/>
      <c r="AE488" s="118"/>
      <c r="AF488" s="98"/>
      <c r="AG488" s="82"/>
      <c r="AH488" s="98"/>
      <c r="AI488" s="82"/>
      <c r="AJ488" s="98"/>
      <c r="AK488" s="83"/>
      <c r="AL488" s="84" t="str">
        <f>IF(F488&lt;&gt;0,IF(_xlfn.MAXIFS($I$1:I488,$F$1:F488,F488,$H$1:H488,"&gt;"&amp;0)=0,"KM NÃO ENCONTRADO",IF(H488=0,CONCATENATE("SUGESTÃO DE KM PARA PLACA ",F488," *",_xlfn.MAXIFS($I$1:I488,$F$1:F488,F488,$H$1:H488,"&gt;"&amp;0),"*"),"")),"")</f>
        <v/>
      </c>
      <c r="AM488" s="85" t="str" cm="1">
        <f t="array" ref="AM488">IFERROR(IF(M488&lt;&gt;"","",CONCATENATE("https://btx.brasiltrack.com/logistica/trajeto.php?idveiculo=",VLOOKUP(F488,DATAS!$A$221:$B$250,2,FALSE),"&amp;lat=-22.204247","&amp;data_ini=",TEXT(IF(E488&lt;&gt;"",IF(COUNTIF($F$2:$F488,F488)&gt;1,MAX(IF($F$1:$F487=F488,$E$1:$E487)),""),""),"DD/MM/AAAA"),"&amp;data_fim=",TEXT(E488,"DD/MM/AAAA"),"&amp;hora_inicial=",HOUR(IF(E488&lt;&gt;"",IF(COUNTIF($F$2:$F488,F488)&gt;1,MAX(IF($F$1:$F487=F488,$E$1:$E487)),""),"")),"&amp;minuto_inicial=",MINUTE(IF(E488&lt;&gt;"",IF(COUNTIF($F$2:$F488,F488)&gt;1,MAX(IF($F$1:$F487=F488,$E$1:$E487)),""),"")),"&amp;hora_final=",HOUR(E488),"&amp;minuto_final=",MINUTE(E488),"&amp;periodo=6&amp;tipo=por_data&amp;upos=false&amp;outequip=0")),"")</f>
        <v/>
      </c>
      <c r="AN488" s="100" t="str">
        <f t="shared" si="59"/>
        <v xml:space="preserve">ABASTECEU no CANDEIAS-MG DESCARREGOU em PATOS DE MINAS-MG CARREGOU em UNAÍ-MG ABASTECEU no POSTO W3 UNAÍ        </v>
      </c>
    </row>
    <row r="489" spans="1:40" x14ac:dyDescent="0.25">
      <c r="A489" s="101">
        <f>IFERROR(VLOOKUP(AN489,ROTAS!$A:$B,2,FALSE),0)</f>
        <v>13</v>
      </c>
      <c r="B489" s="101">
        <f t="shared" si="60"/>
        <v>16</v>
      </c>
      <c r="C489" s="101">
        <f t="shared" si="61"/>
        <v>363.3125</v>
      </c>
      <c r="D489" s="144">
        <v>44927</v>
      </c>
      <c r="E489" s="76">
        <v>44945.6875</v>
      </c>
      <c r="F489" s="9" t="s">
        <v>35</v>
      </c>
      <c r="G489" s="5" t="str">
        <f>IFERROR(VLOOKUP(SUMIFS(MSOLICITADA!$I:$I,MSOLICITADA!$B:$B,D489,MSOLICITADA!$F:$F,F489),CODIGOSPLACAS!$A$64:$B$89,2,FALSE),"")</f>
        <v>JOEL</v>
      </c>
      <c r="H489" s="77">
        <v>231758</v>
      </c>
      <c r="I489" s="77">
        <v>231983</v>
      </c>
      <c r="J489" s="7">
        <v>137.80000000000001</v>
      </c>
      <c r="K489" s="78">
        <v>797.32</v>
      </c>
      <c r="L489" s="79" t="s">
        <v>112</v>
      </c>
      <c r="M489" s="6">
        <v>112</v>
      </c>
      <c r="N489" s="5">
        <f t="shared" si="55"/>
        <v>113</v>
      </c>
      <c r="O489" s="80">
        <f t="shared" si="56"/>
        <v>5.7860667634252536</v>
      </c>
      <c r="P489" s="8">
        <f t="shared" si="57"/>
        <v>1.6328011611030477</v>
      </c>
      <c r="Q489" s="8">
        <f t="shared" si="62"/>
        <v>1.5445311844203811</v>
      </c>
      <c r="R489" s="81">
        <f t="shared" si="58"/>
        <v>0.49777777777777776</v>
      </c>
      <c r="S489" s="113" t="str">
        <f>IF(F489="","",IF(H489="",TEXT(_xlfn.MAXIFS($I$1:I489,$F$1:F489,F489,$H$1:H489,"&gt;"&amp;0),"000.000"),F489))</f>
        <v>QNP3A97</v>
      </c>
      <c r="T489" s="101">
        <f t="shared" si="63"/>
        <v>186.5</v>
      </c>
      <c r="U489" s="82" t="s">
        <v>220</v>
      </c>
      <c r="V489" s="98" t="s">
        <v>206</v>
      </c>
      <c r="W489" s="82" t="s">
        <v>220</v>
      </c>
      <c r="X489" s="98" t="s">
        <v>206</v>
      </c>
      <c r="Y489" s="82"/>
      <c r="Z489" s="98"/>
      <c r="AA489" s="82"/>
      <c r="AB489" s="98"/>
      <c r="AC489" s="82"/>
      <c r="AD489" s="98"/>
      <c r="AE489" s="118"/>
      <c r="AF489" s="98"/>
      <c r="AG489" s="82"/>
      <c r="AH489" s="98"/>
      <c r="AI489" s="82"/>
      <c r="AJ489" s="98"/>
      <c r="AK489" s="83"/>
      <c r="AL489" s="84" t="str">
        <f>IF(F489&lt;&gt;0,IF(_xlfn.MAXIFS($I$1:I489,$F$1:F489,F489,$H$1:H489,"&gt;"&amp;0)=0,"KM NÃO ENCONTRADO",IF(H489=0,CONCATENATE("SUGESTÃO DE KM PARA PLACA ",F489," *",_xlfn.MAXIFS($I$1:I489,$F$1:F489,F489,$H$1:H489,"&gt;"&amp;0),"*"),"")),"")</f>
        <v/>
      </c>
      <c r="AM489" s="85" t="str" cm="1">
        <f t="array" ref="AM489">IFERROR(IF(M489&lt;&gt;"","",CONCATENATE("https://btx.brasiltrack.com/logistica/trajeto.php?idveiculo=",VLOOKUP(F489,DATAS!$A$221:$B$250,2,FALSE),"&amp;lat=-22.204247","&amp;data_ini=",TEXT(IF(E489&lt;&gt;"",IF(COUNTIF($F$2:$F489,F489)&gt;1,MAX(IF($F$1:$F488=F489,$E$1:$E488)),""),""),"DD/MM/AAAA"),"&amp;data_fim=",TEXT(E489,"DD/MM/AAAA"),"&amp;hora_inicial=",HOUR(IF(E489&lt;&gt;"",IF(COUNTIF($F$2:$F489,F489)&gt;1,MAX(IF($F$1:$F488=F489,$E$1:$E488)),""),"")),"&amp;minuto_inicial=",MINUTE(IF(E489&lt;&gt;"",IF(COUNTIF($F$2:$F489,F489)&gt;1,MAX(IF($F$1:$F488=F489,$E$1:$E488)),""),"")),"&amp;hora_final=",HOUR(E489),"&amp;minuto_final=",MINUTE(E489),"&amp;periodo=6&amp;tipo=por_data&amp;upos=false&amp;outequip=0")),"")</f>
        <v/>
      </c>
      <c r="AN489" s="100" t="str">
        <f t="shared" si="59"/>
        <v xml:space="preserve">ABASTECEU no CANDEIAS-MG ABASTECEU no CANDEIAS-MG            </v>
      </c>
    </row>
    <row r="490" spans="1:40" x14ac:dyDescent="0.25">
      <c r="A490" s="101">
        <f>IFERROR(VLOOKUP(AN490,ROTAS!$A:$B,2,FALSE),0)</f>
        <v>3</v>
      </c>
      <c r="B490" s="101">
        <f t="shared" si="60"/>
        <v>6</v>
      </c>
      <c r="C490" s="101">
        <f t="shared" si="61"/>
        <v>826.16666666666663</v>
      </c>
      <c r="D490" s="144">
        <v>44927</v>
      </c>
      <c r="E490" s="76">
        <v>44945.99722222222</v>
      </c>
      <c r="F490" s="6" t="s">
        <v>131</v>
      </c>
      <c r="G490" s="5" t="str">
        <f>IFERROR(VLOOKUP(SUMIFS(MSOLICITADA!$I:$I,MSOLICITADA!$B:$B,D490,MSOLICITADA!$F:$F,F490),CODIGOSPLACAS!$A$64:$B$89,2,FALSE),"")</f>
        <v>ALTIELIS</v>
      </c>
      <c r="H490" s="77">
        <v>53114</v>
      </c>
      <c r="I490" s="77">
        <v>53928</v>
      </c>
      <c r="J490" s="7">
        <v>468</v>
      </c>
      <c r="K490" s="78">
        <v>2850.2</v>
      </c>
      <c r="L490" s="79" t="s">
        <v>111</v>
      </c>
      <c r="M490" s="6">
        <v>394</v>
      </c>
      <c r="N490" s="5">
        <f t="shared" si="55"/>
        <v>420</v>
      </c>
      <c r="O490" s="80">
        <f t="shared" si="56"/>
        <v>6.0901709401709399</v>
      </c>
      <c r="P490" s="8">
        <f t="shared" si="57"/>
        <v>1.7393162393162394</v>
      </c>
      <c r="Q490" s="8">
        <f t="shared" si="62"/>
        <v>1.6793774979959049</v>
      </c>
      <c r="R490" s="81">
        <f t="shared" si="58"/>
        <v>0.48402948402948404</v>
      </c>
      <c r="S490" s="113" t="str">
        <f>IF(F490="","",IF(H490="",TEXT(_xlfn.MAXIFS($I$1:I490,$F$1:F490,F490,$H$1:H490,"&gt;"&amp;0),"000.000"),F490))</f>
        <v>GGN4J86</v>
      </c>
      <c r="T490" s="101">
        <f t="shared" si="63"/>
        <v>446.66666666666669</v>
      </c>
      <c r="U490" s="82" t="s">
        <v>220</v>
      </c>
      <c r="V490" s="98" t="s">
        <v>165</v>
      </c>
      <c r="W490" s="82" t="s">
        <v>222</v>
      </c>
      <c r="X490" s="98" t="s">
        <v>176</v>
      </c>
      <c r="Y490" s="82" t="s">
        <v>225</v>
      </c>
      <c r="Z490" s="98" t="s">
        <v>237</v>
      </c>
      <c r="AA490" s="82" t="s">
        <v>221</v>
      </c>
      <c r="AB490" s="98" t="s">
        <v>168</v>
      </c>
      <c r="AC490" s="82" t="s">
        <v>225</v>
      </c>
      <c r="AD490" s="98" t="s">
        <v>284</v>
      </c>
      <c r="AE490" s="82" t="s">
        <v>220</v>
      </c>
      <c r="AF490" s="98" t="s">
        <v>165</v>
      </c>
      <c r="AG490" s="82"/>
      <c r="AH490" s="98"/>
      <c r="AI490" s="82"/>
      <c r="AJ490" s="98"/>
      <c r="AK490" s="83"/>
      <c r="AL490" s="84" t="str">
        <f>IF(F490&lt;&gt;0,IF(_xlfn.MAXIFS($I$1:I490,$F$1:F490,F490,$H$1:H490,"&gt;"&amp;0)=0,"KM NÃO ENCONTRADO",IF(H490=0,CONCATENATE("SUGESTÃO DE KM PARA PLACA ",F490," *",_xlfn.MAXIFS($I$1:I490,$F$1:F490,F490,$H$1:H490,"&gt;"&amp;0),"*"),"")),"")</f>
        <v/>
      </c>
      <c r="AM490" s="85" t="str" cm="1">
        <f t="array" ref="AM490">IFERROR(IF(M490&lt;&gt;"","",CONCATENATE("https://btx.brasiltrack.com/logistica/trajeto.php?idveiculo=",VLOOKUP(F490,DATAS!$A$221:$B$250,2,FALSE),"&amp;lat=-22.204247","&amp;data_ini=",TEXT(IF(E490&lt;&gt;"",IF(COUNTIF($F$2:$F490,F490)&gt;1,MAX(IF($F$1:$F489=F490,$E$1:$E489)),""),""),"DD/MM/AAAA"),"&amp;data_fim=",TEXT(E490,"DD/MM/AAAA"),"&amp;hora_inicial=",HOUR(IF(E490&lt;&gt;"",IF(COUNTIF($F$2:$F490,F490)&gt;1,MAX(IF($F$1:$F489=F490,$E$1:$E489)),""),"")),"&amp;minuto_inicial=",MINUTE(IF(E490&lt;&gt;"",IF(COUNTIF($F$2:$F490,F490)&gt;1,MAX(IF($F$1:$F489=F490,$E$1:$E489)),""),"")),"&amp;hora_final=",HOUR(E490),"&amp;minuto_final=",MINUTE(E490),"&amp;periodo=6&amp;tipo=por_data&amp;upos=false&amp;outequip=0")),"")</f>
        <v/>
      </c>
      <c r="AN490" s="100" t="str">
        <f t="shared" si="59"/>
        <v xml:space="preserve">ABASTECEU no 22 NORTE DESCARREGOU em ALFENAS-MG PASSOU em ARUJÁ-SP CARREGOU em CUBATAO-SP PASSOU em SÃO PAULO-SP ABASTECEU no 22 NORTE    </v>
      </c>
    </row>
    <row r="491" spans="1:40" x14ac:dyDescent="0.25">
      <c r="A491" s="101">
        <f>IFERROR(VLOOKUP(AN491,ROTAS!$A:$B,2,FALSE),0)</f>
        <v>134</v>
      </c>
      <c r="B491" s="101">
        <f t="shared" si="60"/>
        <v>2</v>
      </c>
      <c r="C491" s="101">
        <f t="shared" si="61"/>
        <v>598</v>
      </c>
      <c r="D491" s="144">
        <v>44927</v>
      </c>
      <c r="E491" s="76">
        <v>44946.513888888891</v>
      </c>
      <c r="F491" s="6" t="s">
        <v>23</v>
      </c>
      <c r="G491" s="5" t="str">
        <f>IFERROR(VLOOKUP(SUMIFS(MSOLICITADA!$I:$I,MSOLICITADA!$B:$B,D491,MSOLICITADA!$F:$F,F491),CODIGOSPLACAS!$A$64:$B$89,2,FALSE),"")</f>
        <v>ISAC</v>
      </c>
      <c r="H491" s="77">
        <v>1211165</v>
      </c>
      <c r="I491" s="77">
        <v>1211768</v>
      </c>
      <c r="J491" s="7">
        <v>464.9</v>
      </c>
      <c r="K491" s="78">
        <v>2687.1219999999998</v>
      </c>
      <c r="L491" s="79" t="s">
        <v>112</v>
      </c>
      <c r="M491" s="6">
        <v>603</v>
      </c>
      <c r="N491" s="5" t="str">
        <f t="shared" si="55"/>
        <v/>
      </c>
      <c r="O491" s="80">
        <f t="shared" si="56"/>
        <v>5.78</v>
      </c>
      <c r="P491" s="8">
        <f t="shared" si="57"/>
        <v>1.2970531297053129</v>
      </c>
      <c r="Q491" s="8">
        <f t="shared" si="62"/>
        <v>1.4592701282718794</v>
      </c>
      <c r="R491" s="81">
        <f t="shared" si="58"/>
        <v>1</v>
      </c>
      <c r="S491" s="113" t="str">
        <f>IF(F491="","",IF(H491="",TEXT(_xlfn.MAXIFS($I$1:I491,$F$1:F491,F491,$H$1:H491,"&gt;"&amp;0),"000.000"),F491))</f>
        <v>HNC7I76</v>
      </c>
      <c r="T491" s="101" t="str">
        <f t="shared" si="63"/>
        <v/>
      </c>
      <c r="U491" s="82" t="s">
        <v>220</v>
      </c>
      <c r="V491" s="98" t="s">
        <v>288</v>
      </c>
      <c r="W491" s="82" t="s">
        <v>220</v>
      </c>
      <c r="X491" s="98" t="s">
        <v>206</v>
      </c>
      <c r="Y491" s="82"/>
      <c r="Z491" s="98"/>
      <c r="AA491" s="82"/>
      <c r="AB491" s="98"/>
      <c r="AC491" s="82"/>
      <c r="AD491" s="98"/>
      <c r="AE491" s="118"/>
      <c r="AF491" s="98"/>
      <c r="AG491" s="82"/>
      <c r="AH491" s="98"/>
      <c r="AI491" s="82"/>
      <c r="AJ491" s="98"/>
      <c r="AK491" s="83"/>
      <c r="AL491" s="84" t="str">
        <f>IF(F491&lt;&gt;0,IF(_xlfn.MAXIFS($I$1:I491,$F$1:F491,F491,$H$1:H491,"&gt;"&amp;0)=0,"KM NÃO ENCONTRADO",IF(H491=0,CONCATENATE("SUGESTÃO DE KM PARA PLACA ",F491," *",_xlfn.MAXIFS($I$1:I491,$F$1:F491,F491,$H$1:H491,"&gt;"&amp;0),"*"),"")),"")</f>
        <v/>
      </c>
      <c r="AM491" s="85" t="str" cm="1">
        <f t="array" ref="AM491">IFERROR(IF(M491&lt;&gt;"","",CONCATENATE("https://btx.brasiltrack.com/logistica/trajeto.php?idveiculo=",VLOOKUP(F491,DATAS!$A$221:$B$250,2,FALSE),"&amp;lat=-22.204247","&amp;data_ini=",TEXT(IF(E491&lt;&gt;"",IF(COUNTIF($F$2:$F491,F491)&gt;1,MAX(IF($F$1:$F490=F491,$E$1:$E490)),""),""),"DD/MM/AAAA"),"&amp;data_fim=",TEXT(E491,"DD/MM/AAAA"),"&amp;hora_inicial=",HOUR(IF(E491&lt;&gt;"",IF(COUNTIF($F$2:$F491,F491)&gt;1,MAX(IF($F$1:$F490=F491,$E$1:$E490)),""),"")),"&amp;minuto_inicial=",MINUTE(IF(E491&lt;&gt;"",IF(COUNTIF($F$2:$F491,F491)&gt;1,MAX(IF($F$1:$F490=F491,$E$1:$E490)),""),"")),"&amp;hora_final=",HOUR(E491),"&amp;minuto_final=",MINUTE(E491),"&amp;periodo=6&amp;tipo=por_data&amp;upos=false&amp;outequip=0")),"")</f>
        <v/>
      </c>
      <c r="AN491" s="100" t="str">
        <f t="shared" si="59"/>
        <v xml:space="preserve">ABASTECEU no POSTO W3 UNAÍ ABASTECEU no CANDEIAS-MG            </v>
      </c>
    </row>
    <row r="492" spans="1:40" x14ac:dyDescent="0.25">
      <c r="A492" s="101">
        <f>IFERROR(VLOOKUP(AN492,ROTAS!$A:$B,2,FALSE),0)</f>
        <v>135</v>
      </c>
      <c r="B492" s="101">
        <f t="shared" si="60"/>
        <v>1</v>
      </c>
      <c r="C492" s="101">
        <f t="shared" si="61"/>
        <v>851</v>
      </c>
      <c r="D492" s="144">
        <v>44927</v>
      </c>
      <c r="E492" s="76">
        <v>44947.138194444444</v>
      </c>
      <c r="F492" s="6" t="s">
        <v>33</v>
      </c>
      <c r="G492" s="5" t="str">
        <f>IFERROR(VLOOKUP(SUMIFS(MSOLICITADA!$I:$I,MSOLICITADA!$B:$B,D492,MSOLICITADA!$F:$F,F492),CODIGOSPLACAS!$A$64:$B$89,2,FALSE),"")</f>
        <v>JULIO</v>
      </c>
      <c r="H492" s="77">
        <v>168459</v>
      </c>
      <c r="I492" s="77">
        <v>169310</v>
      </c>
      <c r="J492" s="7">
        <v>523</v>
      </c>
      <c r="K492" s="78">
        <v>3185.15</v>
      </c>
      <c r="L492" s="79" t="s">
        <v>111</v>
      </c>
      <c r="M492" s="6">
        <v>425</v>
      </c>
      <c r="N492" s="5">
        <f t="shared" si="55"/>
        <v>426</v>
      </c>
      <c r="O492" s="80">
        <f t="shared" si="56"/>
        <v>6.0901529636711285</v>
      </c>
      <c r="P492" s="8">
        <f t="shared" si="57"/>
        <v>1.627151051625239</v>
      </c>
      <c r="Q492" s="8">
        <f t="shared" si="62"/>
        <v>1.7400327790407339</v>
      </c>
      <c r="R492" s="81">
        <f t="shared" si="58"/>
        <v>0.49941245593419509</v>
      </c>
      <c r="S492" s="113" t="str">
        <f>IF(F492="","",IF(H492="",TEXT(_xlfn.MAXIFS($I$1:I492,$F$1:F492,F492,$H$1:H492,"&gt;"&amp;0),"000.000"),F492))</f>
        <v>GGF7G26</v>
      </c>
      <c r="T492" s="101">
        <f t="shared" si="63"/>
        <v>426</v>
      </c>
      <c r="U492" s="82" t="s">
        <v>220</v>
      </c>
      <c r="V492" s="98" t="s">
        <v>165</v>
      </c>
      <c r="W492" s="82" t="s">
        <v>222</v>
      </c>
      <c r="X492" s="98" t="s">
        <v>176</v>
      </c>
      <c r="Y492" s="82" t="s">
        <v>225</v>
      </c>
      <c r="Z492" s="98" t="s">
        <v>237</v>
      </c>
      <c r="AA492" s="82" t="s">
        <v>221</v>
      </c>
      <c r="AB492" s="98" t="s">
        <v>175</v>
      </c>
      <c r="AC492" s="82" t="s">
        <v>225</v>
      </c>
      <c r="AD492" s="98" t="s">
        <v>284</v>
      </c>
      <c r="AE492" s="82" t="s">
        <v>220</v>
      </c>
      <c r="AF492" s="98" t="s">
        <v>165</v>
      </c>
      <c r="AG492" s="82"/>
      <c r="AH492" s="98"/>
      <c r="AI492" s="82"/>
      <c r="AJ492" s="98"/>
      <c r="AK492" s="83"/>
      <c r="AL492" s="84" t="str">
        <f>IF(F492&lt;&gt;0,IF(_xlfn.MAXIFS($I$1:I492,$F$1:F492,F492,$H$1:H492,"&gt;"&amp;0)=0,"KM NÃO ENCONTRADO",IF(H492=0,CONCATENATE("SUGESTÃO DE KM PARA PLACA ",F492," *",_xlfn.MAXIFS($I$1:I492,$F$1:F492,F492,$H$1:H492,"&gt;"&amp;0),"*"),"")),"")</f>
        <v/>
      </c>
      <c r="AM492" s="85" t="str" cm="1">
        <f t="array" ref="AM492">IFERROR(IF(M492&lt;&gt;"","",CONCATENATE("https://btx.brasiltrack.com/logistica/trajeto.php?idveiculo=",VLOOKUP(F492,DATAS!$A$221:$B$250,2,FALSE),"&amp;lat=-22.204247","&amp;data_ini=",TEXT(IF(E492&lt;&gt;"",IF(COUNTIF($F$2:$F492,F492)&gt;1,MAX(IF($F$1:$F491=F492,$E$1:$E491)),""),""),"DD/MM/AAAA"),"&amp;data_fim=",TEXT(E492,"DD/MM/AAAA"),"&amp;hora_inicial=",HOUR(IF(E492&lt;&gt;"",IF(COUNTIF($F$2:$F492,F492)&gt;1,MAX(IF($F$1:$F491=F492,$E$1:$E491)),""),"")),"&amp;minuto_inicial=",MINUTE(IF(E492&lt;&gt;"",IF(COUNTIF($F$2:$F492,F492)&gt;1,MAX(IF($F$1:$F491=F492,$E$1:$E491)),""),"")),"&amp;hora_final=",HOUR(E492),"&amp;minuto_final=",MINUTE(E492),"&amp;periodo=6&amp;tipo=por_data&amp;upos=false&amp;outequip=0")),"")</f>
        <v/>
      </c>
      <c r="AN492" s="100" t="str">
        <f t="shared" si="59"/>
        <v xml:space="preserve">ABASTECEU no 22 NORTE DESCARREGOU em ALFENAS-MG PASSOU em ARUJÁ-SP CARREGOU em SANTOS-SP PASSOU em SÃO PAULO-SP ABASTECEU no 22 NORTE    </v>
      </c>
    </row>
    <row r="493" spans="1:40" x14ac:dyDescent="0.25">
      <c r="A493" s="101">
        <f>IFERROR(VLOOKUP(AN493,ROTAS!$A:$B,2,FALSE),0)</f>
        <v>136</v>
      </c>
      <c r="B493" s="101">
        <f t="shared" si="60"/>
        <v>2</v>
      </c>
      <c r="C493" s="101">
        <f t="shared" si="61"/>
        <v>727.5</v>
      </c>
      <c r="D493" s="144">
        <v>44927</v>
      </c>
      <c r="E493" s="76">
        <v>44947.165972222225</v>
      </c>
      <c r="F493" s="6" t="s">
        <v>128</v>
      </c>
      <c r="G493" s="5" t="str">
        <f>IFERROR(VLOOKUP(SUMIFS(MSOLICITADA!$I:$I,MSOLICITADA!$B:$B,D493,MSOLICITADA!$F:$F,F493),CODIGOSPLACAS!$A$64:$B$89,2,FALSE),"")</f>
        <v>ELI RICARDO</v>
      </c>
      <c r="H493" s="77">
        <v>96081</v>
      </c>
      <c r="I493" s="77">
        <v>96796</v>
      </c>
      <c r="J493" s="7">
        <v>400</v>
      </c>
      <c r="K493" s="78">
        <v>2436</v>
      </c>
      <c r="L493" s="79" t="s">
        <v>111</v>
      </c>
      <c r="M493" s="6">
        <v>135</v>
      </c>
      <c r="N493" s="5">
        <f t="shared" si="55"/>
        <v>580</v>
      </c>
      <c r="O493" s="80">
        <f t="shared" si="56"/>
        <v>6.09</v>
      </c>
      <c r="P493" s="8">
        <f t="shared" si="57"/>
        <v>1.7875000000000001</v>
      </c>
      <c r="Q493" s="8">
        <f t="shared" si="62"/>
        <v>1.7619806950171255</v>
      </c>
      <c r="R493" s="81">
        <f t="shared" si="58"/>
        <v>0.1888111888111888</v>
      </c>
      <c r="S493" s="113" t="str">
        <f>IF(F493="","",IF(H493="",TEXT(_xlfn.MAXIFS($I$1:I493,$F$1:F493,F493,$H$1:H493,"&gt;"&amp;0),"000.000"),F493))</f>
        <v>GFR0D47</v>
      </c>
      <c r="T493" s="101">
        <f t="shared" si="63"/>
        <v>595</v>
      </c>
      <c r="U493" s="82" t="s">
        <v>220</v>
      </c>
      <c r="V493" s="98" t="s">
        <v>206</v>
      </c>
      <c r="W493" s="82" t="s">
        <v>225</v>
      </c>
      <c r="X493" s="98" t="s">
        <v>237</v>
      </c>
      <c r="Y493" s="82" t="s">
        <v>221</v>
      </c>
      <c r="Z493" s="98" t="s">
        <v>175</v>
      </c>
      <c r="AA493" s="82" t="s">
        <v>225</v>
      </c>
      <c r="AB493" s="98" t="s">
        <v>284</v>
      </c>
      <c r="AC493" s="82" t="s">
        <v>220</v>
      </c>
      <c r="AD493" s="98" t="s">
        <v>165</v>
      </c>
      <c r="AE493" s="118"/>
      <c r="AF493" s="98"/>
      <c r="AG493" s="82"/>
      <c r="AH493" s="98"/>
      <c r="AI493" s="82"/>
      <c r="AJ493" s="98"/>
      <c r="AK493" s="83"/>
      <c r="AL493" s="84" t="str">
        <f>IF(F493&lt;&gt;0,IF(_xlfn.MAXIFS($I$1:I493,$F$1:F493,F493,$H$1:H493,"&gt;"&amp;0)=0,"KM NÃO ENCONTRADO",IF(H493=0,CONCATENATE("SUGESTÃO DE KM PARA PLACA ",F493," *",_xlfn.MAXIFS($I$1:I493,$F$1:F493,F493,$H$1:H493,"&gt;"&amp;0),"*"),"")),"")</f>
        <v/>
      </c>
      <c r="AM493" s="85" t="str" cm="1">
        <f t="array" ref="AM493">IFERROR(IF(M493&lt;&gt;"","",CONCATENATE("https://btx.brasiltrack.com/logistica/trajeto.php?idveiculo=",VLOOKUP(F493,DATAS!$A$221:$B$250,2,FALSE),"&amp;lat=-22.204247","&amp;data_ini=",TEXT(IF(E493&lt;&gt;"",IF(COUNTIF($F$2:$F493,F493)&gt;1,MAX(IF($F$1:$F492=F493,$E$1:$E492)),""),""),"DD/MM/AAAA"),"&amp;data_fim=",TEXT(E493,"DD/MM/AAAA"),"&amp;hora_inicial=",HOUR(IF(E493&lt;&gt;"",IF(COUNTIF($F$2:$F493,F493)&gt;1,MAX(IF($F$1:$F492=F493,$E$1:$E492)),""),"")),"&amp;minuto_inicial=",MINUTE(IF(E493&lt;&gt;"",IF(COUNTIF($F$2:$F493,F493)&gt;1,MAX(IF($F$1:$F492=F493,$E$1:$E492)),""),"")),"&amp;hora_final=",HOUR(E493),"&amp;minuto_final=",MINUTE(E493),"&amp;periodo=6&amp;tipo=por_data&amp;upos=false&amp;outequip=0")),"")</f>
        <v/>
      </c>
      <c r="AN493" s="100" t="str">
        <f t="shared" si="59"/>
        <v xml:space="preserve">ABASTECEU no CANDEIAS-MG PASSOU em ARUJÁ-SP CARREGOU em SANTOS-SP PASSOU em SÃO PAULO-SP ABASTECEU no 22 NORTE      </v>
      </c>
    </row>
    <row r="494" spans="1:40" x14ac:dyDescent="0.25">
      <c r="A494" s="101">
        <f>IFERROR(VLOOKUP(AN494,ROTAS!$A:$B,2,FALSE),0)</f>
        <v>13</v>
      </c>
      <c r="B494" s="101">
        <f t="shared" si="60"/>
        <v>16</v>
      </c>
      <c r="C494" s="101">
        <f t="shared" si="61"/>
        <v>363.3125</v>
      </c>
      <c r="D494" s="144">
        <v>44927</v>
      </c>
      <c r="E494" s="76">
        <v>44947.340277777781</v>
      </c>
      <c r="F494" s="6" t="s">
        <v>34</v>
      </c>
      <c r="G494" s="5" t="str">
        <f>IFERROR(VLOOKUP(SUMIFS(MSOLICITADA!$I:$I,MSOLICITADA!$B:$B,D494,MSOLICITADA!$F:$F,F494),CODIGOSPLACAS!$A$64:$B$89,2,FALSE),"")</f>
        <v>TOINZINHO</v>
      </c>
      <c r="H494" s="77">
        <v>111444</v>
      </c>
      <c r="I494" s="77">
        <v>111942</v>
      </c>
      <c r="J494" s="7">
        <v>259.2</v>
      </c>
      <c r="K494" s="78">
        <v>1499.75</v>
      </c>
      <c r="L494" s="79" t="s">
        <v>112</v>
      </c>
      <c r="M494" s="6"/>
      <c r="N494" s="5">
        <f t="shared" si="55"/>
        <v>498</v>
      </c>
      <c r="O494" s="80">
        <f t="shared" si="56"/>
        <v>5.7860725308641978</v>
      </c>
      <c r="P494" s="8">
        <f t="shared" si="57"/>
        <v>1.9212962962962963</v>
      </c>
      <c r="Q494" s="8">
        <f t="shared" si="62"/>
        <v>2.1798103468971313</v>
      </c>
      <c r="R494" s="81">
        <f t="shared" si="58"/>
        <v>0</v>
      </c>
      <c r="S494" s="113" t="str">
        <f>IF(F494="","",IF(H494="",TEXT(_xlfn.MAXIFS($I$1:I494,$F$1:F494,F494,$H$1:H494,"&gt;"&amp;0),"000.000"),F494))</f>
        <v>QXI8065</v>
      </c>
      <c r="T494" s="101">
        <f t="shared" si="63"/>
        <v>186.5</v>
      </c>
      <c r="U494" s="82" t="s">
        <v>220</v>
      </c>
      <c r="V494" s="98" t="s">
        <v>206</v>
      </c>
      <c r="W494" s="82" t="s">
        <v>220</v>
      </c>
      <c r="X494" s="98" t="s">
        <v>206</v>
      </c>
      <c r="Y494" s="82"/>
      <c r="Z494" s="98"/>
      <c r="AA494" s="82"/>
      <c r="AB494" s="98"/>
      <c r="AC494" s="82"/>
      <c r="AD494" s="98"/>
      <c r="AE494" s="82"/>
      <c r="AF494" s="98"/>
      <c r="AG494" s="82"/>
      <c r="AH494" s="98"/>
      <c r="AI494" s="82"/>
      <c r="AJ494" s="98"/>
      <c r="AK494" s="83"/>
      <c r="AL494" s="84" t="str">
        <f>IF(F494&lt;&gt;0,IF(_xlfn.MAXIFS($I$1:I494,$F$1:F494,F494,$H$1:H494,"&gt;"&amp;0)=0,"KM NÃO ENCONTRADO",IF(H494=0,CONCATENATE("SUGESTÃO DE KM PARA PLACA ",F494," *",_xlfn.MAXIFS($I$1:I494,$F$1:F494,F494,$H$1:H494,"&gt;"&amp;0),"*"),"")),"")</f>
        <v/>
      </c>
      <c r="AM494" s="85" t="str" cm="1">
        <f t="array" ref="AM494">IFERROR(IF(M494&lt;&gt;"","",CONCATENATE("https://btx.brasiltrack.com/logistica/trajeto.php?idveiculo=",VLOOKUP(F494,DATAS!$A$221:$B$250,2,FALSE),"&amp;lat=-22.204247","&amp;data_ini=",TEXT(IF(E494&lt;&gt;"",IF(COUNTIF($F$2:$F494,F494)&gt;1,MAX(IF($F$1:$F493=F494,$E$1:$E493)),""),""),"DD/MM/AAAA"),"&amp;data_fim=",TEXT(E494,"DD/MM/AAAA"),"&amp;hora_inicial=",HOUR(IF(E494&lt;&gt;"",IF(COUNTIF($F$2:$F494,F494)&gt;1,MAX(IF($F$1:$F493=F494,$E$1:$E493)),""),"")),"&amp;minuto_inicial=",MINUTE(IF(E494&lt;&gt;"",IF(COUNTIF($F$2:$F494,F494)&gt;1,MAX(IF($F$1:$F493=F494,$E$1:$E493)),""),"")),"&amp;hora_final=",HOUR(E494),"&amp;minuto_final=",MINUTE(E494),"&amp;periodo=6&amp;tipo=por_data&amp;upos=false&amp;outequip=0")),"")</f>
        <v>https://btx.brasiltrack.com/logistica/trajeto.php?idveiculo=97D798AC-9C50-4B40-BD06-86A89CAFCF44&amp;lat=-22.204247&amp;data_ini=03/01/2023&amp;data_fim=21/01/2023&amp;hora_inicial=16&amp;minuto_inicial=46&amp;hora_final=8&amp;minuto_final=10&amp;periodo=6&amp;tipo=por_data&amp;upos=false&amp;outequip=0</v>
      </c>
      <c r="AN494" s="100" t="str">
        <f t="shared" si="59"/>
        <v xml:space="preserve">ABASTECEU no CANDEIAS-MG ABASTECEU no CANDEIAS-MG            </v>
      </c>
    </row>
    <row r="495" spans="1:40" x14ac:dyDescent="0.25">
      <c r="A495" s="101">
        <f>IFERROR(VLOOKUP(AN495,ROTAS!$A:$B,2,FALSE),0)</f>
        <v>137</v>
      </c>
      <c r="B495" s="101">
        <f t="shared" si="60"/>
        <v>2</v>
      </c>
      <c r="C495" s="101">
        <f t="shared" si="61"/>
        <v>657</v>
      </c>
      <c r="D495" s="144">
        <v>44927</v>
      </c>
      <c r="E495" s="76">
        <v>44947.388194444444</v>
      </c>
      <c r="F495" s="6" t="s">
        <v>32</v>
      </c>
      <c r="G495" s="5" t="str">
        <f>IFERROR(VLOOKUP(SUMIFS(MSOLICITADA!$I:$I,MSOLICITADA!$B:$B,D495,MSOLICITADA!$F:$F,F495),CODIGOSPLACAS!$A$64:$B$89,2,FALSE),"")</f>
        <v>ADILSON</v>
      </c>
      <c r="H495" s="77">
        <v>207189</v>
      </c>
      <c r="I495" s="77">
        <v>207840</v>
      </c>
      <c r="J495" s="7">
        <v>475</v>
      </c>
      <c r="K495" s="78">
        <v>2892.75</v>
      </c>
      <c r="L495" s="79" t="s">
        <v>111</v>
      </c>
      <c r="M495" s="6">
        <v>651</v>
      </c>
      <c r="N495" s="5" t="str">
        <f t="shared" si="55"/>
        <v/>
      </c>
      <c r="O495" s="80">
        <f t="shared" si="56"/>
        <v>6.09</v>
      </c>
      <c r="P495" s="8">
        <f t="shared" si="57"/>
        <v>1.3705263157894736</v>
      </c>
      <c r="Q495" s="8">
        <f t="shared" si="62"/>
        <v>1.6695575721559062</v>
      </c>
      <c r="R495" s="81">
        <f t="shared" si="58"/>
        <v>1</v>
      </c>
      <c r="S495" s="113" t="str">
        <f>IF(F495="","",IF(H495="",TEXT(_xlfn.MAXIFS($I$1:I495,$F$1:F495,F495,$H$1:H495,"&gt;"&amp;0),"000.000"),F495))</f>
        <v>GJU9A22</v>
      </c>
      <c r="T495" s="101" t="str">
        <f t="shared" si="63"/>
        <v/>
      </c>
      <c r="U495" s="82" t="s">
        <v>220</v>
      </c>
      <c r="V495" s="98" t="s">
        <v>206</v>
      </c>
      <c r="W495" s="82" t="s">
        <v>225</v>
      </c>
      <c r="X495" s="98" t="s">
        <v>284</v>
      </c>
      <c r="Y495" s="82" t="s">
        <v>222</v>
      </c>
      <c r="Z495" s="98" t="s">
        <v>175</v>
      </c>
      <c r="AA495" s="82" t="s">
        <v>221</v>
      </c>
      <c r="AB495" s="98" t="s">
        <v>175</v>
      </c>
      <c r="AC495" s="82" t="s">
        <v>225</v>
      </c>
      <c r="AD495" s="98" t="s">
        <v>284</v>
      </c>
      <c r="AE495" s="82" t="s">
        <v>220</v>
      </c>
      <c r="AF495" s="98" t="s">
        <v>165</v>
      </c>
      <c r="AG495" s="82"/>
      <c r="AH495" s="98"/>
      <c r="AI495" s="82"/>
      <c r="AJ495" s="98"/>
      <c r="AK495" s="83"/>
      <c r="AL495" s="84" t="str">
        <f>IF(F495&lt;&gt;0,IF(_xlfn.MAXIFS($I$1:I495,$F$1:F495,F495,$H$1:H495,"&gt;"&amp;0)=0,"KM NÃO ENCONTRADO",IF(H495=0,CONCATENATE("SUGESTÃO DE KM PARA PLACA ",F495," *",_xlfn.MAXIFS($I$1:I495,$F$1:F495,F495,$H$1:H495,"&gt;"&amp;0),"*"),"")),"")</f>
        <v/>
      </c>
      <c r="AM495" s="85" t="str" cm="1">
        <f t="array" ref="AM495">IFERROR(IF(M495&lt;&gt;"","",CONCATENATE("https://btx.brasiltrack.com/logistica/trajeto.php?idveiculo=",VLOOKUP(F495,DATAS!$A$221:$B$250,2,FALSE),"&amp;lat=-22.204247","&amp;data_ini=",TEXT(IF(E495&lt;&gt;"",IF(COUNTIF($F$2:$F495,F495)&gt;1,MAX(IF($F$1:$F494=F495,$E$1:$E494)),""),""),"DD/MM/AAAA"),"&amp;data_fim=",TEXT(E495,"DD/MM/AAAA"),"&amp;hora_inicial=",HOUR(IF(E495&lt;&gt;"",IF(COUNTIF($F$2:$F495,F495)&gt;1,MAX(IF($F$1:$F494=F495,$E$1:$E494)),""),"")),"&amp;minuto_inicial=",MINUTE(IF(E495&lt;&gt;"",IF(COUNTIF($F$2:$F495,F495)&gt;1,MAX(IF($F$1:$F494=F495,$E$1:$E494)),""),"")),"&amp;hora_final=",HOUR(E495),"&amp;minuto_final=",MINUTE(E495),"&amp;periodo=6&amp;tipo=por_data&amp;upos=false&amp;outequip=0")),"")</f>
        <v/>
      </c>
      <c r="AN495" s="100" t="str">
        <f t="shared" si="59"/>
        <v xml:space="preserve">ABASTECEU no CANDEIAS-MG PASSOU em SÃO PAULO-SP DESCARREGOU em SANTOS-SP CARREGOU em SANTOS-SP PASSOU em SÃO PAULO-SP ABASTECEU no 22 NORTE    </v>
      </c>
    </row>
    <row r="496" spans="1:40" x14ac:dyDescent="0.25">
      <c r="A496" s="101">
        <f>IFERROR(VLOOKUP(AN496,ROTAS!$A:$B,2,FALSE),0)</f>
        <v>137</v>
      </c>
      <c r="B496" s="101">
        <f t="shared" si="60"/>
        <v>2</v>
      </c>
      <c r="C496" s="101">
        <f t="shared" si="61"/>
        <v>657</v>
      </c>
      <c r="D496" s="144">
        <v>44927</v>
      </c>
      <c r="E496" s="76">
        <v>44947.38958333333</v>
      </c>
      <c r="F496" s="6" t="s">
        <v>25</v>
      </c>
      <c r="G496" s="5" t="str">
        <f>IFERROR(VLOOKUP(SUMIFS(MSOLICITADA!$I:$I,MSOLICITADA!$B:$B,D496,MSOLICITADA!$F:$F,F496),CODIGOSPLACAS!$A$64:$B$89,2,FALSE),"")</f>
        <v>EDUALDO</v>
      </c>
      <c r="H496" s="77">
        <v>1017044</v>
      </c>
      <c r="I496" s="77">
        <v>1017707</v>
      </c>
      <c r="J496" s="7">
        <v>512</v>
      </c>
      <c r="K496" s="78">
        <v>3118.08</v>
      </c>
      <c r="L496" s="79" t="s">
        <v>111</v>
      </c>
      <c r="M496" s="6">
        <v>663</v>
      </c>
      <c r="N496" s="5" t="str">
        <f t="shared" si="55"/>
        <v/>
      </c>
      <c r="O496" s="80">
        <f t="shared" si="56"/>
        <v>6.09</v>
      </c>
      <c r="P496" s="8">
        <f t="shared" si="57"/>
        <v>1.294921875</v>
      </c>
      <c r="Q496" s="8">
        <f t="shared" si="62"/>
        <v>1.4288896110685252</v>
      </c>
      <c r="R496" s="81">
        <f t="shared" si="58"/>
        <v>1</v>
      </c>
      <c r="S496" s="113" t="str">
        <f>IF(F496="","",IF(H496="",TEXT(_xlfn.MAXIFS($I$1:I496,$F$1:F496,F496,$H$1:H496,"&gt;"&amp;0),"000.000"),F496))</f>
        <v>QHE9735</v>
      </c>
      <c r="T496" s="101" t="str">
        <f t="shared" si="63"/>
        <v/>
      </c>
      <c r="U496" s="82" t="s">
        <v>220</v>
      </c>
      <c r="V496" s="98" t="s">
        <v>206</v>
      </c>
      <c r="W496" s="82" t="s">
        <v>225</v>
      </c>
      <c r="X496" s="98" t="s">
        <v>284</v>
      </c>
      <c r="Y496" s="82" t="s">
        <v>222</v>
      </c>
      <c r="Z496" s="98" t="s">
        <v>175</v>
      </c>
      <c r="AA496" s="82" t="s">
        <v>221</v>
      </c>
      <c r="AB496" s="98" t="s">
        <v>175</v>
      </c>
      <c r="AC496" s="82" t="s">
        <v>225</v>
      </c>
      <c r="AD496" s="98" t="s">
        <v>284</v>
      </c>
      <c r="AE496" s="82" t="s">
        <v>220</v>
      </c>
      <c r="AF496" s="98" t="s">
        <v>165</v>
      </c>
      <c r="AG496" s="82"/>
      <c r="AH496" s="98"/>
      <c r="AI496" s="82"/>
      <c r="AJ496" s="98"/>
      <c r="AK496" s="83"/>
      <c r="AL496" s="84" t="str">
        <f>IF(F496&lt;&gt;0,IF(_xlfn.MAXIFS($I$1:I496,$F$1:F496,F496,$H$1:H496,"&gt;"&amp;0)=0,"KM NÃO ENCONTRADO",IF(H496=0,CONCATENATE("SUGESTÃO DE KM PARA PLACA ",F496," *",_xlfn.MAXIFS($I$1:I496,$F$1:F496,F496,$H$1:H496,"&gt;"&amp;0),"*"),"")),"")</f>
        <v/>
      </c>
      <c r="AM496" s="85" t="str" cm="1">
        <f t="array" ref="AM496">IFERROR(IF(M496&lt;&gt;"","",CONCATENATE("https://btx.brasiltrack.com/logistica/trajeto.php?idveiculo=",VLOOKUP(F496,DATAS!$A$221:$B$250,2,FALSE),"&amp;lat=-22.204247","&amp;data_ini=",TEXT(IF(E496&lt;&gt;"",IF(COUNTIF($F$2:$F496,F496)&gt;1,MAX(IF($F$1:$F495=F496,$E$1:$E495)),""),""),"DD/MM/AAAA"),"&amp;data_fim=",TEXT(E496,"DD/MM/AAAA"),"&amp;hora_inicial=",HOUR(IF(E496&lt;&gt;"",IF(COUNTIF($F$2:$F496,F496)&gt;1,MAX(IF($F$1:$F495=F496,$E$1:$E495)),""),"")),"&amp;minuto_inicial=",MINUTE(IF(E496&lt;&gt;"",IF(COUNTIF($F$2:$F496,F496)&gt;1,MAX(IF($F$1:$F495=F496,$E$1:$E495)),""),"")),"&amp;hora_final=",HOUR(E496),"&amp;minuto_final=",MINUTE(E496),"&amp;periodo=6&amp;tipo=por_data&amp;upos=false&amp;outequip=0")),"")</f>
        <v/>
      </c>
      <c r="AN496" s="100" t="str">
        <f t="shared" si="59"/>
        <v xml:space="preserve">ABASTECEU no CANDEIAS-MG PASSOU em SÃO PAULO-SP DESCARREGOU em SANTOS-SP CARREGOU em SANTOS-SP PASSOU em SÃO PAULO-SP ABASTECEU no 22 NORTE    </v>
      </c>
    </row>
    <row r="497" spans="1:40" x14ac:dyDescent="0.25">
      <c r="A497" s="101">
        <f>IFERROR(VLOOKUP(AN497,ROTAS!$A:$B,2,FALSE),0)</f>
        <v>134</v>
      </c>
      <c r="B497" s="101">
        <f t="shared" si="60"/>
        <v>2</v>
      </c>
      <c r="C497" s="101">
        <f t="shared" si="61"/>
        <v>598</v>
      </c>
      <c r="D497" s="144">
        <v>44927</v>
      </c>
      <c r="E497" s="76">
        <v>44947.549305555556</v>
      </c>
      <c r="F497" s="6" t="s">
        <v>24</v>
      </c>
      <c r="G497" s="5" t="str">
        <f>IFERROR(VLOOKUP(SUMIFS(MSOLICITADA!$I:$I,MSOLICITADA!$B:$B,D497,MSOLICITADA!$F:$F,F497),CODIGOSPLACAS!$A$64:$B$89,2,FALSE),"")</f>
        <v>PAULO HENR.</v>
      </c>
      <c r="H497" s="77">
        <v>953636</v>
      </c>
      <c r="I497" s="77">
        <v>954229</v>
      </c>
      <c r="J497" s="7">
        <v>478.1</v>
      </c>
      <c r="K497" s="78">
        <v>2763.4180000000001</v>
      </c>
      <c r="L497" s="79" t="s">
        <v>112</v>
      </c>
      <c r="M497" s="6">
        <v>593</v>
      </c>
      <c r="N497" s="5" t="str">
        <f t="shared" si="55"/>
        <v/>
      </c>
      <c r="O497" s="80">
        <f t="shared" si="56"/>
        <v>5.78</v>
      </c>
      <c r="P497" s="8">
        <f t="shared" si="57"/>
        <v>1.2403262915708011</v>
      </c>
      <c r="Q497" s="8">
        <f t="shared" si="62"/>
        <v>1.5194077812359499</v>
      </c>
      <c r="R497" s="81">
        <f t="shared" si="58"/>
        <v>1</v>
      </c>
      <c r="S497" s="113" t="str">
        <f>IF(F497="","",IF(H497="",TEXT(_xlfn.MAXIFS($I$1:I497,$F$1:F497,F497,$H$1:H497,"&gt;"&amp;0),"000.000"),F497))</f>
        <v>FKS0J24</v>
      </c>
      <c r="T497" s="101" t="str">
        <f t="shared" si="63"/>
        <v/>
      </c>
      <c r="U497" s="82" t="s">
        <v>220</v>
      </c>
      <c r="V497" s="98" t="s">
        <v>288</v>
      </c>
      <c r="W497" s="82" t="s">
        <v>220</v>
      </c>
      <c r="X497" s="98" t="s">
        <v>206</v>
      </c>
      <c r="Y497" s="82"/>
      <c r="Z497" s="98"/>
      <c r="AA497" s="82"/>
      <c r="AB497" s="98"/>
      <c r="AC497" s="82"/>
      <c r="AD497" s="98"/>
      <c r="AE497" s="118"/>
      <c r="AF497" s="98"/>
      <c r="AG497" s="82"/>
      <c r="AH497" s="98"/>
      <c r="AI497" s="82"/>
      <c r="AJ497" s="98"/>
      <c r="AK497" s="83"/>
      <c r="AL497" s="84" t="str">
        <f>IF(F497&lt;&gt;0,IF(_xlfn.MAXIFS($I$1:I497,$F$1:F497,F497,$H$1:H497,"&gt;"&amp;0)=0,"KM NÃO ENCONTRADO",IF(H497=0,CONCATENATE("SUGESTÃO DE KM PARA PLACA ",F497," *",_xlfn.MAXIFS($I$1:I497,$F$1:F497,F497,$H$1:H497,"&gt;"&amp;0),"*"),"")),"")</f>
        <v/>
      </c>
      <c r="AM497" s="85" t="str" cm="1">
        <f t="array" ref="AM497">IFERROR(IF(M497&lt;&gt;"","",CONCATENATE("https://btx.brasiltrack.com/logistica/trajeto.php?idveiculo=",VLOOKUP(F497,DATAS!$A$221:$B$250,2,FALSE),"&amp;lat=-22.204247","&amp;data_ini=",TEXT(IF(E497&lt;&gt;"",IF(COUNTIF($F$2:$F497,F497)&gt;1,MAX(IF($F$1:$F496=F497,$E$1:$E496)),""),""),"DD/MM/AAAA"),"&amp;data_fim=",TEXT(E497,"DD/MM/AAAA"),"&amp;hora_inicial=",HOUR(IF(E497&lt;&gt;"",IF(COUNTIF($F$2:$F497,F497)&gt;1,MAX(IF($F$1:$F496=F497,$E$1:$E496)),""),"")),"&amp;minuto_inicial=",MINUTE(IF(E497&lt;&gt;"",IF(COUNTIF($F$2:$F497,F497)&gt;1,MAX(IF($F$1:$F496=F497,$E$1:$E496)),""),"")),"&amp;hora_final=",HOUR(E497),"&amp;minuto_final=",MINUTE(E497),"&amp;periodo=6&amp;tipo=por_data&amp;upos=false&amp;outequip=0")),"")</f>
        <v/>
      </c>
      <c r="AN497" s="100" t="str">
        <f t="shared" si="59"/>
        <v xml:space="preserve">ABASTECEU no POSTO W3 UNAÍ ABASTECEU no CANDEIAS-MG            </v>
      </c>
    </row>
    <row r="498" spans="1:40" x14ac:dyDescent="0.25">
      <c r="A498" s="101">
        <f>IFERROR(VLOOKUP(AN498,ROTAS!$A:$B,2,FALSE),0)</f>
        <v>104</v>
      </c>
      <c r="B498" s="101">
        <f t="shared" si="60"/>
        <v>10</v>
      </c>
      <c r="C498" s="101">
        <f t="shared" si="61"/>
        <v>375.7</v>
      </c>
      <c r="D498" s="144">
        <v>44927</v>
      </c>
      <c r="E498" s="76">
        <v>44948.975694444445</v>
      </c>
      <c r="F498" s="6" t="s">
        <v>23</v>
      </c>
      <c r="G498" s="5" t="str">
        <f>IFERROR(VLOOKUP(SUMIFS(MSOLICITADA!$I:$I,MSOLICITADA!$B:$B,D498,MSOLICITADA!$F:$F,F498),CODIGOSPLACAS!$A$64:$B$89,2,FALSE),"")</f>
        <v>ISAC</v>
      </c>
      <c r="H498" s="77">
        <v>1211768</v>
      </c>
      <c r="I498" s="77">
        <v>1212146</v>
      </c>
      <c r="J498" s="7">
        <v>276.52</v>
      </c>
      <c r="K498" s="78">
        <v>1656.35</v>
      </c>
      <c r="L498" s="79" t="s">
        <v>111</v>
      </c>
      <c r="M498" s="6">
        <v>378</v>
      </c>
      <c r="N498" s="5" t="str">
        <f t="shared" si="55"/>
        <v/>
      </c>
      <c r="O498" s="80">
        <f t="shared" si="56"/>
        <v>5.9899826414002604</v>
      </c>
      <c r="P498" s="8">
        <f t="shared" si="57"/>
        <v>1.3669897294951541</v>
      </c>
      <c r="Q498" s="8">
        <f t="shared" si="62"/>
        <v>1.4592701282718794</v>
      </c>
      <c r="R498" s="81">
        <f t="shared" si="58"/>
        <v>1</v>
      </c>
      <c r="S498" s="113" t="str">
        <f>IF(F498="","",IF(H498="",TEXT(_xlfn.MAXIFS($I$1:I498,$F$1:F498,F498,$H$1:H498,"&gt;"&amp;0),"000.000"),F498))</f>
        <v>HNC7I76</v>
      </c>
      <c r="T498" s="101" t="str">
        <f t="shared" si="63"/>
        <v/>
      </c>
      <c r="U498" s="82" t="s">
        <v>220</v>
      </c>
      <c r="V498" s="98" t="s">
        <v>206</v>
      </c>
      <c r="W498" s="82" t="s">
        <v>220</v>
      </c>
      <c r="X498" s="98" t="s">
        <v>166</v>
      </c>
      <c r="Y498" s="82"/>
      <c r="Z498" s="98"/>
      <c r="AA498" s="82"/>
      <c r="AB498" s="98"/>
      <c r="AC498" s="82"/>
      <c r="AD498" s="98"/>
      <c r="AE498" s="118"/>
      <c r="AF498" s="98"/>
      <c r="AG498" s="82"/>
      <c r="AH498" s="98"/>
      <c r="AI498" s="82"/>
      <c r="AJ498" s="98"/>
      <c r="AK498" s="83"/>
      <c r="AL498" s="84" t="str">
        <f>IF(F498&lt;&gt;0,IF(_xlfn.MAXIFS($I$1:I498,$F$1:F498,F498,$H$1:H498,"&gt;"&amp;0)=0,"KM NÃO ENCONTRADO",IF(H498=0,CONCATENATE("SUGESTÃO DE KM PARA PLACA ",F498," *",_xlfn.MAXIFS($I$1:I498,$F$1:F498,F498,$H$1:H498,"&gt;"&amp;0),"*"),"")),"")</f>
        <v/>
      </c>
      <c r="AM498" s="85" t="str" cm="1">
        <f t="array" ref="AM498">IFERROR(IF(M498&lt;&gt;"","",CONCATENATE("https://btx.brasiltrack.com/logistica/trajeto.php?idveiculo=",VLOOKUP(F498,DATAS!$A$221:$B$250,2,FALSE),"&amp;lat=-22.204247","&amp;data_ini=",TEXT(IF(E498&lt;&gt;"",IF(COUNTIF($F$2:$F498,F498)&gt;1,MAX(IF($F$1:$F497=F498,$E$1:$E497)),""),""),"DD/MM/AAAA"),"&amp;data_fim=",TEXT(E498,"DD/MM/AAAA"),"&amp;hora_inicial=",HOUR(IF(E498&lt;&gt;"",IF(COUNTIF($F$2:$F498,F498)&gt;1,MAX(IF($F$1:$F497=F498,$E$1:$E497)),""),"")),"&amp;minuto_inicial=",MINUTE(IF(E498&lt;&gt;"",IF(COUNTIF($F$2:$F498,F498)&gt;1,MAX(IF($F$1:$F497=F498,$E$1:$E497)),""),"")),"&amp;hora_final=",HOUR(E498),"&amp;minuto_final=",MINUTE(E498),"&amp;periodo=6&amp;tipo=por_data&amp;upos=false&amp;outequip=0")),"")</f>
        <v/>
      </c>
      <c r="AN498" s="100" t="str">
        <f t="shared" si="59"/>
        <v xml:space="preserve">ABASTECEU no CANDEIAS-MG ABASTECEU no 22 SUL            </v>
      </c>
    </row>
    <row r="499" spans="1:40" x14ac:dyDescent="0.25">
      <c r="A499" s="101">
        <f>IFERROR(VLOOKUP(AN499,ROTAS!$A:$B,2,FALSE),0)</f>
        <v>13</v>
      </c>
      <c r="B499" s="101">
        <f t="shared" si="60"/>
        <v>16</v>
      </c>
      <c r="C499" s="101">
        <f t="shared" si="61"/>
        <v>363.3125</v>
      </c>
      <c r="D499" s="144">
        <v>44927</v>
      </c>
      <c r="E499" s="76">
        <v>44949.833333333336</v>
      </c>
      <c r="F499" s="9" t="s">
        <v>35</v>
      </c>
      <c r="G499" s="5" t="str">
        <f>IFERROR(VLOOKUP(SUMIFS(MSOLICITADA!$I:$I,MSOLICITADA!$B:$B,D499,MSOLICITADA!$F:$F,F499),CODIGOSPLACAS!$A$64:$B$89,2,FALSE),"")</f>
        <v>JOEL</v>
      </c>
      <c r="H499" s="77">
        <v>231983</v>
      </c>
      <c r="I499" s="77">
        <v>232165</v>
      </c>
      <c r="J499" s="7">
        <v>111.2</v>
      </c>
      <c r="K499" s="78">
        <v>642.73599999999999</v>
      </c>
      <c r="L499" s="79" t="s">
        <v>112</v>
      </c>
      <c r="M499" s="6">
        <v>91</v>
      </c>
      <c r="N499" s="5">
        <f t="shared" si="55"/>
        <v>91</v>
      </c>
      <c r="O499" s="80">
        <f t="shared" si="56"/>
        <v>5.7799999999999994</v>
      </c>
      <c r="P499" s="8">
        <f t="shared" si="57"/>
        <v>1.6366906474820144</v>
      </c>
      <c r="Q499" s="8">
        <f t="shared" si="62"/>
        <v>1.5445311844203811</v>
      </c>
      <c r="R499" s="81">
        <f t="shared" si="58"/>
        <v>0.5</v>
      </c>
      <c r="S499" s="113" t="str">
        <f>IF(F499="","",IF(H499="",TEXT(_xlfn.MAXIFS($I$1:I499,$F$1:F499,F499,$H$1:H499,"&gt;"&amp;0),"000.000"),F499))</f>
        <v>QNP3A97</v>
      </c>
      <c r="T499" s="101">
        <f t="shared" si="63"/>
        <v>186.5</v>
      </c>
      <c r="U499" s="82" t="s">
        <v>220</v>
      </c>
      <c r="V499" s="98" t="s">
        <v>206</v>
      </c>
      <c r="W499" s="82" t="s">
        <v>220</v>
      </c>
      <c r="X499" s="98" t="s">
        <v>206</v>
      </c>
      <c r="Y499" s="82"/>
      <c r="Z499" s="98"/>
      <c r="AA499" s="82"/>
      <c r="AB499" s="98"/>
      <c r="AC499" s="82"/>
      <c r="AD499" s="98"/>
      <c r="AE499" s="118"/>
      <c r="AF499" s="98"/>
      <c r="AG499" s="82"/>
      <c r="AH499" s="98"/>
      <c r="AI499" s="82"/>
      <c r="AJ499" s="98"/>
      <c r="AK499" s="83"/>
      <c r="AL499" s="84" t="str">
        <f>IF(F499&lt;&gt;0,IF(_xlfn.MAXIFS($I$1:I499,$F$1:F499,F499,$H$1:H499,"&gt;"&amp;0)=0,"KM NÃO ENCONTRADO",IF(H499=0,CONCATENATE("SUGESTÃO DE KM PARA PLACA ",F499," *",_xlfn.MAXIFS($I$1:I499,$F$1:F499,F499,$H$1:H499,"&gt;"&amp;0),"*"),"")),"")</f>
        <v/>
      </c>
      <c r="AM499" s="85" t="str" cm="1">
        <f t="array" ref="AM499">IFERROR(IF(M499&lt;&gt;"","",CONCATENATE("https://btx.brasiltrack.com/logistica/trajeto.php?idveiculo=",VLOOKUP(F499,DATAS!$A$221:$B$250,2,FALSE),"&amp;lat=-22.204247","&amp;data_ini=",TEXT(IF(E499&lt;&gt;"",IF(COUNTIF($F$2:$F499,F499)&gt;1,MAX(IF($F$1:$F498=F499,$E$1:$E498)),""),""),"DD/MM/AAAA"),"&amp;data_fim=",TEXT(E499,"DD/MM/AAAA"),"&amp;hora_inicial=",HOUR(IF(E499&lt;&gt;"",IF(COUNTIF($F$2:$F499,F499)&gt;1,MAX(IF($F$1:$F498=F499,$E$1:$E498)),""),"")),"&amp;minuto_inicial=",MINUTE(IF(E499&lt;&gt;"",IF(COUNTIF($F$2:$F499,F499)&gt;1,MAX(IF($F$1:$F498=F499,$E$1:$E498)),""),"")),"&amp;hora_final=",HOUR(E499),"&amp;minuto_final=",MINUTE(E499),"&amp;periodo=6&amp;tipo=por_data&amp;upos=false&amp;outequip=0")),"")</f>
        <v/>
      </c>
      <c r="AN499" s="100" t="str">
        <f t="shared" si="59"/>
        <v xml:space="preserve">ABASTECEU no CANDEIAS-MG ABASTECEU no CANDEIAS-MG            </v>
      </c>
    </row>
    <row r="500" spans="1:40" x14ac:dyDescent="0.25">
      <c r="A500" s="101">
        <f>IFERROR(VLOOKUP(AN500,ROTAS!$A:$B,2,FALSE),0)</f>
        <v>144</v>
      </c>
      <c r="B500" s="101">
        <f t="shared" si="60"/>
        <v>1</v>
      </c>
      <c r="C500" s="101">
        <f t="shared" si="61"/>
        <v>1159</v>
      </c>
      <c r="D500" s="144">
        <v>44927</v>
      </c>
      <c r="E500" s="76">
        <v>44950.372916666667</v>
      </c>
      <c r="F500" s="6" t="s">
        <v>29</v>
      </c>
      <c r="G500" s="5" t="str">
        <f>IFERROR(VLOOKUP(SUMIFS(MSOLICITADA!$I:$I,MSOLICITADA!$B:$B,D500,MSOLICITADA!$F:$F,F500),CODIGOSPLACAS!$A$64:$B$89,2,FALSE),"")</f>
        <v>EDNILSON</v>
      </c>
      <c r="H500" s="77">
        <v>243904</v>
      </c>
      <c r="I500" s="77">
        <v>245063</v>
      </c>
      <c r="J500" s="7">
        <v>523.08100000000002</v>
      </c>
      <c r="K500" s="78">
        <v>3185.56</v>
      </c>
      <c r="L500" s="79" t="s">
        <v>111</v>
      </c>
      <c r="M500" s="6">
        <v>347</v>
      </c>
      <c r="N500" s="5">
        <f t="shared" si="55"/>
        <v>812</v>
      </c>
      <c r="O500" s="80">
        <f t="shared" si="56"/>
        <v>6.0899937103431396</v>
      </c>
      <c r="P500" s="8">
        <f t="shared" si="57"/>
        <v>1.5738176959214831</v>
      </c>
      <c r="Q500" s="8">
        <f t="shared" si="62"/>
        <v>1.5966128652005338</v>
      </c>
      <c r="R500" s="81">
        <f t="shared" si="58"/>
        <v>0.29939603106125973</v>
      </c>
      <c r="S500" s="113" t="str">
        <f>IF(F500="","",IF(H500="",TEXT(_xlfn.MAXIFS($I$1:I500,$F$1:F500,F500,$H$1:H500,"&gt;"&amp;0),"000.000"),F500))</f>
        <v>GKA2J56</v>
      </c>
      <c r="T500" s="101">
        <f t="shared" si="63"/>
        <v>812</v>
      </c>
      <c r="U500" s="82" t="s">
        <v>220</v>
      </c>
      <c r="V500" s="98" t="s">
        <v>165</v>
      </c>
      <c r="W500" s="82" t="s">
        <v>222</v>
      </c>
      <c r="X500" s="98" t="s">
        <v>200</v>
      </c>
      <c r="Y500" s="82" t="s">
        <v>225</v>
      </c>
      <c r="Z500" s="98" t="s">
        <v>206</v>
      </c>
      <c r="AA500" s="82" t="s">
        <v>225</v>
      </c>
      <c r="AB500" s="98" t="s">
        <v>284</v>
      </c>
      <c r="AC500" s="82" t="s">
        <v>221</v>
      </c>
      <c r="AD500" s="98" t="s">
        <v>175</v>
      </c>
      <c r="AE500" s="82" t="s">
        <v>225</v>
      </c>
      <c r="AF500" s="98" t="s">
        <v>237</v>
      </c>
      <c r="AG500" s="82" t="s">
        <v>220</v>
      </c>
      <c r="AH500" s="98" t="s">
        <v>165</v>
      </c>
      <c r="AI500" s="82"/>
      <c r="AJ500" s="98"/>
      <c r="AK500" s="83">
        <v>490</v>
      </c>
      <c r="AL500" s="84" t="str">
        <f>IF(F500&lt;&gt;0,IF(_xlfn.MAXIFS($I$1:I500,$F$1:F500,F500,$H$1:H500,"&gt;"&amp;0)=0,"KM NÃO ENCONTRADO",IF(H500=0,CONCATENATE("SUGESTÃO DE KM PARA PLACA ",F500," *",_xlfn.MAXIFS($I$1:I500,$F$1:F500,F500,$H$1:H500,"&gt;"&amp;0),"*"),"")),"")</f>
        <v/>
      </c>
      <c r="AM500" s="85" t="str" cm="1">
        <f t="array" ref="AM500">IFERROR(IF(M500&lt;&gt;"","",CONCATENATE("https://btx.brasiltrack.com/logistica/trajeto.php?idveiculo=",VLOOKUP(F500,DATAS!$A$221:$B$250,2,FALSE),"&amp;lat=-22.204247","&amp;data_ini=",TEXT(IF(E500&lt;&gt;"",IF(COUNTIF($F$2:$F500,F500)&gt;1,MAX(IF($F$1:$F499=F500,$E$1:$E499)),""),""),"DD/MM/AAAA"),"&amp;data_fim=",TEXT(E500,"DD/MM/AAAA"),"&amp;hora_inicial=",HOUR(IF(E500&lt;&gt;"",IF(COUNTIF($F$2:$F500,F500)&gt;1,MAX(IF($F$1:$F499=F500,$E$1:$E499)),""),"")),"&amp;minuto_inicial=",MINUTE(IF(E500&lt;&gt;"",IF(COUNTIF($F$2:$F500,F500)&gt;1,MAX(IF($F$1:$F499=F500,$E$1:$E499)),""),"")),"&amp;hora_final=",HOUR(E500),"&amp;minuto_final=",MINUTE(E500),"&amp;periodo=6&amp;tipo=por_data&amp;upos=false&amp;outequip=0")),"")</f>
        <v/>
      </c>
      <c r="AN500" s="100" t="str">
        <f t="shared" si="59"/>
        <v xml:space="preserve">ABASTECEU no 22 NORTE DESCARREGOU em CONGONHAL-MG PASSOU em CANDEIAS-MG PASSOU em SÃO PAULO-SP CARREGOU em SANTOS-SP PASSOU em ARUJÁ-SP ABASTECEU no 22 NORTE  </v>
      </c>
    </row>
    <row r="501" spans="1:40" x14ac:dyDescent="0.25">
      <c r="A501" s="101">
        <f>IFERROR(VLOOKUP(AN501,ROTAS!$A:$B,2,FALSE),0)</f>
        <v>12</v>
      </c>
      <c r="B501" s="101">
        <f t="shared" si="60"/>
        <v>5</v>
      </c>
      <c r="C501" s="101">
        <f t="shared" si="61"/>
        <v>655.4</v>
      </c>
      <c r="D501" s="144">
        <v>44927</v>
      </c>
      <c r="E501" s="76">
        <v>44950.39166666667</v>
      </c>
      <c r="F501" s="6" t="s">
        <v>27</v>
      </c>
      <c r="G501" s="5" t="str">
        <f>IFERROR(VLOOKUP(SUMIFS(MSOLICITADA!$I:$I,MSOLICITADA!$B:$B,D501,MSOLICITADA!$F:$F,F501),CODIGOSPLACAS!$A$64:$B$89,2,FALSE),"")</f>
        <v>ANTONIO</v>
      </c>
      <c r="H501" s="77">
        <v>253725</v>
      </c>
      <c r="I501" s="77">
        <v>254383</v>
      </c>
      <c r="J501" s="7">
        <v>447.00099999999998</v>
      </c>
      <c r="K501" s="78">
        <v>2722.35</v>
      </c>
      <c r="L501" s="79" t="s">
        <v>111</v>
      </c>
      <c r="M501" s="6">
        <v>368</v>
      </c>
      <c r="N501" s="5">
        <f t="shared" si="55"/>
        <v>290</v>
      </c>
      <c r="O501" s="80">
        <f t="shared" si="56"/>
        <v>6.0902548316446721</v>
      </c>
      <c r="P501" s="8">
        <f t="shared" si="57"/>
        <v>1.472032501045859</v>
      </c>
      <c r="Q501" s="8">
        <f t="shared" si="62"/>
        <v>1.4666276036610979</v>
      </c>
      <c r="R501" s="81">
        <f t="shared" si="58"/>
        <v>0.55927051671732519</v>
      </c>
      <c r="S501" s="113" t="str">
        <f>IF(F501="","",IF(H501="",TEXT(_xlfn.MAXIFS($I$1:I501,$F$1:F501,F501,$H$1:H501,"&gt;"&amp;0),"000.000"),F501))</f>
        <v>GHS4J57</v>
      </c>
      <c r="T501" s="101">
        <f t="shared" si="63"/>
        <v>290</v>
      </c>
      <c r="U501" s="82" t="s">
        <v>220</v>
      </c>
      <c r="V501" s="98" t="s">
        <v>165</v>
      </c>
      <c r="W501" s="82" t="s">
        <v>222</v>
      </c>
      <c r="X501" s="98" t="s">
        <v>200</v>
      </c>
      <c r="Y501" s="82" t="s">
        <v>225</v>
      </c>
      <c r="Z501" s="98" t="s">
        <v>284</v>
      </c>
      <c r="AA501" s="82" t="s">
        <v>221</v>
      </c>
      <c r="AB501" s="98" t="s">
        <v>175</v>
      </c>
      <c r="AC501" s="82" t="s">
        <v>225</v>
      </c>
      <c r="AD501" s="98" t="s">
        <v>237</v>
      </c>
      <c r="AE501" s="82" t="s">
        <v>220</v>
      </c>
      <c r="AF501" s="98" t="s">
        <v>165</v>
      </c>
      <c r="AG501" s="82"/>
      <c r="AH501" s="98"/>
      <c r="AI501" s="82"/>
      <c r="AJ501" s="98"/>
      <c r="AK501" s="83"/>
      <c r="AL501" s="84" t="str">
        <f>IF(F501&lt;&gt;0,IF(_xlfn.MAXIFS($I$1:I501,$F$1:F501,F501,$H$1:H501,"&gt;"&amp;0)=0,"KM NÃO ENCONTRADO",IF(H501=0,CONCATENATE("SUGESTÃO DE KM PARA PLACA ",F501," *",_xlfn.MAXIFS($I$1:I501,$F$1:F501,F501,$H$1:H501,"&gt;"&amp;0),"*"),"")),"")</f>
        <v/>
      </c>
      <c r="AM501" s="85" t="str" cm="1">
        <f t="array" ref="AM501">IFERROR(IF(M501&lt;&gt;"","",CONCATENATE("https://btx.brasiltrack.com/logistica/trajeto.php?idveiculo=",VLOOKUP(F501,DATAS!$A$221:$B$250,2,FALSE),"&amp;lat=-22.204247","&amp;data_ini=",TEXT(IF(E501&lt;&gt;"",IF(COUNTIF($F$2:$F501,F501)&gt;1,MAX(IF($F$1:$F500=F501,$E$1:$E500)),""),""),"DD/MM/AAAA"),"&amp;data_fim=",TEXT(E501,"DD/MM/AAAA"),"&amp;hora_inicial=",HOUR(IF(E501&lt;&gt;"",IF(COUNTIF($F$2:$F501,F501)&gt;1,MAX(IF($F$1:$F500=F501,$E$1:$E500)),""),"")),"&amp;minuto_inicial=",MINUTE(IF(E501&lt;&gt;"",IF(COUNTIF($F$2:$F501,F501)&gt;1,MAX(IF($F$1:$F500=F501,$E$1:$E500)),""),"")),"&amp;hora_final=",HOUR(E501),"&amp;minuto_final=",MINUTE(E501),"&amp;periodo=6&amp;tipo=por_data&amp;upos=false&amp;outequip=0")),"")</f>
        <v/>
      </c>
      <c r="AN501" s="100" t="str">
        <f t="shared" si="59"/>
        <v xml:space="preserve">ABASTECEU no 22 NORTE DESCARREGOU em CONGONHAL-MG PASSOU em SÃO PAULO-SP CARREGOU em SANTOS-SP PASSOU em ARUJÁ-SP ABASTECEU no 22 NORTE    </v>
      </c>
    </row>
    <row r="502" spans="1:40" x14ac:dyDescent="0.25">
      <c r="A502" s="101">
        <f>IFERROR(VLOOKUP(AN502,ROTAS!$A:$B,2,FALSE),0)</f>
        <v>12</v>
      </c>
      <c r="B502" s="101">
        <f t="shared" si="60"/>
        <v>5</v>
      </c>
      <c r="C502" s="101">
        <f t="shared" si="61"/>
        <v>655.4</v>
      </c>
      <c r="D502" s="144">
        <v>44927</v>
      </c>
      <c r="E502" s="76">
        <v>44950.393750000003</v>
      </c>
      <c r="F502" s="6" t="s">
        <v>124</v>
      </c>
      <c r="G502" s="5" t="str">
        <f>IFERROR(VLOOKUP(SUMIFS(MSOLICITADA!$I:$I,MSOLICITADA!$B:$B,D502,MSOLICITADA!$F:$F,F502),CODIGOSPLACAS!$A$64:$B$89,2,FALSE),"")</f>
        <v>ISRAEL</v>
      </c>
      <c r="H502" s="77">
        <v>145378</v>
      </c>
      <c r="I502" s="77">
        <v>146040</v>
      </c>
      <c r="J502" s="7">
        <v>405</v>
      </c>
      <c r="K502" s="78">
        <v>2466.4499999999998</v>
      </c>
      <c r="L502" s="79" t="s">
        <v>111</v>
      </c>
      <c r="M502" s="6">
        <v>372</v>
      </c>
      <c r="N502" s="5">
        <f t="shared" si="55"/>
        <v>290</v>
      </c>
      <c r="O502" s="80">
        <f t="shared" si="56"/>
        <v>6.09</v>
      </c>
      <c r="P502" s="8">
        <f t="shared" si="57"/>
        <v>1.634567901234568</v>
      </c>
      <c r="Q502" s="8">
        <f t="shared" si="62"/>
        <v>1.6528367477149088</v>
      </c>
      <c r="R502" s="81">
        <f t="shared" si="58"/>
        <v>0.5619335347432024</v>
      </c>
      <c r="S502" s="113" t="str">
        <f>IF(F502="","",IF(H502="",TEXT(_xlfn.MAXIFS($I$1:I502,$F$1:F502,F502,$H$1:H502,"&gt;"&amp;0),"000.000"),F502))</f>
        <v>GHH9B64</v>
      </c>
      <c r="T502" s="101">
        <f t="shared" si="63"/>
        <v>290</v>
      </c>
      <c r="U502" s="82" t="s">
        <v>220</v>
      </c>
      <c r="V502" s="98" t="s">
        <v>165</v>
      </c>
      <c r="W502" s="82" t="s">
        <v>222</v>
      </c>
      <c r="X502" s="98" t="s">
        <v>200</v>
      </c>
      <c r="Y502" s="82" t="s">
        <v>225</v>
      </c>
      <c r="Z502" s="98" t="s">
        <v>284</v>
      </c>
      <c r="AA502" s="82" t="s">
        <v>221</v>
      </c>
      <c r="AB502" s="98" t="s">
        <v>175</v>
      </c>
      <c r="AC502" s="82" t="s">
        <v>225</v>
      </c>
      <c r="AD502" s="98" t="s">
        <v>237</v>
      </c>
      <c r="AE502" s="82" t="s">
        <v>220</v>
      </c>
      <c r="AF502" s="98" t="s">
        <v>165</v>
      </c>
      <c r="AG502" s="82"/>
      <c r="AH502" s="98"/>
      <c r="AI502" s="82"/>
      <c r="AJ502" s="98"/>
      <c r="AK502" s="83"/>
      <c r="AL502" s="84" t="str">
        <f>IF(F502&lt;&gt;0,IF(_xlfn.MAXIFS($I$1:I502,$F$1:F502,F502,$H$1:H502,"&gt;"&amp;0)=0,"KM NÃO ENCONTRADO",IF(H502=0,CONCATENATE("SUGESTÃO DE KM PARA PLACA ",F502," *",_xlfn.MAXIFS($I$1:I502,$F$1:F502,F502,$H$1:H502,"&gt;"&amp;0),"*"),"")),"")</f>
        <v/>
      </c>
      <c r="AM502" s="85" t="str" cm="1">
        <f t="array" ref="AM502">IFERROR(IF(M502&lt;&gt;"","",CONCATENATE("https://btx.brasiltrack.com/logistica/trajeto.php?idveiculo=",VLOOKUP(F502,DATAS!$A$221:$B$250,2,FALSE),"&amp;lat=-22.204247","&amp;data_ini=",TEXT(IF(E502&lt;&gt;"",IF(COUNTIF($F$2:$F502,F502)&gt;1,MAX(IF($F$1:$F501=F502,$E$1:$E501)),""),""),"DD/MM/AAAA"),"&amp;data_fim=",TEXT(E502,"DD/MM/AAAA"),"&amp;hora_inicial=",HOUR(IF(E502&lt;&gt;"",IF(COUNTIF($F$2:$F502,F502)&gt;1,MAX(IF($F$1:$F501=F502,$E$1:$E501)),""),"")),"&amp;minuto_inicial=",MINUTE(IF(E502&lt;&gt;"",IF(COUNTIF($F$2:$F502,F502)&gt;1,MAX(IF($F$1:$F501=F502,$E$1:$E501)),""),"")),"&amp;hora_final=",HOUR(E502),"&amp;minuto_final=",MINUTE(E502),"&amp;periodo=6&amp;tipo=por_data&amp;upos=false&amp;outequip=0")),"")</f>
        <v/>
      </c>
      <c r="AN502" s="100" t="str">
        <f t="shared" si="59"/>
        <v xml:space="preserve">ABASTECEU no 22 NORTE DESCARREGOU em CONGONHAL-MG PASSOU em SÃO PAULO-SP CARREGOU em SANTOS-SP PASSOU em ARUJÁ-SP ABASTECEU no 22 NORTE    </v>
      </c>
    </row>
    <row r="503" spans="1:40" x14ac:dyDescent="0.25">
      <c r="A503" s="101">
        <f>IFERROR(VLOOKUP(AN503,ROTAS!$A:$B,2,FALSE),0)</f>
        <v>138</v>
      </c>
      <c r="B503" s="101">
        <f t="shared" si="60"/>
        <v>1</v>
      </c>
      <c r="C503" s="101">
        <f t="shared" si="61"/>
        <v>1109</v>
      </c>
      <c r="D503" s="144">
        <v>44927</v>
      </c>
      <c r="E503" s="76">
        <v>44950.76666666667</v>
      </c>
      <c r="F503" s="6" t="s">
        <v>30</v>
      </c>
      <c r="G503" s="5" t="str">
        <f>IFERROR(VLOOKUP(SUMIFS(MSOLICITADA!$I:$I,MSOLICITADA!$B:$B,D503,MSOLICITADA!$F:$F,F503),CODIGOSPLACAS!$A$64:$B$89,2,FALSE),"")</f>
        <v>RONILSON</v>
      </c>
      <c r="H503" s="77">
        <v>225177</v>
      </c>
      <c r="I503" s="77">
        <v>226286</v>
      </c>
      <c r="J503" s="7">
        <v>701.5</v>
      </c>
      <c r="K503" s="78">
        <v>4272.1400000000003</v>
      </c>
      <c r="L503" s="79" t="s">
        <v>111</v>
      </c>
      <c r="M503" s="6">
        <v>595</v>
      </c>
      <c r="N503" s="5">
        <f t="shared" si="55"/>
        <v>514</v>
      </c>
      <c r="O503" s="80">
        <f t="shared" si="56"/>
        <v>6.0900071275837497</v>
      </c>
      <c r="P503" s="8">
        <f t="shared" si="57"/>
        <v>1.5808980755523878</v>
      </c>
      <c r="Q503" s="8">
        <f t="shared" si="62"/>
        <v>1.6205104706314435</v>
      </c>
      <c r="R503" s="81">
        <f t="shared" si="58"/>
        <v>0.53651938683498646</v>
      </c>
      <c r="S503" s="113" t="str">
        <f>IF(F503="","",IF(H503="",TEXT(_xlfn.MAXIFS($I$1:I503,$F$1:F503,F503,$H$1:H503,"&gt;"&amp;0),"000.000"),F503))</f>
        <v>GFB0I37</v>
      </c>
      <c r="T503" s="101">
        <f t="shared" si="63"/>
        <v>514</v>
      </c>
      <c r="U503" s="82" t="s">
        <v>220</v>
      </c>
      <c r="V503" s="98" t="s">
        <v>165</v>
      </c>
      <c r="W503" s="82" t="s">
        <v>222</v>
      </c>
      <c r="X503" s="98" t="s">
        <v>176</v>
      </c>
      <c r="Y503" s="82" t="s">
        <v>221</v>
      </c>
      <c r="Z503" s="98" t="s">
        <v>200</v>
      </c>
      <c r="AA503" s="82" t="s">
        <v>222</v>
      </c>
      <c r="AB503" s="98" t="s">
        <v>176</v>
      </c>
      <c r="AC503" s="82" t="s">
        <v>225</v>
      </c>
      <c r="AD503" s="98" t="s">
        <v>284</v>
      </c>
      <c r="AE503" s="82" t="s">
        <v>221</v>
      </c>
      <c r="AF503" s="98" t="s">
        <v>175</v>
      </c>
      <c r="AG503" s="82" t="s">
        <v>225</v>
      </c>
      <c r="AH503" s="98" t="s">
        <v>237</v>
      </c>
      <c r="AI503" s="82" t="s">
        <v>220</v>
      </c>
      <c r="AJ503" s="98" t="s">
        <v>165</v>
      </c>
      <c r="AK503" s="83"/>
      <c r="AL503" s="84" t="str">
        <f>IF(F503&lt;&gt;0,IF(_xlfn.MAXIFS($I$1:I503,$F$1:F503,F503,$H$1:H503,"&gt;"&amp;0)=0,"KM NÃO ENCONTRADO",IF(H503=0,CONCATENATE("SUGESTÃO DE KM PARA PLACA ",F503," *",_xlfn.MAXIFS($I$1:I503,$F$1:F503,F503,$H$1:H503,"&gt;"&amp;0),"*"),"")),"")</f>
        <v/>
      </c>
      <c r="AM503" s="85" t="str" cm="1">
        <f t="array" ref="AM503">IFERROR(IF(M503&lt;&gt;"","",CONCATENATE("https://btx.brasiltrack.com/logistica/trajeto.php?idveiculo=",VLOOKUP(F503,DATAS!$A$221:$B$250,2,FALSE),"&amp;lat=-22.204247","&amp;data_ini=",TEXT(IF(E503&lt;&gt;"",IF(COUNTIF($F$2:$F503,F503)&gt;1,MAX(IF($F$1:$F502=F503,$E$1:$E502)),""),""),"DD/MM/AAAA"),"&amp;data_fim=",TEXT(E503,"DD/MM/AAAA"),"&amp;hora_inicial=",HOUR(IF(E503&lt;&gt;"",IF(COUNTIF($F$2:$F503,F503)&gt;1,MAX(IF($F$1:$F502=F503,$E$1:$E502)),""),"")),"&amp;minuto_inicial=",MINUTE(IF(E503&lt;&gt;"",IF(COUNTIF($F$2:$F503,F503)&gt;1,MAX(IF($F$1:$F502=F503,$E$1:$E502)),""),"")),"&amp;hora_final=",HOUR(E503),"&amp;minuto_final=",MINUTE(E503),"&amp;periodo=6&amp;tipo=por_data&amp;upos=false&amp;outequip=0")),"")</f>
        <v/>
      </c>
      <c r="AN503" s="100" t="str">
        <f t="shared" si="59"/>
        <v>ABASTECEU no 22 NORTE DESCARREGOU em ALFENAS-MG CARREGOU em CONGONHAL-MG DESCARREGOU em ALFENAS-MG PASSOU em SÃO PAULO-SP CARREGOU em SANTOS-SP PASSOU em ARUJÁ-SP ABASTECEU no 22 NORTE</v>
      </c>
    </row>
    <row r="504" spans="1:40" x14ac:dyDescent="0.25">
      <c r="A504" s="101">
        <f>IFERROR(VLOOKUP(AN504,ROTAS!$A:$B,2,FALSE),0)</f>
        <v>143</v>
      </c>
      <c r="B504" s="101">
        <f t="shared" si="60"/>
        <v>1</v>
      </c>
      <c r="C504" s="101">
        <f t="shared" si="61"/>
        <v>823</v>
      </c>
      <c r="D504" s="144">
        <v>44927</v>
      </c>
      <c r="E504" s="76">
        <v>44950.930555555555</v>
      </c>
      <c r="F504" s="6" t="s">
        <v>127</v>
      </c>
      <c r="G504" s="5" t="str">
        <f>IFERROR(VLOOKUP(SUMIFS(MSOLICITADA!$I:$I,MSOLICITADA!$B:$B,D504,MSOLICITADA!$F:$F,F504),CODIGOSPLACAS!$A$64:$B$89,2,FALSE),"")</f>
        <v>EVERTON</v>
      </c>
      <c r="H504" s="77">
        <v>1236882</v>
      </c>
      <c r="I504" s="77">
        <v>1237705</v>
      </c>
      <c r="J504" s="7">
        <v>379.73</v>
      </c>
      <c r="K504" s="78">
        <v>2274.58</v>
      </c>
      <c r="L504" s="79" t="s">
        <v>111</v>
      </c>
      <c r="M504" s="6"/>
      <c r="N504" s="5">
        <f t="shared" si="55"/>
        <v>823</v>
      </c>
      <c r="O504" s="80">
        <f t="shared" si="56"/>
        <v>5.9899928896847756</v>
      </c>
      <c r="P504" s="8">
        <f t="shared" si="57"/>
        <v>2.1673294182708767</v>
      </c>
      <c r="Q504" s="8">
        <f t="shared" si="62"/>
        <v>1.9701972800245917</v>
      </c>
      <c r="R504" s="81">
        <f t="shared" si="58"/>
        <v>0</v>
      </c>
      <c r="S504" s="113" t="str">
        <f>IF(F504="","",IF(H504="",TEXT(_xlfn.MAXIFS($I$1:I504,$F$1:F504,F504,$H$1:H504,"&gt;"&amp;0),"000.000"),F504))</f>
        <v>OPM8J51</v>
      </c>
      <c r="T504" s="101" t="str">
        <f t="shared" si="63"/>
        <v/>
      </c>
      <c r="U504" s="82" t="s">
        <v>220</v>
      </c>
      <c r="V504" s="98" t="s">
        <v>165</v>
      </c>
      <c r="W504" s="82" t="s">
        <v>222</v>
      </c>
      <c r="X504" s="98" t="s">
        <v>200</v>
      </c>
      <c r="Y504" s="82" t="s">
        <v>221</v>
      </c>
      <c r="Z504" s="98" t="s">
        <v>200</v>
      </c>
      <c r="AA504" s="82" t="s">
        <v>222</v>
      </c>
      <c r="AB504" s="98" t="s">
        <v>206</v>
      </c>
      <c r="AC504" s="82" t="s">
        <v>220</v>
      </c>
      <c r="AD504" s="98" t="s">
        <v>166</v>
      </c>
      <c r="AE504" s="82"/>
      <c r="AF504" s="98"/>
      <c r="AG504" s="82"/>
      <c r="AH504" s="98"/>
      <c r="AI504" s="82"/>
      <c r="AJ504" s="98"/>
      <c r="AK504" s="83"/>
      <c r="AL504" s="84" t="str">
        <f>IF(F504&lt;&gt;0,IF(_xlfn.MAXIFS($I$1:I504,$F$1:F504,F504,$H$1:H504,"&gt;"&amp;0)=0,"KM NÃO ENCONTRADO",IF(H504=0,CONCATENATE("SUGESTÃO DE KM PARA PLACA ",F504," *",_xlfn.MAXIFS($I$1:I504,$F$1:F504,F504,$H$1:H504,"&gt;"&amp;0),"*"),"")),"")</f>
        <v/>
      </c>
      <c r="AM504" s="85" t="str" cm="1">
        <f t="array" ref="AM504">IFERROR(IF(M504&lt;&gt;"","",CONCATENATE("https://btx.brasiltrack.com/logistica/trajeto.php?idveiculo=",VLOOKUP(F504,DATAS!$A$221:$B$250,2,FALSE),"&amp;lat=-22.204247","&amp;data_ini=",TEXT(IF(E504&lt;&gt;"",IF(COUNTIF($F$2:$F504,F504)&gt;1,MAX(IF($F$1:$F503=F504,$E$1:$E503)),""),""),"DD/MM/AAAA"),"&amp;data_fim=",TEXT(E504,"DD/MM/AAAA"),"&amp;hora_inicial=",HOUR(IF(E504&lt;&gt;"",IF(COUNTIF($F$2:$F504,F504)&gt;1,MAX(IF($F$1:$F503=F504,$E$1:$E503)),""),"")),"&amp;minuto_inicial=",MINUTE(IF(E504&lt;&gt;"",IF(COUNTIF($F$2:$F504,F504)&gt;1,MAX(IF($F$1:$F503=F504,$E$1:$E503)),""),"")),"&amp;hora_final=",HOUR(E504),"&amp;minuto_final=",MINUTE(E504),"&amp;periodo=6&amp;tipo=por_data&amp;upos=false&amp;outequip=0")),"")</f>
        <v>https://btx.brasiltrack.com/logistica/trajeto.php?idveiculo=6B275FDC-A2AC-4272-8CE2-C39701ECE18D&amp;lat=-22.204247&amp;data_ini=19/01/2023&amp;data_fim=24/01/2023&amp;hora_inicial=5&amp;minuto_inicial=10&amp;hora_final=22&amp;minuto_final=20&amp;periodo=6&amp;tipo=por_data&amp;upos=false&amp;outequip=0</v>
      </c>
      <c r="AN504" s="100" t="str">
        <f t="shared" si="59"/>
        <v xml:space="preserve">ABASTECEU no 22 NORTE DESCARREGOU em CONGONHAL-MG CARREGOU em CONGONHAL-MG DESCARREGOU em CANDEIAS-MG ABASTECEU no 22 SUL      </v>
      </c>
    </row>
    <row r="505" spans="1:40" x14ac:dyDescent="0.25">
      <c r="A505" s="101">
        <f>IFERROR(VLOOKUP(AN505,ROTAS!$A:$B,2,FALSE),0)</f>
        <v>140</v>
      </c>
      <c r="B505" s="101">
        <f t="shared" si="60"/>
        <v>1</v>
      </c>
      <c r="C505" s="101">
        <f t="shared" si="61"/>
        <v>1097</v>
      </c>
      <c r="D505" s="144">
        <v>44927</v>
      </c>
      <c r="E505" s="76">
        <v>44951.022916666669</v>
      </c>
      <c r="F505" s="6" t="s">
        <v>28</v>
      </c>
      <c r="G505" s="5" t="str">
        <f>IFERROR(VLOOKUP(SUMIFS(MSOLICITADA!$I:$I,MSOLICITADA!$B:$B,D505,MSOLICITADA!$F:$F,F505),CODIGOSPLACAS!$A$64:$B$89,2,FALSE),"")</f>
        <v>RONY</v>
      </c>
      <c r="H505" s="77">
        <v>248772</v>
      </c>
      <c r="I505" s="77">
        <v>249869</v>
      </c>
      <c r="J505" s="7">
        <v>700</v>
      </c>
      <c r="K505" s="78">
        <v>4263</v>
      </c>
      <c r="L505" s="79" t="s">
        <v>111</v>
      </c>
      <c r="M505" s="6">
        <v>616</v>
      </c>
      <c r="N505" s="5">
        <f t="shared" si="55"/>
        <v>481</v>
      </c>
      <c r="O505" s="80">
        <f t="shared" si="56"/>
        <v>6.09</v>
      </c>
      <c r="P505" s="8">
        <f t="shared" si="57"/>
        <v>1.5671428571428572</v>
      </c>
      <c r="Q505" s="8">
        <f t="shared" si="62"/>
        <v>1.519654959485309</v>
      </c>
      <c r="R505" s="81">
        <f t="shared" si="58"/>
        <v>0.5615314494074749</v>
      </c>
      <c r="S505" s="113" t="str">
        <f>IF(F505="","",IF(H505="",TEXT(_xlfn.MAXIFS($I$1:I505,$F$1:F505,F505,$H$1:H505,"&gt;"&amp;0),"000.000"),F505))</f>
        <v>FZA3E94</v>
      </c>
      <c r="T505" s="101">
        <f t="shared" si="63"/>
        <v>481</v>
      </c>
      <c r="U505" s="82" t="s">
        <v>220</v>
      </c>
      <c r="V505" s="98" t="s">
        <v>165</v>
      </c>
      <c r="W505" s="82" t="s">
        <v>222</v>
      </c>
      <c r="X505" s="98" t="s">
        <v>176</v>
      </c>
      <c r="Y505" s="82" t="s">
        <v>221</v>
      </c>
      <c r="Z505" s="98" t="s">
        <v>200</v>
      </c>
      <c r="AA505" s="82" t="s">
        <v>222</v>
      </c>
      <c r="AB505" s="98" t="s">
        <v>176</v>
      </c>
      <c r="AC505" s="82" t="s">
        <v>225</v>
      </c>
      <c r="AD505" s="98" t="s">
        <v>284</v>
      </c>
      <c r="AE505" s="82" t="s">
        <v>221</v>
      </c>
      <c r="AF505" s="98" t="s">
        <v>168</v>
      </c>
      <c r="AG505" s="82" t="s">
        <v>225</v>
      </c>
      <c r="AH505" s="98" t="s">
        <v>284</v>
      </c>
      <c r="AI505" s="82" t="s">
        <v>220</v>
      </c>
      <c r="AJ505" s="98" t="s">
        <v>165</v>
      </c>
      <c r="AK505" s="83"/>
      <c r="AL505" s="84" t="str">
        <f>IF(F505&lt;&gt;0,IF(_xlfn.MAXIFS($I$1:I505,$F$1:F505,F505,$H$1:H505,"&gt;"&amp;0)=0,"KM NÃO ENCONTRADO",IF(H505=0,CONCATENATE("SUGESTÃO DE KM PARA PLACA ",F505," *",_xlfn.MAXIFS($I$1:I505,$F$1:F505,F505,$H$1:H505,"&gt;"&amp;0),"*"),"")),"")</f>
        <v/>
      </c>
      <c r="AM505" s="85" t="str" cm="1">
        <f t="array" ref="AM505">IFERROR(IF(M505&lt;&gt;"","",CONCATENATE("https://btx.brasiltrack.com/logistica/trajeto.php?idveiculo=",VLOOKUP(F505,DATAS!$A$221:$B$250,2,FALSE),"&amp;lat=-22.204247","&amp;data_ini=",TEXT(IF(E505&lt;&gt;"",IF(COUNTIF($F$2:$F505,F505)&gt;1,MAX(IF($F$1:$F504=F505,$E$1:$E504)),""),""),"DD/MM/AAAA"),"&amp;data_fim=",TEXT(E505,"DD/MM/AAAA"),"&amp;hora_inicial=",HOUR(IF(E505&lt;&gt;"",IF(COUNTIF($F$2:$F505,F505)&gt;1,MAX(IF($F$1:$F504=F505,$E$1:$E504)),""),"")),"&amp;minuto_inicial=",MINUTE(IF(E505&lt;&gt;"",IF(COUNTIF($F$2:$F505,F505)&gt;1,MAX(IF($F$1:$F504=F505,$E$1:$E504)),""),"")),"&amp;hora_final=",HOUR(E505),"&amp;minuto_final=",MINUTE(E505),"&amp;periodo=6&amp;tipo=por_data&amp;upos=false&amp;outequip=0")),"")</f>
        <v/>
      </c>
      <c r="AN505" s="100" t="str">
        <f t="shared" si="59"/>
        <v>ABASTECEU no 22 NORTE DESCARREGOU em ALFENAS-MG CARREGOU em CONGONHAL-MG DESCARREGOU em ALFENAS-MG PASSOU em SÃO PAULO-SP CARREGOU em CUBATAO-SP PASSOU em SÃO PAULO-SP ABASTECEU no 22 NORTE</v>
      </c>
    </row>
    <row r="506" spans="1:40" x14ac:dyDescent="0.25">
      <c r="A506" s="101">
        <f>IFERROR(VLOOKUP(AN506,ROTAS!$A:$B,2,FALSE),0)</f>
        <v>141</v>
      </c>
      <c r="B506" s="101">
        <f t="shared" si="60"/>
        <v>1</v>
      </c>
      <c r="C506" s="101">
        <f t="shared" si="61"/>
        <v>949</v>
      </c>
      <c r="D506" s="144">
        <v>44927</v>
      </c>
      <c r="E506" s="76">
        <v>44951.038888888892</v>
      </c>
      <c r="F506" s="6" t="s">
        <v>126</v>
      </c>
      <c r="G506" s="5" t="str">
        <f>IFERROR(VLOOKUP(SUMIFS(MSOLICITADA!$I:$I,MSOLICITADA!$B:$B,D506,MSOLICITADA!$F:$F,F506),CODIGOSPLACAS!$A$64:$B$89,2,FALSE),"")</f>
        <v>IZAIAS</v>
      </c>
      <c r="H506" s="77">
        <v>495846</v>
      </c>
      <c r="I506" s="77">
        <v>496795</v>
      </c>
      <c r="J506" s="7">
        <v>628.02</v>
      </c>
      <c r="K506" s="78">
        <v>3824.64</v>
      </c>
      <c r="L506" s="79" t="s">
        <v>111</v>
      </c>
      <c r="M506" s="6">
        <v>537</v>
      </c>
      <c r="N506" s="5">
        <f t="shared" si="55"/>
        <v>412</v>
      </c>
      <c r="O506" s="80">
        <f t="shared" si="56"/>
        <v>6.0899971338492405</v>
      </c>
      <c r="P506" s="8">
        <f t="shared" si="57"/>
        <v>1.5110983726632909</v>
      </c>
      <c r="Q506" s="8">
        <f t="shared" si="62"/>
        <v>1.5602257971131808</v>
      </c>
      <c r="R506" s="81">
        <f t="shared" si="58"/>
        <v>0.56585879873551104</v>
      </c>
      <c r="S506" s="113" t="str">
        <f>IF(F506="","",IF(H506="",TEXT(_xlfn.MAXIFS($I$1:I506,$F$1:F506,F506,$H$1:H506,"&gt;"&amp;0),"000.000"),F506))</f>
        <v>GHX4D71</v>
      </c>
      <c r="T506" s="101">
        <f t="shared" si="63"/>
        <v>412</v>
      </c>
      <c r="U506" s="82" t="s">
        <v>220</v>
      </c>
      <c r="V506" s="98" t="s">
        <v>165</v>
      </c>
      <c r="W506" s="82" t="s">
        <v>222</v>
      </c>
      <c r="X506" s="98" t="s">
        <v>200</v>
      </c>
      <c r="Y506" s="82" t="s">
        <v>221</v>
      </c>
      <c r="Z506" s="98" t="s">
        <v>200</v>
      </c>
      <c r="AA506" s="82" t="s">
        <v>222</v>
      </c>
      <c r="AB506" s="98" t="s">
        <v>176</v>
      </c>
      <c r="AC506" s="82" t="s">
        <v>225</v>
      </c>
      <c r="AD506" s="98" t="s">
        <v>237</v>
      </c>
      <c r="AE506" s="82" t="s">
        <v>221</v>
      </c>
      <c r="AF506" s="98" t="s">
        <v>175</v>
      </c>
      <c r="AG506" s="82" t="s">
        <v>225</v>
      </c>
      <c r="AH506" s="98" t="s">
        <v>237</v>
      </c>
      <c r="AI506" s="82" t="s">
        <v>220</v>
      </c>
      <c r="AJ506" s="98" t="s">
        <v>165</v>
      </c>
      <c r="AK506" s="83"/>
      <c r="AL506" s="84" t="str">
        <f>IF(F506&lt;&gt;0,IF(_xlfn.MAXIFS($I$1:I506,$F$1:F506,F506,$H$1:H506,"&gt;"&amp;0)=0,"KM NÃO ENCONTRADO",IF(H506=0,CONCATENATE("SUGESTÃO DE KM PARA PLACA ",F506," *",_xlfn.MAXIFS($I$1:I506,$F$1:F506,F506,$H$1:H506,"&gt;"&amp;0),"*"),"")),"")</f>
        <v/>
      </c>
      <c r="AM506" s="85" t="str" cm="1">
        <f t="array" ref="AM506">IFERROR(IF(M506&lt;&gt;"","",CONCATENATE("https://btx.brasiltrack.com/logistica/trajeto.php?idveiculo=",VLOOKUP(F506,DATAS!$A$221:$B$250,2,FALSE),"&amp;lat=-22.204247","&amp;data_ini=",TEXT(IF(E506&lt;&gt;"",IF(COUNTIF($F$2:$F506,F506)&gt;1,MAX(IF($F$1:$F505=F506,$E$1:$E505)),""),""),"DD/MM/AAAA"),"&amp;data_fim=",TEXT(E506,"DD/MM/AAAA"),"&amp;hora_inicial=",HOUR(IF(E506&lt;&gt;"",IF(COUNTIF($F$2:$F506,F506)&gt;1,MAX(IF($F$1:$F505=F506,$E$1:$E505)),""),"")),"&amp;minuto_inicial=",MINUTE(IF(E506&lt;&gt;"",IF(COUNTIF($F$2:$F506,F506)&gt;1,MAX(IF($F$1:$F505=F506,$E$1:$E505)),""),"")),"&amp;hora_final=",HOUR(E506),"&amp;minuto_final=",MINUTE(E506),"&amp;periodo=6&amp;tipo=por_data&amp;upos=false&amp;outequip=0")),"")</f>
        <v/>
      </c>
      <c r="AN506" s="100" t="str">
        <f t="shared" si="59"/>
        <v>ABASTECEU no 22 NORTE DESCARREGOU em CONGONHAL-MG CARREGOU em CONGONHAL-MG DESCARREGOU em ALFENAS-MG PASSOU em ARUJÁ-SP CARREGOU em SANTOS-SP PASSOU em ARUJÁ-SP ABASTECEU no 22 NORTE</v>
      </c>
    </row>
    <row r="507" spans="1:40" x14ac:dyDescent="0.25">
      <c r="A507" s="101">
        <f>IFERROR(VLOOKUP(AN507,ROTAS!$A:$B,2,FALSE),0)</f>
        <v>35</v>
      </c>
      <c r="B507" s="101">
        <f t="shared" si="60"/>
        <v>8</v>
      </c>
      <c r="C507" s="101">
        <f t="shared" si="61"/>
        <v>825.75</v>
      </c>
      <c r="D507" s="144">
        <v>44927</v>
      </c>
      <c r="E507" s="76">
        <v>44951.10833333333</v>
      </c>
      <c r="F507" s="6" t="s">
        <v>32</v>
      </c>
      <c r="G507" s="5" t="str">
        <f>IFERROR(VLOOKUP(SUMIFS(MSOLICITADA!$I:$I,MSOLICITADA!$B:$B,D507,MSOLICITADA!$F:$F,F507),CODIGOSPLACAS!$A$64:$B$89,2,FALSE),"")</f>
        <v>ADILSON</v>
      </c>
      <c r="H507" s="77">
        <v>207840</v>
      </c>
      <c r="I507" s="77">
        <v>208653</v>
      </c>
      <c r="J507" s="7">
        <v>445</v>
      </c>
      <c r="K507" s="78">
        <v>2710.05</v>
      </c>
      <c r="L507" s="79" t="s">
        <v>111</v>
      </c>
      <c r="M507" s="6">
        <v>388</v>
      </c>
      <c r="N507" s="5">
        <f t="shared" si="55"/>
        <v>425</v>
      </c>
      <c r="O507" s="80">
        <f t="shared" si="56"/>
        <v>6.0900000000000007</v>
      </c>
      <c r="P507" s="8">
        <f t="shared" si="57"/>
        <v>1.8269662921348315</v>
      </c>
      <c r="Q507" s="8">
        <f t="shared" si="62"/>
        <v>1.6695575721559062</v>
      </c>
      <c r="R507" s="81">
        <f t="shared" si="58"/>
        <v>0.47724477244772445</v>
      </c>
      <c r="S507" s="113" t="str">
        <f>IF(F507="","",IF(H507="",TEXT(_xlfn.MAXIFS($I$1:I507,$F$1:F507,F507,$H$1:H507,"&gt;"&amp;0),"000.000"),F507))</f>
        <v>GJU9A22</v>
      </c>
      <c r="T507" s="101">
        <f t="shared" si="63"/>
        <v>425</v>
      </c>
      <c r="U507" s="82" t="s">
        <v>220</v>
      </c>
      <c r="V507" s="98" t="s">
        <v>165</v>
      </c>
      <c r="W507" s="82" t="s">
        <v>222</v>
      </c>
      <c r="X507" s="98" t="s">
        <v>201</v>
      </c>
      <c r="Y507" s="82" t="s">
        <v>225</v>
      </c>
      <c r="Z507" s="98" t="s">
        <v>237</v>
      </c>
      <c r="AA507" s="82" t="s">
        <v>221</v>
      </c>
      <c r="AB507" s="98" t="s">
        <v>175</v>
      </c>
      <c r="AC507" s="82" t="s">
        <v>225</v>
      </c>
      <c r="AD507" s="98" t="s">
        <v>284</v>
      </c>
      <c r="AE507" s="82" t="s">
        <v>220</v>
      </c>
      <c r="AF507" s="98" t="s">
        <v>165</v>
      </c>
      <c r="AG507" s="82"/>
      <c r="AH507" s="98"/>
      <c r="AI507" s="82"/>
      <c r="AJ507" s="98"/>
      <c r="AK507" s="83"/>
      <c r="AL507" s="84" t="str">
        <f>IF(F507&lt;&gt;0,IF(_xlfn.MAXIFS($I$1:I507,$F$1:F507,F507,$H$1:H507,"&gt;"&amp;0)=0,"KM NÃO ENCONTRADO",IF(H507=0,CONCATENATE("SUGESTÃO DE KM PARA PLACA ",F507," *",_xlfn.MAXIFS($I$1:I507,$F$1:F507,F507,$H$1:H507,"&gt;"&amp;0),"*"),"")),"")</f>
        <v/>
      </c>
      <c r="AM507" s="85" t="str" cm="1">
        <f t="array" ref="AM507">IFERROR(IF(M507&lt;&gt;"","",CONCATENATE("https://btx.brasiltrack.com/logistica/trajeto.php?idveiculo=",VLOOKUP(F507,DATAS!$A$221:$B$250,2,FALSE),"&amp;lat=-22.204247","&amp;data_ini=",TEXT(IF(E507&lt;&gt;"",IF(COUNTIF($F$2:$F507,F507)&gt;1,MAX(IF($F$1:$F506=F507,$E$1:$E506)),""),""),"DD/MM/AAAA"),"&amp;data_fim=",TEXT(E507,"DD/MM/AAAA"),"&amp;hora_inicial=",HOUR(IF(E507&lt;&gt;"",IF(COUNTIF($F$2:$F507,F507)&gt;1,MAX(IF($F$1:$F506=F507,$E$1:$E506)),""),"")),"&amp;minuto_inicial=",MINUTE(IF(E507&lt;&gt;"",IF(COUNTIF($F$2:$F507,F507)&gt;1,MAX(IF($F$1:$F506=F507,$E$1:$E506)),""),"")),"&amp;hora_final=",HOUR(E507),"&amp;minuto_final=",MINUTE(E507),"&amp;periodo=6&amp;tipo=por_data&amp;upos=false&amp;outequip=0")),"")</f>
        <v/>
      </c>
      <c r="AN507" s="100" t="str">
        <f t="shared" si="59"/>
        <v xml:space="preserve">ABASTECEU no 22 NORTE DESCARREGOU em TRES CORACOES-MG PASSOU em ARUJÁ-SP CARREGOU em SANTOS-SP PASSOU em SÃO PAULO-SP ABASTECEU no 22 NORTE    </v>
      </c>
    </row>
    <row r="508" spans="1:40" x14ac:dyDescent="0.25">
      <c r="A508" s="101">
        <f>IFERROR(VLOOKUP(AN508,ROTAS!$A:$B,2,FALSE),0)</f>
        <v>35</v>
      </c>
      <c r="B508" s="101">
        <f t="shared" si="60"/>
        <v>8</v>
      </c>
      <c r="C508" s="101">
        <f t="shared" si="61"/>
        <v>825.75</v>
      </c>
      <c r="D508" s="144">
        <v>44927</v>
      </c>
      <c r="E508" s="76">
        <v>44951.260416666664</v>
      </c>
      <c r="F508" s="6" t="s">
        <v>33</v>
      </c>
      <c r="G508" s="5" t="str">
        <f>IFERROR(VLOOKUP(SUMIFS(MSOLICITADA!$I:$I,MSOLICITADA!$B:$B,D508,MSOLICITADA!$F:$F,F508),CODIGOSPLACAS!$A$64:$B$89,2,FALSE),"")</f>
        <v>JULIO</v>
      </c>
      <c r="H508" s="77">
        <v>169310</v>
      </c>
      <c r="I508" s="77">
        <v>170173</v>
      </c>
      <c r="J508" s="7">
        <v>486</v>
      </c>
      <c r="K508" s="78">
        <v>2959.74</v>
      </c>
      <c r="L508" s="79" t="s">
        <v>111</v>
      </c>
      <c r="M508" s="6">
        <v>438</v>
      </c>
      <c r="N508" s="5">
        <f t="shared" si="55"/>
        <v>425</v>
      </c>
      <c r="O508" s="80">
        <f t="shared" si="56"/>
        <v>6.09</v>
      </c>
      <c r="P508" s="8">
        <f t="shared" si="57"/>
        <v>1.7757201646090535</v>
      </c>
      <c r="Q508" s="8">
        <f t="shared" si="62"/>
        <v>1.7400327790407339</v>
      </c>
      <c r="R508" s="81">
        <f t="shared" si="58"/>
        <v>0.50753186558516805</v>
      </c>
      <c r="S508" s="113" t="str">
        <f>IF(F508="","",IF(H508="",TEXT(_xlfn.MAXIFS($I$1:I508,$F$1:F508,F508,$H$1:H508,"&gt;"&amp;0),"000.000"),F508))</f>
        <v>GGF7G26</v>
      </c>
      <c r="T508" s="101">
        <f t="shared" si="63"/>
        <v>425</v>
      </c>
      <c r="U508" s="82" t="s">
        <v>220</v>
      </c>
      <c r="V508" s="98" t="s">
        <v>165</v>
      </c>
      <c r="W508" s="82" t="s">
        <v>222</v>
      </c>
      <c r="X508" s="98" t="s">
        <v>201</v>
      </c>
      <c r="Y508" s="82" t="s">
        <v>225</v>
      </c>
      <c r="Z508" s="98" t="s">
        <v>237</v>
      </c>
      <c r="AA508" s="82" t="s">
        <v>221</v>
      </c>
      <c r="AB508" s="98" t="s">
        <v>175</v>
      </c>
      <c r="AC508" s="82" t="s">
        <v>225</v>
      </c>
      <c r="AD508" s="98" t="s">
        <v>284</v>
      </c>
      <c r="AE508" s="82" t="s">
        <v>220</v>
      </c>
      <c r="AF508" s="98" t="s">
        <v>165</v>
      </c>
      <c r="AG508" s="82"/>
      <c r="AH508" s="98"/>
      <c r="AI508" s="82"/>
      <c r="AJ508" s="98"/>
      <c r="AK508" s="83"/>
      <c r="AL508" s="84" t="str">
        <f>IF(F508&lt;&gt;0,IF(_xlfn.MAXIFS($I$1:I508,$F$1:F508,F508,$H$1:H508,"&gt;"&amp;0)=0,"KM NÃO ENCONTRADO",IF(H508=0,CONCATENATE("SUGESTÃO DE KM PARA PLACA ",F508," *",_xlfn.MAXIFS($I$1:I508,$F$1:F508,F508,$H$1:H508,"&gt;"&amp;0),"*"),"")),"")</f>
        <v/>
      </c>
      <c r="AM508" s="85" t="str" cm="1">
        <f t="array" ref="AM508">IFERROR(IF(M508&lt;&gt;"","",CONCATENATE("https://btx.brasiltrack.com/logistica/trajeto.php?idveiculo=",VLOOKUP(F508,DATAS!$A$221:$B$250,2,FALSE),"&amp;lat=-22.204247","&amp;data_ini=",TEXT(IF(E508&lt;&gt;"",IF(COUNTIF($F$2:$F508,F508)&gt;1,MAX(IF($F$1:$F507=F508,$E$1:$E507)),""),""),"DD/MM/AAAA"),"&amp;data_fim=",TEXT(E508,"DD/MM/AAAA"),"&amp;hora_inicial=",HOUR(IF(E508&lt;&gt;"",IF(COUNTIF($F$2:$F508,F508)&gt;1,MAX(IF($F$1:$F507=F508,$E$1:$E507)),""),"")),"&amp;minuto_inicial=",MINUTE(IF(E508&lt;&gt;"",IF(COUNTIF($F$2:$F508,F508)&gt;1,MAX(IF($F$1:$F507=F508,$E$1:$E507)),""),"")),"&amp;hora_final=",HOUR(E508),"&amp;minuto_final=",MINUTE(E508),"&amp;periodo=6&amp;tipo=por_data&amp;upos=false&amp;outequip=0")),"")</f>
        <v/>
      </c>
      <c r="AN508" s="100" t="str">
        <f t="shared" si="59"/>
        <v xml:space="preserve">ABASTECEU no 22 NORTE DESCARREGOU em TRES CORACOES-MG PASSOU em ARUJÁ-SP CARREGOU em SANTOS-SP PASSOU em SÃO PAULO-SP ABASTECEU no 22 NORTE    </v>
      </c>
    </row>
    <row r="509" spans="1:40" x14ac:dyDescent="0.25">
      <c r="A509" s="101">
        <f>IFERROR(VLOOKUP(AN509,ROTAS!$A:$B,2,FALSE),0)</f>
        <v>142</v>
      </c>
      <c r="B509" s="101">
        <f t="shared" si="60"/>
        <v>1</v>
      </c>
      <c r="C509" s="101">
        <f t="shared" si="61"/>
        <v>1045</v>
      </c>
      <c r="D509" s="144">
        <v>44927</v>
      </c>
      <c r="E509" s="76">
        <v>44951.275694444441</v>
      </c>
      <c r="F509" s="6" t="s">
        <v>25</v>
      </c>
      <c r="G509" s="5" t="str">
        <f>IFERROR(VLOOKUP(SUMIFS(MSOLICITADA!$I:$I,MSOLICITADA!$B:$B,D509,MSOLICITADA!$F:$F,F509),CODIGOSPLACAS!$A$64:$B$89,2,FALSE),"")</f>
        <v>EDUALDO</v>
      </c>
      <c r="H509" s="77">
        <v>1017707</v>
      </c>
      <c r="I509" s="77">
        <v>1018752</v>
      </c>
      <c r="J509" s="7">
        <v>570</v>
      </c>
      <c r="K509" s="78">
        <v>3471.3</v>
      </c>
      <c r="L509" s="79" t="s">
        <v>111</v>
      </c>
      <c r="M509" s="6">
        <v>405</v>
      </c>
      <c r="N509" s="5">
        <f t="shared" si="55"/>
        <v>640</v>
      </c>
      <c r="O509" s="80">
        <f t="shared" si="56"/>
        <v>6.0900000000000007</v>
      </c>
      <c r="P509" s="8">
        <f t="shared" si="57"/>
        <v>1.5154440154440154</v>
      </c>
      <c r="Q509" s="8">
        <f t="shared" si="62"/>
        <v>1.4288896110685252</v>
      </c>
      <c r="R509" s="81">
        <f t="shared" si="58"/>
        <v>0.38755980861244022</v>
      </c>
      <c r="S509" s="113" t="str">
        <f>IF(F509="","",IF(H509="",TEXT(_xlfn.MAXIFS($I$1:I509,$F$1:F509,F509,$H$1:H509,"&gt;"&amp;0),"000.000"),F509))</f>
        <v>QHE9735</v>
      </c>
      <c r="T509" s="101">
        <f t="shared" si="63"/>
        <v>640</v>
      </c>
      <c r="U509" s="82" t="s">
        <v>220</v>
      </c>
      <c r="V509" s="98" t="s">
        <v>165</v>
      </c>
      <c r="W509" s="82" t="s">
        <v>222</v>
      </c>
      <c r="X509" s="98" t="s">
        <v>201</v>
      </c>
      <c r="Y509" s="82" t="s">
        <v>225</v>
      </c>
      <c r="Z509" s="98" t="s">
        <v>206</v>
      </c>
      <c r="AA509" s="82" t="s">
        <v>225</v>
      </c>
      <c r="AB509" s="98" t="s">
        <v>284</v>
      </c>
      <c r="AC509" s="82" t="s">
        <v>221</v>
      </c>
      <c r="AD509" s="98" t="s">
        <v>175</v>
      </c>
      <c r="AE509" s="82" t="s">
        <v>225</v>
      </c>
      <c r="AF509" s="98" t="s">
        <v>284</v>
      </c>
      <c r="AG509" s="82" t="s">
        <v>220</v>
      </c>
      <c r="AH509" s="98" t="s">
        <v>165</v>
      </c>
      <c r="AI509" s="82"/>
      <c r="AJ509" s="98"/>
      <c r="AK509" s="83">
        <v>260</v>
      </c>
      <c r="AL509" s="84" t="str">
        <f>IF(F509&lt;&gt;0,IF(_xlfn.MAXIFS($I$1:I509,$F$1:F509,F509,$H$1:H509,"&gt;"&amp;0)=0,"KM NÃO ENCONTRADO",IF(H509=0,CONCATENATE("SUGESTÃO DE KM PARA PLACA ",F509," *",_xlfn.MAXIFS($I$1:I509,$F$1:F509,F509,$H$1:H509,"&gt;"&amp;0),"*"),"")),"")</f>
        <v/>
      </c>
      <c r="AM509" s="85" t="str" cm="1">
        <f t="array" ref="AM509">IFERROR(IF(M509&lt;&gt;"","",CONCATENATE("https://btx.brasiltrack.com/logistica/trajeto.php?idveiculo=",VLOOKUP(F509,DATAS!$A$221:$B$250,2,FALSE),"&amp;lat=-22.204247","&amp;data_ini=",TEXT(IF(E509&lt;&gt;"",IF(COUNTIF($F$2:$F509,F509)&gt;1,MAX(IF($F$1:$F508=F509,$E$1:$E508)),""),""),"DD/MM/AAAA"),"&amp;data_fim=",TEXT(E509,"DD/MM/AAAA"),"&amp;hora_inicial=",HOUR(IF(E509&lt;&gt;"",IF(COUNTIF($F$2:$F509,F509)&gt;1,MAX(IF($F$1:$F508=F509,$E$1:$E508)),""),"")),"&amp;minuto_inicial=",MINUTE(IF(E509&lt;&gt;"",IF(COUNTIF($F$2:$F509,F509)&gt;1,MAX(IF($F$1:$F508=F509,$E$1:$E508)),""),"")),"&amp;hora_final=",HOUR(E509),"&amp;minuto_final=",MINUTE(E509),"&amp;periodo=6&amp;tipo=por_data&amp;upos=false&amp;outequip=0")),"")</f>
        <v/>
      </c>
      <c r="AN509" s="100" t="str">
        <f t="shared" si="59"/>
        <v xml:space="preserve">ABASTECEU no 22 NORTE DESCARREGOU em TRES CORACOES-MG PASSOU em CANDEIAS-MG PASSOU em SÃO PAULO-SP CARREGOU em SANTOS-SP PASSOU em SÃO PAULO-SP ABASTECEU no 22 NORTE  </v>
      </c>
    </row>
    <row r="510" spans="1:40" x14ac:dyDescent="0.25">
      <c r="A510" s="101">
        <f>IFERROR(VLOOKUP(AN510,ROTAS!$A:$B,2,FALSE),0)</f>
        <v>145</v>
      </c>
      <c r="B510" s="101">
        <f t="shared" si="60"/>
        <v>1</v>
      </c>
      <c r="C510" s="101">
        <f t="shared" si="61"/>
        <v>357</v>
      </c>
      <c r="D510" s="144">
        <v>44927</v>
      </c>
      <c r="E510" s="76">
        <v>44951.299305555556</v>
      </c>
      <c r="F510" s="6" t="s">
        <v>127</v>
      </c>
      <c r="G510" s="5" t="str">
        <f>IFERROR(VLOOKUP(SUMIFS(MSOLICITADA!$I:$I,MSOLICITADA!$B:$B,D510,MSOLICITADA!$F:$F,F510),CODIGOSPLACAS!$A$64:$B$89,2,FALSE),"")</f>
        <v>EVERTON</v>
      </c>
      <c r="H510" s="77">
        <v>1237705</v>
      </c>
      <c r="I510" s="77">
        <v>1238062</v>
      </c>
      <c r="J510" s="7">
        <v>170</v>
      </c>
      <c r="K510" s="78">
        <v>1035.3</v>
      </c>
      <c r="L510" s="79" t="s">
        <v>111</v>
      </c>
      <c r="M510" s="6">
        <v>122</v>
      </c>
      <c r="N510" s="5">
        <f t="shared" si="55"/>
        <v>235</v>
      </c>
      <c r="O510" s="80">
        <f t="shared" si="56"/>
        <v>6.09</v>
      </c>
      <c r="P510" s="8">
        <f t="shared" si="57"/>
        <v>2.1</v>
      </c>
      <c r="Q510" s="8">
        <f t="shared" si="62"/>
        <v>1.9701972800245917</v>
      </c>
      <c r="R510" s="81">
        <f t="shared" si="58"/>
        <v>0.34173669467787116</v>
      </c>
      <c r="S510" s="113" t="str">
        <f>IF(F510="","",IF(H510="",TEXT(_xlfn.MAXIFS($I$1:I510,$F$1:F510,F510,$H$1:H510,"&gt;"&amp;0),"000.000"),F510))</f>
        <v>OPM8J51</v>
      </c>
      <c r="T510" s="101">
        <f t="shared" si="63"/>
        <v>235</v>
      </c>
      <c r="U510" s="82" t="s">
        <v>220</v>
      </c>
      <c r="V510" s="98" t="s">
        <v>166</v>
      </c>
      <c r="W510" s="82" t="s">
        <v>225</v>
      </c>
      <c r="X510" s="98" t="s">
        <v>438</v>
      </c>
      <c r="Y510" s="82" t="s">
        <v>221</v>
      </c>
      <c r="Z510" s="98" t="s">
        <v>175</v>
      </c>
      <c r="AA510" s="82" t="s">
        <v>225</v>
      </c>
      <c r="AB510" s="98" t="s">
        <v>284</v>
      </c>
      <c r="AC510" s="82" t="s">
        <v>220</v>
      </c>
      <c r="AD510" s="98" t="s">
        <v>165</v>
      </c>
      <c r="AE510" s="82"/>
      <c r="AF510" s="98"/>
      <c r="AG510" s="82"/>
      <c r="AH510" s="98"/>
      <c r="AI510" s="82"/>
      <c r="AJ510" s="98"/>
      <c r="AK510" s="83"/>
      <c r="AL510" s="84" t="str">
        <f>IF(F510&lt;&gt;0,IF(_xlfn.MAXIFS($I$1:I510,$F$1:F510,F510,$H$1:H510,"&gt;"&amp;0)=0,"KM NÃO ENCONTRADO",IF(H510=0,CONCATENATE("SUGESTÃO DE KM PARA PLACA ",F510," *",_xlfn.MAXIFS($I$1:I510,$F$1:F510,F510,$H$1:H510,"&gt;"&amp;0),"*"),"")),"")</f>
        <v/>
      </c>
      <c r="AM510" s="85" t="str" cm="1">
        <f t="array" ref="AM510">IFERROR(IF(M510&lt;&gt;"","",CONCATENATE("https://btx.brasiltrack.com/logistica/trajeto.php?idveiculo=",VLOOKUP(F510,DATAS!$A$221:$B$250,2,FALSE),"&amp;lat=-22.204247","&amp;data_ini=",TEXT(IF(E510&lt;&gt;"",IF(COUNTIF($F$2:$F510,F510)&gt;1,MAX(IF($F$1:$F509=F510,$E$1:$E509)),""),""),"DD/MM/AAAA"),"&amp;data_fim=",TEXT(E510,"DD/MM/AAAA"),"&amp;hora_inicial=",HOUR(IF(E510&lt;&gt;"",IF(COUNTIF($F$2:$F510,F510)&gt;1,MAX(IF($F$1:$F509=F510,$E$1:$E509)),""),"")),"&amp;minuto_inicial=",MINUTE(IF(E510&lt;&gt;"",IF(COUNTIF($F$2:$F510,F510)&gt;1,MAX(IF($F$1:$F509=F510,$E$1:$E509)),""),"")),"&amp;hora_final=",HOUR(E510),"&amp;minuto_final=",MINUTE(E510),"&amp;periodo=6&amp;tipo=por_data&amp;upos=false&amp;outequip=0")),"")</f>
        <v/>
      </c>
      <c r="AN510" s="100" t="str">
        <f t="shared" si="59"/>
        <v xml:space="preserve">ABASTECEU no 22 SUL PASSOU em JACAREI-SP CARREGOU em SANTOS-SP PASSOU em SÃO PAULO-SP ABASTECEU no 22 NORTE      </v>
      </c>
    </row>
    <row r="511" spans="1:40" x14ac:dyDescent="0.25">
      <c r="A511" s="101">
        <f>IFERROR(VLOOKUP(AN511,ROTAS!$A:$B,2,FALSE),0)</f>
        <v>146</v>
      </c>
      <c r="B511" s="101">
        <f t="shared" si="60"/>
        <v>1</v>
      </c>
      <c r="C511" s="101">
        <f t="shared" si="61"/>
        <v>682</v>
      </c>
      <c r="D511" s="144">
        <v>44927</v>
      </c>
      <c r="E511" s="76">
        <v>44951.303472222222</v>
      </c>
      <c r="F511" s="6" t="s">
        <v>22</v>
      </c>
      <c r="G511" s="5" t="str">
        <f>IFERROR(VLOOKUP(SUMIFS(MSOLICITADA!$I:$I,MSOLICITADA!$B:$B,D511,MSOLICITADA!$F:$F,F511),CODIGOSPLACAS!$A$64:$B$89,2,FALSE),"")</f>
        <v>GUILHERME</v>
      </c>
      <c r="H511" s="77">
        <v>1207929</v>
      </c>
      <c r="I511" s="77">
        <v>1208611</v>
      </c>
      <c r="J511" s="7">
        <v>348</v>
      </c>
      <c r="K511" s="78">
        <v>2119.3200000000002</v>
      </c>
      <c r="L511" s="79" t="s">
        <v>111</v>
      </c>
      <c r="M511" s="6">
        <v>255</v>
      </c>
      <c r="N511" s="5">
        <f t="shared" si="55"/>
        <v>427</v>
      </c>
      <c r="O511" s="80">
        <f t="shared" si="56"/>
        <v>6.0900000000000007</v>
      </c>
      <c r="P511" s="8">
        <f t="shared" si="57"/>
        <v>1.9597701149425288</v>
      </c>
      <c r="Q511" s="8">
        <f t="shared" si="62"/>
        <v>1.8671963699182104</v>
      </c>
      <c r="R511" s="81">
        <f t="shared" si="58"/>
        <v>0.37390029325513197</v>
      </c>
      <c r="S511" s="113" t="str">
        <f>IF(F511="","",IF(H511="",TEXT(_xlfn.MAXIFS($I$1:I511,$F$1:F511,F511,$H$1:H511,"&gt;"&amp;0),"000.000"),F511))</f>
        <v>OQC0C33</v>
      </c>
      <c r="T511" s="101">
        <f t="shared" si="63"/>
        <v>427</v>
      </c>
      <c r="U511" s="82" t="s">
        <v>220</v>
      </c>
      <c r="V511" s="98" t="s">
        <v>165</v>
      </c>
      <c r="W511" s="82" t="s">
        <v>222</v>
      </c>
      <c r="X511" s="98" t="s">
        <v>200</v>
      </c>
      <c r="Y511" s="82" t="s">
        <v>225</v>
      </c>
      <c r="Z511" s="98" t="s">
        <v>438</v>
      </c>
      <c r="AA511" s="82" t="s">
        <v>221</v>
      </c>
      <c r="AB511" s="98" t="s">
        <v>175</v>
      </c>
      <c r="AC511" s="82" t="s">
        <v>225</v>
      </c>
      <c r="AD511" s="98" t="s">
        <v>284</v>
      </c>
      <c r="AE511" s="82" t="s">
        <v>220</v>
      </c>
      <c r="AF511" s="98" t="s">
        <v>165</v>
      </c>
      <c r="AG511" s="82"/>
      <c r="AH511" s="98"/>
      <c r="AI511" s="82"/>
      <c r="AJ511" s="98"/>
      <c r="AK511" s="83"/>
      <c r="AL511" s="84" t="str">
        <f>IF(F511&lt;&gt;0,IF(_xlfn.MAXIFS($I$1:I511,$F$1:F511,F511,$H$1:H511,"&gt;"&amp;0)=0,"KM NÃO ENCONTRADO",IF(H511=0,CONCATENATE("SUGESTÃO DE KM PARA PLACA ",F511," *",_xlfn.MAXIFS($I$1:I511,$F$1:F511,F511,$H$1:H511,"&gt;"&amp;0),"*"),"")),"")</f>
        <v/>
      </c>
      <c r="AM511" s="85" t="str" cm="1">
        <f t="array" ref="AM511">IFERROR(IF(M511&lt;&gt;"","",CONCATENATE("https://btx.brasiltrack.com/logistica/trajeto.php?idveiculo=",VLOOKUP(F511,DATAS!$A$221:$B$250,2,FALSE),"&amp;lat=-22.204247","&amp;data_ini=",TEXT(IF(E511&lt;&gt;"",IF(COUNTIF($F$2:$F511,F511)&gt;1,MAX(IF($F$1:$F510=F511,$E$1:$E510)),""),""),"DD/MM/AAAA"),"&amp;data_fim=",TEXT(E511,"DD/MM/AAAA"),"&amp;hora_inicial=",HOUR(IF(E511&lt;&gt;"",IF(COUNTIF($F$2:$F511,F511)&gt;1,MAX(IF($F$1:$F510=F511,$E$1:$E510)),""),"")),"&amp;minuto_inicial=",MINUTE(IF(E511&lt;&gt;"",IF(COUNTIF($F$2:$F511,F511)&gt;1,MAX(IF($F$1:$F510=F511,$E$1:$E510)),""),"")),"&amp;hora_final=",HOUR(E511),"&amp;minuto_final=",MINUTE(E511),"&amp;periodo=6&amp;tipo=por_data&amp;upos=false&amp;outequip=0")),"")</f>
        <v/>
      </c>
      <c r="AN511" s="100" t="str">
        <f t="shared" si="59"/>
        <v xml:space="preserve">ABASTECEU no 22 NORTE DESCARREGOU em CONGONHAL-MG PASSOU em JACAREI-SP CARREGOU em SANTOS-SP PASSOU em SÃO PAULO-SP ABASTECEU no 22 NORTE    </v>
      </c>
    </row>
    <row r="512" spans="1:40" x14ac:dyDescent="0.25">
      <c r="A512" s="101">
        <f>IFERROR(VLOOKUP(AN512,ROTAS!$A:$B,2,FALSE),0)</f>
        <v>30</v>
      </c>
      <c r="B512" s="101">
        <f t="shared" si="60"/>
        <v>2</v>
      </c>
      <c r="C512" s="101">
        <f t="shared" si="61"/>
        <v>871.5</v>
      </c>
      <c r="D512" s="144">
        <v>44927</v>
      </c>
      <c r="E512" s="76">
        <v>44951.365972222222</v>
      </c>
      <c r="F512" s="6" t="s">
        <v>128</v>
      </c>
      <c r="G512" s="5" t="str">
        <f>IFERROR(VLOOKUP(SUMIFS(MSOLICITADA!$I:$I,MSOLICITADA!$B:$B,D512,MSOLICITADA!$F:$F,F512),CODIGOSPLACAS!$A$64:$B$89,2,FALSE),"")</f>
        <v>ELI RICARDO</v>
      </c>
      <c r="H512" s="77">
        <v>96796</v>
      </c>
      <c r="I512" s="77">
        <v>97655</v>
      </c>
      <c r="J512" s="7">
        <v>457.15</v>
      </c>
      <c r="K512" s="78">
        <v>2784.05</v>
      </c>
      <c r="L512" s="79" t="s">
        <v>111</v>
      </c>
      <c r="M512" s="6">
        <v>424</v>
      </c>
      <c r="N512" s="5">
        <f t="shared" si="55"/>
        <v>435</v>
      </c>
      <c r="O512" s="80">
        <f t="shared" si="56"/>
        <v>6.0900142185278359</v>
      </c>
      <c r="P512" s="8">
        <f t="shared" si="57"/>
        <v>1.879033140107186</v>
      </c>
      <c r="Q512" s="8">
        <f t="shared" si="62"/>
        <v>1.7619806950171255</v>
      </c>
      <c r="R512" s="81">
        <f t="shared" si="58"/>
        <v>0.49359720605355062</v>
      </c>
      <c r="S512" s="113" t="str">
        <f>IF(F512="","",IF(H512="",TEXT(_xlfn.MAXIFS($I$1:I512,$F$1:F512,F512,$H$1:H512,"&gt;"&amp;0),"000.000"),F512))</f>
        <v>GFR0D47</v>
      </c>
      <c r="T512" s="101">
        <f t="shared" si="63"/>
        <v>435</v>
      </c>
      <c r="U512" s="82" t="s">
        <v>220</v>
      </c>
      <c r="V512" s="98" t="s">
        <v>165</v>
      </c>
      <c r="W512" s="82" t="s">
        <v>222</v>
      </c>
      <c r="X512" s="98" t="s">
        <v>201</v>
      </c>
      <c r="Y512" s="82" t="s">
        <v>225</v>
      </c>
      <c r="Z512" s="98" t="s">
        <v>237</v>
      </c>
      <c r="AA512" s="82" t="s">
        <v>221</v>
      </c>
      <c r="AB512" s="98" t="s">
        <v>175</v>
      </c>
      <c r="AC512" s="82" t="s">
        <v>225</v>
      </c>
      <c r="AD512" s="98" t="s">
        <v>237</v>
      </c>
      <c r="AE512" s="82" t="s">
        <v>220</v>
      </c>
      <c r="AF512" s="98" t="s">
        <v>165</v>
      </c>
      <c r="AG512" s="82"/>
      <c r="AH512" s="98"/>
      <c r="AI512" s="82"/>
      <c r="AJ512" s="98"/>
      <c r="AK512" s="83"/>
      <c r="AL512" s="84" t="str">
        <f>IF(F512&lt;&gt;0,IF(_xlfn.MAXIFS($I$1:I512,$F$1:F512,F512,$H$1:H512,"&gt;"&amp;0)=0,"KM NÃO ENCONTRADO",IF(H512=0,CONCATENATE("SUGESTÃO DE KM PARA PLACA ",F512," *",_xlfn.MAXIFS($I$1:I512,$F$1:F512,F512,$H$1:H512,"&gt;"&amp;0),"*"),"")),"")</f>
        <v/>
      </c>
      <c r="AM512" s="85" t="str" cm="1">
        <f t="array" ref="AM512">IFERROR(IF(M512&lt;&gt;"","",CONCATENATE("https://btx.brasiltrack.com/logistica/trajeto.php?idveiculo=",VLOOKUP(F512,DATAS!$A$221:$B$250,2,FALSE),"&amp;lat=-22.204247","&amp;data_ini=",TEXT(IF(E512&lt;&gt;"",IF(COUNTIF($F$2:$F512,F512)&gt;1,MAX(IF($F$1:$F511=F512,$E$1:$E511)),""),""),"DD/MM/AAAA"),"&amp;data_fim=",TEXT(E512,"DD/MM/AAAA"),"&amp;hora_inicial=",HOUR(IF(E512&lt;&gt;"",IF(COUNTIF($F$2:$F512,F512)&gt;1,MAX(IF($F$1:$F511=F512,$E$1:$E511)),""),"")),"&amp;minuto_inicial=",MINUTE(IF(E512&lt;&gt;"",IF(COUNTIF($F$2:$F512,F512)&gt;1,MAX(IF($F$1:$F511=F512,$E$1:$E511)),""),"")),"&amp;hora_final=",HOUR(E512),"&amp;minuto_final=",MINUTE(E512),"&amp;periodo=6&amp;tipo=por_data&amp;upos=false&amp;outequip=0")),"")</f>
        <v/>
      </c>
      <c r="AN512" s="100" t="str">
        <f t="shared" si="59"/>
        <v xml:space="preserve">ABASTECEU no 22 NORTE DESCARREGOU em TRES CORACOES-MG PASSOU em ARUJÁ-SP CARREGOU em SANTOS-SP PASSOU em ARUJÁ-SP ABASTECEU no 22 NORTE    </v>
      </c>
    </row>
    <row r="513" spans="1:40" x14ac:dyDescent="0.25">
      <c r="A513" s="101">
        <f>IFERROR(VLOOKUP(AN513,ROTAS!$A:$B,2,FALSE),0)</f>
        <v>13</v>
      </c>
      <c r="B513" s="101">
        <f t="shared" si="60"/>
        <v>16</v>
      </c>
      <c r="C513" s="101">
        <f t="shared" si="61"/>
        <v>363.3125</v>
      </c>
      <c r="D513" s="144">
        <v>44927</v>
      </c>
      <c r="E513" s="76">
        <v>44951.378472222219</v>
      </c>
      <c r="F513" s="6" t="s">
        <v>34</v>
      </c>
      <c r="G513" s="5" t="str">
        <f>IFERROR(VLOOKUP(SUMIFS(MSOLICITADA!$I:$I,MSOLICITADA!$B:$B,D513,MSOLICITADA!$F:$F,F513),CODIGOSPLACAS!$A$64:$B$89,2,FALSE),"")</f>
        <v>TOINZINHO</v>
      </c>
      <c r="H513" s="77">
        <v>111942</v>
      </c>
      <c r="I513" s="77">
        <v>112042</v>
      </c>
      <c r="J513" s="7">
        <v>86.3</v>
      </c>
      <c r="K513" s="78">
        <v>498.81400000000002</v>
      </c>
      <c r="L513" s="79" t="s">
        <v>112</v>
      </c>
      <c r="M513" s="6"/>
      <c r="N513" s="5">
        <f t="shared" si="55"/>
        <v>100</v>
      </c>
      <c r="O513" s="80">
        <f t="shared" si="56"/>
        <v>5.78</v>
      </c>
      <c r="P513" s="8">
        <f t="shared" si="57"/>
        <v>1.1587485515643106</v>
      </c>
      <c r="Q513" s="8">
        <f t="shared" si="62"/>
        <v>2.1798103468971313</v>
      </c>
      <c r="R513" s="81">
        <f t="shared" si="58"/>
        <v>0</v>
      </c>
      <c r="S513" s="113" t="str">
        <f>IF(F513="","",IF(H513="",TEXT(_xlfn.MAXIFS($I$1:I513,$F$1:F513,F513,$H$1:H513,"&gt;"&amp;0),"000.000"),F513))</f>
        <v>QXI8065</v>
      </c>
      <c r="T513" s="101">
        <f t="shared" si="63"/>
        <v>186.5</v>
      </c>
      <c r="U513" s="82" t="s">
        <v>220</v>
      </c>
      <c r="V513" s="98" t="s">
        <v>206</v>
      </c>
      <c r="W513" s="82" t="s">
        <v>220</v>
      </c>
      <c r="X513" s="98" t="s">
        <v>206</v>
      </c>
      <c r="Y513" s="82"/>
      <c r="Z513" s="98"/>
      <c r="AA513" s="82"/>
      <c r="AB513" s="98"/>
      <c r="AC513" s="82"/>
      <c r="AD513" s="98"/>
      <c r="AE513" s="82"/>
      <c r="AF513" s="98"/>
      <c r="AG513" s="82"/>
      <c r="AH513" s="98"/>
      <c r="AI513" s="82"/>
      <c r="AJ513" s="98"/>
      <c r="AK513" s="83"/>
      <c r="AL513" s="84" t="str">
        <f>IF(F513&lt;&gt;0,IF(_xlfn.MAXIFS($I$1:I513,$F$1:F513,F513,$H$1:H513,"&gt;"&amp;0)=0,"KM NÃO ENCONTRADO",IF(H513=0,CONCATENATE("SUGESTÃO DE KM PARA PLACA ",F513," *",_xlfn.MAXIFS($I$1:I513,$F$1:F513,F513,$H$1:H513,"&gt;"&amp;0),"*"),"")),"")</f>
        <v/>
      </c>
      <c r="AM513" s="85" t="str" cm="1">
        <f t="array" ref="AM513">IFERROR(IF(M513&lt;&gt;"","",CONCATENATE("https://btx.brasiltrack.com/logistica/trajeto.php?idveiculo=",VLOOKUP(F513,DATAS!$A$221:$B$250,2,FALSE),"&amp;lat=-22.204247","&amp;data_ini=",TEXT(IF(E513&lt;&gt;"",IF(COUNTIF($F$2:$F513,F513)&gt;1,MAX(IF($F$1:$F512=F513,$E$1:$E512)),""),""),"DD/MM/AAAA"),"&amp;data_fim=",TEXT(E513,"DD/MM/AAAA"),"&amp;hora_inicial=",HOUR(IF(E513&lt;&gt;"",IF(COUNTIF($F$2:$F513,F513)&gt;1,MAX(IF($F$1:$F512=F513,$E$1:$E512)),""),"")),"&amp;minuto_inicial=",MINUTE(IF(E513&lt;&gt;"",IF(COUNTIF($F$2:$F513,F513)&gt;1,MAX(IF($F$1:$F512=F513,$E$1:$E512)),""),"")),"&amp;hora_final=",HOUR(E513),"&amp;minuto_final=",MINUTE(E513),"&amp;periodo=6&amp;tipo=por_data&amp;upos=false&amp;outequip=0")),"")</f>
        <v>https://btx.brasiltrack.com/logistica/trajeto.php?idveiculo=97D798AC-9C50-4B40-BD06-86A89CAFCF44&amp;lat=-22.204247&amp;data_ini=21/01/2023&amp;data_fim=25/01/2023&amp;hora_inicial=8&amp;minuto_inicial=10&amp;hora_final=9&amp;minuto_final=5&amp;periodo=6&amp;tipo=por_data&amp;upos=false&amp;outequip=0</v>
      </c>
      <c r="AN513" s="100" t="str">
        <f t="shared" si="59"/>
        <v xml:space="preserve">ABASTECEU no CANDEIAS-MG ABASTECEU no CANDEIAS-MG            </v>
      </c>
    </row>
    <row r="514" spans="1:40" x14ac:dyDescent="0.25">
      <c r="A514" s="101">
        <f>IFERROR(VLOOKUP(AN514,ROTAS!$A:$B,2,FALSE),0)</f>
        <v>147</v>
      </c>
      <c r="B514" s="101">
        <f t="shared" si="60"/>
        <v>1</v>
      </c>
      <c r="C514" s="101">
        <f t="shared" si="61"/>
        <v>964</v>
      </c>
      <c r="D514" s="144">
        <v>44927</v>
      </c>
      <c r="E514" s="76">
        <v>44951.495138888888</v>
      </c>
      <c r="F514" s="6" t="s">
        <v>131</v>
      </c>
      <c r="G514" s="5" t="str">
        <f>IFERROR(VLOOKUP(SUMIFS(MSOLICITADA!$I:$I,MSOLICITADA!$B:$B,D514,MSOLICITADA!$F:$F,F514),CODIGOSPLACAS!$A$64:$B$89,2,FALSE),"")</f>
        <v>ALTIELIS</v>
      </c>
      <c r="H514" s="77">
        <v>53928</v>
      </c>
      <c r="I514" s="77">
        <v>54892</v>
      </c>
      <c r="J514" s="7">
        <v>572.03</v>
      </c>
      <c r="K514" s="78">
        <v>3426.45</v>
      </c>
      <c r="L514" s="79" t="s">
        <v>111</v>
      </c>
      <c r="M514" s="6">
        <v>492</v>
      </c>
      <c r="N514" s="5">
        <f t="shared" si="55"/>
        <v>472</v>
      </c>
      <c r="O514" s="80">
        <f t="shared" si="56"/>
        <v>5.9899830428474035</v>
      </c>
      <c r="P514" s="8">
        <f t="shared" si="57"/>
        <v>1.6852262993199658</v>
      </c>
      <c r="Q514" s="8">
        <f t="shared" si="62"/>
        <v>1.6793774979959049</v>
      </c>
      <c r="R514" s="81">
        <f t="shared" si="58"/>
        <v>0.51037344398340245</v>
      </c>
      <c r="S514" s="113" t="str">
        <f>IF(F514="","",IF(H514="",TEXT(_xlfn.MAXIFS($I$1:I514,$F$1:F514,F514,$H$1:H514,"&gt;"&amp;0),"000.000"),F514))</f>
        <v>GGN4J86</v>
      </c>
      <c r="T514" s="101">
        <f t="shared" si="63"/>
        <v>472</v>
      </c>
      <c r="U514" s="82" t="s">
        <v>220</v>
      </c>
      <c r="V514" s="98" t="s">
        <v>165</v>
      </c>
      <c r="W514" s="82" t="s">
        <v>222</v>
      </c>
      <c r="X514" s="98" t="s">
        <v>200</v>
      </c>
      <c r="Y514" s="82" t="s">
        <v>225</v>
      </c>
      <c r="Z514" s="98" t="s">
        <v>284</v>
      </c>
      <c r="AA514" s="82" t="s">
        <v>221</v>
      </c>
      <c r="AB514" s="98" t="s">
        <v>168</v>
      </c>
      <c r="AC514" s="82" t="s">
        <v>225</v>
      </c>
      <c r="AD514" s="98" t="s">
        <v>284</v>
      </c>
      <c r="AE514" s="82" t="s">
        <v>222</v>
      </c>
      <c r="AF514" s="98" t="s">
        <v>200</v>
      </c>
      <c r="AG514" s="82" t="s">
        <v>220</v>
      </c>
      <c r="AH514" s="98" t="s">
        <v>166</v>
      </c>
      <c r="AI514" s="82"/>
      <c r="AJ514" s="98"/>
      <c r="AK514" s="83"/>
      <c r="AL514" s="84" t="str">
        <f>IF(F514&lt;&gt;0,IF(_xlfn.MAXIFS($I$1:I514,$F$1:F514,F514,$H$1:H514,"&gt;"&amp;0)=0,"KM NÃO ENCONTRADO",IF(H514=0,CONCATENATE("SUGESTÃO DE KM PARA PLACA ",F514," *",_xlfn.MAXIFS($I$1:I514,$F$1:F514,F514,$H$1:H514,"&gt;"&amp;0),"*"),"")),"")</f>
        <v/>
      </c>
      <c r="AM514" s="85" t="str" cm="1">
        <f t="array" ref="AM514">IFERROR(IF(M514&lt;&gt;"","",CONCATENATE("https://btx.brasiltrack.com/logistica/trajeto.php?idveiculo=",VLOOKUP(F514,DATAS!$A$221:$B$250,2,FALSE),"&amp;lat=-22.204247","&amp;data_ini=",TEXT(IF(E514&lt;&gt;"",IF(COUNTIF($F$2:$F514,F514)&gt;1,MAX(IF($F$1:$F513=F514,$E$1:$E513)),""),""),"DD/MM/AAAA"),"&amp;data_fim=",TEXT(E514,"DD/MM/AAAA"),"&amp;hora_inicial=",HOUR(IF(E514&lt;&gt;"",IF(COUNTIF($F$2:$F514,F514)&gt;1,MAX(IF($F$1:$F513=F514,$E$1:$E513)),""),"")),"&amp;minuto_inicial=",MINUTE(IF(E514&lt;&gt;"",IF(COUNTIF($F$2:$F514,F514)&gt;1,MAX(IF($F$1:$F513=F514,$E$1:$E513)),""),"")),"&amp;hora_final=",HOUR(E514),"&amp;minuto_final=",MINUTE(E514),"&amp;periodo=6&amp;tipo=por_data&amp;upos=false&amp;outequip=0")),"")</f>
        <v/>
      </c>
      <c r="AN514" s="100" t="str">
        <f t="shared" si="59"/>
        <v xml:space="preserve">ABASTECEU no 22 NORTE DESCARREGOU em CONGONHAL-MG PASSOU em SÃO PAULO-SP CARREGOU em CUBATAO-SP PASSOU em SÃO PAULO-SP DESCARREGOU em CONGONHAL-MG ABASTECEU no 22 SUL  </v>
      </c>
    </row>
    <row r="515" spans="1:40" x14ac:dyDescent="0.25">
      <c r="A515" s="101">
        <f>IFERROR(VLOOKUP(AN515,ROTAS!$A:$B,2,FALSE),0)</f>
        <v>148</v>
      </c>
      <c r="B515" s="101">
        <f t="shared" si="60"/>
        <v>2</v>
      </c>
      <c r="C515" s="101">
        <f t="shared" si="61"/>
        <v>880.5</v>
      </c>
      <c r="D515" s="144">
        <v>44927</v>
      </c>
      <c r="E515" s="76">
        <v>44951.515972222223</v>
      </c>
      <c r="F515" s="6" t="s">
        <v>29</v>
      </c>
      <c r="G515" s="5" t="str">
        <f>IFERROR(VLOOKUP(SUMIFS(MSOLICITADA!$I:$I,MSOLICITADA!$B:$B,D515,MSOLICITADA!$F:$F,F515),CODIGOSPLACAS!$A$64:$B$89,2,FALSE),"")</f>
        <v>EDNILSON</v>
      </c>
      <c r="H515" s="77">
        <v>245063</v>
      </c>
      <c r="I515" s="77">
        <v>245947</v>
      </c>
      <c r="J515" s="7">
        <v>514</v>
      </c>
      <c r="K515" s="78">
        <v>3130.26</v>
      </c>
      <c r="L515" s="79" t="s">
        <v>111</v>
      </c>
      <c r="M515" s="6">
        <v>454</v>
      </c>
      <c r="N515" s="5">
        <f t="shared" ref="N515:N578" si="64">IF(IF((I515-H515-M515)&lt;0,"ERRO",I515-H515-M515)=0,"",IF((I515-H515-M515)&lt;0,"ERRO",I515-H515-M515))</f>
        <v>430</v>
      </c>
      <c r="O515" s="80">
        <f t="shared" ref="O515:O578" si="65">IFERROR(K515/J515,"")</f>
        <v>6.0900000000000007</v>
      </c>
      <c r="P515" s="8">
        <f t="shared" ref="P515:P578" si="66">IF(F515&lt;&gt;"",(SUM(M515:N515)-AK515)/(J515-(AK515/5)),0)</f>
        <v>1.7198443579766538</v>
      </c>
      <c r="Q515" s="8">
        <f t="shared" si="62"/>
        <v>1.5966128652005338</v>
      </c>
      <c r="R515" s="81">
        <f t="shared" ref="R515:R578" si="67">IFERROR(IF(M515/(I515-H515)=0,0,M515/(I515-H515)),0)</f>
        <v>0.51357466063348411</v>
      </c>
      <c r="S515" s="113" t="str">
        <f>IF(F515="","",IF(H515="",TEXT(_xlfn.MAXIFS($I$1:I515,$F$1:F515,F515,$H$1:H515,"&gt;"&amp;0),"000.000"),F515))</f>
        <v>GKA2J56</v>
      </c>
      <c r="T515" s="101">
        <f t="shared" si="63"/>
        <v>430</v>
      </c>
      <c r="U515" s="82" t="s">
        <v>220</v>
      </c>
      <c r="V515" s="98" t="s">
        <v>165</v>
      </c>
      <c r="W515" s="82" t="s">
        <v>222</v>
      </c>
      <c r="X515" s="98" t="s">
        <v>201</v>
      </c>
      <c r="Y515" s="82" t="s">
        <v>225</v>
      </c>
      <c r="Z515" s="98" t="s">
        <v>438</v>
      </c>
      <c r="AA515" s="82" t="s">
        <v>221</v>
      </c>
      <c r="AB515" s="98" t="s">
        <v>175</v>
      </c>
      <c r="AC515" s="82" t="s">
        <v>225</v>
      </c>
      <c r="AD515" s="98" t="s">
        <v>237</v>
      </c>
      <c r="AE515" s="82" t="s">
        <v>220</v>
      </c>
      <c r="AF515" s="98" t="s">
        <v>165</v>
      </c>
      <c r="AG515" s="82"/>
      <c r="AH515" s="98"/>
      <c r="AI515" s="82"/>
      <c r="AJ515" s="98"/>
      <c r="AK515" s="83"/>
      <c r="AL515" s="84" t="str">
        <f>IF(F515&lt;&gt;0,IF(_xlfn.MAXIFS($I$1:I515,$F$1:F515,F515,$H$1:H515,"&gt;"&amp;0)=0,"KM NÃO ENCONTRADO",IF(H515=0,CONCATENATE("SUGESTÃO DE KM PARA PLACA ",F515," *",_xlfn.MAXIFS($I$1:I515,$F$1:F515,F515,$H$1:H515,"&gt;"&amp;0),"*"),"")),"")</f>
        <v/>
      </c>
      <c r="AM515" s="85" t="str" cm="1">
        <f t="array" ref="AM515">IFERROR(IF(M515&lt;&gt;"","",CONCATENATE("https://btx.brasiltrack.com/logistica/trajeto.php?idveiculo=",VLOOKUP(F515,DATAS!$A$221:$B$250,2,FALSE),"&amp;lat=-22.204247","&amp;data_ini=",TEXT(IF(E515&lt;&gt;"",IF(COUNTIF($F$2:$F515,F515)&gt;1,MAX(IF($F$1:$F514=F515,$E$1:$E514)),""),""),"DD/MM/AAAA"),"&amp;data_fim=",TEXT(E515,"DD/MM/AAAA"),"&amp;hora_inicial=",HOUR(IF(E515&lt;&gt;"",IF(COUNTIF($F$2:$F515,F515)&gt;1,MAX(IF($F$1:$F514=F515,$E$1:$E514)),""),"")),"&amp;minuto_inicial=",MINUTE(IF(E515&lt;&gt;"",IF(COUNTIF($F$2:$F515,F515)&gt;1,MAX(IF($F$1:$F514=F515,$E$1:$E514)),""),"")),"&amp;hora_final=",HOUR(E515),"&amp;minuto_final=",MINUTE(E515),"&amp;periodo=6&amp;tipo=por_data&amp;upos=false&amp;outequip=0")),"")</f>
        <v/>
      </c>
      <c r="AN515" s="100" t="str">
        <f t="shared" ref="AN515:AN578" si="68">CONCATENATE(U515," ",V515," ",W515," ",X515," ",Y515," ",Z515," ",AA515," ",AB515," ",AC515," ",AD515," ",AE515," ",AF515," ",AG515," ",AH515," ",AI515," ",AJ515)</f>
        <v xml:space="preserve">ABASTECEU no 22 NORTE DESCARREGOU em TRES CORACOES-MG PASSOU em JACAREI-SP CARREGOU em SANTOS-SP PASSOU em ARUJÁ-SP ABASTECEU no 22 NORTE    </v>
      </c>
    </row>
    <row r="516" spans="1:40" x14ac:dyDescent="0.25">
      <c r="A516" s="101">
        <f>IFERROR(VLOOKUP(AN516,ROTAS!$A:$B,2,FALSE),0)</f>
        <v>148</v>
      </c>
      <c r="B516" s="101">
        <f t="shared" si="60"/>
        <v>2</v>
      </c>
      <c r="C516" s="101">
        <f t="shared" si="61"/>
        <v>880.5</v>
      </c>
      <c r="D516" s="144">
        <v>44927</v>
      </c>
      <c r="E516" s="76">
        <v>44951.557638888888</v>
      </c>
      <c r="F516" s="6" t="s">
        <v>27</v>
      </c>
      <c r="G516" s="5" t="str">
        <f>IFERROR(VLOOKUP(SUMIFS(MSOLICITADA!$I:$I,MSOLICITADA!$B:$B,D516,MSOLICITADA!$F:$F,F516),CODIGOSPLACAS!$A$64:$B$89,2,FALSE),"")</f>
        <v>ANTONIO</v>
      </c>
      <c r="H516" s="77">
        <v>254383</v>
      </c>
      <c r="I516" s="77">
        <v>255260</v>
      </c>
      <c r="J516" s="7">
        <v>558.46</v>
      </c>
      <c r="K516" s="78">
        <v>3401.03</v>
      </c>
      <c r="L516" s="79" t="s">
        <v>111</v>
      </c>
      <c r="M516" s="6">
        <v>447</v>
      </c>
      <c r="N516" s="5">
        <f t="shared" si="64"/>
        <v>430</v>
      </c>
      <c r="O516" s="80">
        <f t="shared" si="65"/>
        <v>6.0900153994914588</v>
      </c>
      <c r="P516" s="8">
        <f t="shared" si="66"/>
        <v>1.570390001074383</v>
      </c>
      <c r="Q516" s="8">
        <f t="shared" si="62"/>
        <v>1.4666276036610979</v>
      </c>
      <c r="R516" s="81">
        <f t="shared" si="67"/>
        <v>0.50969213226909915</v>
      </c>
      <c r="S516" s="113" t="str">
        <f>IF(F516="","",IF(H516="",TEXT(_xlfn.MAXIFS($I$1:I516,$F$1:F516,F516,$H$1:H516,"&gt;"&amp;0),"000.000"),F516))</f>
        <v>GHS4J57</v>
      </c>
      <c r="T516" s="101">
        <f t="shared" si="63"/>
        <v>430</v>
      </c>
      <c r="U516" s="82" t="s">
        <v>220</v>
      </c>
      <c r="V516" s="98" t="s">
        <v>165</v>
      </c>
      <c r="W516" s="82" t="s">
        <v>222</v>
      </c>
      <c r="X516" s="98" t="s">
        <v>201</v>
      </c>
      <c r="Y516" s="82" t="s">
        <v>225</v>
      </c>
      <c r="Z516" s="98" t="s">
        <v>438</v>
      </c>
      <c r="AA516" s="82" t="s">
        <v>221</v>
      </c>
      <c r="AB516" s="98" t="s">
        <v>175</v>
      </c>
      <c r="AC516" s="82" t="s">
        <v>225</v>
      </c>
      <c r="AD516" s="98" t="s">
        <v>237</v>
      </c>
      <c r="AE516" s="82" t="s">
        <v>220</v>
      </c>
      <c r="AF516" s="98" t="s">
        <v>165</v>
      </c>
      <c r="AG516" s="82"/>
      <c r="AH516" s="98"/>
      <c r="AI516" s="82"/>
      <c r="AJ516" s="98"/>
      <c r="AK516" s="83"/>
      <c r="AL516" s="84" t="str">
        <f>IF(F516&lt;&gt;0,IF(_xlfn.MAXIFS($I$1:I516,$F$1:F516,F516,$H$1:H516,"&gt;"&amp;0)=0,"KM NÃO ENCONTRADO",IF(H516=0,CONCATENATE("SUGESTÃO DE KM PARA PLACA ",F516," *",_xlfn.MAXIFS($I$1:I516,$F$1:F516,F516,$H$1:H516,"&gt;"&amp;0),"*"),"")),"")</f>
        <v/>
      </c>
      <c r="AM516" s="85" t="str" cm="1">
        <f t="array" ref="AM516">IFERROR(IF(M516&lt;&gt;"","",CONCATENATE("https://btx.brasiltrack.com/logistica/trajeto.php?idveiculo=",VLOOKUP(F516,DATAS!$A$221:$B$250,2,FALSE),"&amp;lat=-22.204247","&amp;data_ini=",TEXT(IF(E516&lt;&gt;"",IF(COUNTIF($F$2:$F516,F516)&gt;1,MAX(IF($F$1:$F515=F516,$E$1:$E515)),""),""),"DD/MM/AAAA"),"&amp;data_fim=",TEXT(E516,"DD/MM/AAAA"),"&amp;hora_inicial=",HOUR(IF(E516&lt;&gt;"",IF(COUNTIF($F$2:$F516,F516)&gt;1,MAX(IF($F$1:$F515=F516,$E$1:$E515)),""),"")),"&amp;minuto_inicial=",MINUTE(IF(E516&lt;&gt;"",IF(COUNTIF($F$2:$F516,F516)&gt;1,MAX(IF($F$1:$F515=F516,$E$1:$E515)),""),"")),"&amp;hora_final=",HOUR(E516),"&amp;minuto_final=",MINUTE(E516),"&amp;periodo=6&amp;tipo=por_data&amp;upos=false&amp;outequip=0")),"")</f>
        <v/>
      </c>
      <c r="AN516" s="100" t="str">
        <f t="shared" si="68"/>
        <v xml:space="preserve">ABASTECEU no 22 NORTE DESCARREGOU em TRES CORACOES-MG PASSOU em JACAREI-SP CARREGOU em SANTOS-SP PASSOU em ARUJÁ-SP ABASTECEU no 22 NORTE    </v>
      </c>
    </row>
    <row r="517" spans="1:40" x14ac:dyDescent="0.25">
      <c r="A517" s="101">
        <f>IFERROR(VLOOKUP(AN517,ROTAS!$A:$B,2,FALSE),0)</f>
        <v>56</v>
      </c>
      <c r="B517" s="101">
        <f t="shared" si="60"/>
        <v>7</v>
      </c>
      <c r="C517" s="101">
        <f t="shared" si="61"/>
        <v>379.28571428571428</v>
      </c>
      <c r="D517" s="144">
        <v>44927</v>
      </c>
      <c r="E517" s="76">
        <v>44951.590277777781</v>
      </c>
      <c r="F517" s="6" t="s">
        <v>25</v>
      </c>
      <c r="G517" s="5" t="str">
        <f>IFERROR(VLOOKUP(SUMIFS(MSOLICITADA!$I:$I,MSOLICITADA!$B:$B,D517,MSOLICITADA!$F:$F,F517),CODIGOSPLACAS!$A$64:$B$89,2,FALSE),"")</f>
        <v>EDUALDO</v>
      </c>
      <c r="H517" s="77">
        <v>1018752</v>
      </c>
      <c r="I517" s="77">
        <v>1019144</v>
      </c>
      <c r="J517" s="7">
        <v>289.3</v>
      </c>
      <c r="K517" s="78">
        <v>1672.1540000000002</v>
      </c>
      <c r="L517" s="79" t="s">
        <v>112</v>
      </c>
      <c r="M517" s="6">
        <v>392</v>
      </c>
      <c r="N517" s="5" t="str">
        <f t="shared" si="64"/>
        <v/>
      </c>
      <c r="O517" s="80">
        <f t="shared" si="65"/>
        <v>5.78</v>
      </c>
      <c r="P517" s="8">
        <f t="shared" si="66"/>
        <v>1.3549948150708606</v>
      </c>
      <c r="Q517" s="8">
        <f t="shared" si="62"/>
        <v>1.4288896110685252</v>
      </c>
      <c r="R517" s="81">
        <f t="shared" si="67"/>
        <v>1</v>
      </c>
      <c r="S517" s="113" t="str">
        <f>IF(F517="","",IF(H517="",TEXT(_xlfn.MAXIFS($I$1:I517,$F$1:F517,F517,$H$1:H517,"&gt;"&amp;0),"000.000"),F517))</f>
        <v>QHE9735</v>
      </c>
      <c r="T517" s="101" t="str">
        <f t="shared" si="63"/>
        <v/>
      </c>
      <c r="U517" s="82" t="s">
        <v>220</v>
      </c>
      <c r="V517" s="98" t="s">
        <v>165</v>
      </c>
      <c r="W517" s="82" t="s">
        <v>220</v>
      </c>
      <c r="X517" s="98" t="s">
        <v>206</v>
      </c>
      <c r="Y517" s="82"/>
      <c r="Z517" s="98"/>
      <c r="AA517" s="82"/>
      <c r="AB517" s="98"/>
      <c r="AC517" s="82"/>
      <c r="AD517" s="98"/>
      <c r="AE517" s="82"/>
      <c r="AF517" s="98"/>
      <c r="AG517" s="82"/>
      <c r="AH517" s="98"/>
      <c r="AI517" s="82"/>
      <c r="AJ517" s="98"/>
      <c r="AK517" s="83"/>
      <c r="AL517" s="84" t="str">
        <f>IF(F517&lt;&gt;0,IF(_xlfn.MAXIFS($I$1:I517,$F$1:F517,F517,$H$1:H517,"&gt;"&amp;0)=0,"KM NÃO ENCONTRADO",IF(H517=0,CONCATENATE("SUGESTÃO DE KM PARA PLACA ",F517," *",_xlfn.MAXIFS($I$1:I517,$F$1:F517,F517,$H$1:H517,"&gt;"&amp;0),"*"),"")),"")</f>
        <v/>
      </c>
      <c r="AM517" s="85" t="str" cm="1">
        <f t="array" ref="AM517">IFERROR(IF(M517&lt;&gt;"","",CONCATENATE("https://btx.brasiltrack.com/logistica/trajeto.php?idveiculo=",VLOOKUP(F517,DATAS!$A$221:$B$250,2,FALSE),"&amp;lat=-22.204247","&amp;data_ini=",TEXT(IF(E517&lt;&gt;"",IF(COUNTIF($F$2:$F517,F517)&gt;1,MAX(IF($F$1:$F516=F517,$E$1:$E516)),""),""),"DD/MM/AAAA"),"&amp;data_fim=",TEXT(E517,"DD/MM/AAAA"),"&amp;hora_inicial=",HOUR(IF(E517&lt;&gt;"",IF(COUNTIF($F$2:$F517,F517)&gt;1,MAX(IF($F$1:$F516=F517,$E$1:$E516)),""),"")),"&amp;minuto_inicial=",MINUTE(IF(E517&lt;&gt;"",IF(COUNTIF($F$2:$F517,F517)&gt;1,MAX(IF($F$1:$F516=F517,$E$1:$E516)),""),"")),"&amp;hora_final=",HOUR(E517),"&amp;minuto_final=",MINUTE(E517),"&amp;periodo=6&amp;tipo=por_data&amp;upos=false&amp;outequip=0")),"")</f>
        <v/>
      </c>
      <c r="AN517" s="100" t="str">
        <f t="shared" si="68"/>
        <v xml:space="preserve">ABASTECEU no 22 NORTE ABASTECEU no CANDEIAS-MG            </v>
      </c>
    </row>
    <row r="518" spans="1:40" x14ac:dyDescent="0.25">
      <c r="A518" s="101">
        <f>IFERROR(VLOOKUP(AN518,ROTAS!$A:$B,2,FALSE),0)</f>
        <v>13</v>
      </c>
      <c r="B518" s="101">
        <f t="shared" si="60"/>
        <v>16</v>
      </c>
      <c r="C518" s="101">
        <f t="shared" si="61"/>
        <v>363.3125</v>
      </c>
      <c r="D518" s="144">
        <v>44927</v>
      </c>
      <c r="E518" s="76">
        <v>44951.78125</v>
      </c>
      <c r="F518" s="6" t="s">
        <v>34</v>
      </c>
      <c r="G518" s="5" t="str">
        <f>IFERROR(VLOOKUP(SUMIFS(MSOLICITADA!$I:$I,MSOLICITADA!$B:$B,D518,MSOLICITADA!$F:$F,F518),CODIGOSPLACAS!$A$64:$B$89,2,FALSE),"")</f>
        <v>TOINZINHO</v>
      </c>
      <c r="H518" s="77">
        <v>112042</v>
      </c>
      <c r="I518" s="77">
        <v>112326</v>
      </c>
      <c r="J518" s="7">
        <v>90.9</v>
      </c>
      <c r="K518" s="78">
        <v>525.40200000000004</v>
      </c>
      <c r="L518" s="79" t="s">
        <v>112</v>
      </c>
      <c r="M518" s="6">
        <v>142</v>
      </c>
      <c r="N518" s="5">
        <f t="shared" si="64"/>
        <v>142</v>
      </c>
      <c r="O518" s="80">
        <f t="shared" si="65"/>
        <v>5.78</v>
      </c>
      <c r="P518" s="8">
        <f t="shared" si="66"/>
        <v>3.1243124312431241</v>
      </c>
      <c r="Q518" s="8">
        <f t="shared" si="62"/>
        <v>2.1798103468971313</v>
      </c>
      <c r="R518" s="81">
        <f t="shared" si="67"/>
        <v>0.5</v>
      </c>
      <c r="S518" s="113" t="str">
        <f>IF(F518="","",IF(H518="",TEXT(_xlfn.MAXIFS($I$1:I518,$F$1:F518,F518,$H$1:H518,"&gt;"&amp;0),"000.000"),F518))</f>
        <v>QXI8065</v>
      </c>
      <c r="T518" s="101">
        <f t="shared" si="63"/>
        <v>186.5</v>
      </c>
      <c r="U518" s="82" t="s">
        <v>220</v>
      </c>
      <c r="V518" s="98" t="s">
        <v>206</v>
      </c>
      <c r="W518" s="82" t="s">
        <v>220</v>
      </c>
      <c r="X518" s="98" t="s">
        <v>206</v>
      </c>
      <c r="Y518" s="82"/>
      <c r="Z518" s="98"/>
      <c r="AA518" s="82"/>
      <c r="AB518" s="98"/>
      <c r="AC518" s="82"/>
      <c r="AD518" s="98"/>
      <c r="AE518" s="82"/>
      <c r="AF518" s="98"/>
      <c r="AG518" s="82"/>
      <c r="AH518" s="98"/>
      <c r="AI518" s="82"/>
      <c r="AJ518" s="98"/>
      <c r="AK518" s="83"/>
      <c r="AL518" s="84" t="str">
        <f>IF(F518&lt;&gt;0,IF(_xlfn.MAXIFS($I$1:I518,$F$1:F518,F518,$H$1:H518,"&gt;"&amp;0)=0,"KM NÃO ENCONTRADO",IF(H518=0,CONCATENATE("SUGESTÃO DE KM PARA PLACA ",F518," *",_xlfn.MAXIFS($I$1:I518,$F$1:F518,F518,$H$1:H518,"&gt;"&amp;0),"*"),"")),"")</f>
        <v/>
      </c>
      <c r="AM518" s="85" t="str" cm="1">
        <f t="array" ref="AM518">IFERROR(IF(M518&lt;&gt;"","",CONCATENATE("https://btx.brasiltrack.com/logistica/trajeto.php?idveiculo=",VLOOKUP(F518,DATAS!$A$221:$B$250,2,FALSE),"&amp;lat=-22.204247","&amp;data_ini=",TEXT(IF(E518&lt;&gt;"",IF(COUNTIF($F$2:$F518,F518)&gt;1,MAX(IF($F$1:$F517=F518,$E$1:$E517)),""),""),"DD/MM/AAAA"),"&amp;data_fim=",TEXT(E518,"DD/MM/AAAA"),"&amp;hora_inicial=",HOUR(IF(E518&lt;&gt;"",IF(COUNTIF($F$2:$F518,F518)&gt;1,MAX(IF($F$1:$F517=F518,$E$1:$E517)),""),"")),"&amp;minuto_inicial=",MINUTE(IF(E518&lt;&gt;"",IF(COUNTIF($F$2:$F518,F518)&gt;1,MAX(IF($F$1:$F517=F518,$E$1:$E517)),""),"")),"&amp;hora_final=",HOUR(E518),"&amp;minuto_final=",MINUTE(E518),"&amp;periodo=6&amp;tipo=por_data&amp;upos=false&amp;outequip=0")),"")</f>
        <v/>
      </c>
      <c r="AN518" s="100" t="str">
        <f t="shared" si="68"/>
        <v xml:space="preserve">ABASTECEU no CANDEIAS-MG ABASTECEU no CANDEIAS-MG            </v>
      </c>
    </row>
    <row r="519" spans="1:40" x14ac:dyDescent="0.25">
      <c r="A519" s="101">
        <f>IFERROR(VLOOKUP(AN519,ROTAS!$A:$B,2,FALSE),0)</f>
        <v>149</v>
      </c>
      <c r="B519" s="101">
        <f t="shared" si="60"/>
        <v>1</v>
      </c>
      <c r="C519" s="101">
        <f t="shared" si="61"/>
        <v>719</v>
      </c>
      <c r="D519" s="144">
        <v>44927</v>
      </c>
      <c r="E519" s="76">
        <v>44951.89166666667</v>
      </c>
      <c r="F519" s="6" t="s">
        <v>23</v>
      </c>
      <c r="G519" s="5" t="str">
        <f>IFERROR(VLOOKUP(SUMIFS(MSOLICITADA!$I:$I,MSOLICITADA!$B:$B,D519,MSOLICITADA!$F:$F,F519),CODIGOSPLACAS!$A$64:$B$89,2,FALSE),"")</f>
        <v>ISAC</v>
      </c>
      <c r="H519" s="77">
        <v>1212146</v>
      </c>
      <c r="I519" s="77">
        <v>1212865</v>
      </c>
      <c r="J519" s="7">
        <v>493.46</v>
      </c>
      <c r="K519" s="78">
        <v>2955.82</v>
      </c>
      <c r="L519" s="79" t="s">
        <v>111</v>
      </c>
      <c r="M519" s="6">
        <v>385</v>
      </c>
      <c r="N519" s="5">
        <f t="shared" si="64"/>
        <v>334</v>
      </c>
      <c r="O519" s="80">
        <f t="shared" si="65"/>
        <v>5.989989056863779</v>
      </c>
      <c r="P519" s="8">
        <f t="shared" si="66"/>
        <v>1.4570583228630487</v>
      </c>
      <c r="Q519" s="8">
        <f t="shared" si="62"/>
        <v>1.4592701282718794</v>
      </c>
      <c r="R519" s="81">
        <f t="shared" si="67"/>
        <v>0.53546592489568845</v>
      </c>
      <c r="S519" s="113" t="str">
        <f>IF(F519="","",IF(H519="",TEXT(_xlfn.MAXIFS($I$1:I519,$F$1:F519,F519,$H$1:H519,"&gt;"&amp;0),"000.000"),F519))</f>
        <v>HNC7I76</v>
      </c>
      <c r="T519" s="101">
        <f t="shared" si="63"/>
        <v>334</v>
      </c>
      <c r="U519" s="82" t="s">
        <v>220</v>
      </c>
      <c r="V519" s="98" t="s">
        <v>166</v>
      </c>
      <c r="W519" s="82" t="s">
        <v>221</v>
      </c>
      <c r="X519" s="98" t="s">
        <v>175</v>
      </c>
      <c r="Y519" s="82" t="s">
        <v>225</v>
      </c>
      <c r="Z519" s="98" t="s">
        <v>438</v>
      </c>
      <c r="AA519" s="82" t="s">
        <v>222</v>
      </c>
      <c r="AB519" s="98" t="s">
        <v>200</v>
      </c>
      <c r="AC519" s="82" t="s">
        <v>220</v>
      </c>
      <c r="AD519" s="98" t="s">
        <v>166</v>
      </c>
      <c r="AE519" s="82"/>
      <c r="AF519" s="98"/>
      <c r="AG519" s="82"/>
      <c r="AH519" s="98"/>
      <c r="AI519" s="82"/>
      <c r="AJ519" s="98"/>
      <c r="AK519" s="83"/>
      <c r="AL519" s="84" t="str">
        <f>IF(F519&lt;&gt;0,IF(_xlfn.MAXIFS($I$1:I519,$F$1:F519,F519,$H$1:H519,"&gt;"&amp;0)=0,"KM NÃO ENCONTRADO",IF(H519=0,CONCATENATE("SUGESTÃO DE KM PARA PLACA ",F519," *",_xlfn.MAXIFS($I$1:I519,$F$1:F519,F519,$H$1:H519,"&gt;"&amp;0),"*"),"")),"")</f>
        <v/>
      </c>
      <c r="AM519" s="85" t="str" cm="1">
        <f t="array" ref="AM519">IFERROR(IF(M519&lt;&gt;"","",CONCATENATE("https://btx.brasiltrack.com/logistica/trajeto.php?idveiculo=",VLOOKUP(F519,DATAS!$A$221:$B$250,2,FALSE),"&amp;lat=-22.204247","&amp;data_ini=",TEXT(IF(E519&lt;&gt;"",IF(COUNTIF($F$2:$F519,F519)&gt;1,MAX(IF($F$1:$F518=F519,$E$1:$E518)),""),""),"DD/MM/AAAA"),"&amp;data_fim=",TEXT(E519,"DD/MM/AAAA"),"&amp;hora_inicial=",HOUR(IF(E519&lt;&gt;"",IF(COUNTIF($F$2:$F519,F519)&gt;1,MAX(IF($F$1:$F518=F519,$E$1:$E518)),""),"")),"&amp;minuto_inicial=",MINUTE(IF(E519&lt;&gt;"",IF(COUNTIF($F$2:$F519,F519)&gt;1,MAX(IF($F$1:$F518=F519,$E$1:$E518)),""),"")),"&amp;hora_final=",HOUR(E519),"&amp;minuto_final=",MINUTE(E519),"&amp;periodo=6&amp;tipo=por_data&amp;upos=false&amp;outequip=0")),"")</f>
        <v/>
      </c>
      <c r="AN519" s="100" t="str">
        <f t="shared" si="68"/>
        <v xml:space="preserve">ABASTECEU no 22 SUL CARREGOU em SANTOS-SP PASSOU em JACAREI-SP DESCARREGOU em CONGONHAL-MG ABASTECEU no 22 SUL      </v>
      </c>
    </row>
    <row r="520" spans="1:40" x14ac:dyDescent="0.25">
      <c r="A520" s="101">
        <f>IFERROR(VLOOKUP(AN520,ROTAS!$A:$B,2,FALSE),0)</f>
        <v>150</v>
      </c>
      <c r="B520" s="101">
        <f t="shared" si="60"/>
        <v>3</v>
      </c>
      <c r="C520" s="101">
        <f t="shared" si="61"/>
        <v>948.66666666666663</v>
      </c>
      <c r="D520" s="144">
        <v>44927</v>
      </c>
      <c r="E520" s="76">
        <v>44952.144444444442</v>
      </c>
      <c r="F520" s="6" t="s">
        <v>32</v>
      </c>
      <c r="G520" s="5" t="str">
        <f>IFERROR(VLOOKUP(SUMIFS(MSOLICITADA!$I:$I,MSOLICITADA!$B:$B,D520,MSOLICITADA!$F:$F,F520),CODIGOSPLACAS!$A$64:$B$89,2,FALSE),"")</f>
        <v>ADILSON</v>
      </c>
      <c r="H520" s="77">
        <v>208653</v>
      </c>
      <c r="I520" s="77">
        <v>209594</v>
      </c>
      <c r="J520" s="7">
        <v>503</v>
      </c>
      <c r="K520" s="78">
        <v>3012.97</v>
      </c>
      <c r="L520" s="79" t="s">
        <v>111</v>
      </c>
      <c r="M520" s="6">
        <v>470</v>
      </c>
      <c r="N520" s="5">
        <f t="shared" si="64"/>
        <v>471</v>
      </c>
      <c r="O520" s="80">
        <f t="shared" si="65"/>
        <v>5.9899999999999993</v>
      </c>
      <c r="P520" s="8">
        <f t="shared" si="66"/>
        <v>1.8707753479125249</v>
      </c>
      <c r="Q520" s="8">
        <f t="shared" si="62"/>
        <v>1.6695575721559062</v>
      </c>
      <c r="R520" s="81">
        <f t="shared" si="67"/>
        <v>0.49946865037194477</v>
      </c>
      <c r="S520" s="113" t="str">
        <f>IF(F520="","",IF(H520="",TEXT(_xlfn.MAXIFS($I$1:I520,$F$1:F520,F520,$H$1:H520,"&gt;"&amp;0),"000.000"),F520))</f>
        <v>GJU9A22</v>
      </c>
      <c r="T520" s="101">
        <f t="shared" si="63"/>
        <v>474.66666666666669</v>
      </c>
      <c r="U520" s="82" t="s">
        <v>220</v>
      </c>
      <c r="V520" s="98" t="s">
        <v>165</v>
      </c>
      <c r="W520" s="82" t="s">
        <v>222</v>
      </c>
      <c r="X520" s="98" t="s">
        <v>171</v>
      </c>
      <c r="Y520" s="82" t="s">
        <v>220</v>
      </c>
      <c r="Z520" s="98" t="s">
        <v>166</v>
      </c>
      <c r="AA520" s="82"/>
      <c r="AB520" s="98"/>
      <c r="AC520" s="82"/>
      <c r="AD520" s="98"/>
      <c r="AE520" s="82"/>
      <c r="AF520" s="98"/>
      <c r="AG520" s="82"/>
      <c r="AH520" s="98"/>
      <c r="AI520" s="82"/>
      <c r="AJ520" s="98"/>
      <c r="AK520" s="83"/>
      <c r="AL520" s="84" t="str">
        <f>IF(F520&lt;&gt;0,IF(_xlfn.MAXIFS($I$1:I520,$F$1:F520,F520,$H$1:H520,"&gt;"&amp;0)=0,"KM NÃO ENCONTRADO",IF(H520=0,CONCATENATE("SUGESTÃO DE KM PARA PLACA ",F520," *",_xlfn.MAXIFS($I$1:I520,$F$1:F520,F520,$H$1:H520,"&gt;"&amp;0),"*"),"")),"")</f>
        <v/>
      </c>
      <c r="AM520" s="85" t="str" cm="1">
        <f t="array" ref="AM520">IFERROR(IF(M520&lt;&gt;"","",CONCATENATE("https://btx.brasiltrack.com/logistica/trajeto.php?idveiculo=",VLOOKUP(F520,DATAS!$A$221:$B$250,2,FALSE),"&amp;lat=-22.204247","&amp;data_ini=",TEXT(IF(E520&lt;&gt;"",IF(COUNTIF($F$2:$F520,F520)&gt;1,MAX(IF($F$1:$F519=F520,$E$1:$E519)),""),""),"DD/MM/AAAA"),"&amp;data_fim=",TEXT(E520,"DD/MM/AAAA"),"&amp;hora_inicial=",HOUR(IF(E520&lt;&gt;"",IF(COUNTIF($F$2:$F520,F520)&gt;1,MAX(IF($F$1:$F519=F520,$E$1:$E519)),""),"")),"&amp;minuto_inicial=",MINUTE(IF(E520&lt;&gt;"",IF(COUNTIF($F$2:$F520,F520)&gt;1,MAX(IF($F$1:$F519=F520,$E$1:$E519)),""),"")),"&amp;hora_final=",HOUR(E520),"&amp;minuto_final=",MINUTE(E520),"&amp;periodo=6&amp;tipo=por_data&amp;upos=false&amp;outequip=0")),"")</f>
        <v/>
      </c>
      <c r="AN520" s="100" t="str">
        <f t="shared" si="68"/>
        <v xml:space="preserve">ABASTECEU no 22 NORTE DESCARREGOU em IGUATAMA-MG ABASTECEU no 22 SUL          </v>
      </c>
    </row>
    <row r="521" spans="1:40" x14ac:dyDescent="0.25">
      <c r="A521" s="101">
        <f>IFERROR(VLOOKUP(AN521,ROTAS!$A:$B,2,FALSE),0)</f>
        <v>150</v>
      </c>
      <c r="B521" s="101">
        <f t="shared" si="60"/>
        <v>3</v>
      </c>
      <c r="C521" s="101">
        <f t="shared" si="61"/>
        <v>948.66666666666663</v>
      </c>
      <c r="D521" s="144">
        <v>44927</v>
      </c>
      <c r="E521" s="76">
        <v>44952.145138888889</v>
      </c>
      <c r="F521" s="6" t="s">
        <v>30</v>
      </c>
      <c r="G521" s="5" t="str">
        <f>IFERROR(VLOOKUP(SUMIFS(MSOLICITADA!$I:$I,MSOLICITADA!$B:$B,D521,MSOLICITADA!$F:$F,F521),CODIGOSPLACAS!$A$64:$B$89,2,FALSE),"")</f>
        <v>RONILSON</v>
      </c>
      <c r="H521" s="77">
        <v>226286</v>
      </c>
      <c r="I521" s="77">
        <v>227237</v>
      </c>
      <c r="J521" s="7">
        <v>553.87</v>
      </c>
      <c r="K521" s="78">
        <v>3317.68</v>
      </c>
      <c r="L521" s="79" t="s">
        <v>111</v>
      </c>
      <c r="M521" s="6">
        <v>475</v>
      </c>
      <c r="N521" s="5">
        <f t="shared" si="64"/>
        <v>476</v>
      </c>
      <c r="O521" s="80">
        <f t="shared" si="65"/>
        <v>5.9899976528788343</v>
      </c>
      <c r="P521" s="8">
        <f t="shared" si="66"/>
        <v>1.7170094065394406</v>
      </c>
      <c r="Q521" s="8">
        <f t="shared" si="62"/>
        <v>1.6205104706314435</v>
      </c>
      <c r="R521" s="81">
        <f t="shared" si="67"/>
        <v>0.49947423764458465</v>
      </c>
      <c r="S521" s="113" t="str">
        <f>IF(F521="","",IF(H521="",TEXT(_xlfn.MAXIFS($I$1:I521,$F$1:F521,F521,$H$1:H521,"&gt;"&amp;0),"000.000"),F521))</f>
        <v>GFB0I37</v>
      </c>
      <c r="T521" s="101">
        <f t="shared" si="63"/>
        <v>474.66666666666669</v>
      </c>
      <c r="U521" s="82" t="s">
        <v>220</v>
      </c>
      <c r="V521" s="98" t="s">
        <v>165</v>
      </c>
      <c r="W521" s="82" t="s">
        <v>222</v>
      </c>
      <c r="X521" s="98" t="s">
        <v>171</v>
      </c>
      <c r="Y521" s="82" t="s">
        <v>220</v>
      </c>
      <c r="Z521" s="98" t="s">
        <v>166</v>
      </c>
      <c r="AA521" s="82"/>
      <c r="AB521" s="98"/>
      <c r="AC521" s="82"/>
      <c r="AD521" s="98"/>
      <c r="AE521" s="82"/>
      <c r="AF521" s="98"/>
      <c r="AG521" s="82"/>
      <c r="AH521" s="98"/>
      <c r="AI521" s="82"/>
      <c r="AJ521" s="98"/>
      <c r="AK521" s="83"/>
      <c r="AL521" s="84" t="str">
        <f>IF(F521&lt;&gt;0,IF(_xlfn.MAXIFS($I$1:I521,$F$1:F521,F521,$H$1:H521,"&gt;"&amp;0)=0,"KM NÃO ENCONTRADO",IF(H521=0,CONCATENATE("SUGESTÃO DE KM PARA PLACA ",F521," *",_xlfn.MAXIFS($I$1:I521,$F$1:F521,F521,$H$1:H521,"&gt;"&amp;0),"*"),"")),"")</f>
        <v/>
      </c>
      <c r="AM521" s="85" t="str" cm="1">
        <f t="array" ref="AM521">IFERROR(IF(M521&lt;&gt;"","",CONCATENATE("https://btx.brasiltrack.com/logistica/trajeto.php?idveiculo=",VLOOKUP(F521,DATAS!$A$221:$B$250,2,FALSE),"&amp;lat=-22.204247","&amp;data_ini=",TEXT(IF(E521&lt;&gt;"",IF(COUNTIF($F$2:$F521,F521)&gt;1,MAX(IF($F$1:$F520=F521,$E$1:$E520)),""),""),"DD/MM/AAAA"),"&amp;data_fim=",TEXT(E521,"DD/MM/AAAA"),"&amp;hora_inicial=",HOUR(IF(E521&lt;&gt;"",IF(COUNTIF($F$2:$F521,F521)&gt;1,MAX(IF($F$1:$F520=F521,$E$1:$E520)),""),"")),"&amp;minuto_inicial=",MINUTE(IF(E521&lt;&gt;"",IF(COUNTIF($F$2:$F521,F521)&gt;1,MAX(IF($F$1:$F520=F521,$E$1:$E520)),""),"")),"&amp;hora_final=",HOUR(E521),"&amp;minuto_final=",MINUTE(E521),"&amp;periodo=6&amp;tipo=por_data&amp;upos=false&amp;outequip=0")),"")</f>
        <v/>
      </c>
      <c r="AN521" s="100" t="str">
        <f t="shared" si="68"/>
        <v xml:space="preserve">ABASTECEU no 22 NORTE DESCARREGOU em IGUATAMA-MG ABASTECEU no 22 SUL          </v>
      </c>
    </row>
    <row r="522" spans="1:40" x14ac:dyDescent="0.25">
      <c r="A522" s="101">
        <f>IFERROR(VLOOKUP(AN522,ROTAS!$A:$B,2,FALSE),0)</f>
        <v>151</v>
      </c>
      <c r="B522" s="101">
        <f t="shared" si="60"/>
        <v>5</v>
      </c>
      <c r="C522" s="101">
        <f t="shared" si="61"/>
        <v>306</v>
      </c>
      <c r="D522" s="144">
        <v>44927</v>
      </c>
      <c r="E522" s="76">
        <v>44952.28125</v>
      </c>
      <c r="F522" s="6" t="s">
        <v>131</v>
      </c>
      <c r="G522" s="5" t="str">
        <f>IFERROR(VLOOKUP(SUMIFS(MSOLICITADA!$I:$I,MSOLICITADA!$B:$B,D522,MSOLICITADA!$F:$F,F522),CODIGOSPLACAS!$A$64:$B$89,2,FALSE),"")</f>
        <v>ALTIELIS</v>
      </c>
      <c r="H522" s="77">
        <v>54892</v>
      </c>
      <c r="I522" s="77">
        <v>55210</v>
      </c>
      <c r="J522" s="7">
        <v>221</v>
      </c>
      <c r="K522" s="78">
        <v>1345.89</v>
      </c>
      <c r="L522" s="79" t="s">
        <v>111</v>
      </c>
      <c r="M522" s="6">
        <v>201</v>
      </c>
      <c r="N522" s="5">
        <f t="shared" si="64"/>
        <v>117</v>
      </c>
      <c r="O522" s="80">
        <f t="shared" si="65"/>
        <v>6.0900000000000007</v>
      </c>
      <c r="P522" s="8">
        <f t="shared" si="66"/>
        <v>1.4389140271493213</v>
      </c>
      <c r="Q522" s="8">
        <f t="shared" si="62"/>
        <v>1.6793774979959049</v>
      </c>
      <c r="R522" s="81">
        <f t="shared" si="67"/>
        <v>0.63207547169811318</v>
      </c>
      <c r="S522" s="113" t="str">
        <f>IF(F522="","",IF(H522="",TEXT(_xlfn.MAXIFS($I$1:I522,$F$1:F522,F522,$H$1:H522,"&gt;"&amp;0),"000.000"),F522))</f>
        <v>GGN4J86</v>
      </c>
      <c r="T522" s="101">
        <f t="shared" si="63"/>
        <v>117</v>
      </c>
      <c r="U522" s="82" t="s">
        <v>220</v>
      </c>
      <c r="V522" s="98" t="s">
        <v>166</v>
      </c>
      <c r="W522" s="82" t="s">
        <v>225</v>
      </c>
      <c r="X522" s="98" t="s">
        <v>284</v>
      </c>
      <c r="Y522" s="82" t="s">
        <v>221</v>
      </c>
      <c r="Z522" s="98" t="s">
        <v>175</v>
      </c>
      <c r="AA522" s="82" t="s">
        <v>225</v>
      </c>
      <c r="AB522" s="98" t="s">
        <v>237</v>
      </c>
      <c r="AC522" s="82" t="s">
        <v>220</v>
      </c>
      <c r="AD522" s="98" t="s">
        <v>165</v>
      </c>
      <c r="AE522" s="82"/>
      <c r="AF522" s="98"/>
      <c r="AG522" s="82"/>
      <c r="AH522" s="98"/>
      <c r="AI522" s="82"/>
      <c r="AJ522" s="98"/>
      <c r="AK522" s="83"/>
      <c r="AL522" s="84" t="str">
        <f>IF(F522&lt;&gt;0,IF(_xlfn.MAXIFS($I$1:I522,$F$1:F522,F522,$H$1:H522,"&gt;"&amp;0)=0,"KM NÃO ENCONTRADO",IF(H522=0,CONCATENATE("SUGESTÃO DE KM PARA PLACA ",F522," *",_xlfn.MAXIFS($I$1:I522,$F$1:F522,F522,$H$1:H522,"&gt;"&amp;0),"*"),"")),"")</f>
        <v/>
      </c>
      <c r="AM522" s="85" t="str" cm="1">
        <f t="array" ref="AM522">IFERROR(IF(M522&lt;&gt;"","",CONCATENATE("https://btx.brasiltrack.com/logistica/trajeto.php?idveiculo=",VLOOKUP(F522,DATAS!$A$221:$B$250,2,FALSE),"&amp;lat=-22.204247","&amp;data_ini=",TEXT(IF(E522&lt;&gt;"",IF(COUNTIF($F$2:$F522,F522)&gt;1,MAX(IF($F$1:$F521=F522,$E$1:$E521)),""),""),"DD/MM/AAAA"),"&amp;data_fim=",TEXT(E522,"DD/MM/AAAA"),"&amp;hora_inicial=",HOUR(IF(E522&lt;&gt;"",IF(COUNTIF($F$2:$F522,F522)&gt;1,MAX(IF($F$1:$F521=F522,$E$1:$E521)),""),"")),"&amp;minuto_inicial=",MINUTE(IF(E522&lt;&gt;"",IF(COUNTIF($F$2:$F522,F522)&gt;1,MAX(IF($F$1:$F521=F522,$E$1:$E521)),""),"")),"&amp;hora_final=",HOUR(E522),"&amp;minuto_final=",MINUTE(E522),"&amp;periodo=6&amp;tipo=por_data&amp;upos=false&amp;outequip=0")),"")</f>
        <v/>
      </c>
      <c r="AN522" s="100" t="str">
        <f t="shared" si="68"/>
        <v xml:space="preserve">ABASTECEU no 22 SUL PASSOU em SÃO PAULO-SP CARREGOU em SANTOS-SP PASSOU em ARUJÁ-SP ABASTECEU no 22 NORTE      </v>
      </c>
    </row>
    <row r="523" spans="1:40" x14ac:dyDescent="0.25">
      <c r="A523" s="101">
        <f>IFERROR(VLOOKUP(AN523,ROTAS!$A:$B,2,FALSE),0)</f>
        <v>12</v>
      </c>
      <c r="B523" s="101">
        <f t="shared" si="60"/>
        <v>5</v>
      </c>
      <c r="C523" s="101">
        <f t="shared" si="61"/>
        <v>655.4</v>
      </c>
      <c r="D523" s="144">
        <v>44927</v>
      </c>
      <c r="E523" s="76">
        <v>44952.306250000001</v>
      </c>
      <c r="F523" s="6" t="s">
        <v>28</v>
      </c>
      <c r="G523" s="5" t="str">
        <f>IFERROR(VLOOKUP(SUMIFS(MSOLICITADA!$I:$I,MSOLICITADA!$B:$B,D523,MSOLICITADA!$F:$F,F523),CODIGOSPLACAS!$A$64:$B$89,2,FALSE),"")</f>
        <v>RONY</v>
      </c>
      <c r="H523" s="77">
        <v>249869</v>
      </c>
      <c r="I523" s="77">
        <v>250538</v>
      </c>
      <c r="J523" s="7">
        <v>440</v>
      </c>
      <c r="K523" s="78">
        <v>2679.6</v>
      </c>
      <c r="L523" s="79" t="s">
        <v>111</v>
      </c>
      <c r="M523" s="6">
        <v>379</v>
      </c>
      <c r="N523" s="5">
        <f t="shared" si="64"/>
        <v>290</v>
      </c>
      <c r="O523" s="80">
        <f t="shared" si="65"/>
        <v>6.09</v>
      </c>
      <c r="P523" s="8">
        <f t="shared" si="66"/>
        <v>1.5204545454545455</v>
      </c>
      <c r="Q523" s="8">
        <f t="shared" si="62"/>
        <v>1.519654959485309</v>
      </c>
      <c r="R523" s="81">
        <f t="shared" si="67"/>
        <v>0.56651718983557553</v>
      </c>
      <c r="S523" s="113" t="str">
        <f>IF(F523="","",IF(H523="",TEXT(_xlfn.MAXIFS($I$1:I523,$F$1:F523,F523,$H$1:H523,"&gt;"&amp;0),"000.000"),F523))</f>
        <v>FZA3E94</v>
      </c>
      <c r="T523" s="101">
        <f t="shared" si="63"/>
        <v>290</v>
      </c>
      <c r="U523" s="82" t="s">
        <v>220</v>
      </c>
      <c r="V523" s="98" t="s">
        <v>165</v>
      </c>
      <c r="W523" s="82" t="s">
        <v>222</v>
      </c>
      <c r="X523" s="98" t="s">
        <v>200</v>
      </c>
      <c r="Y523" s="82" t="s">
        <v>225</v>
      </c>
      <c r="Z523" s="98" t="s">
        <v>284</v>
      </c>
      <c r="AA523" s="82" t="s">
        <v>221</v>
      </c>
      <c r="AB523" s="98" t="s">
        <v>175</v>
      </c>
      <c r="AC523" s="82" t="s">
        <v>225</v>
      </c>
      <c r="AD523" s="98" t="s">
        <v>237</v>
      </c>
      <c r="AE523" s="82" t="s">
        <v>220</v>
      </c>
      <c r="AF523" s="98" t="s">
        <v>165</v>
      </c>
      <c r="AG523" s="82"/>
      <c r="AH523" s="98"/>
      <c r="AI523" s="82"/>
      <c r="AJ523" s="98"/>
      <c r="AK523" s="83"/>
      <c r="AL523" s="84" t="str">
        <f>IF(F523&lt;&gt;0,IF(_xlfn.MAXIFS($I$1:I523,$F$1:F523,F523,$H$1:H523,"&gt;"&amp;0)=0,"KM NÃO ENCONTRADO",IF(H523=0,CONCATENATE("SUGESTÃO DE KM PARA PLACA ",F523," *",_xlfn.MAXIFS($I$1:I523,$F$1:F523,F523,$H$1:H523,"&gt;"&amp;0),"*"),"")),"")</f>
        <v/>
      </c>
      <c r="AM523" s="85" t="str" cm="1">
        <f t="array" ref="AM523">IFERROR(IF(M523&lt;&gt;"","",CONCATENATE("https://btx.brasiltrack.com/logistica/trajeto.php?idveiculo=",VLOOKUP(F523,DATAS!$A$221:$B$250,2,FALSE),"&amp;lat=-22.204247","&amp;data_ini=",TEXT(IF(E523&lt;&gt;"",IF(COUNTIF($F$2:$F523,F523)&gt;1,MAX(IF($F$1:$F522=F523,$E$1:$E522)),""),""),"DD/MM/AAAA"),"&amp;data_fim=",TEXT(E523,"DD/MM/AAAA"),"&amp;hora_inicial=",HOUR(IF(E523&lt;&gt;"",IF(COUNTIF($F$2:$F523,F523)&gt;1,MAX(IF($F$1:$F522=F523,$E$1:$E522)),""),"")),"&amp;minuto_inicial=",MINUTE(IF(E523&lt;&gt;"",IF(COUNTIF($F$2:$F523,F523)&gt;1,MAX(IF($F$1:$F522=F523,$E$1:$E522)),""),"")),"&amp;hora_final=",HOUR(E523),"&amp;minuto_final=",MINUTE(E523),"&amp;periodo=6&amp;tipo=por_data&amp;upos=false&amp;outequip=0")),"")</f>
        <v/>
      </c>
      <c r="AN523" s="100" t="str">
        <f t="shared" si="68"/>
        <v xml:space="preserve">ABASTECEU no 22 NORTE DESCARREGOU em CONGONHAL-MG PASSOU em SÃO PAULO-SP CARREGOU em SANTOS-SP PASSOU em ARUJÁ-SP ABASTECEU no 22 NORTE    </v>
      </c>
    </row>
    <row r="524" spans="1:40" x14ac:dyDescent="0.25">
      <c r="A524" s="101">
        <f>IFERROR(VLOOKUP(AN524,ROTAS!$A:$B,2,FALSE),0)</f>
        <v>152</v>
      </c>
      <c r="B524" s="101">
        <f t="shared" si="60"/>
        <v>3</v>
      </c>
      <c r="C524" s="101">
        <f t="shared" si="61"/>
        <v>819</v>
      </c>
      <c r="D524" s="144">
        <v>44927</v>
      </c>
      <c r="E524" s="76">
        <v>44952.406944444447</v>
      </c>
      <c r="F524" s="6" t="s">
        <v>33</v>
      </c>
      <c r="G524" s="5" t="str">
        <f>IFERROR(VLOOKUP(SUMIFS(MSOLICITADA!$I:$I,MSOLICITADA!$B:$B,D524,MSOLICITADA!$F:$F,F524),CODIGOSPLACAS!$A$64:$B$89,2,FALSE),"")</f>
        <v>JULIO</v>
      </c>
      <c r="H524" s="77">
        <v>170173</v>
      </c>
      <c r="I524" s="77">
        <v>170986</v>
      </c>
      <c r="J524" s="7">
        <v>413.44</v>
      </c>
      <c r="K524" s="78">
        <v>2517.85</v>
      </c>
      <c r="L524" s="79" t="s">
        <v>111</v>
      </c>
      <c r="M524" s="6">
        <v>453</v>
      </c>
      <c r="N524" s="5">
        <f t="shared" si="64"/>
        <v>360</v>
      </c>
      <c r="O524" s="80">
        <f t="shared" si="65"/>
        <v>6.0900009674922595</v>
      </c>
      <c r="P524" s="8">
        <f t="shared" si="66"/>
        <v>1.9664280185758514</v>
      </c>
      <c r="Q524" s="8">
        <f t="shared" si="62"/>
        <v>1.7400327790407339</v>
      </c>
      <c r="R524" s="81">
        <f t="shared" si="67"/>
        <v>0.55719557195571956</v>
      </c>
      <c r="S524" s="113" t="str">
        <f>IF(F524="","",IF(H524="",TEXT(_xlfn.MAXIFS($I$1:I524,$F$1:F524,F524,$H$1:H524,"&gt;"&amp;0),"000.000"),F524))</f>
        <v>GGF7G26</v>
      </c>
      <c r="T524" s="101">
        <f t="shared" si="63"/>
        <v>360</v>
      </c>
      <c r="U524" s="82" t="s">
        <v>220</v>
      </c>
      <c r="V524" s="98" t="s">
        <v>165</v>
      </c>
      <c r="W524" s="82" t="s">
        <v>222</v>
      </c>
      <c r="X524" s="98" t="s">
        <v>201</v>
      </c>
      <c r="Y524" s="82" t="s">
        <v>225</v>
      </c>
      <c r="Z524" s="98" t="s">
        <v>284</v>
      </c>
      <c r="AA524" s="82" t="s">
        <v>221</v>
      </c>
      <c r="AB524" s="98" t="s">
        <v>175</v>
      </c>
      <c r="AC524" s="82" t="s">
        <v>225</v>
      </c>
      <c r="AD524" s="98" t="s">
        <v>237</v>
      </c>
      <c r="AE524" s="82" t="s">
        <v>220</v>
      </c>
      <c r="AF524" s="98" t="s">
        <v>165</v>
      </c>
      <c r="AG524" s="82"/>
      <c r="AH524" s="98"/>
      <c r="AI524" s="82"/>
      <c r="AJ524" s="98"/>
      <c r="AK524" s="83"/>
      <c r="AL524" s="84" t="str">
        <f>IF(F524&lt;&gt;0,IF(_xlfn.MAXIFS($I$1:I524,$F$1:F524,F524,$H$1:H524,"&gt;"&amp;0)=0,"KM NÃO ENCONTRADO",IF(H524=0,CONCATENATE("SUGESTÃO DE KM PARA PLACA ",F524," *",_xlfn.MAXIFS($I$1:I524,$F$1:F524,F524,$H$1:H524,"&gt;"&amp;0),"*"),"")),"")</f>
        <v/>
      </c>
      <c r="AM524" s="85" t="str" cm="1">
        <f t="array" ref="AM524">IFERROR(IF(M524&lt;&gt;"","",CONCATENATE("https://btx.brasiltrack.com/logistica/trajeto.php?idveiculo=",VLOOKUP(F524,DATAS!$A$221:$B$250,2,FALSE),"&amp;lat=-22.204247","&amp;data_ini=",TEXT(IF(E524&lt;&gt;"",IF(COUNTIF($F$2:$F524,F524)&gt;1,MAX(IF($F$1:$F523=F524,$E$1:$E523)),""),""),"DD/MM/AAAA"),"&amp;data_fim=",TEXT(E524,"DD/MM/AAAA"),"&amp;hora_inicial=",HOUR(IF(E524&lt;&gt;"",IF(COUNTIF($F$2:$F524,F524)&gt;1,MAX(IF($F$1:$F523=F524,$E$1:$E523)),""),"")),"&amp;minuto_inicial=",MINUTE(IF(E524&lt;&gt;"",IF(COUNTIF($F$2:$F524,F524)&gt;1,MAX(IF($F$1:$F523=F524,$E$1:$E523)),""),"")),"&amp;hora_final=",HOUR(E524),"&amp;minuto_final=",MINUTE(E524),"&amp;periodo=6&amp;tipo=por_data&amp;upos=false&amp;outequip=0")),"")</f>
        <v/>
      </c>
      <c r="AN524" s="100" t="str">
        <f t="shared" si="68"/>
        <v xml:space="preserve">ABASTECEU no 22 NORTE DESCARREGOU em TRES CORACOES-MG PASSOU em SÃO PAULO-SP CARREGOU em SANTOS-SP PASSOU em ARUJÁ-SP ABASTECEU no 22 NORTE    </v>
      </c>
    </row>
    <row r="525" spans="1:40" x14ac:dyDescent="0.25">
      <c r="A525" s="101">
        <f>IFERROR(VLOOKUP(AN525,ROTAS!$A:$B,2,FALSE),0)</f>
        <v>155</v>
      </c>
      <c r="B525" s="101">
        <f t="shared" si="60"/>
        <v>4</v>
      </c>
      <c r="C525" s="101">
        <f t="shared" si="61"/>
        <v>833</v>
      </c>
      <c r="D525" s="144">
        <v>44927</v>
      </c>
      <c r="E525" s="76">
        <v>44952.462500000001</v>
      </c>
      <c r="F525" s="6" t="s">
        <v>126</v>
      </c>
      <c r="G525" s="5" t="str">
        <f>IFERROR(VLOOKUP(SUMIFS(MSOLICITADA!$I:$I,MSOLICITADA!$B:$B,D525,MSOLICITADA!$F:$F,F525),CODIGOSPLACAS!$A$64:$B$89,2,FALSE),"")</f>
        <v>IZAIAS</v>
      </c>
      <c r="H525" s="77">
        <v>496795</v>
      </c>
      <c r="I525" s="77">
        <v>497625</v>
      </c>
      <c r="J525" s="7">
        <v>520.01099999999997</v>
      </c>
      <c r="K525" s="78">
        <v>3166.86</v>
      </c>
      <c r="L525" s="79" t="s">
        <v>111</v>
      </c>
      <c r="M525" s="6">
        <v>448</v>
      </c>
      <c r="N525" s="5">
        <f t="shared" si="64"/>
        <v>382</v>
      </c>
      <c r="O525" s="80">
        <f t="shared" si="65"/>
        <v>6.0899865579766592</v>
      </c>
      <c r="P525" s="8">
        <f t="shared" si="66"/>
        <v>1.5961200820751871</v>
      </c>
      <c r="Q525" s="8">
        <f t="shared" si="62"/>
        <v>1.5602257971131808</v>
      </c>
      <c r="R525" s="81">
        <f t="shared" si="67"/>
        <v>0.53975903614457832</v>
      </c>
      <c r="S525" s="113" t="str">
        <f>IF(F525="","",IF(H525="",TEXT(_xlfn.MAXIFS($I$1:I525,$F$1:F525,F525,$H$1:H525,"&gt;"&amp;0),"000.000"),F525))</f>
        <v>GHX4D71</v>
      </c>
      <c r="T525" s="101">
        <f t="shared" si="63"/>
        <v>382</v>
      </c>
      <c r="U525" s="82" t="s">
        <v>220</v>
      </c>
      <c r="V525" s="98" t="s">
        <v>165</v>
      </c>
      <c r="W525" s="82" t="s">
        <v>222</v>
      </c>
      <c r="X525" s="98" t="s">
        <v>167</v>
      </c>
      <c r="Y525" s="82" t="s">
        <v>225</v>
      </c>
      <c r="Z525" s="98" t="s">
        <v>284</v>
      </c>
      <c r="AA525" s="82" t="s">
        <v>221</v>
      </c>
      <c r="AB525" s="98" t="s">
        <v>175</v>
      </c>
      <c r="AC525" s="82" t="s">
        <v>225</v>
      </c>
      <c r="AD525" s="98" t="s">
        <v>237</v>
      </c>
      <c r="AE525" s="82" t="s">
        <v>220</v>
      </c>
      <c r="AF525" s="98" t="s">
        <v>165</v>
      </c>
      <c r="AG525" s="82"/>
      <c r="AH525" s="98"/>
      <c r="AI525" s="82"/>
      <c r="AJ525" s="98"/>
      <c r="AK525" s="83"/>
      <c r="AL525" s="84" t="str">
        <f>IF(F525&lt;&gt;0,IF(_xlfn.MAXIFS($I$1:I525,$F$1:F525,F525,$H$1:H525,"&gt;"&amp;0)=0,"KM NÃO ENCONTRADO",IF(H525=0,CONCATENATE("SUGESTÃO DE KM PARA PLACA ",F525," *",_xlfn.MAXIFS($I$1:I525,$F$1:F525,F525,$H$1:H525,"&gt;"&amp;0),"*"),"")),"")</f>
        <v/>
      </c>
      <c r="AM525" s="85" t="str" cm="1">
        <f t="array" ref="AM525">IFERROR(IF(M525&lt;&gt;"","",CONCATENATE("https://btx.brasiltrack.com/logistica/trajeto.php?idveiculo=",VLOOKUP(F525,DATAS!$A$221:$B$250,2,FALSE),"&amp;lat=-22.204247","&amp;data_ini=",TEXT(IF(E525&lt;&gt;"",IF(COUNTIF($F$2:$F525,F525)&gt;1,MAX(IF($F$1:$F524=F525,$E$1:$E524)),""),""),"DD/MM/AAAA"),"&amp;data_fim=",TEXT(E525,"DD/MM/AAAA"),"&amp;hora_inicial=",HOUR(IF(E525&lt;&gt;"",IF(COUNTIF($F$2:$F525,F525)&gt;1,MAX(IF($F$1:$F524=F525,$E$1:$E524)),""),"")),"&amp;minuto_inicial=",MINUTE(IF(E525&lt;&gt;"",IF(COUNTIF($F$2:$F525,F525)&gt;1,MAX(IF($F$1:$F524=F525,$E$1:$E524)),""),"")),"&amp;hora_final=",HOUR(E525),"&amp;minuto_final=",MINUTE(E525),"&amp;periodo=6&amp;tipo=por_data&amp;upos=false&amp;outequip=0")),"")</f>
        <v/>
      </c>
      <c r="AN525" s="100" t="str">
        <f t="shared" si="68"/>
        <v xml:space="preserve">ABASTECEU no 22 NORTE DESCARREGOU em VARGINHA-MG PASSOU em SÃO PAULO-SP CARREGOU em SANTOS-SP PASSOU em ARUJÁ-SP ABASTECEU no 22 NORTE    </v>
      </c>
    </row>
    <row r="526" spans="1:40" x14ac:dyDescent="0.25">
      <c r="A526" s="101">
        <f>IFERROR(VLOOKUP(AN526,ROTAS!$A:$B,2,FALSE),0)</f>
        <v>151</v>
      </c>
      <c r="B526" s="101">
        <f t="shared" si="60"/>
        <v>5</v>
      </c>
      <c r="C526" s="101">
        <f t="shared" si="61"/>
        <v>306</v>
      </c>
      <c r="D526" s="144">
        <v>44927</v>
      </c>
      <c r="E526" s="76">
        <v>44952.463194444441</v>
      </c>
      <c r="F526" s="6" t="s">
        <v>23</v>
      </c>
      <c r="G526" s="5" t="str">
        <f>IFERROR(VLOOKUP(SUMIFS(MSOLICITADA!$I:$I,MSOLICITADA!$B:$B,D526,MSOLICITADA!$F:$F,F526),CODIGOSPLACAS!$A$64:$B$89,2,FALSE),"")</f>
        <v>ISAC</v>
      </c>
      <c r="H526" s="77">
        <v>1212865</v>
      </c>
      <c r="I526" s="77">
        <v>1213160</v>
      </c>
      <c r="J526" s="7">
        <v>205.5</v>
      </c>
      <c r="K526" s="78">
        <v>1251.5</v>
      </c>
      <c r="L526" s="79" t="s">
        <v>111</v>
      </c>
      <c r="M526" s="6">
        <v>178</v>
      </c>
      <c r="N526" s="5">
        <f t="shared" si="64"/>
        <v>117</v>
      </c>
      <c r="O526" s="80">
        <f t="shared" si="65"/>
        <v>6.0900243309002429</v>
      </c>
      <c r="P526" s="8">
        <f t="shared" si="66"/>
        <v>1.4355231143552312</v>
      </c>
      <c r="Q526" s="8">
        <f t="shared" si="62"/>
        <v>1.4592701282718794</v>
      </c>
      <c r="R526" s="81">
        <f t="shared" si="67"/>
        <v>0.60338983050847461</v>
      </c>
      <c r="S526" s="113" t="str">
        <f>IF(F526="","",IF(H526="",TEXT(_xlfn.MAXIFS($I$1:I526,$F$1:F526,F526,$H$1:H526,"&gt;"&amp;0),"000.000"),F526))</f>
        <v>HNC7I76</v>
      </c>
      <c r="T526" s="101">
        <f t="shared" si="63"/>
        <v>117</v>
      </c>
      <c r="U526" s="82" t="s">
        <v>220</v>
      </c>
      <c r="V526" s="98" t="s">
        <v>166</v>
      </c>
      <c r="W526" s="82" t="s">
        <v>225</v>
      </c>
      <c r="X526" s="98" t="s">
        <v>284</v>
      </c>
      <c r="Y526" s="82" t="s">
        <v>221</v>
      </c>
      <c r="Z526" s="98" t="s">
        <v>175</v>
      </c>
      <c r="AA526" s="82" t="s">
        <v>225</v>
      </c>
      <c r="AB526" s="98" t="s">
        <v>237</v>
      </c>
      <c r="AC526" s="82" t="s">
        <v>220</v>
      </c>
      <c r="AD526" s="98" t="s">
        <v>165</v>
      </c>
      <c r="AE526" s="82"/>
      <c r="AF526" s="98"/>
      <c r="AG526" s="82"/>
      <c r="AH526" s="98"/>
      <c r="AI526" s="82"/>
      <c r="AJ526" s="98"/>
      <c r="AK526" s="83"/>
      <c r="AL526" s="84" t="str">
        <f>IF(F526&lt;&gt;0,IF(_xlfn.MAXIFS($I$1:I526,$F$1:F526,F526,$H$1:H526,"&gt;"&amp;0)=0,"KM NÃO ENCONTRADO",IF(H526=0,CONCATENATE("SUGESTÃO DE KM PARA PLACA ",F526," *",_xlfn.MAXIFS($I$1:I526,$F$1:F526,F526,$H$1:H526,"&gt;"&amp;0),"*"),"")),"")</f>
        <v/>
      </c>
      <c r="AM526" s="85" t="str" cm="1">
        <f t="array" ref="AM526">IFERROR(IF(M526&lt;&gt;"","",CONCATENATE("https://btx.brasiltrack.com/logistica/trajeto.php?idveiculo=",VLOOKUP(F526,DATAS!$A$221:$B$250,2,FALSE),"&amp;lat=-22.204247","&amp;data_ini=",TEXT(IF(E526&lt;&gt;"",IF(COUNTIF($F$2:$F526,F526)&gt;1,MAX(IF($F$1:$F525=F526,$E$1:$E525)),""),""),"DD/MM/AAAA"),"&amp;data_fim=",TEXT(E526,"DD/MM/AAAA"),"&amp;hora_inicial=",HOUR(IF(E526&lt;&gt;"",IF(COUNTIF($F$2:$F526,F526)&gt;1,MAX(IF($F$1:$F525=F526,$E$1:$E525)),""),"")),"&amp;minuto_inicial=",MINUTE(IF(E526&lt;&gt;"",IF(COUNTIF($F$2:$F526,F526)&gt;1,MAX(IF($F$1:$F525=F526,$E$1:$E525)),""),"")),"&amp;hora_final=",HOUR(E526),"&amp;minuto_final=",MINUTE(E526),"&amp;periodo=6&amp;tipo=por_data&amp;upos=false&amp;outequip=0")),"")</f>
        <v/>
      </c>
      <c r="AN526" s="100" t="str">
        <f t="shared" si="68"/>
        <v xml:space="preserve">ABASTECEU no 22 SUL PASSOU em SÃO PAULO-SP CARREGOU em SANTOS-SP PASSOU em ARUJÁ-SP ABASTECEU no 22 NORTE      </v>
      </c>
    </row>
    <row r="527" spans="1:40" x14ac:dyDescent="0.25">
      <c r="A527" s="101">
        <f>IFERROR(VLOOKUP(AN527,ROTAS!$A:$B,2,FALSE),0)</f>
        <v>151</v>
      </c>
      <c r="B527" s="101">
        <f t="shared" si="60"/>
        <v>5</v>
      </c>
      <c r="C527" s="101">
        <f t="shared" si="61"/>
        <v>306</v>
      </c>
      <c r="D527" s="144">
        <v>44927</v>
      </c>
      <c r="E527" s="76">
        <v>44952.53402777778</v>
      </c>
      <c r="F527" s="6" t="s">
        <v>30</v>
      </c>
      <c r="G527" s="5" t="str">
        <f>IFERROR(VLOOKUP(SUMIFS(MSOLICITADA!$I:$I,MSOLICITADA!$B:$B,D527,MSOLICITADA!$F:$F,F527),CODIGOSPLACAS!$A$64:$B$89,2,FALSE),"")</f>
        <v>RONILSON</v>
      </c>
      <c r="H527" s="77">
        <v>227237</v>
      </c>
      <c r="I527" s="77">
        <v>227547</v>
      </c>
      <c r="J527" s="7">
        <v>200</v>
      </c>
      <c r="K527" s="78">
        <v>1218</v>
      </c>
      <c r="L527" s="79" t="s">
        <v>111</v>
      </c>
      <c r="M527" s="6">
        <v>193</v>
      </c>
      <c r="N527" s="5">
        <f t="shared" si="64"/>
        <v>117</v>
      </c>
      <c r="O527" s="80">
        <f t="shared" si="65"/>
        <v>6.09</v>
      </c>
      <c r="P527" s="8">
        <f t="shared" si="66"/>
        <v>1.55</v>
      </c>
      <c r="Q527" s="8">
        <f t="shared" si="62"/>
        <v>1.6205104706314435</v>
      </c>
      <c r="R527" s="81">
        <f t="shared" si="67"/>
        <v>0.6225806451612903</v>
      </c>
      <c r="S527" s="113" t="str">
        <f>IF(F527="","",IF(H527="",TEXT(_xlfn.MAXIFS($I$1:I527,$F$1:F527,F527,$H$1:H527,"&gt;"&amp;0),"000.000"),F527))</f>
        <v>GFB0I37</v>
      </c>
      <c r="T527" s="101">
        <f t="shared" si="63"/>
        <v>117</v>
      </c>
      <c r="U527" s="82" t="s">
        <v>220</v>
      </c>
      <c r="V527" s="98" t="s">
        <v>166</v>
      </c>
      <c r="W527" s="82" t="s">
        <v>225</v>
      </c>
      <c r="X527" s="98" t="s">
        <v>284</v>
      </c>
      <c r="Y527" s="82" t="s">
        <v>221</v>
      </c>
      <c r="Z527" s="98" t="s">
        <v>175</v>
      </c>
      <c r="AA527" s="82" t="s">
        <v>225</v>
      </c>
      <c r="AB527" s="98" t="s">
        <v>237</v>
      </c>
      <c r="AC527" s="82" t="s">
        <v>220</v>
      </c>
      <c r="AD527" s="98" t="s">
        <v>165</v>
      </c>
      <c r="AE527" s="82"/>
      <c r="AF527" s="98"/>
      <c r="AG527" s="82"/>
      <c r="AH527" s="98"/>
      <c r="AI527" s="82"/>
      <c r="AJ527" s="98"/>
      <c r="AK527" s="83"/>
      <c r="AL527" s="84" t="str">
        <f>IF(F527&lt;&gt;0,IF(_xlfn.MAXIFS($I$1:I527,$F$1:F527,F527,$H$1:H527,"&gt;"&amp;0)=0,"KM NÃO ENCONTRADO",IF(H527=0,CONCATENATE("SUGESTÃO DE KM PARA PLACA ",F527," *",_xlfn.MAXIFS($I$1:I527,$F$1:F527,F527,$H$1:H527,"&gt;"&amp;0),"*"),"")),"")</f>
        <v/>
      </c>
      <c r="AM527" s="85" t="str" cm="1">
        <f t="array" ref="AM527">IFERROR(IF(M527&lt;&gt;"","",CONCATENATE("https://btx.brasiltrack.com/logistica/trajeto.php?idveiculo=",VLOOKUP(F527,DATAS!$A$221:$B$250,2,FALSE),"&amp;lat=-22.204247","&amp;data_ini=",TEXT(IF(E527&lt;&gt;"",IF(COUNTIF($F$2:$F527,F527)&gt;1,MAX(IF($F$1:$F526=F527,$E$1:$E526)),""),""),"DD/MM/AAAA"),"&amp;data_fim=",TEXT(E527,"DD/MM/AAAA"),"&amp;hora_inicial=",HOUR(IF(E527&lt;&gt;"",IF(COUNTIF($F$2:$F527,F527)&gt;1,MAX(IF($F$1:$F526=F527,$E$1:$E526)),""),"")),"&amp;minuto_inicial=",MINUTE(IF(E527&lt;&gt;"",IF(COUNTIF($F$2:$F527,F527)&gt;1,MAX(IF($F$1:$F526=F527,$E$1:$E526)),""),"")),"&amp;hora_final=",HOUR(E527),"&amp;minuto_final=",MINUTE(E527),"&amp;periodo=6&amp;tipo=por_data&amp;upos=false&amp;outequip=0")),"")</f>
        <v/>
      </c>
      <c r="AN527" s="100" t="str">
        <f t="shared" si="68"/>
        <v xml:space="preserve">ABASTECEU no 22 SUL PASSOU em SÃO PAULO-SP CARREGOU em SANTOS-SP PASSOU em ARUJÁ-SP ABASTECEU no 22 NORTE      </v>
      </c>
    </row>
    <row r="528" spans="1:40" x14ac:dyDescent="0.25">
      <c r="A528" s="101">
        <f>IFERROR(VLOOKUP(AN528,ROTAS!$A:$B,2,FALSE),0)</f>
        <v>151</v>
      </c>
      <c r="B528" s="101">
        <f t="shared" si="60"/>
        <v>5</v>
      </c>
      <c r="C528" s="101">
        <f t="shared" si="61"/>
        <v>306</v>
      </c>
      <c r="D528" s="144">
        <v>44927</v>
      </c>
      <c r="E528" s="76">
        <v>44952.536805555559</v>
      </c>
      <c r="F528" s="6" t="s">
        <v>32</v>
      </c>
      <c r="G528" s="5" t="str">
        <f>IFERROR(VLOOKUP(SUMIFS(MSOLICITADA!$I:$I,MSOLICITADA!$B:$B,D528,MSOLICITADA!$F:$F,F528),CODIGOSPLACAS!$A$64:$B$89,2,FALSE),"")</f>
        <v>ADILSON</v>
      </c>
      <c r="H528" s="77">
        <v>209594</v>
      </c>
      <c r="I528" s="77">
        <v>209903</v>
      </c>
      <c r="J528" s="7">
        <v>181.57</v>
      </c>
      <c r="K528" s="78">
        <v>1105.76</v>
      </c>
      <c r="L528" s="79" t="s">
        <v>111</v>
      </c>
      <c r="M528" s="6">
        <v>192</v>
      </c>
      <c r="N528" s="5">
        <f t="shared" si="64"/>
        <v>117</v>
      </c>
      <c r="O528" s="80">
        <f t="shared" si="65"/>
        <v>6.0899928402269099</v>
      </c>
      <c r="P528" s="8">
        <f t="shared" si="66"/>
        <v>1.7018229883791376</v>
      </c>
      <c r="Q528" s="8">
        <f t="shared" si="62"/>
        <v>1.6695575721559062</v>
      </c>
      <c r="R528" s="81">
        <f t="shared" si="67"/>
        <v>0.62135922330097082</v>
      </c>
      <c r="S528" s="113" t="str">
        <f>IF(F528="","",IF(H528="",TEXT(_xlfn.MAXIFS($I$1:I528,$F$1:F528,F528,$H$1:H528,"&gt;"&amp;0),"000.000"),F528))</f>
        <v>GJU9A22</v>
      </c>
      <c r="T528" s="101">
        <f t="shared" si="63"/>
        <v>117</v>
      </c>
      <c r="U528" s="82" t="s">
        <v>220</v>
      </c>
      <c r="V528" s="98" t="s">
        <v>166</v>
      </c>
      <c r="W528" s="82" t="s">
        <v>225</v>
      </c>
      <c r="X528" s="98" t="s">
        <v>284</v>
      </c>
      <c r="Y528" s="82" t="s">
        <v>221</v>
      </c>
      <c r="Z528" s="98" t="s">
        <v>175</v>
      </c>
      <c r="AA528" s="82" t="s">
        <v>225</v>
      </c>
      <c r="AB528" s="98" t="s">
        <v>237</v>
      </c>
      <c r="AC528" s="82" t="s">
        <v>220</v>
      </c>
      <c r="AD528" s="98" t="s">
        <v>165</v>
      </c>
      <c r="AE528" s="82"/>
      <c r="AF528" s="98"/>
      <c r="AG528" s="82"/>
      <c r="AH528" s="98"/>
      <c r="AI528" s="82"/>
      <c r="AJ528" s="98"/>
      <c r="AK528" s="83"/>
      <c r="AL528" s="84" t="str">
        <f>IF(F528&lt;&gt;0,IF(_xlfn.MAXIFS($I$1:I528,$F$1:F528,F528,$H$1:H528,"&gt;"&amp;0)=0,"KM NÃO ENCONTRADO",IF(H528=0,CONCATENATE("SUGESTÃO DE KM PARA PLACA ",F528," *",_xlfn.MAXIFS($I$1:I528,$F$1:F528,F528,$H$1:H528,"&gt;"&amp;0),"*"),"")),"")</f>
        <v/>
      </c>
      <c r="AM528" s="85" t="str" cm="1">
        <f t="array" ref="AM528">IFERROR(IF(M528&lt;&gt;"","",CONCATENATE("https://btx.brasiltrack.com/logistica/trajeto.php?idveiculo=",VLOOKUP(F528,DATAS!$A$221:$B$250,2,FALSE),"&amp;lat=-22.204247","&amp;data_ini=",TEXT(IF(E528&lt;&gt;"",IF(COUNTIF($F$2:$F528,F528)&gt;1,MAX(IF($F$1:$F527=F528,$E$1:$E527)),""),""),"DD/MM/AAAA"),"&amp;data_fim=",TEXT(E528,"DD/MM/AAAA"),"&amp;hora_inicial=",HOUR(IF(E528&lt;&gt;"",IF(COUNTIF($F$2:$F528,F528)&gt;1,MAX(IF($F$1:$F527=F528,$E$1:$E527)),""),"")),"&amp;minuto_inicial=",MINUTE(IF(E528&lt;&gt;"",IF(COUNTIF($F$2:$F528,F528)&gt;1,MAX(IF($F$1:$F527=F528,$E$1:$E527)),""),"")),"&amp;hora_final=",HOUR(E528),"&amp;minuto_final=",MINUTE(E528),"&amp;periodo=6&amp;tipo=por_data&amp;upos=false&amp;outequip=0")),"")</f>
        <v/>
      </c>
      <c r="AN528" s="100" t="str">
        <f t="shared" si="68"/>
        <v xml:space="preserve">ABASTECEU no 22 SUL PASSOU em SÃO PAULO-SP CARREGOU em SANTOS-SP PASSOU em ARUJÁ-SP ABASTECEU no 22 NORTE      </v>
      </c>
    </row>
    <row r="529" spans="1:40" x14ac:dyDescent="0.25">
      <c r="A529" s="101">
        <f>IFERROR(VLOOKUP(AN529,ROTAS!$A:$B,2,FALSE),0)</f>
        <v>153</v>
      </c>
      <c r="B529" s="101">
        <f t="shared" si="60"/>
        <v>1</v>
      </c>
      <c r="C529" s="101">
        <f t="shared" si="61"/>
        <v>976</v>
      </c>
      <c r="D529" s="144">
        <v>44927</v>
      </c>
      <c r="E529" s="76">
        <v>44952.783333333333</v>
      </c>
      <c r="F529" s="6" t="s">
        <v>24</v>
      </c>
      <c r="G529" s="5" t="str">
        <f>IFERROR(VLOOKUP(SUMIFS(MSOLICITADA!$I:$I,MSOLICITADA!$B:$B,D529,MSOLICITADA!$F:$F,F529),CODIGOSPLACAS!$A$64:$B$89,2,FALSE),"")</f>
        <v>PAULO HENR.</v>
      </c>
      <c r="H529" s="77">
        <v>954229</v>
      </c>
      <c r="I529" s="77">
        <v>955205</v>
      </c>
      <c r="J529" s="7">
        <v>674</v>
      </c>
      <c r="K529" s="78">
        <v>4037.26</v>
      </c>
      <c r="L529" s="79" t="s">
        <v>111</v>
      </c>
      <c r="M529" s="6">
        <v>899</v>
      </c>
      <c r="N529" s="5">
        <f t="shared" si="64"/>
        <v>77</v>
      </c>
      <c r="O529" s="80">
        <f t="shared" si="65"/>
        <v>5.99</v>
      </c>
      <c r="P529" s="8">
        <f t="shared" si="66"/>
        <v>1.4480712166172107</v>
      </c>
      <c r="Q529" s="8">
        <f t="shared" si="62"/>
        <v>1.5194077812359499</v>
      </c>
      <c r="R529" s="81">
        <f t="shared" si="67"/>
        <v>0.92110655737704916</v>
      </c>
      <c r="S529" s="113" t="str">
        <f>IF(F529="","",IF(H529="",TEXT(_xlfn.MAXIFS($I$1:I529,$F$1:F529,F529,$H$1:H529,"&gt;"&amp;0),"000.000"),F529))</f>
        <v>FKS0J24</v>
      </c>
      <c r="T529" s="101">
        <f t="shared" si="63"/>
        <v>77</v>
      </c>
      <c r="U529" s="82" t="s">
        <v>220</v>
      </c>
      <c r="V529" s="98" t="s">
        <v>206</v>
      </c>
      <c r="W529" s="82" t="s">
        <v>225</v>
      </c>
      <c r="X529" s="98" t="s">
        <v>284</v>
      </c>
      <c r="Y529" s="82" t="s">
        <v>222</v>
      </c>
      <c r="Z529" s="98" t="s">
        <v>175</v>
      </c>
      <c r="AA529" s="82" t="s">
        <v>221</v>
      </c>
      <c r="AB529" s="98" t="s">
        <v>168</v>
      </c>
      <c r="AC529" s="82" t="s">
        <v>225</v>
      </c>
      <c r="AD529" s="98" t="s">
        <v>438</v>
      </c>
      <c r="AE529" s="82" t="s">
        <v>222</v>
      </c>
      <c r="AF529" s="98" t="s">
        <v>200</v>
      </c>
      <c r="AG529" s="82" t="s">
        <v>220</v>
      </c>
      <c r="AH529" s="98" t="s">
        <v>217</v>
      </c>
      <c r="AI529" s="82"/>
      <c r="AJ529" s="98"/>
      <c r="AK529" s="83"/>
      <c r="AL529" s="84" t="str">
        <f>IF(F529&lt;&gt;0,IF(_xlfn.MAXIFS($I$1:I529,$F$1:F529,F529,$H$1:H529,"&gt;"&amp;0)=0,"KM NÃO ENCONTRADO",IF(H529=0,CONCATENATE("SUGESTÃO DE KM PARA PLACA ",F529," *",_xlfn.MAXIFS($I$1:I529,$F$1:F529,F529,$H$1:H529,"&gt;"&amp;0),"*"),"")),"")</f>
        <v/>
      </c>
      <c r="AM529" s="85" t="str" cm="1">
        <f t="array" ref="AM529">IFERROR(IF(M529&lt;&gt;"","",CONCATENATE("https://btx.brasiltrack.com/logistica/trajeto.php?idveiculo=",VLOOKUP(F529,DATAS!$A$221:$B$250,2,FALSE),"&amp;lat=-22.204247","&amp;data_ini=",TEXT(IF(E529&lt;&gt;"",IF(COUNTIF($F$2:$F529,F529)&gt;1,MAX(IF($F$1:$F528=F529,$E$1:$E528)),""),""),"DD/MM/AAAA"),"&amp;data_fim=",TEXT(E529,"DD/MM/AAAA"),"&amp;hora_inicial=",HOUR(IF(E529&lt;&gt;"",IF(COUNTIF($F$2:$F529,F529)&gt;1,MAX(IF($F$1:$F528=F529,$E$1:$E528)),""),"")),"&amp;minuto_inicial=",MINUTE(IF(E529&lt;&gt;"",IF(COUNTIF($F$2:$F529,F529)&gt;1,MAX(IF($F$1:$F528=F529,$E$1:$E528)),""),"")),"&amp;hora_final=",HOUR(E529),"&amp;minuto_final=",MINUTE(E529),"&amp;periodo=6&amp;tipo=por_data&amp;upos=false&amp;outequip=0")),"")</f>
        <v/>
      </c>
      <c r="AN529" s="100" t="str">
        <f t="shared" si="68"/>
        <v xml:space="preserve">ABASTECEU no CANDEIAS-MG PASSOU em SÃO PAULO-SP DESCARREGOU em SANTOS-SP CARREGOU em CUBATAO-SP PASSOU em JACAREI-SP DESCARREGOU em CONGONHAL-MG ABASTECEU no DP JK SUL  </v>
      </c>
    </row>
    <row r="530" spans="1:40" x14ac:dyDescent="0.25">
      <c r="A530" s="101">
        <f>IFERROR(VLOOKUP(AN530,ROTAS!$A:$B,2,FALSE),0)</f>
        <v>150</v>
      </c>
      <c r="B530" s="101">
        <f t="shared" si="60"/>
        <v>3</v>
      </c>
      <c r="C530" s="101">
        <f t="shared" si="61"/>
        <v>948.66666666666663</v>
      </c>
      <c r="D530" s="144">
        <v>44927</v>
      </c>
      <c r="E530" s="76">
        <v>44953.001388888886</v>
      </c>
      <c r="F530" s="6" t="s">
        <v>27</v>
      </c>
      <c r="G530" s="5" t="str">
        <f>IFERROR(VLOOKUP(SUMIFS(MSOLICITADA!$I:$I,MSOLICITADA!$B:$B,D530,MSOLICITADA!$F:$F,F530),CODIGOSPLACAS!$A$64:$B$89,2,FALSE),"")</f>
        <v>ANTONIO</v>
      </c>
      <c r="H530" s="77">
        <v>255260</v>
      </c>
      <c r="I530" s="77">
        <v>256214</v>
      </c>
      <c r="J530" s="7">
        <v>618.42999999999995</v>
      </c>
      <c r="K530" s="78">
        <v>3704.39</v>
      </c>
      <c r="L530" s="79" t="s">
        <v>111</v>
      </c>
      <c r="M530" s="6">
        <v>477</v>
      </c>
      <c r="N530" s="5">
        <f t="shared" si="64"/>
        <v>477</v>
      </c>
      <c r="O530" s="80">
        <f t="shared" si="65"/>
        <v>5.9899907831120744</v>
      </c>
      <c r="P530" s="8">
        <f t="shared" si="66"/>
        <v>1.5426159791730674</v>
      </c>
      <c r="Q530" s="8">
        <f t="shared" si="62"/>
        <v>1.4666276036610979</v>
      </c>
      <c r="R530" s="81">
        <f t="shared" si="67"/>
        <v>0.5</v>
      </c>
      <c r="S530" s="113" t="str">
        <f>IF(F530="","",IF(H530="",TEXT(_xlfn.MAXIFS($I$1:I530,$F$1:F530,F530,$H$1:H530,"&gt;"&amp;0),"000.000"),F530))</f>
        <v>GHS4J57</v>
      </c>
      <c r="T530" s="101">
        <f t="shared" si="63"/>
        <v>474.66666666666669</v>
      </c>
      <c r="U530" s="82" t="s">
        <v>220</v>
      </c>
      <c r="V530" s="98" t="s">
        <v>165</v>
      </c>
      <c r="W530" s="82" t="s">
        <v>222</v>
      </c>
      <c r="X530" s="98" t="s">
        <v>171</v>
      </c>
      <c r="Y530" s="82" t="s">
        <v>220</v>
      </c>
      <c r="Z530" s="98" t="s">
        <v>166</v>
      </c>
      <c r="AA530" s="82"/>
      <c r="AB530" s="98"/>
      <c r="AC530" s="82"/>
      <c r="AD530" s="98"/>
      <c r="AE530" s="82"/>
      <c r="AF530" s="98"/>
      <c r="AG530" s="82"/>
      <c r="AH530" s="98"/>
      <c r="AI530" s="82"/>
      <c r="AJ530" s="98"/>
      <c r="AK530" s="83"/>
      <c r="AL530" s="84" t="str">
        <f>IF(F530&lt;&gt;0,IF(_xlfn.MAXIFS($I$1:I530,$F$1:F530,F530,$H$1:H530,"&gt;"&amp;0)=0,"KM NÃO ENCONTRADO",IF(H530=0,CONCATENATE("SUGESTÃO DE KM PARA PLACA ",F530," *",_xlfn.MAXIFS($I$1:I530,$F$1:F530,F530,$H$1:H530,"&gt;"&amp;0),"*"),"")),"")</f>
        <v/>
      </c>
      <c r="AM530" s="85" t="str" cm="1">
        <f t="array" ref="AM530">IFERROR(IF(M530&lt;&gt;"","",CONCATENATE("https://btx.brasiltrack.com/logistica/trajeto.php?idveiculo=",VLOOKUP(F530,DATAS!$A$221:$B$250,2,FALSE),"&amp;lat=-22.204247","&amp;data_ini=",TEXT(IF(E530&lt;&gt;"",IF(COUNTIF($F$2:$F530,F530)&gt;1,MAX(IF($F$1:$F529=F530,$E$1:$E529)),""),""),"DD/MM/AAAA"),"&amp;data_fim=",TEXT(E530,"DD/MM/AAAA"),"&amp;hora_inicial=",HOUR(IF(E530&lt;&gt;"",IF(COUNTIF($F$2:$F530,F530)&gt;1,MAX(IF($F$1:$F529=F530,$E$1:$E529)),""),"")),"&amp;minuto_inicial=",MINUTE(IF(E530&lt;&gt;"",IF(COUNTIF($F$2:$F530,F530)&gt;1,MAX(IF($F$1:$F529=F530,$E$1:$E529)),""),"")),"&amp;hora_final=",HOUR(E530),"&amp;minuto_final=",MINUTE(E530),"&amp;periodo=6&amp;tipo=por_data&amp;upos=false&amp;outequip=0")),"")</f>
        <v/>
      </c>
      <c r="AN530" s="100" t="str">
        <f t="shared" si="68"/>
        <v xml:space="preserve">ABASTECEU no 22 NORTE DESCARREGOU em IGUATAMA-MG ABASTECEU no 22 SUL          </v>
      </c>
    </row>
    <row r="531" spans="1:40" x14ac:dyDescent="0.25">
      <c r="A531" s="101">
        <f>IFERROR(VLOOKUP(AN531,ROTAS!$A:$B,2,FALSE),0)</f>
        <v>35</v>
      </c>
      <c r="B531" s="101">
        <f t="shared" si="60"/>
        <v>8</v>
      </c>
      <c r="C531" s="101">
        <f t="shared" si="61"/>
        <v>825.75</v>
      </c>
      <c r="D531" s="144">
        <v>44927</v>
      </c>
      <c r="E531" s="76">
        <v>44953.055555555555</v>
      </c>
      <c r="F531" s="6" t="s">
        <v>22</v>
      </c>
      <c r="G531" s="5" t="str">
        <f>IFERROR(VLOOKUP(SUMIFS(MSOLICITADA!$I:$I,MSOLICITADA!$B:$B,D531,MSOLICITADA!$F:$F,F531),CODIGOSPLACAS!$A$64:$B$89,2,FALSE),"")</f>
        <v>GUILHERME</v>
      </c>
      <c r="H531" s="77">
        <v>1208611</v>
      </c>
      <c r="I531" s="77">
        <v>1209380</v>
      </c>
      <c r="J531" s="7">
        <v>390</v>
      </c>
      <c r="K531" s="78">
        <v>2375.1</v>
      </c>
      <c r="L531" s="79" t="s">
        <v>111</v>
      </c>
      <c r="M531" s="6">
        <v>344</v>
      </c>
      <c r="N531" s="5">
        <f t="shared" si="64"/>
        <v>425</v>
      </c>
      <c r="O531" s="80">
        <f t="shared" si="65"/>
        <v>6.09</v>
      </c>
      <c r="P531" s="8">
        <f t="shared" si="66"/>
        <v>1.9717948717948719</v>
      </c>
      <c r="Q531" s="8">
        <f t="shared" si="62"/>
        <v>1.8671963699182104</v>
      </c>
      <c r="R531" s="81">
        <f t="shared" si="67"/>
        <v>0.44733420026007803</v>
      </c>
      <c r="S531" s="113" t="str">
        <f>IF(F531="","",IF(H531="",TEXT(_xlfn.MAXIFS($I$1:I531,$F$1:F531,F531,$H$1:H531,"&gt;"&amp;0),"000.000"),F531))</f>
        <v>OQC0C33</v>
      </c>
      <c r="T531" s="101">
        <f t="shared" si="63"/>
        <v>425</v>
      </c>
      <c r="U531" s="82" t="s">
        <v>220</v>
      </c>
      <c r="V531" s="98" t="s">
        <v>165</v>
      </c>
      <c r="W531" s="82" t="s">
        <v>222</v>
      </c>
      <c r="X531" s="98" t="s">
        <v>201</v>
      </c>
      <c r="Y531" s="82" t="s">
        <v>225</v>
      </c>
      <c r="Z531" s="98" t="s">
        <v>237</v>
      </c>
      <c r="AA531" s="82" t="s">
        <v>221</v>
      </c>
      <c r="AB531" s="98" t="s">
        <v>175</v>
      </c>
      <c r="AC531" s="82" t="s">
        <v>225</v>
      </c>
      <c r="AD531" s="98" t="s">
        <v>284</v>
      </c>
      <c r="AE531" s="82" t="s">
        <v>220</v>
      </c>
      <c r="AF531" s="98" t="s">
        <v>165</v>
      </c>
      <c r="AG531" s="82"/>
      <c r="AH531" s="98"/>
      <c r="AI531" s="82"/>
      <c r="AJ531" s="98"/>
      <c r="AK531" s="83"/>
      <c r="AL531" s="84" t="str">
        <f>IF(F531&lt;&gt;0,IF(_xlfn.MAXIFS($I$1:I531,$F$1:F531,F531,$H$1:H531,"&gt;"&amp;0)=0,"KM NÃO ENCONTRADO",IF(H531=0,CONCATENATE("SUGESTÃO DE KM PARA PLACA ",F531," *",_xlfn.MAXIFS($I$1:I531,$F$1:F531,F531,$H$1:H531,"&gt;"&amp;0),"*"),"")),"")</f>
        <v/>
      </c>
      <c r="AM531" s="85" t="str" cm="1">
        <f t="array" ref="AM531">IFERROR(IF(M531&lt;&gt;"","",CONCATENATE("https://btx.brasiltrack.com/logistica/trajeto.php?idveiculo=",VLOOKUP(F531,DATAS!$A$221:$B$250,2,FALSE),"&amp;lat=-22.204247","&amp;data_ini=",TEXT(IF(E531&lt;&gt;"",IF(COUNTIF($F$2:$F531,F531)&gt;1,MAX(IF($F$1:$F530=F531,$E$1:$E530)),""),""),"DD/MM/AAAA"),"&amp;data_fim=",TEXT(E531,"DD/MM/AAAA"),"&amp;hora_inicial=",HOUR(IF(E531&lt;&gt;"",IF(COUNTIF($F$2:$F531,F531)&gt;1,MAX(IF($F$1:$F530=F531,$E$1:$E530)),""),"")),"&amp;minuto_inicial=",MINUTE(IF(E531&lt;&gt;"",IF(COUNTIF($F$2:$F531,F531)&gt;1,MAX(IF($F$1:$F530=F531,$E$1:$E530)),""),"")),"&amp;hora_final=",HOUR(E531),"&amp;minuto_final=",MINUTE(E531),"&amp;periodo=6&amp;tipo=por_data&amp;upos=false&amp;outequip=0")),"")</f>
        <v/>
      </c>
      <c r="AN531" s="100" t="str">
        <f t="shared" si="68"/>
        <v xml:space="preserve">ABASTECEU no 22 NORTE DESCARREGOU em TRES CORACOES-MG PASSOU em ARUJÁ-SP CARREGOU em SANTOS-SP PASSOU em SÃO PAULO-SP ABASTECEU no 22 NORTE    </v>
      </c>
    </row>
    <row r="532" spans="1:40" x14ac:dyDescent="0.25">
      <c r="A532" s="101">
        <f>IFERROR(VLOOKUP(AN532,ROTAS!$A:$B,2,FALSE),0)</f>
        <v>35</v>
      </c>
      <c r="B532" s="101">
        <f t="shared" ref="B532:B562" si="69">COUNTIFS(A:A,A532)</f>
        <v>8</v>
      </c>
      <c r="C532" s="101">
        <f t="shared" ref="C532:C562" si="70">(SUMIFS(M:M,A:A,A532)+SUMIFS(N:N,A:A,A532))/B532</f>
        <v>825.75</v>
      </c>
      <c r="D532" s="144">
        <v>44927</v>
      </c>
      <c r="E532" s="76">
        <v>44953.177083333336</v>
      </c>
      <c r="F532" s="6" t="s">
        <v>127</v>
      </c>
      <c r="G532" s="5" t="str">
        <f>IFERROR(VLOOKUP(SUMIFS(MSOLICITADA!$I:$I,MSOLICITADA!$B:$B,D532,MSOLICITADA!$F:$F,F532),CODIGOSPLACAS!$A$64:$B$89,2,FALSE),"")</f>
        <v>EVERTON</v>
      </c>
      <c r="H532" s="77">
        <v>1238062</v>
      </c>
      <c r="I532" s="77">
        <v>1238882</v>
      </c>
      <c r="J532" s="7">
        <v>393.45</v>
      </c>
      <c r="K532" s="78">
        <v>2396.12</v>
      </c>
      <c r="L532" s="79" t="s">
        <v>111</v>
      </c>
      <c r="M532" s="6">
        <v>395</v>
      </c>
      <c r="N532" s="5">
        <f t="shared" si="64"/>
        <v>425</v>
      </c>
      <c r="O532" s="80">
        <f t="shared" si="65"/>
        <v>6.0900241453806077</v>
      </c>
      <c r="P532" s="8">
        <f t="shared" si="66"/>
        <v>2.084127589274368</v>
      </c>
      <c r="Q532" s="8">
        <f t="shared" ref="Q532:Q595" si="71">IFERROR((SUMIFS(M:M,D:D,D532,F:F,F532)+SUMIFS(N:N,D:D,D532,F:F,F532)-SUMIFS(AK:AK,D:D,D532,F:F,F532))/(SUMIFS(J:J,D:D,D532,F:F,F532)-(SUMIFS(AK:AK,D:D,D532,F:F,F532)/5)),0)</f>
        <v>1.9701972800245917</v>
      </c>
      <c r="R532" s="81">
        <f t="shared" si="67"/>
        <v>0.48170731707317072</v>
      </c>
      <c r="S532" s="113" t="str">
        <f>IF(F532="","",IF(H532="",TEXT(_xlfn.MAXIFS($I$1:I532,$F$1:F532,F532,$H$1:H532,"&gt;"&amp;0),"000.000"),F532))</f>
        <v>OPM8J51</v>
      </c>
      <c r="T532" s="101">
        <f t="shared" ref="T532:T595" si="72">IF(E532&lt;&gt;"",IF(A532=0,"ERRO",IFERROR(AVERAGEIFS(N:N,A:A,A532,M:M,"&gt;"&amp;0),"")),"")</f>
        <v>425</v>
      </c>
      <c r="U532" s="82" t="s">
        <v>220</v>
      </c>
      <c r="V532" s="98" t="s">
        <v>165</v>
      </c>
      <c r="W532" s="82" t="s">
        <v>222</v>
      </c>
      <c r="X532" s="98" t="s">
        <v>201</v>
      </c>
      <c r="Y532" s="82" t="s">
        <v>225</v>
      </c>
      <c r="Z532" s="98" t="s">
        <v>237</v>
      </c>
      <c r="AA532" s="82" t="s">
        <v>221</v>
      </c>
      <c r="AB532" s="98" t="s">
        <v>175</v>
      </c>
      <c r="AC532" s="82" t="s">
        <v>225</v>
      </c>
      <c r="AD532" s="98" t="s">
        <v>284</v>
      </c>
      <c r="AE532" s="82" t="s">
        <v>220</v>
      </c>
      <c r="AF532" s="98" t="s">
        <v>165</v>
      </c>
      <c r="AG532" s="82"/>
      <c r="AH532" s="98"/>
      <c r="AI532" s="82"/>
      <c r="AJ532" s="98"/>
      <c r="AK532" s="83"/>
      <c r="AL532" s="84" t="str">
        <f>IF(F532&lt;&gt;0,IF(_xlfn.MAXIFS($I$1:I532,$F$1:F532,F532,$H$1:H532,"&gt;"&amp;0)=0,"KM NÃO ENCONTRADO",IF(H532=0,CONCATENATE("SUGESTÃO DE KM PARA PLACA ",F532," *",_xlfn.MAXIFS($I$1:I532,$F$1:F532,F532,$H$1:H532,"&gt;"&amp;0),"*"),"")),"")</f>
        <v/>
      </c>
      <c r="AM532" s="85" t="str" cm="1">
        <f t="array" ref="AM532">IFERROR(IF(M532&lt;&gt;"","",CONCATENATE("https://btx.brasiltrack.com/logistica/trajeto.php?idveiculo=",VLOOKUP(F532,DATAS!$A$221:$B$250,2,FALSE),"&amp;lat=-22.204247","&amp;data_ini=",TEXT(IF(E532&lt;&gt;"",IF(COUNTIF($F$2:$F532,F532)&gt;1,MAX(IF($F$1:$F531=F532,$E$1:$E531)),""),""),"DD/MM/AAAA"),"&amp;data_fim=",TEXT(E532,"DD/MM/AAAA"),"&amp;hora_inicial=",HOUR(IF(E532&lt;&gt;"",IF(COUNTIF($F$2:$F532,F532)&gt;1,MAX(IF($F$1:$F531=F532,$E$1:$E531)),""),"")),"&amp;minuto_inicial=",MINUTE(IF(E532&lt;&gt;"",IF(COUNTIF($F$2:$F532,F532)&gt;1,MAX(IF($F$1:$F531=F532,$E$1:$E531)),""),"")),"&amp;hora_final=",HOUR(E532),"&amp;minuto_final=",MINUTE(E532),"&amp;periodo=6&amp;tipo=por_data&amp;upos=false&amp;outequip=0")),"")</f>
        <v/>
      </c>
      <c r="AN532" s="100" t="str">
        <f t="shared" si="68"/>
        <v xml:space="preserve">ABASTECEU no 22 NORTE DESCARREGOU em TRES CORACOES-MG PASSOU em ARUJÁ-SP CARREGOU em SANTOS-SP PASSOU em SÃO PAULO-SP ABASTECEU no 22 NORTE    </v>
      </c>
    </row>
    <row r="533" spans="1:40" x14ac:dyDescent="0.25">
      <c r="A533" s="101">
        <f>IFERROR(VLOOKUP(AN533,ROTAS!$A:$B,2,FALSE),0)</f>
        <v>35</v>
      </c>
      <c r="B533" s="101">
        <f t="shared" si="69"/>
        <v>8</v>
      </c>
      <c r="C533" s="101">
        <f t="shared" si="70"/>
        <v>825.75</v>
      </c>
      <c r="D533" s="144">
        <v>44927</v>
      </c>
      <c r="E533" s="76">
        <v>44953.189583333333</v>
      </c>
      <c r="F533" s="6" t="s">
        <v>128</v>
      </c>
      <c r="G533" s="5" t="str">
        <f>IFERROR(VLOOKUP(SUMIFS(MSOLICITADA!$I:$I,MSOLICITADA!$B:$B,D533,MSOLICITADA!$F:$F,F533),CODIGOSPLACAS!$A$64:$B$89,2,FALSE),"")</f>
        <v>ELI RICARDO</v>
      </c>
      <c r="H533" s="77">
        <v>97655</v>
      </c>
      <c r="I533" s="77">
        <v>98478</v>
      </c>
      <c r="J533" s="7">
        <v>446</v>
      </c>
      <c r="K533" s="78">
        <v>2716.14</v>
      </c>
      <c r="L533" s="79" t="s">
        <v>111</v>
      </c>
      <c r="M533" s="6">
        <v>398</v>
      </c>
      <c r="N533" s="5">
        <f t="shared" si="64"/>
        <v>425</v>
      </c>
      <c r="O533" s="80">
        <f t="shared" si="65"/>
        <v>6.09</v>
      </c>
      <c r="P533" s="8">
        <f t="shared" si="66"/>
        <v>1.8452914798206279</v>
      </c>
      <c r="Q533" s="8">
        <f t="shared" si="71"/>
        <v>1.7619806950171255</v>
      </c>
      <c r="R533" s="81">
        <f t="shared" si="67"/>
        <v>0.48359659781287972</v>
      </c>
      <c r="S533" s="113" t="str">
        <f>IF(F533="","",IF(H533="",TEXT(_xlfn.MAXIFS($I$1:I533,$F$1:F533,F533,$H$1:H533,"&gt;"&amp;0),"000.000"),F533))</f>
        <v>GFR0D47</v>
      </c>
      <c r="T533" s="101">
        <f t="shared" si="72"/>
        <v>425</v>
      </c>
      <c r="U533" s="82" t="s">
        <v>220</v>
      </c>
      <c r="V533" s="98" t="s">
        <v>165</v>
      </c>
      <c r="W533" s="82" t="s">
        <v>222</v>
      </c>
      <c r="X533" s="98" t="s">
        <v>201</v>
      </c>
      <c r="Y533" s="82" t="s">
        <v>225</v>
      </c>
      <c r="Z533" s="98" t="s">
        <v>237</v>
      </c>
      <c r="AA533" s="82" t="s">
        <v>221</v>
      </c>
      <c r="AB533" s="98" t="s">
        <v>175</v>
      </c>
      <c r="AC533" s="82" t="s">
        <v>225</v>
      </c>
      <c r="AD533" s="98" t="s">
        <v>284</v>
      </c>
      <c r="AE533" s="82" t="s">
        <v>220</v>
      </c>
      <c r="AF533" s="98" t="s">
        <v>165</v>
      </c>
      <c r="AG533" s="82"/>
      <c r="AH533" s="98"/>
      <c r="AI533" s="82"/>
      <c r="AJ533" s="98"/>
      <c r="AK533" s="83"/>
      <c r="AL533" s="84" t="str">
        <f>IF(F533&lt;&gt;0,IF(_xlfn.MAXIFS($I$1:I533,$F$1:F533,F533,$H$1:H533,"&gt;"&amp;0)=0,"KM NÃO ENCONTRADO",IF(H533=0,CONCATENATE("SUGESTÃO DE KM PARA PLACA ",F533," *",_xlfn.MAXIFS($I$1:I533,$F$1:F533,F533,$H$1:H533,"&gt;"&amp;0),"*"),"")),"")</f>
        <v/>
      </c>
      <c r="AM533" s="85" t="str" cm="1">
        <f t="array" ref="AM533">IFERROR(IF(M533&lt;&gt;"","",CONCATENATE("https://btx.brasiltrack.com/logistica/trajeto.php?idveiculo=",VLOOKUP(F533,DATAS!$A$221:$B$250,2,FALSE),"&amp;lat=-22.204247","&amp;data_ini=",TEXT(IF(E533&lt;&gt;"",IF(COUNTIF($F$2:$F533,F533)&gt;1,MAX(IF($F$1:$F532=F533,$E$1:$E532)),""),""),"DD/MM/AAAA"),"&amp;data_fim=",TEXT(E533,"DD/MM/AAAA"),"&amp;hora_inicial=",HOUR(IF(E533&lt;&gt;"",IF(COUNTIF($F$2:$F533,F533)&gt;1,MAX(IF($F$1:$F532=F533,$E$1:$E532)),""),"")),"&amp;minuto_inicial=",MINUTE(IF(E533&lt;&gt;"",IF(COUNTIF($F$2:$F533,F533)&gt;1,MAX(IF($F$1:$F532=F533,$E$1:$E532)),""),"")),"&amp;hora_final=",HOUR(E533),"&amp;minuto_final=",MINUTE(E533),"&amp;periodo=6&amp;tipo=por_data&amp;upos=false&amp;outequip=0")),"")</f>
        <v/>
      </c>
      <c r="AN533" s="100" t="str">
        <f t="shared" si="68"/>
        <v xml:space="preserve">ABASTECEU no 22 NORTE DESCARREGOU em TRES CORACOES-MG PASSOU em ARUJÁ-SP CARREGOU em SANTOS-SP PASSOU em SÃO PAULO-SP ABASTECEU no 22 NORTE    </v>
      </c>
    </row>
    <row r="534" spans="1:40" x14ac:dyDescent="0.25">
      <c r="A534" s="101">
        <f>IFERROR(VLOOKUP(AN534,ROTAS!$A:$B,2,FALSE),0)</f>
        <v>154</v>
      </c>
      <c r="B534" s="101">
        <f t="shared" si="69"/>
        <v>1</v>
      </c>
      <c r="C534" s="101">
        <f t="shared" si="70"/>
        <v>894</v>
      </c>
      <c r="D534" s="144">
        <v>44927</v>
      </c>
      <c r="E534" s="76">
        <v>44953.373611111114</v>
      </c>
      <c r="F534" s="6" t="s">
        <v>25</v>
      </c>
      <c r="G534" s="5" t="str">
        <f>IFERROR(VLOOKUP(SUMIFS(MSOLICITADA!$I:$I,MSOLICITADA!$B:$B,D534,MSOLICITADA!$F:$F,F534),CODIGOSPLACAS!$A$64:$B$89,2,FALSE),"")</f>
        <v>EDUALDO</v>
      </c>
      <c r="H534" s="77">
        <v>1019144</v>
      </c>
      <c r="I534" s="77">
        <v>1020038</v>
      </c>
      <c r="J534" s="7">
        <v>529</v>
      </c>
      <c r="K534" s="78">
        <v>3221.61</v>
      </c>
      <c r="L534" s="79" t="s">
        <v>111</v>
      </c>
      <c r="M534" s="6">
        <v>270</v>
      </c>
      <c r="N534" s="5">
        <f t="shared" si="64"/>
        <v>624</v>
      </c>
      <c r="O534" s="80">
        <f t="shared" si="65"/>
        <v>6.09</v>
      </c>
      <c r="P534" s="8">
        <f t="shared" si="66"/>
        <v>1.6899810964083175</v>
      </c>
      <c r="Q534" s="8">
        <f t="shared" si="71"/>
        <v>1.4288896110685252</v>
      </c>
      <c r="R534" s="81">
        <f t="shared" si="67"/>
        <v>0.30201342281879195</v>
      </c>
      <c r="S534" s="113" t="str">
        <f>IF(F534="","",IF(H534="",TEXT(_xlfn.MAXIFS($I$1:I534,$F$1:F534,F534,$H$1:H534,"&gt;"&amp;0),"000.000"),F534))</f>
        <v>QHE9735</v>
      </c>
      <c r="T534" s="101">
        <f t="shared" si="72"/>
        <v>624</v>
      </c>
      <c r="U534" s="82" t="s">
        <v>220</v>
      </c>
      <c r="V534" s="98" t="s">
        <v>206</v>
      </c>
      <c r="W534" s="82" t="s">
        <v>222</v>
      </c>
      <c r="X534" s="98" t="s">
        <v>171</v>
      </c>
      <c r="Y534" s="82" t="s">
        <v>225</v>
      </c>
      <c r="Z534" s="98" t="s">
        <v>284</v>
      </c>
      <c r="AA534" s="82" t="s">
        <v>221</v>
      </c>
      <c r="AB534" s="98" t="s">
        <v>175</v>
      </c>
      <c r="AC534" s="82" t="s">
        <v>225</v>
      </c>
      <c r="AD534" s="98" t="s">
        <v>237</v>
      </c>
      <c r="AE534" s="82" t="s">
        <v>220</v>
      </c>
      <c r="AF534" s="98" t="s">
        <v>165</v>
      </c>
      <c r="AG534" s="82"/>
      <c r="AH534" s="98"/>
      <c r="AI534" s="82"/>
      <c r="AJ534" s="98"/>
      <c r="AK534" s="83"/>
      <c r="AL534" s="84" t="str">
        <f>IF(F534&lt;&gt;0,IF(_xlfn.MAXIFS($I$1:I534,$F$1:F534,F534,$H$1:H534,"&gt;"&amp;0)=0,"KM NÃO ENCONTRADO",IF(H534=0,CONCATENATE("SUGESTÃO DE KM PARA PLACA ",F534," *",_xlfn.MAXIFS($I$1:I534,$F$1:F534,F534,$H$1:H534,"&gt;"&amp;0),"*"),"")),"")</f>
        <v/>
      </c>
      <c r="AM534" s="85" t="str" cm="1">
        <f t="array" ref="AM534">IFERROR(IF(M534&lt;&gt;"","",CONCATENATE("https://btx.brasiltrack.com/logistica/trajeto.php?idveiculo=",VLOOKUP(F534,DATAS!$A$221:$B$250,2,FALSE),"&amp;lat=-22.204247","&amp;data_ini=",TEXT(IF(E534&lt;&gt;"",IF(COUNTIF($F$2:$F534,F534)&gt;1,MAX(IF($F$1:$F533=F534,$E$1:$E533)),""),""),"DD/MM/AAAA"),"&amp;data_fim=",TEXT(E534,"DD/MM/AAAA"),"&amp;hora_inicial=",HOUR(IF(E534&lt;&gt;"",IF(COUNTIF($F$2:$F534,F534)&gt;1,MAX(IF($F$1:$F533=F534,$E$1:$E533)),""),"")),"&amp;minuto_inicial=",MINUTE(IF(E534&lt;&gt;"",IF(COUNTIF($F$2:$F534,F534)&gt;1,MAX(IF($F$1:$F533=F534,$E$1:$E533)),""),"")),"&amp;hora_final=",HOUR(E534),"&amp;minuto_final=",MINUTE(E534),"&amp;periodo=6&amp;tipo=por_data&amp;upos=false&amp;outequip=0")),"")</f>
        <v/>
      </c>
      <c r="AN534" s="100" t="str">
        <f t="shared" si="68"/>
        <v xml:space="preserve">ABASTECEU no CANDEIAS-MG DESCARREGOU em IGUATAMA-MG PASSOU em SÃO PAULO-SP CARREGOU em SANTOS-SP PASSOU em ARUJÁ-SP ABASTECEU no 22 NORTE    </v>
      </c>
    </row>
    <row r="535" spans="1:40" x14ac:dyDescent="0.25">
      <c r="A535" s="101">
        <f>IFERROR(VLOOKUP(AN535,ROTAS!$A:$B,2,FALSE),0)</f>
        <v>151</v>
      </c>
      <c r="B535" s="101">
        <f t="shared" si="69"/>
        <v>5</v>
      </c>
      <c r="C535" s="101">
        <f t="shared" si="70"/>
        <v>306</v>
      </c>
      <c r="D535" s="144">
        <v>44927</v>
      </c>
      <c r="E535" s="76">
        <v>44953.373611111114</v>
      </c>
      <c r="F535" s="6" t="s">
        <v>27</v>
      </c>
      <c r="G535" s="5" t="str">
        <f>IFERROR(VLOOKUP(SUMIFS(MSOLICITADA!$I:$I,MSOLICITADA!$B:$B,D535,MSOLICITADA!$F:$F,F535),CODIGOSPLACAS!$A$64:$B$89,2,FALSE),"")</f>
        <v>ANTONIO</v>
      </c>
      <c r="H535" s="77">
        <v>256214</v>
      </c>
      <c r="I535" s="77">
        <v>256512</v>
      </c>
      <c r="J535" s="7">
        <v>230</v>
      </c>
      <c r="K535" s="78">
        <v>1400.7</v>
      </c>
      <c r="L535" s="79" t="s">
        <v>111</v>
      </c>
      <c r="M535" s="6">
        <v>181</v>
      </c>
      <c r="N535" s="5">
        <f t="shared" si="64"/>
        <v>117</v>
      </c>
      <c r="O535" s="80">
        <f t="shared" si="65"/>
        <v>6.09</v>
      </c>
      <c r="P535" s="8">
        <f t="shared" si="66"/>
        <v>1.2956521739130435</v>
      </c>
      <c r="Q535" s="8">
        <f t="shared" si="71"/>
        <v>1.4666276036610979</v>
      </c>
      <c r="R535" s="81">
        <f t="shared" si="67"/>
        <v>0.60738255033557043</v>
      </c>
      <c r="S535" s="113" t="str">
        <f>IF(F535="","",IF(H535="",TEXT(_xlfn.MAXIFS($I$1:I535,$F$1:F535,F535,$H$1:H535,"&gt;"&amp;0),"000.000"),F535))</f>
        <v>GHS4J57</v>
      </c>
      <c r="T535" s="101">
        <f t="shared" si="72"/>
        <v>117</v>
      </c>
      <c r="U535" s="82" t="s">
        <v>220</v>
      </c>
      <c r="V535" s="98" t="s">
        <v>166</v>
      </c>
      <c r="W535" s="82" t="s">
        <v>225</v>
      </c>
      <c r="X535" s="98" t="s">
        <v>284</v>
      </c>
      <c r="Y535" s="82" t="s">
        <v>221</v>
      </c>
      <c r="Z535" s="98" t="s">
        <v>175</v>
      </c>
      <c r="AA535" s="82" t="s">
        <v>225</v>
      </c>
      <c r="AB535" s="98" t="s">
        <v>237</v>
      </c>
      <c r="AC535" s="82" t="s">
        <v>220</v>
      </c>
      <c r="AD535" s="98" t="s">
        <v>165</v>
      </c>
      <c r="AE535" s="82"/>
      <c r="AF535" s="98"/>
      <c r="AG535" s="82"/>
      <c r="AH535" s="98"/>
      <c r="AI535" s="82"/>
      <c r="AJ535" s="98"/>
      <c r="AK535" s="83"/>
      <c r="AL535" s="84" t="str">
        <f>IF(F535&lt;&gt;0,IF(_xlfn.MAXIFS($I$1:I535,$F$1:F535,F535,$H$1:H535,"&gt;"&amp;0)=0,"KM NÃO ENCONTRADO",IF(H535=0,CONCATENATE("SUGESTÃO DE KM PARA PLACA ",F535," *",_xlfn.MAXIFS($I$1:I535,$F$1:F535,F535,$H$1:H535,"&gt;"&amp;0),"*"),"")),"")</f>
        <v/>
      </c>
      <c r="AM535" s="85" t="str" cm="1">
        <f t="array" ref="AM535">IFERROR(IF(M535&lt;&gt;"","",CONCATENATE("https://btx.brasiltrack.com/logistica/trajeto.php?idveiculo=",VLOOKUP(F535,DATAS!$A$221:$B$250,2,FALSE),"&amp;lat=-22.204247","&amp;data_ini=",TEXT(IF(E535&lt;&gt;"",IF(COUNTIF($F$2:$F535,F535)&gt;1,MAX(IF($F$1:$F534=F535,$E$1:$E534)),""),""),"DD/MM/AAAA"),"&amp;data_fim=",TEXT(E535,"DD/MM/AAAA"),"&amp;hora_inicial=",HOUR(IF(E535&lt;&gt;"",IF(COUNTIF($F$2:$F535,F535)&gt;1,MAX(IF($F$1:$F534=F535,$E$1:$E534)),""),"")),"&amp;minuto_inicial=",MINUTE(IF(E535&lt;&gt;"",IF(COUNTIF($F$2:$F535,F535)&gt;1,MAX(IF($F$1:$F534=F535,$E$1:$E534)),""),"")),"&amp;hora_final=",HOUR(E535),"&amp;minuto_final=",MINUTE(E535),"&amp;periodo=6&amp;tipo=por_data&amp;upos=false&amp;outequip=0")),"")</f>
        <v/>
      </c>
      <c r="AN535" s="100" t="str">
        <f t="shared" si="68"/>
        <v xml:space="preserve">ABASTECEU no 22 SUL PASSOU em SÃO PAULO-SP CARREGOU em SANTOS-SP PASSOU em ARUJÁ-SP ABASTECEU no 22 NORTE      </v>
      </c>
    </row>
    <row r="536" spans="1:40" x14ac:dyDescent="0.25">
      <c r="A536" s="101">
        <f>IFERROR(VLOOKUP(AN536,ROTAS!$A:$B,2,FALSE),0)</f>
        <v>155</v>
      </c>
      <c r="B536" s="101">
        <f t="shared" si="69"/>
        <v>4</v>
      </c>
      <c r="C536" s="101">
        <f t="shared" si="70"/>
        <v>833</v>
      </c>
      <c r="D536" s="144">
        <v>44927</v>
      </c>
      <c r="E536" s="76">
        <v>44953.378472222219</v>
      </c>
      <c r="F536" s="6" t="s">
        <v>28</v>
      </c>
      <c r="G536" s="5" t="str">
        <f>IFERROR(VLOOKUP(SUMIFS(MSOLICITADA!$I:$I,MSOLICITADA!$B:$B,D536,MSOLICITADA!$F:$F,F536),CODIGOSPLACAS!$A$64:$B$89,2,FALSE),"")</f>
        <v>RONY</v>
      </c>
      <c r="H536" s="77">
        <v>250538</v>
      </c>
      <c r="I536" s="77">
        <v>251374</v>
      </c>
      <c r="J536" s="7">
        <v>518.01099999999997</v>
      </c>
      <c r="K536" s="78">
        <v>3154.68</v>
      </c>
      <c r="L536" s="79" t="s">
        <v>111</v>
      </c>
      <c r="M536" s="6">
        <v>454</v>
      </c>
      <c r="N536" s="5">
        <f t="shared" si="64"/>
        <v>382</v>
      </c>
      <c r="O536" s="80">
        <f t="shared" si="65"/>
        <v>6.0899865060780565</v>
      </c>
      <c r="P536" s="8">
        <f t="shared" si="66"/>
        <v>1.6138653426278593</v>
      </c>
      <c r="Q536" s="8">
        <f t="shared" si="71"/>
        <v>1.519654959485309</v>
      </c>
      <c r="R536" s="81">
        <f t="shared" si="67"/>
        <v>0.5430622009569378</v>
      </c>
      <c r="S536" s="113" t="str">
        <f>IF(F536="","",IF(H536="",TEXT(_xlfn.MAXIFS($I$1:I536,$F$1:F536,F536,$H$1:H536,"&gt;"&amp;0),"000.000"),F536))</f>
        <v>FZA3E94</v>
      </c>
      <c r="T536" s="101">
        <f t="shared" si="72"/>
        <v>382</v>
      </c>
      <c r="U536" s="82" t="s">
        <v>220</v>
      </c>
      <c r="V536" s="98" t="s">
        <v>165</v>
      </c>
      <c r="W536" s="82" t="s">
        <v>222</v>
      </c>
      <c r="X536" s="98" t="s">
        <v>167</v>
      </c>
      <c r="Y536" s="82" t="s">
        <v>225</v>
      </c>
      <c r="Z536" s="98" t="s">
        <v>284</v>
      </c>
      <c r="AA536" s="82" t="s">
        <v>221</v>
      </c>
      <c r="AB536" s="98" t="s">
        <v>175</v>
      </c>
      <c r="AC536" s="82" t="s">
        <v>225</v>
      </c>
      <c r="AD536" s="98" t="s">
        <v>237</v>
      </c>
      <c r="AE536" s="82" t="s">
        <v>220</v>
      </c>
      <c r="AF536" s="98" t="s">
        <v>165</v>
      </c>
      <c r="AG536" s="82"/>
      <c r="AH536" s="98"/>
      <c r="AI536" s="82"/>
      <c r="AJ536" s="98"/>
      <c r="AK536" s="83"/>
      <c r="AL536" s="84" t="str">
        <f>IF(F536&lt;&gt;0,IF(_xlfn.MAXIFS($I$1:I536,$F$1:F536,F536,$H$1:H536,"&gt;"&amp;0)=0,"KM NÃO ENCONTRADO",IF(H536=0,CONCATENATE("SUGESTÃO DE KM PARA PLACA ",F536," *",_xlfn.MAXIFS($I$1:I536,$F$1:F536,F536,$H$1:H536,"&gt;"&amp;0),"*"),"")),"")</f>
        <v/>
      </c>
      <c r="AM536" s="85" t="str" cm="1">
        <f t="array" ref="AM536">IFERROR(IF(M536&lt;&gt;"","",CONCATENATE("https://btx.brasiltrack.com/logistica/trajeto.php?idveiculo=",VLOOKUP(F536,DATAS!$A$221:$B$250,2,FALSE),"&amp;lat=-22.204247","&amp;data_ini=",TEXT(IF(E536&lt;&gt;"",IF(COUNTIF($F$2:$F536,F536)&gt;1,MAX(IF($F$1:$F535=F536,$E$1:$E535)),""),""),"DD/MM/AAAA"),"&amp;data_fim=",TEXT(E536,"DD/MM/AAAA"),"&amp;hora_inicial=",HOUR(IF(E536&lt;&gt;"",IF(COUNTIF($F$2:$F536,F536)&gt;1,MAX(IF($F$1:$F535=F536,$E$1:$E535)),""),"")),"&amp;minuto_inicial=",MINUTE(IF(E536&lt;&gt;"",IF(COUNTIF($F$2:$F536,F536)&gt;1,MAX(IF($F$1:$F535=F536,$E$1:$E535)),""),"")),"&amp;hora_final=",HOUR(E536),"&amp;minuto_final=",MINUTE(E536),"&amp;periodo=6&amp;tipo=por_data&amp;upos=false&amp;outequip=0")),"")</f>
        <v/>
      </c>
      <c r="AN536" s="100" t="str">
        <f t="shared" si="68"/>
        <v xml:space="preserve">ABASTECEU no 22 NORTE DESCARREGOU em VARGINHA-MG PASSOU em SÃO PAULO-SP CARREGOU em SANTOS-SP PASSOU em ARUJÁ-SP ABASTECEU no 22 NORTE    </v>
      </c>
    </row>
    <row r="537" spans="1:40" x14ac:dyDescent="0.25">
      <c r="A537" s="101">
        <f>IFERROR(VLOOKUP(AN537,ROTAS!$A:$B,2,FALSE),0)</f>
        <v>155</v>
      </c>
      <c r="B537" s="101">
        <f t="shared" si="69"/>
        <v>4</v>
      </c>
      <c r="C537" s="101">
        <f t="shared" si="70"/>
        <v>833</v>
      </c>
      <c r="D537" s="144">
        <v>44927</v>
      </c>
      <c r="E537" s="76">
        <v>44953.395833333336</v>
      </c>
      <c r="F537" s="6" t="s">
        <v>33</v>
      </c>
      <c r="G537" s="5" t="str">
        <f>IFERROR(VLOOKUP(SUMIFS(MSOLICITADA!$I:$I,MSOLICITADA!$B:$B,D537,MSOLICITADA!$F:$F,F537),CODIGOSPLACAS!$A$64:$B$89,2,FALSE),"")</f>
        <v>JULIO</v>
      </c>
      <c r="H537" s="77">
        <v>170986</v>
      </c>
      <c r="I537" s="77">
        <v>171832</v>
      </c>
      <c r="J537" s="7">
        <v>472.15</v>
      </c>
      <c r="K537" s="78">
        <v>2875.4</v>
      </c>
      <c r="L537" s="79" t="s">
        <v>111</v>
      </c>
      <c r="M537" s="6">
        <v>464</v>
      </c>
      <c r="N537" s="5">
        <f t="shared" si="64"/>
        <v>382</v>
      </c>
      <c r="O537" s="80">
        <f t="shared" si="65"/>
        <v>6.0900137668113956</v>
      </c>
      <c r="P537" s="8">
        <f t="shared" si="66"/>
        <v>1.7918034522927038</v>
      </c>
      <c r="Q537" s="8">
        <f t="shared" si="71"/>
        <v>1.7400327790407339</v>
      </c>
      <c r="R537" s="81">
        <f t="shared" si="67"/>
        <v>0.54846335697399529</v>
      </c>
      <c r="S537" s="113" t="str">
        <f>IF(F537="","",IF(H537="",TEXT(_xlfn.MAXIFS($I$1:I537,$F$1:F537,F537,$H$1:H537,"&gt;"&amp;0),"000.000"),F537))</f>
        <v>GGF7G26</v>
      </c>
      <c r="T537" s="101">
        <f t="shared" si="72"/>
        <v>382</v>
      </c>
      <c r="U537" s="82" t="s">
        <v>220</v>
      </c>
      <c r="V537" s="98" t="s">
        <v>165</v>
      </c>
      <c r="W537" s="82" t="s">
        <v>222</v>
      </c>
      <c r="X537" s="98" t="s">
        <v>167</v>
      </c>
      <c r="Y537" s="82" t="s">
        <v>225</v>
      </c>
      <c r="Z537" s="98" t="s">
        <v>284</v>
      </c>
      <c r="AA537" s="82" t="s">
        <v>221</v>
      </c>
      <c r="AB537" s="98" t="s">
        <v>175</v>
      </c>
      <c r="AC537" s="82" t="s">
        <v>225</v>
      </c>
      <c r="AD537" s="98" t="s">
        <v>237</v>
      </c>
      <c r="AE537" s="82" t="s">
        <v>220</v>
      </c>
      <c r="AF537" s="98" t="s">
        <v>165</v>
      </c>
      <c r="AG537" s="82"/>
      <c r="AH537" s="98"/>
      <c r="AI537" s="82"/>
      <c r="AJ537" s="98"/>
      <c r="AK537" s="83"/>
      <c r="AL537" s="84" t="str">
        <f>IF(F537&lt;&gt;0,IF(_xlfn.MAXIFS($I$1:I537,$F$1:F537,F537,$H$1:H537,"&gt;"&amp;0)=0,"KM NÃO ENCONTRADO",IF(H537=0,CONCATENATE("SUGESTÃO DE KM PARA PLACA ",F537," *",_xlfn.MAXIFS($I$1:I537,$F$1:F537,F537,$H$1:H537,"&gt;"&amp;0),"*"),"")),"")</f>
        <v/>
      </c>
      <c r="AM537" s="85" t="str" cm="1">
        <f t="array" ref="AM537">IFERROR(IF(M537&lt;&gt;"","",CONCATENATE("https://btx.brasiltrack.com/logistica/trajeto.php?idveiculo=",VLOOKUP(F537,DATAS!$A$221:$B$250,2,FALSE),"&amp;lat=-22.204247","&amp;data_ini=",TEXT(IF(E537&lt;&gt;"",IF(COUNTIF($F$2:$F537,F537)&gt;1,MAX(IF($F$1:$F536=F537,$E$1:$E536)),""),""),"DD/MM/AAAA"),"&amp;data_fim=",TEXT(E537,"DD/MM/AAAA"),"&amp;hora_inicial=",HOUR(IF(E537&lt;&gt;"",IF(COUNTIF($F$2:$F537,F537)&gt;1,MAX(IF($F$1:$F536=F537,$E$1:$E536)),""),"")),"&amp;minuto_inicial=",MINUTE(IF(E537&lt;&gt;"",IF(COUNTIF($F$2:$F537,F537)&gt;1,MAX(IF($F$1:$F536=F537,$E$1:$E536)),""),"")),"&amp;hora_final=",HOUR(E537),"&amp;minuto_final=",MINUTE(E537),"&amp;periodo=6&amp;tipo=por_data&amp;upos=false&amp;outequip=0")),"")</f>
        <v/>
      </c>
      <c r="AN537" s="100" t="str">
        <f t="shared" si="68"/>
        <v xml:space="preserve">ABASTECEU no 22 NORTE DESCARREGOU em VARGINHA-MG PASSOU em SÃO PAULO-SP CARREGOU em SANTOS-SP PASSOU em ARUJÁ-SP ABASTECEU no 22 NORTE    </v>
      </c>
    </row>
    <row r="538" spans="1:40" x14ac:dyDescent="0.25">
      <c r="A538" s="101">
        <f>IFERROR(VLOOKUP(AN538,ROTAS!$A:$B,2,FALSE),0)</f>
        <v>155</v>
      </c>
      <c r="B538" s="101">
        <f t="shared" si="69"/>
        <v>4</v>
      </c>
      <c r="C538" s="101">
        <f t="shared" si="70"/>
        <v>833</v>
      </c>
      <c r="D538" s="144">
        <v>44927</v>
      </c>
      <c r="E538" s="76">
        <v>44953.400694444441</v>
      </c>
      <c r="F538" s="6" t="s">
        <v>131</v>
      </c>
      <c r="G538" s="5" t="str">
        <f>IFERROR(VLOOKUP(SUMIFS(MSOLICITADA!$I:$I,MSOLICITADA!$B:$B,D538,MSOLICITADA!$F:$F,F538),CODIGOSPLACAS!$A$64:$B$89,2,FALSE),"")</f>
        <v>ALTIELIS</v>
      </c>
      <c r="H538" s="77">
        <v>55210</v>
      </c>
      <c r="I538" s="77">
        <v>56030</v>
      </c>
      <c r="J538" s="7">
        <v>465</v>
      </c>
      <c r="K538" s="78">
        <v>2831.85</v>
      </c>
      <c r="L538" s="79" t="s">
        <v>111</v>
      </c>
      <c r="M538" s="6">
        <v>438</v>
      </c>
      <c r="N538" s="5">
        <f t="shared" si="64"/>
        <v>382</v>
      </c>
      <c r="O538" s="80">
        <f t="shared" si="65"/>
        <v>6.09</v>
      </c>
      <c r="P538" s="8">
        <f t="shared" si="66"/>
        <v>1.7634408602150538</v>
      </c>
      <c r="Q538" s="8">
        <f t="shared" si="71"/>
        <v>1.6793774979959049</v>
      </c>
      <c r="R538" s="81">
        <f t="shared" si="67"/>
        <v>0.53414634146341466</v>
      </c>
      <c r="S538" s="113" t="str">
        <f>IF(F538="","",IF(H538="",TEXT(_xlfn.MAXIFS($I$1:I538,$F$1:F538,F538,$H$1:H538,"&gt;"&amp;0),"000.000"),F538))</f>
        <v>GGN4J86</v>
      </c>
      <c r="T538" s="101">
        <f t="shared" si="72"/>
        <v>382</v>
      </c>
      <c r="U538" s="82" t="s">
        <v>220</v>
      </c>
      <c r="V538" s="98" t="s">
        <v>165</v>
      </c>
      <c r="W538" s="82" t="s">
        <v>222</v>
      </c>
      <c r="X538" s="98" t="s">
        <v>167</v>
      </c>
      <c r="Y538" s="82" t="s">
        <v>225</v>
      </c>
      <c r="Z538" s="98" t="s">
        <v>284</v>
      </c>
      <c r="AA538" s="82" t="s">
        <v>221</v>
      </c>
      <c r="AB538" s="98" t="s">
        <v>175</v>
      </c>
      <c r="AC538" s="82" t="s">
        <v>225</v>
      </c>
      <c r="AD538" s="98" t="s">
        <v>237</v>
      </c>
      <c r="AE538" s="82" t="s">
        <v>220</v>
      </c>
      <c r="AF538" s="98" t="s">
        <v>165</v>
      </c>
      <c r="AG538" s="82"/>
      <c r="AH538" s="98"/>
      <c r="AI538" s="82"/>
      <c r="AJ538" s="98"/>
      <c r="AK538" s="83"/>
      <c r="AL538" s="84" t="str">
        <f>IF(F538&lt;&gt;0,IF(_xlfn.MAXIFS($I$1:I538,$F$1:F538,F538,$H$1:H538,"&gt;"&amp;0)=0,"KM NÃO ENCONTRADO",IF(H538=0,CONCATENATE("SUGESTÃO DE KM PARA PLACA ",F538," *",_xlfn.MAXIFS($I$1:I538,$F$1:F538,F538,$H$1:H538,"&gt;"&amp;0),"*"),"")),"")</f>
        <v/>
      </c>
      <c r="AM538" s="85" t="str" cm="1">
        <f t="array" ref="AM538">IFERROR(IF(M538&lt;&gt;"","",CONCATENATE("https://btx.brasiltrack.com/logistica/trajeto.php?idveiculo=",VLOOKUP(F538,DATAS!$A$221:$B$250,2,FALSE),"&amp;lat=-22.204247","&amp;data_ini=",TEXT(IF(E538&lt;&gt;"",IF(COUNTIF($F$2:$F538,F538)&gt;1,MAX(IF($F$1:$F537=F538,$E$1:$E537)),""),""),"DD/MM/AAAA"),"&amp;data_fim=",TEXT(E538,"DD/MM/AAAA"),"&amp;hora_inicial=",HOUR(IF(E538&lt;&gt;"",IF(COUNTIF($F$2:$F538,F538)&gt;1,MAX(IF($F$1:$F537=F538,$E$1:$E537)),""),"")),"&amp;minuto_inicial=",MINUTE(IF(E538&lt;&gt;"",IF(COUNTIF($F$2:$F538,F538)&gt;1,MAX(IF($F$1:$F537=F538,$E$1:$E537)),""),"")),"&amp;hora_final=",HOUR(E538),"&amp;minuto_final=",MINUTE(E538),"&amp;periodo=6&amp;tipo=por_data&amp;upos=false&amp;outequip=0")),"")</f>
        <v/>
      </c>
      <c r="AN538" s="100" t="str">
        <f t="shared" si="68"/>
        <v xml:space="preserve">ABASTECEU no 22 NORTE DESCARREGOU em VARGINHA-MG PASSOU em SÃO PAULO-SP CARREGOU em SANTOS-SP PASSOU em ARUJÁ-SP ABASTECEU no 22 NORTE    </v>
      </c>
    </row>
    <row r="539" spans="1:40" x14ac:dyDescent="0.25">
      <c r="A539" s="101">
        <f>IFERROR(VLOOKUP(AN539,ROTAS!$A:$B,2,FALSE),0)</f>
        <v>97</v>
      </c>
      <c r="B539" s="101">
        <f t="shared" si="69"/>
        <v>4</v>
      </c>
      <c r="C539" s="101">
        <f t="shared" si="70"/>
        <v>389.5</v>
      </c>
      <c r="D539" s="144">
        <v>44927</v>
      </c>
      <c r="E539" s="76">
        <v>44953.770833333336</v>
      </c>
      <c r="F539" s="6" t="s">
        <v>127</v>
      </c>
      <c r="G539" s="5" t="str">
        <f>IFERROR(VLOOKUP(SUMIFS(MSOLICITADA!$I:$I,MSOLICITADA!$B:$B,D539,MSOLICITADA!$F:$F,F539),CODIGOSPLACAS!$A$64:$B$89,2,FALSE),"")</f>
        <v>EVERTON</v>
      </c>
      <c r="H539" s="77">
        <v>1238882</v>
      </c>
      <c r="I539" s="77">
        <v>1239314</v>
      </c>
      <c r="J539" s="7">
        <v>201.1</v>
      </c>
      <c r="K539" s="78">
        <v>1162.3579999999999</v>
      </c>
      <c r="L539" s="79" t="s">
        <v>112</v>
      </c>
      <c r="M539" s="6">
        <v>291</v>
      </c>
      <c r="N539" s="5">
        <f t="shared" si="64"/>
        <v>141</v>
      </c>
      <c r="O539" s="80">
        <f t="shared" si="65"/>
        <v>5.78</v>
      </c>
      <c r="P539" s="8">
        <f t="shared" si="66"/>
        <v>2.1481849825957235</v>
      </c>
      <c r="Q539" s="8">
        <f t="shared" si="71"/>
        <v>1.9701972800245917</v>
      </c>
      <c r="R539" s="81">
        <f t="shared" si="67"/>
        <v>0.67361111111111116</v>
      </c>
      <c r="S539" s="113" t="str">
        <f>IF(F539="","",IF(H539="",TEXT(_xlfn.MAXIFS($I$1:I539,$F$1:F539,F539,$H$1:H539,"&gt;"&amp;0),"000.000"),F539))</f>
        <v>OPM8J51</v>
      </c>
      <c r="T539" s="101">
        <f t="shared" si="72"/>
        <v>141</v>
      </c>
      <c r="U539" s="82" t="s">
        <v>220</v>
      </c>
      <c r="V539" s="98" t="s">
        <v>165</v>
      </c>
      <c r="W539" s="82" t="s">
        <v>222</v>
      </c>
      <c r="X539" s="98" t="s">
        <v>167</v>
      </c>
      <c r="Y539" s="82" t="s">
        <v>220</v>
      </c>
      <c r="Z539" s="98" t="s">
        <v>206</v>
      </c>
      <c r="AA539" s="82"/>
      <c r="AB539" s="98"/>
      <c r="AC539" s="82"/>
      <c r="AD539" s="98"/>
      <c r="AE539" s="82"/>
      <c r="AF539" s="98"/>
      <c r="AG539" s="82"/>
      <c r="AH539" s="98"/>
      <c r="AI539" s="82"/>
      <c r="AJ539" s="98"/>
      <c r="AK539" s="83"/>
      <c r="AL539" s="84" t="str">
        <f>IF(F539&lt;&gt;0,IF(_xlfn.MAXIFS($I$1:I539,$F$1:F539,F539,$H$1:H539,"&gt;"&amp;0)=0,"KM NÃO ENCONTRADO",IF(H539=0,CONCATENATE("SUGESTÃO DE KM PARA PLACA ",F539," *",_xlfn.MAXIFS($I$1:I539,$F$1:F539,F539,$H$1:H539,"&gt;"&amp;0),"*"),"")),"")</f>
        <v/>
      </c>
      <c r="AM539" s="85" t="str" cm="1">
        <f t="array" ref="AM539">IFERROR(IF(M539&lt;&gt;"","",CONCATENATE("https://btx.brasiltrack.com/logistica/trajeto.php?idveiculo=",VLOOKUP(F539,DATAS!$A$221:$B$250,2,FALSE),"&amp;lat=-22.204247","&amp;data_ini=",TEXT(IF(E539&lt;&gt;"",IF(COUNTIF($F$2:$F539,F539)&gt;1,MAX(IF($F$1:$F538=F539,$E$1:$E538)),""),""),"DD/MM/AAAA"),"&amp;data_fim=",TEXT(E539,"DD/MM/AAAA"),"&amp;hora_inicial=",HOUR(IF(E539&lt;&gt;"",IF(COUNTIF($F$2:$F539,F539)&gt;1,MAX(IF($F$1:$F538=F539,$E$1:$E538)),""),"")),"&amp;minuto_inicial=",MINUTE(IF(E539&lt;&gt;"",IF(COUNTIF($F$2:$F539,F539)&gt;1,MAX(IF($F$1:$F538=F539,$E$1:$E538)),""),"")),"&amp;hora_final=",HOUR(E539),"&amp;minuto_final=",MINUTE(E539),"&amp;periodo=6&amp;tipo=por_data&amp;upos=false&amp;outequip=0")),"")</f>
        <v/>
      </c>
      <c r="AN539" s="100" t="str">
        <f t="shared" si="68"/>
        <v xml:space="preserve">ABASTECEU no 22 NORTE DESCARREGOU em VARGINHA-MG ABASTECEU no CANDEIAS-MG          </v>
      </c>
    </row>
    <row r="540" spans="1:40" x14ac:dyDescent="0.25">
      <c r="A540" s="101">
        <f>IFERROR(VLOOKUP(AN540,ROTAS!$A:$B,2,FALSE),0)</f>
        <v>156</v>
      </c>
      <c r="B540" s="101">
        <f t="shared" si="69"/>
        <v>1</v>
      </c>
      <c r="C540" s="101">
        <f t="shared" si="70"/>
        <v>856</v>
      </c>
      <c r="D540" s="144">
        <v>44927</v>
      </c>
      <c r="E540" s="76">
        <v>44954.170138888891</v>
      </c>
      <c r="F540" s="6" t="s">
        <v>128</v>
      </c>
      <c r="G540" s="5" t="str">
        <f>IFERROR(VLOOKUP(SUMIFS(MSOLICITADA!$I:$I,MSOLICITADA!$B:$B,D540,MSOLICITADA!$F:$F,F540),CODIGOSPLACAS!$A$64:$B$89,2,FALSE),"")</f>
        <v>ELI RICARDO</v>
      </c>
      <c r="H540" s="77">
        <v>98478</v>
      </c>
      <c r="I540" s="77">
        <v>99334</v>
      </c>
      <c r="J540" s="7">
        <v>463</v>
      </c>
      <c r="K540" s="78">
        <v>2819.67</v>
      </c>
      <c r="L540" s="79" t="s">
        <v>111</v>
      </c>
      <c r="M540" s="6">
        <v>382</v>
      </c>
      <c r="N540" s="5">
        <f t="shared" si="64"/>
        <v>474</v>
      </c>
      <c r="O540" s="80">
        <f t="shared" si="65"/>
        <v>6.09</v>
      </c>
      <c r="P540" s="8">
        <f t="shared" si="66"/>
        <v>1.8488120950323974</v>
      </c>
      <c r="Q540" s="8">
        <f t="shared" si="71"/>
        <v>1.7619806950171255</v>
      </c>
      <c r="R540" s="81">
        <f t="shared" si="67"/>
        <v>0.44626168224299068</v>
      </c>
      <c r="S540" s="113" t="str">
        <f>IF(F540="","",IF(H540="",TEXT(_xlfn.MAXIFS($I$1:I540,$F$1:F540,F540,$H$1:H540,"&gt;"&amp;0),"000.000"),F540))</f>
        <v>GFR0D47</v>
      </c>
      <c r="T540" s="101">
        <f t="shared" si="72"/>
        <v>474</v>
      </c>
      <c r="U540" s="82" t="s">
        <v>220</v>
      </c>
      <c r="V540" s="98" t="s">
        <v>165</v>
      </c>
      <c r="W540" s="82" t="s">
        <v>222</v>
      </c>
      <c r="X540" s="98" t="s">
        <v>167</v>
      </c>
      <c r="Y540" s="82" t="s">
        <v>225</v>
      </c>
      <c r="Z540" s="98" t="s">
        <v>237</v>
      </c>
      <c r="AA540" s="82" t="s">
        <v>221</v>
      </c>
      <c r="AB540" s="98" t="s">
        <v>175</v>
      </c>
      <c r="AC540" s="82" t="s">
        <v>225</v>
      </c>
      <c r="AD540" s="98" t="s">
        <v>284</v>
      </c>
      <c r="AE540" s="82" t="s">
        <v>220</v>
      </c>
      <c r="AF540" s="98" t="s">
        <v>165</v>
      </c>
      <c r="AG540" s="82"/>
      <c r="AH540" s="98"/>
      <c r="AI540" s="82"/>
      <c r="AJ540" s="98"/>
      <c r="AK540" s="83"/>
      <c r="AL540" s="84" t="str">
        <f>IF(F540&lt;&gt;0,IF(_xlfn.MAXIFS($I$1:I540,$F$1:F540,F540,$H$1:H540,"&gt;"&amp;0)=0,"KM NÃO ENCONTRADO",IF(H540=0,CONCATENATE("SUGESTÃO DE KM PARA PLACA ",F540," *",_xlfn.MAXIFS($I$1:I540,$F$1:F540,F540,$H$1:H540,"&gt;"&amp;0),"*"),"")),"")</f>
        <v/>
      </c>
      <c r="AM540" s="85" t="str" cm="1">
        <f t="array" ref="AM540">IFERROR(IF(M540&lt;&gt;"","",CONCATENATE("https://btx.brasiltrack.com/logistica/trajeto.php?idveiculo=",VLOOKUP(F540,DATAS!$A$221:$B$250,2,FALSE),"&amp;lat=-22.204247","&amp;data_ini=",TEXT(IF(E540&lt;&gt;"",IF(COUNTIF($F$2:$F540,F540)&gt;1,MAX(IF($F$1:$F539=F540,$E$1:$E539)),""),""),"DD/MM/AAAA"),"&amp;data_fim=",TEXT(E540,"DD/MM/AAAA"),"&amp;hora_inicial=",HOUR(IF(E540&lt;&gt;"",IF(COUNTIF($F$2:$F540,F540)&gt;1,MAX(IF($F$1:$F539=F540,$E$1:$E539)),""),"")),"&amp;minuto_inicial=",MINUTE(IF(E540&lt;&gt;"",IF(COUNTIF($F$2:$F540,F540)&gt;1,MAX(IF($F$1:$F539=F540,$E$1:$E539)),""),"")),"&amp;hora_final=",HOUR(E540),"&amp;minuto_final=",MINUTE(E540),"&amp;periodo=6&amp;tipo=por_data&amp;upos=false&amp;outequip=0")),"")</f>
        <v/>
      </c>
      <c r="AN540" s="100" t="str">
        <f t="shared" si="68"/>
        <v xml:space="preserve">ABASTECEU no 22 NORTE DESCARREGOU em VARGINHA-MG PASSOU em ARUJÁ-SP CARREGOU em SANTOS-SP PASSOU em SÃO PAULO-SP ABASTECEU no 22 NORTE    </v>
      </c>
    </row>
    <row r="541" spans="1:40" x14ac:dyDescent="0.25">
      <c r="A541" s="101">
        <f>IFERROR(VLOOKUP(AN541,ROTAS!$A:$B,2,FALSE),0)</f>
        <v>53</v>
      </c>
      <c r="B541" s="101">
        <f t="shared" si="69"/>
        <v>4</v>
      </c>
      <c r="C541" s="101">
        <f t="shared" si="70"/>
        <v>747.75</v>
      </c>
      <c r="D541" s="144">
        <v>44927</v>
      </c>
      <c r="E541" s="76">
        <v>44954.223611111112</v>
      </c>
      <c r="F541" s="6" t="s">
        <v>32</v>
      </c>
      <c r="G541" s="5" t="str">
        <f>IFERROR(VLOOKUP(SUMIFS(MSOLICITADA!$I:$I,MSOLICITADA!$B:$B,D541,MSOLICITADA!$F:$F,F541),CODIGOSPLACAS!$A$64:$B$89,2,FALSE),"")</f>
        <v>ADILSON</v>
      </c>
      <c r="H541" s="77">
        <v>209903</v>
      </c>
      <c r="I541" s="77">
        <v>210660</v>
      </c>
      <c r="J541" s="7">
        <v>428</v>
      </c>
      <c r="K541" s="78">
        <v>2606.6</v>
      </c>
      <c r="L541" s="79" t="s">
        <v>111</v>
      </c>
      <c r="M541" s="6">
        <v>378</v>
      </c>
      <c r="N541" s="5">
        <f t="shared" si="64"/>
        <v>379</v>
      </c>
      <c r="O541" s="80">
        <f t="shared" si="65"/>
        <v>6.0901869158878501</v>
      </c>
      <c r="P541" s="8">
        <f t="shared" si="66"/>
        <v>1.7686915887850467</v>
      </c>
      <c r="Q541" s="8">
        <f t="shared" si="71"/>
        <v>1.6695575721559062</v>
      </c>
      <c r="R541" s="81">
        <f t="shared" si="67"/>
        <v>0.49933949801849403</v>
      </c>
      <c r="S541" s="113" t="str">
        <f>IF(F541="","",IF(H541="",TEXT(_xlfn.MAXIFS($I$1:I541,$F$1:F541,F541,$H$1:H541,"&gt;"&amp;0),"000.000"),F541))</f>
        <v>GJU9A22</v>
      </c>
      <c r="T541" s="101">
        <f t="shared" si="72"/>
        <v>374</v>
      </c>
      <c r="U541" s="82" t="s">
        <v>220</v>
      </c>
      <c r="V541" s="98" t="s">
        <v>165</v>
      </c>
      <c r="W541" s="82" t="s">
        <v>222</v>
      </c>
      <c r="X541" s="98" t="s">
        <v>201</v>
      </c>
      <c r="Y541" s="82" t="s">
        <v>225</v>
      </c>
      <c r="Z541" s="98" t="s">
        <v>284</v>
      </c>
      <c r="AA541" s="82" t="s">
        <v>221</v>
      </c>
      <c r="AB541" s="98" t="s">
        <v>175</v>
      </c>
      <c r="AC541" s="82" t="s">
        <v>225</v>
      </c>
      <c r="AD541" s="98" t="s">
        <v>284</v>
      </c>
      <c r="AE541" s="82" t="s">
        <v>220</v>
      </c>
      <c r="AF541" s="98" t="s">
        <v>165</v>
      </c>
      <c r="AG541" s="82"/>
      <c r="AH541" s="98"/>
      <c r="AI541" s="82"/>
      <c r="AJ541" s="98"/>
      <c r="AK541" s="83"/>
      <c r="AL541" s="84" t="str">
        <f>IF(F541&lt;&gt;0,IF(_xlfn.MAXIFS($I$1:I541,$F$1:F541,F541,$H$1:H541,"&gt;"&amp;0)=0,"KM NÃO ENCONTRADO",IF(H541=0,CONCATENATE("SUGESTÃO DE KM PARA PLACA ",F541," *",_xlfn.MAXIFS($I$1:I541,$F$1:F541,F541,$H$1:H541,"&gt;"&amp;0),"*"),"")),"")</f>
        <v/>
      </c>
      <c r="AM541" s="85" t="str" cm="1">
        <f t="array" ref="AM541">IFERROR(IF(M541&lt;&gt;"","",CONCATENATE("https://btx.brasiltrack.com/logistica/trajeto.php?idveiculo=",VLOOKUP(F541,DATAS!$A$221:$B$250,2,FALSE),"&amp;lat=-22.204247","&amp;data_ini=",TEXT(IF(E541&lt;&gt;"",IF(COUNTIF($F$2:$F541,F541)&gt;1,MAX(IF($F$1:$F540=F541,$E$1:$E540)),""),""),"DD/MM/AAAA"),"&amp;data_fim=",TEXT(E541,"DD/MM/AAAA"),"&amp;hora_inicial=",HOUR(IF(E541&lt;&gt;"",IF(COUNTIF($F$2:$F541,F541)&gt;1,MAX(IF($F$1:$F540=F541,$E$1:$E540)),""),"")),"&amp;minuto_inicial=",MINUTE(IF(E541&lt;&gt;"",IF(COUNTIF($F$2:$F541,F541)&gt;1,MAX(IF($F$1:$F540=F541,$E$1:$E540)),""),"")),"&amp;hora_final=",HOUR(E541),"&amp;minuto_final=",MINUTE(E541),"&amp;periodo=6&amp;tipo=por_data&amp;upos=false&amp;outequip=0")),"")</f>
        <v/>
      </c>
      <c r="AN541" s="100" t="str">
        <f t="shared" si="68"/>
        <v xml:space="preserve">ABASTECEU no 22 NORTE DESCARREGOU em TRES CORACOES-MG PASSOU em SÃO PAULO-SP CARREGOU em SANTOS-SP PASSOU em SÃO PAULO-SP ABASTECEU no 22 NORTE    </v>
      </c>
    </row>
    <row r="542" spans="1:40" x14ac:dyDescent="0.25">
      <c r="A542" s="101">
        <f>IFERROR(VLOOKUP(AN542,ROTAS!$A:$B,2,FALSE),0)</f>
        <v>161</v>
      </c>
      <c r="B542" s="101">
        <f t="shared" si="69"/>
        <v>1</v>
      </c>
      <c r="C542" s="101">
        <f t="shared" si="70"/>
        <v>850</v>
      </c>
      <c r="D542" s="144">
        <v>44927</v>
      </c>
      <c r="E542" s="76">
        <v>44954.305555555555</v>
      </c>
      <c r="F542" s="6" t="s">
        <v>29</v>
      </c>
      <c r="G542" s="5" t="str">
        <f>IFERROR(VLOOKUP(SUMIFS(MSOLICITADA!$I:$I,MSOLICITADA!$B:$B,D542,MSOLICITADA!$F:$F,F542),CODIGOSPLACAS!$A$64:$B$89,2,FALSE),"")</f>
        <v>EDNILSON</v>
      </c>
      <c r="H542" s="77">
        <v>245947</v>
      </c>
      <c r="I542" s="77">
        <v>246797</v>
      </c>
      <c r="J542" s="7">
        <v>605.29999999999995</v>
      </c>
      <c r="K542" s="78">
        <v>3498.634</v>
      </c>
      <c r="L542" s="79" t="s">
        <v>112</v>
      </c>
      <c r="M542" s="6">
        <v>660</v>
      </c>
      <c r="N542" s="5">
        <f t="shared" si="64"/>
        <v>190</v>
      </c>
      <c r="O542" s="80">
        <f t="shared" si="65"/>
        <v>5.78</v>
      </c>
      <c r="P542" s="8">
        <f t="shared" si="66"/>
        <v>1.4042623492483068</v>
      </c>
      <c r="Q542" s="8">
        <f t="shared" si="71"/>
        <v>1.5966128652005338</v>
      </c>
      <c r="R542" s="81">
        <f t="shared" si="67"/>
        <v>0.77647058823529413</v>
      </c>
      <c r="S542" s="113" t="str">
        <f>IF(F542="","",IF(H542="",TEXT(_xlfn.MAXIFS($I$1:I542,$F$1:F542,F542,$H$1:H542,"&gt;"&amp;0),"000.000"),F542))</f>
        <v>GKA2J56</v>
      </c>
      <c r="T542" s="101">
        <f t="shared" si="72"/>
        <v>190</v>
      </c>
      <c r="U542" s="82" t="s">
        <v>220</v>
      </c>
      <c r="V542" s="98" t="s">
        <v>165</v>
      </c>
      <c r="W542" s="82" t="s">
        <v>222</v>
      </c>
      <c r="X542" s="98" t="s">
        <v>171</v>
      </c>
      <c r="Y542" s="82" t="s">
        <v>225</v>
      </c>
      <c r="Z542" s="98" t="s">
        <v>169</v>
      </c>
      <c r="AA542" s="82" t="s">
        <v>221</v>
      </c>
      <c r="AB542" s="98" t="s">
        <v>234</v>
      </c>
      <c r="AC542" s="82" t="s">
        <v>220</v>
      </c>
      <c r="AD542" s="98" t="s">
        <v>206</v>
      </c>
      <c r="AE542" s="82"/>
      <c r="AF542" s="98"/>
      <c r="AG542" s="82"/>
      <c r="AH542" s="98"/>
      <c r="AI542" s="82"/>
      <c r="AJ542" s="98"/>
      <c r="AK542" s="83"/>
      <c r="AL542" s="84" t="str">
        <f>IF(F542&lt;&gt;0,IF(_xlfn.MAXIFS($I$1:I542,$F$1:F542,F542,$H$1:H542,"&gt;"&amp;0)=0,"KM NÃO ENCONTRADO",IF(H542=0,CONCATENATE("SUGESTÃO DE KM PARA PLACA ",F542," *",_xlfn.MAXIFS($I$1:I542,$F$1:F542,F542,$H$1:H542,"&gt;"&amp;0),"*"),"")),"")</f>
        <v/>
      </c>
      <c r="AM542" s="85" t="str" cm="1">
        <f t="array" ref="AM542">IFERROR(IF(M542&lt;&gt;"","",CONCATENATE("https://btx.brasiltrack.com/logistica/trajeto.php?idveiculo=",VLOOKUP(F542,DATAS!$A$221:$B$250,2,FALSE),"&amp;lat=-22.204247","&amp;data_ini=",TEXT(IF(E542&lt;&gt;"",IF(COUNTIF($F$2:$F542,F542)&gt;1,MAX(IF($F$1:$F541=F542,$E$1:$E541)),""),""),"DD/MM/AAAA"),"&amp;data_fim=",TEXT(E542,"DD/MM/AAAA"),"&amp;hora_inicial=",HOUR(IF(E542&lt;&gt;"",IF(COUNTIF($F$2:$F542,F542)&gt;1,MAX(IF($F$1:$F541=F542,$E$1:$E541)),""),"")),"&amp;minuto_inicial=",MINUTE(IF(E542&lt;&gt;"",IF(COUNTIF($F$2:$F542,F542)&gt;1,MAX(IF($F$1:$F541=F542,$E$1:$E541)),""),"")),"&amp;hora_final=",HOUR(E542),"&amp;minuto_final=",MINUTE(E542),"&amp;periodo=6&amp;tipo=por_data&amp;upos=false&amp;outequip=0")),"")</f>
        <v/>
      </c>
      <c r="AN542" s="100" t="str">
        <f t="shared" si="68"/>
        <v xml:space="preserve">ABASTECEU no 22 NORTE DESCARREGOU em IGUATAMA-MG PASSOU em FORMIGA-MG CARREGOU em LUZ-MG ABASTECEU no CANDEIAS-MG      </v>
      </c>
    </row>
    <row r="543" spans="1:40" x14ac:dyDescent="0.25">
      <c r="A543" s="101">
        <f>IFERROR(VLOOKUP(AN543,ROTAS!$A:$B,2,FALSE),0)</f>
        <v>158</v>
      </c>
      <c r="B543" s="101">
        <f t="shared" si="69"/>
        <v>1</v>
      </c>
      <c r="C543" s="101">
        <f t="shared" si="70"/>
        <v>812</v>
      </c>
      <c r="D543" s="144">
        <v>44927</v>
      </c>
      <c r="E543" s="76">
        <v>44954.37222222222</v>
      </c>
      <c r="F543" s="6" t="s">
        <v>24</v>
      </c>
      <c r="G543" s="5" t="str">
        <f>IFERROR(VLOOKUP(SUMIFS(MSOLICITADA!$I:$I,MSOLICITADA!$B:$B,D543,MSOLICITADA!$F:$F,F543),CODIGOSPLACAS!$A$64:$B$89,2,FALSE),"")</f>
        <v>PAULO HENR.</v>
      </c>
      <c r="H543" s="77">
        <v>955205</v>
      </c>
      <c r="I543" s="77">
        <v>956017</v>
      </c>
      <c r="J543" s="7">
        <v>516.6</v>
      </c>
      <c r="K543" s="78">
        <v>2985.9480000000003</v>
      </c>
      <c r="L543" s="79" t="s">
        <v>112</v>
      </c>
      <c r="M543" s="6">
        <v>552</v>
      </c>
      <c r="N543" s="5">
        <f t="shared" si="64"/>
        <v>260</v>
      </c>
      <c r="O543" s="80">
        <f t="shared" si="65"/>
        <v>5.78</v>
      </c>
      <c r="P543" s="8">
        <f t="shared" si="66"/>
        <v>1.5718157181571815</v>
      </c>
      <c r="Q543" s="8">
        <f t="shared" si="71"/>
        <v>1.5194077812359499</v>
      </c>
      <c r="R543" s="81">
        <f t="shared" si="67"/>
        <v>0.67980295566502458</v>
      </c>
      <c r="S543" s="113" t="str">
        <f>IF(F543="","",IF(H543="",TEXT(_xlfn.MAXIFS($I$1:I543,$F$1:F543,F543,$H$1:H543,"&gt;"&amp;0),"000.000"),F543))</f>
        <v>FKS0J24</v>
      </c>
      <c r="T543" s="101">
        <f t="shared" si="72"/>
        <v>260</v>
      </c>
      <c r="U543" s="82" t="s">
        <v>220</v>
      </c>
      <c r="V543" s="98" t="s">
        <v>217</v>
      </c>
      <c r="W543" s="82" t="s">
        <v>225</v>
      </c>
      <c r="X543" s="98" t="s">
        <v>284</v>
      </c>
      <c r="Y543" s="82" t="s">
        <v>221</v>
      </c>
      <c r="Z543" s="98" t="s">
        <v>175</v>
      </c>
      <c r="AA543" s="82" t="s">
        <v>225</v>
      </c>
      <c r="AB543" s="98" t="s">
        <v>237</v>
      </c>
      <c r="AC543" s="82" t="s">
        <v>220</v>
      </c>
      <c r="AD543" s="98" t="s">
        <v>206</v>
      </c>
      <c r="AE543" s="82"/>
      <c r="AF543" s="98"/>
      <c r="AG543" s="82"/>
      <c r="AH543" s="98"/>
      <c r="AI543" s="82"/>
      <c r="AJ543" s="98"/>
      <c r="AK543" s="83"/>
      <c r="AL543" s="84" t="str">
        <f>IF(F543&lt;&gt;0,IF(_xlfn.MAXIFS($I$1:I543,$F$1:F543,F543,$H$1:H543,"&gt;"&amp;0)=0,"KM NÃO ENCONTRADO",IF(H543=0,CONCATENATE("SUGESTÃO DE KM PARA PLACA ",F543," *",_xlfn.MAXIFS($I$1:I543,$F$1:F543,F543,$H$1:H543,"&gt;"&amp;0),"*"),"")),"")</f>
        <v/>
      </c>
      <c r="AM543" s="85" t="str" cm="1">
        <f t="array" ref="AM543">IFERROR(IF(M543&lt;&gt;"","",CONCATENATE("https://btx.brasiltrack.com/logistica/trajeto.php?idveiculo=",VLOOKUP(F543,DATAS!$A$221:$B$250,2,FALSE),"&amp;lat=-22.204247","&amp;data_ini=",TEXT(IF(E543&lt;&gt;"",IF(COUNTIF($F$2:$F543,F543)&gt;1,MAX(IF($F$1:$F542=F543,$E$1:$E542)),""),""),"DD/MM/AAAA"),"&amp;data_fim=",TEXT(E543,"DD/MM/AAAA"),"&amp;hora_inicial=",HOUR(IF(E543&lt;&gt;"",IF(COUNTIF($F$2:$F543,F543)&gt;1,MAX(IF($F$1:$F542=F543,$E$1:$E542)),""),"")),"&amp;minuto_inicial=",MINUTE(IF(E543&lt;&gt;"",IF(COUNTIF($F$2:$F543,F543)&gt;1,MAX(IF($F$1:$F542=F543,$E$1:$E542)),""),"")),"&amp;hora_final=",HOUR(E543),"&amp;minuto_final=",MINUTE(E543),"&amp;periodo=6&amp;tipo=por_data&amp;upos=false&amp;outequip=0")),"")</f>
        <v/>
      </c>
      <c r="AN543" s="100" t="str">
        <f t="shared" si="68"/>
        <v xml:space="preserve">ABASTECEU no DP JK SUL PASSOU em SÃO PAULO-SP CARREGOU em SANTOS-SP PASSOU em ARUJÁ-SP ABASTECEU no CANDEIAS-MG      </v>
      </c>
    </row>
    <row r="544" spans="1:40" x14ac:dyDescent="0.25">
      <c r="A544" s="101">
        <f>IFERROR(VLOOKUP(AN544,ROTAS!$A:$B,2,FALSE),0)</f>
        <v>152</v>
      </c>
      <c r="B544" s="101">
        <f t="shared" si="69"/>
        <v>3</v>
      </c>
      <c r="C544" s="101">
        <f t="shared" si="70"/>
        <v>819</v>
      </c>
      <c r="D544" s="144">
        <v>44927</v>
      </c>
      <c r="E544" s="76">
        <v>44954.520138888889</v>
      </c>
      <c r="F544" s="6" t="s">
        <v>126</v>
      </c>
      <c r="G544" s="5" t="str">
        <f>IFERROR(VLOOKUP(SUMIFS(MSOLICITADA!$I:$I,MSOLICITADA!$B:$B,D544,MSOLICITADA!$F:$F,F544),CODIGOSPLACAS!$A$64:$B$89,2,FALSE),"")</f>
        <v>IZAIAS</v>
      </c>
      <c r="H544" s="77">
        <v>497625</v>
      </c>
      <c r="I544" s="77">
        <v>498442</v>
      </c>
      <c r="J544" s="7">
        <v>521.24</v>
      </c>
      <c r="K544" s="78">
        <v>3174.35</v>
      </c>
      <c r="L544" s="79" t="s">
        <v>111</v>
      </c>
      <c r="M544" s="6">
        <v>457</v>
      </c>
      <c r="N544" s="5">
        <f t="shared" si="64"/>
        <v>360</v>
      </c>
      <c r="O544" s="80">
        <f t="shared" si="65"/>
        <v>6.0899969303967456</v>
      </c>
      <c r="P544" s="8">
        <f t="shared" si="66"/>
        <v>1.5674161614611311</v>
      </c>
      <c r="Q544" s="8">
        <f t="shared" si="71"/>
        <v>1.5602257971131808</v>
      </c>
      <c r="R544" s="81">
        <f t="shared" si="67"/>
        <v>0.55936352509179932</v>
      </c>
      <c r="S544" s="113" t="str">
        <f>IF(F544="","",IF(H544="",TEXT(_xlfn.MAXIFS($I$1:I544,$F$1:F544,F544,$H$1:H544,"&gt;"&amp;0),"000.000"),F544))</f>
        <v>GHX4D71</v>
      </c>
      <c r="T544" s="101">
        <f t="shared" si="72"/>
        <v>360</v>
      </c>
      <c r="U544" s="82" t="s">
        <v>220</v>
      </c>
      <c r="V544" s="98" t="s">
        <v>165</v>
      </c>
      <c r="W544" s="82" t="s">
        <v>222</v>
      </c>
      <c r="X544" s="98" t="s">
        <v>201</v>
      </c>
      <c r="Y544" s="82" t="s">
        <v>225</v>
      </c>
      <c r="Z544" s="98" t="s">
        <v>284</v>
      </c>
      <c r="AA544" s="82" t="s">
        <v>221</v>
      </c>
      <c r="AB544" s="98" t="s">
        <v>175</v>
      </c>
      <c r="AC544" s="82" t="s">
        <v>225</v>
      </c>
      <c r="AD544" s="98" t="s">
        <v>237</v>
      </c>
      <c r="AE544" s="82" t="s">
        <v>220</v>
      </c>
      <c r="AF544" s="98" t="s">
        <v>165</v>
      </c>
      <c r="AG544" s="82"/>
      <c r="AH544" s="98"/>
      <c r="AI544" s="82"/>
      <c r="AJ544" s="98"/>
      <c r="AK544" s="83"/>
      <c r="AL544" s="84" t="str">
        <f>IF(F544&lt;&gt;0,IF(_xlfn.MAXIFS($I$1:I544,$F$1:F544,F544,$H$1:H544,"&gt;"&amp;0)=0,"KM NÃO ENCONTRADO",IF(H544=0,CONCATENATE("SUGESTÃO DE KM PARA PLACA ",F544," *",_xlfn.MAXIFS($I$1:I544,$F$1:F544,F544,$H$1:H544,"&gt;"&amp;0),"*"),"")),"")</f>
        <v/>
      </c>
      <c r="AM544" s="85" t="str" cm="1">
        <f t="array" ref="AM544">IFERROR(IF(M544&lt;&gt;"","",CONCATENATE("https://btx.brasiltrack.com/logistica/trajeto.php?idveiculo=",VLOOKUP(F544,DATAS!$A$221:$B$250,2,FALSE),"&amp;lat=-22.204247","&amp;data_ini=",TEXT(IF(E544&lt;&gt;"",IF(COUNTIF($F$2:$F544,F544)&gt;1,MAX(IF($F$1:$F543=F544,$E$1:$E543)),""),""),"DD/MM/AAAA"),"&amp;data_fim=",TEXT(E544,"DD/MM/AAAA"),"&amp;hora_inicial=",HOUR(IF(E544&lt;&gt;"",IF(COUNTIF($F$2:$F544,F544)&gt;1,MAX(IF($F$1:$F543=F544,$E$1:$E543)),""),"")),"&amp;minuto_inicial=",MINUTE(IF(E544&lt;&gt;"",IF(COUNTIF($F$2:$F544,F544)&gt;1,MAX(IF($F$1:$F543=F544,$E$1:$E543)),""),"")),"&amp;hora_final=",HOUR(E544),"&amp;minuto_final=",MINUTE(E544),"&amp;periodo=6&amp;tipo=por_data&amp;upos=false&amp;outequip=0")),"")</f>
        <v/>
      </c>
      <c r="AN544" s="100" t="str">
        <f t="shared" si="68"/>
        <v xml:space="preserve">ABASTECEU no 22 NORTE DESCARREGOU em TRES CORACOES-MG PASSOU em SÃO PAULO-SP CARREGOU em SANTOS-SP PASSOU em ARUJÁ-SP ABASTECEU no 22 NORTE    </v>
      </c>
    </row>
    <row r="545" spans="1:40" x14ac:dyDescent="0.25">
      <c r="A545" s="101">
        <f>IFERROR(VLOOKUP(AN545,ROTAS!$A:$B,2,FALSE),0)</f>
        <v>152</v>
      </c>
      <c r="B545" s="101">
        <f t="shared" si="69"/>
        <v>3</v>
      </c>
      <c r="C545" s="101">
        <f t="shared" si="70"/>
        <v>819</v>
      </c>
      <c r="D545" s="144">
        <v>44927</v>
      </c>
      <c r="E545" s="76">
        <v>44954.520833333336</v>
      </c>
      <c r="F545" s="6" t="s">
        <v>23</v>
      </c>
      <c r="G545" s="5" t="str">
        <f>IFERROR(VLOOKUP(SUMIFS(MSOLICITADA!$I:$I,MSOLICITADA!$B:$B,D545,MSOLICITADA!$F:$F,F545),CODIGOSPLACAS!$A$64:$B$89,2,FALSE),"")</f>
        <v>ISAC</v>
      </c>
      <c r="H545" s="77">
        <v>1213160</v>
      </c>
      <c r="I545" s="77">
        <v>1213987</v>
      </c>
      <c r="J545" s="7">
        <v>499.42</v>
      </c>
      <c r="K545" s="78">
        <v>3041.47</v>
      </c>
      <c r="L545" s="79" t="s">
        <v>111</v>
      </c>
      <c r="M545" s="6">
        <v>467</v>
      </c>
      <c r="N545" s="5">
        <f t="shared" si="64"/>
        <v>360</v>
      </c>
      <c r="O545" s="80">
        <f t="shared" si="65"/>
        <v>6.0900044051099274</v>
      </c>
      <c r="P545" s="8">
        <f t="shared" si="66"/>
        <v>1.6559208682071203</v>
      </c>
      <c r="Q545" s="8">
        <f t="shared" si="71"/>
        <v>1.4592701282718794</v>
      </c>
      <c r="R545" s="81">
        <f t="shared" si="67"/>
        <v>0.56469165659008469</v>
      </c>
      <c r="S545" s="113" t="str">
        <f>IF(F545="","",IF(H545="",TEXT(_xlfn.MAXIFS($I$1:I545,$F$1:F545,F545,$H$1:H545,"&gt;"&amp;0),"000.000"),F545))</f>
        <v>HNC7I76</v>
      </c>
      <c r="T545" s="101">
        <f t="shared" si="72"/>
        <v>360</v>
      </c>
      <c r="U545" s="82" t="s">
        <v>220</v>
      </c>
      <c r="V545" s="98" t="s">
        <v>165</v>
      </c>
      <c r="W545" s="82" t="s">
        <v>222</v>
      </c>
      <c r="X545" s="98" t="s">
        <v>201</v>
      </c>
      <c r="Y545" s="82" t="s">
        <v>225</v>
      </c>
      <c r="Z545" s="98" t="s">
        <v>284</v>
      </c>
      <c r="AA545" s="82" t="s">
        <v>221</v>
      </c>
      <c r="AB545" s="98" t="s">
        <v>175</v>
      </c>
      <c r="AC545" s="82" t="s">
        <v>225</v>
      </c>
      <c r="AD545" s="98" t="s">
        <v>237</v>
      </c>
      <c r="AE545" s="82" t="s">
        <v>220</v>
      </c>
      <c r="AF545" s="98" t="s">
        <v>165</v>
      </c>
      <c r="AG545" s="82"/>
      <c r="AH545" s="98"/>
      <c r="AI545" s="82"/>
      <c r="AJ545" s="98"/>
      <c r="AK545" s="83"/>
      <c r="AL545" s="84" t="str">
        <f>IF(F545&lt;&gt;0,IF(_xlfn.MAXIFS($I$1:I545,$F$1:F545,F545,$H$1:H545,"&gt;"&amp;0)=0,"KM NÃO ENCONTRADO",IF(H545=0,CONCATENATE("SUGESTÃO DE KM PARA PLACA ",F545," *",_xlfn.MAXIFS($I$1:I545,$F$1:F545,F545,$H$1:H545,"&gt;"&amp;0),"*"),"")),"")</f>
        <v/>
      </c>
      <c r="AM545" s="85" t="str" cm="1">
        <f t="array" ref="AM545">IFERROR(IF(M545&lt;&gt;"","",CONCATENATE("https://btx.brasiltrack.com/logistica/trajeto.php?idveiculo=",VLOOKUP(F545,DATAS!$A$221:$B$250,2,FALSE),"&amp;lat=-22.204247","&amp;data_ini=",TEXT(IF(E545&lt;&gt;"",IF(COUNTIF($F$2:$F545,F545)&gt;1,MAX(IF($F$1:$F544=F545,$E$1:$E544)),""),""),"DD/MM/AAAA"),"&amp;data_fim=",TEXT(E545,"DD/MM/AAAA"),"&amp;hora_inicial=",HOUR(IF(E545&lt;&gt;"",IF(COUNTIF($F$2:$F545,F545)&gt;1,MAX(IF($F$1:$F544=F545,$E$1:$E544)),""),"")),"&amp;minuto_inicial=",MINUTE(IF(E545&lt;&gt;"",IF(COUNTIF($F$2:$F545,F545)&gt;1,MAX(IF($F$1:$F544=F545,$E$1:$E544)),""),"")),"&amp;hora_final=",HOUR(E545),"&amp;minuto_final=",MINUTE(E545),"&amp;periodo=6&amp;tipo=por_data&amp;upos=false&amp;outequip=0")),"")</f>
        <v/>
      </c>
      <c r="AN545" s="100" t="str">
        <f t="shared" si="68"/>
        <v xml:space="preserve">ABASTECEU no 22 NORTE DESCARREGOU em TRES CORACOES-MG PASSOU em SÃO PAULO-SP CARREGOU em SANTOS-SP PASSOU em ARUJÁ-SP ABASTECEU no 22 NORTE    </v>
      </c>
    </row>
    <row r="546" spans="1:40" x14ac:dyDescent="0.25">
      <c r="A546" s="101">
        <f>IFERROR(VLOOKUP(AN546,ROTAS!$A:$B,2,FALSE),0)</f>
        <v>159</v>
      </c>
      <c r="B546" s="101">
        <f t="shared" si="69"/>
        <v>1</v>
      </c>
      <c r="C546" s="101">
        <f t="shared" si="70"/>
        <v>938</v>
      </c>
      <c r="D546" s="144">
        <v>44927</v>
      </c>
      <c r="E546" s="76">
        <v>44955.01458333333</v>
      </c>
      <c r="F546" s="6" t="s">
        <v>26</v>
      </c>
      <c r="G546" s="5" t="str">
        <f>IFERROR(VLOOKUP(SUMIFS(MSOLICITADA!$I:$I,MSOLICITADA!$B:$B,D546,MSOLICITADA!$F:$F,F546),CODIGOSPLACAS!$A$64:$B$89,2,FALSE),"")</f>
        <v>DIEGO</v>
      </c>
      <c r="H546" s="77">
        <v>404083</v>
      </c>
      <c r="I546" s="77">
        <v>405021</v>
      </c>
      <c r="J546" s="7">
        <v>588</v>
      </c>
      <c r="K546" s="78">
        <v>3580.92</v>
      </c>
      <c r="L546" s="79" t="s">
        <v>111</v>
      </c>
      <c r="M546" s="6">
        <v>472</v>
      </c>
      <c r="N546" s="5">
        <f t="shared" si="64"/>
        <v>466</v>
      </c>
      <c r="O546" s="80">
        <f t="shared" si="65"/>
        <v>6.09</v>
      </c>
      <c r="P546" s="8">
        <f t="shared" si="66"/>
        <v>1.5952380952380953</v>
      </c>
      <c r="Q546" s="8">
        <f t="shared" si="71"/>
        <v>1.4763574081151452</v>
      </c>
      <c r="R546" s="81">
        <f t="shared" si="67"/>
        <v>0.50319829424307039</v>
      </c>
      <c r="S546" s="113" t="str">
        <f>IF(F546="","",IF(H546="",TEXT(_xlfn.MAXIFS($I$1:I546,$F$1:F546,F546,$H$1:H546,"&gt;"&amp;0),"000.000"),F546))</f>
        <v>BZA3587</v>
      </c>
      <c r="T546" s="101">
        <f t="shared" si="72"/>
        <v>466</v>
      </c>
      <c r="U546" s="82" t="s">
        <v>220</v>
      </c>
      <c r="V546" s="98" t="s">
        <v>206</v>
      </c>
      <c r="W546" s="82" t="s">
        <v>221</v>
      </c>
      <c r="X546" s="98" t="s">
        <v>171</v>
      </c>
      <c r="Y546" s="82" t="s">
        <v>222</v>
      </c>
      <c r="Z546" s="98" t="s">
        <v>201</v>
      </c>
      <c r="AA546" s="82" t="s">
        <v>225</v>
      </c>
      <c r="AB546" s="98" t="s">
        <v>284</v>
      </c>
      <c r="AC546" s="82" t="s">
        <v>221</v>
      </c>
      <c r="AD546" s="98" t="s">
        <v>175</v>
      </c>
      <c r="AE546" s="82" t="s">
        <v>225</v>
      </c>
      <c r="AF546" s="98" t="s">
        <v>284</v>
      </c>
      <c r="AG546" s="82" t="s">
        <v>220</v>
      </c>
      <c r="AH546" s="98" t="s">
        <v>165</v>
      </c>
      <c r="AI546" s="82"/>
      <c r="AJ546" s="98"/>
      <c r="AK546" s="83"/>
      <c r="AL546" s="84" t="str">
        <f>IF(F546&lt;&gt;0,IF(_xlfn.MAXIFS($I$1:I546,$F$1:F546,F546,$H$1:H546,"&gt;"&amp;0)=0,"KM NÃO ENCONTRADO",IF(H546=0,CONCATENATE("SUGESTÃO DE KM PARA PLACA ",F546," *",_xlfn.MAXIFS($I$1:I546,$F$1:F546,F546,$H$1:H546,"&gt;"&amp;0),"*"),"")),"")</f>
        <v/>
      </c>
      <c r="AM546" s="85" t="str" cm="1">
        <f t="array" ref="AM546">IFERROR(IF(M546&lt;&gt;"","",CONCATENATE("https://btx.brasiltrack.com/logistica/trajeto.php?idveiculo=",VLOOKUP(F546,DATAS!$A$221:$B$250,2,FALSE),"&amp;lat=-22.204247","&amp;data_ini=",TEXT(IF(E546&lt;&gt;"",IF(COUNTIF($F$2:$F546,F546)&gt;1,MAX(IF($F$1:$F545=F546,$E$1:$E545)),""),""),"DD/MM/AAAA"),"&amp;data_fim=",TEXT(E546,"DD/MM/AAAA"),"&amp;hora_inicial=",HOUR(IF(E546&lt;&gt;"",IF(COUNTIF($F$2:$F546,F546)&gt;1,MAX(IF($F$1:$F545=F546,$E$1:$E545)),""),"")),"&amp;minuto_inicial=",MINUTE(IF(E546&lt;&gt;"",IF(COUNTIF($F$2:$F546,F546)&gt;1,MAX(IF($F$1:$F545=F546,$E$1:$E545)),""),"")),"&amp;hora_final=",HOUR(E546),"&amp;minuto_final=",MINUTE(E546),"&amp;periodo=6&amp;tipo=por_data&amp;upos=false&amp;outequip=0")),"")</f>
        <v/>
      </c>
      <c r="AN546" s="100" t="str">
        <f t="shared" si="68"/>
        <v xml:space="preserve">ABASTECEU no CANDEIAS-MG CARREGOU em IGUATAMA-MG DESCARREGOU em TRES CORACOES-MG PASSOU em SÃO PAULO-SP CARREGOU em SANTOS-SP PASSOU em SÃO PAULO-SP ABASTECEU no 22 NORTE  </v>
      </c>
    </row>
    <row r="547" spans="1:40" x14ac:dyDescent="0.25">
      <c r="A547" s="101">
        <f>IFERROR(VLOOKUP(AN547,ROTAS!$A:$B,2,FALSE),0)</f>
        <v>97</v>
      </c>
      <c r="B547" s="101">
        <f t="shared" si="69"/>
        <v>4</v>
      </c>
      <c r="C547" s="101">
        <f t="shared" si="70"/>
        <v>389.5</v>
      </c>
      <c r="D547" s="144">
        <v>44927</v>
      </c>
      <c r="E547" s="76">
        <v>44955.354166666664</v>
      </c>
      <c r="F547" s="6" t="s">
        <v>128</v>
      </c>
      <c r="G547" s="5" t="str">
        <f>IFERROR(VLOOKUP(SUMIFS(MSOLICITADA!$I:$I,MSOLICITADA!$B:$B,D547,MSOLICITADA!$F:$F,F547),CODIGOSPLACAS!$A$64:$B$89,2,FALSE),"")</f>
        <v>ELI RICARDO</v>
      </c>
      <c r="H547" s="77">
        <v>99334</v>
      </c>
      <c r="I547" s="77">
        <v>99741</v>
      </c>
      <c r="J547" s="7">
        <v>199.2</v>
      </c>
      <c r="K547" s="78">
        <v>1151.376</v>
      </c>
      <c r="L547" s="79" t="s">
        <v>112</v>
      </c>
      <c r="M547" s="6">
        <v>266</v>
      </c>
      <c r="N547" s="5">
        <f t="shared" si="64"/>
        <v>141</v>
      </c>
      <c r="O547" s="80">
        <f t="shared" si="65"/>
        <v>5.78</v>
      </c>
      <c r="P547" s="8">
        <f t="shared" si="66"/>
        <v>1.498216409036861</v>
      </c>
      <c r="Q547" s="8">
        <f t="shared" si="71"/>
        <v>1.7619806950171255</v>
      </c>
      <c r="R547" s="81">
        <f t="shared" si="67"/>
        <v>0.65356265356265353</v>
      </c>
      <c r="S547" s="113" t="str">
        <f>IF(F547="","",IF(H547="",TEXT(_xlfn.MAXIFS($I$1:I547,$F$1:F547,F547,$H$1:H547,"&gt;"&amp;0),"000.000"),F547))</f>
        <v>GFR0D47</v>
      </c>
      <c r="T547" s="101">
        <f t="shared" si="72"/>
        <v>141</v>
      </c>
      <c r="U547" s="82" t="s">
        <v>220</v>
      </c>
      <c r="V547" s="98" t="s">
        <v>165</v>
      </c>
      <c r="W547" s="82" t="s">
        <v>222</v>
      </c>
      <c r="X547" s="98" t="s">
        <v>167</v>
      </c>
      <c r="Y547" s="82" t="s">
        <v>220</v>
      </c>
      <c r="Z547" s="98" t="s">
        <v>206</v>
      </c>
      <c r="AA547" s="82"/>
      <c r="AB547" s="98"/>
      <c r="AC547" s="82"/>
      <c r="AD547" s="98"/>
      <c r="AE547" s="82"/>
      <c r="AF547" s="98"/>
      <c r="AG547" s="82"/>
      <c r="AH547" s="98"/>
      <c r="AI547" s="82"/>
      <c r="AJ547" s="98"/>
      <c r="AK547" s="83">
        <v>155</v>
      </c>
      <c r="AL547" s="84" t="str">
        <f>IF(F547&lt;&gt;0,IF(_xlfn.MAXIFS($I$1:I547,$F$1:F547,F547,$H$1:H547,"&gt;"&amp;0)=0,"KM NÃO ENCONTRADO",IF(H547=0,CONCATENATE("SUGESTÃO DE KM PARA PLACA ",F547," *",_xlfn.MAXIFS($I$1:I547,$F$1:F547,F547,$H$1:H547,"&gt;"&amp;0),"*"),"")),"")</f>
        <v/>
      </c>
      <c r="AM547" s="85" t="str" cm="1">
        <f t="array" ref="AM547">IFERROR(IF(M547&lt;&gt;"","",CONCATENATE("https://btx.brasiltrack.com/logistica/trajeto.php?idveiculo=",VLOOKUP(F547,DATAS!$A$221:$B$250,2,FALSE),"&amp;lat=-22.204247","&amp;data_ini=",TEXT(IF(E547&lt;&gt;"",IF(COUNTIF($F$2:$F547,F547)&gt;1,MAX(IF($F$1:$F546=F547,$E$1:$E546)),""),""),"DD/MM/AAAA"),"&amp;data_fim=",TEXT(E547,"DD/MM/AAAA"),"&amp;hora_inicial=",HOUR(IF(E547&lt;&gt;"",IF(COUNTIF($F$2:$F547,F547)&gt;1,MAX(IF($F$1:$F546=F547,$E$1:$E546)),""),"")),"&amp;minuto_inicial=",MINUTE(IF(E547&lt;&gt;"",IF(COUNTIF($F$2:$F547,F547)&gt;1,MAX(IF($F$1:$F546=F547,$E$1:$E546)),""),"")),"&amp;hora_final=",HOUR(E547),"&amp;minuto_final=",MINUTE(E547),"&amp;periodo=6&amp;tipo=por_data&amp;upos=false&amp;outequip=0")),"")</f>
        <v/>
      </c>
      <c r="AN547" s="100" t="str">
        <f t="shared" si="68"/>
        <v xml:space="preserve">ABASTECEU no 22 NORTE DESCARREGOU em VARGINHA-MG ABASTECEU no CANDEIAS-MG          </v>
      </c>
    </row>
    <row r="548" spans="1:40" x14ac:dyDescent="0.25">
      <c r="A548" s="101">
        <f>IFERROR(VLOOKUP(AN548,ROTAS!$A:$B,2,FALSE),0)</f>
        <v>56</v>
      </c>
      <c r="B548" s="101">
        <f t="shared" si="69"/>
        <v>7</v>
      </c>
      <c r="C548" s="101">
        <f t="shared" si="70"/>
        <v>379.28571428571428</v>
      </c>
      <c r="D548" s="144">
        <v>44927</v>
      </c>
      <c r="E548" s="76">
        <v>44955.375</v>
      </c>
      <c r="F548" s="6" t="s">
        <v>26</v>
      </c>
      <c r="G548" s="5" t="str">
        <f>IFERROR(VLOOKUP(SUMIFS(MSOLICITADA!$I:$I,MSOLICITADA!$B:$B,D548,MSOLICITADA!$F:$F,F548),CODIGOSPLACAS!$A$64:$B$89,2,FALSE),"")</f>
        <v>DIEGO</v>
      </c>
      <c r="H548" s="77">
        <v>405021</v>
      </c>
      <c r="I548" s="77">
        <v>405402</v>
      </c>
      <c r="J548" s="7">
        <v>268.89999999999998</v>
      </c>
      <c r="K548" s="78">
        <v>1554.242</v>
      </c>
      <c r="L548" s="79" t="s">
        <v>112</v>
      </c>
      <c r="M548" s="6">
        <v>381</v>
      </c>
      <c r="N548" s="5" t="str">
        <f t="shared" si="64"/>
        <v/>
      </c>
      <c r="O548" s="80">
        <f t="shared" si="65"/>
        <v>5.78</v>
      </c>
      <c r="P548" s="8">
        <f t="shared" si="66"/>
        <v>1.4168835998512459</v>
      </c>
      <c r="Q548" s="8">
        <f t="shared" si="71"/>
        <v>1.4763574081151452</v>
      </c>
      <c r="R548" s="81">
        <f t="shared" si="67"/>
        <v>1</v>
      </c>
      <c r="S548" s="113" t="str">
        <f>IF(F548="","",IF(H548="",TEXT(_xlfn.MAXIFS($I$1:I548,$F$1:F548,F548,$H$1:H548,"&gt;"&amp;0),"000.000"),F548))</f>
        <v>BZA3587</v>
      </c>
      <c r="T548" s="101" t="str">
        <f t="shared" si="72"/>
        <v/>
      </c>
      <c r="U548" s="82" t="s">
        <v>220</v>
      </c>
      <c r="V548" s="98" t="s">
        <v>165</v>
      </c>
      <c r="W548" s="82" t="s">
        <v>220</v>
      </c>
      <c r="X548" s="98" t="s">
        <v>206</v>
      </c>
      <c r="Y548" s="82"/>
      <c r="Z548" s="98"/>
      <c r="AA548" s="82"/>
      <c r="AB548" s="98"/>
      <c r="AC548" s="82"/>
      <c r="AD548" s="98"/>
      <c r="AE548" s="82"/>
      <c r="AF548" s="98"/>
      <c r="AG548" s="82"/>
      <c r="AH548" s="98"/>
      <c r="AI548" s="82"/>
      <c r="AJ548" s="98"/>
      <c r="AK548" s="83"/>
      <c r="AL548" s="84" t="str">
        <f>IF(F548&lt;&gt;0,IF(_xlfn.MAXIFS($I$1:I548,$F$1:F548,F548,$H$1:H548,"&gt;"&amp;0)=0,"KM NÃO ENCONTRADO",IF(H548=0,CONCATENATE("SUGESTÃO DE KM PARA PLACA ",F548," *",_xlfn.MAXIFS($I$1:I548,$F$1:F548,F548,$H$1:H548,"&gt;"&amp;0),"*"),"")),"")</f>
        <v/>
      </c>
      <c r="AM548" s="85" t="str" cm="1">
        <f t="array" ref="AM548">IFERROR(IF(M548&lt;&gt;"","",CONCATENATE("https://btx.brasiltrack.com/logistica/trajeto.php?idveiculo=",VLOOKUP(F548,DATAS!$A$221:$B$250,2,FALSE),"&amp;lat=-22.204247","&amp;data_ini=",TEXT(IF(E548&lt;&gt;"",IF(COUNTIF($F$2:$F548,F548)&gt;1,MAX(IF($F$1:$F547=F548,$E$1:$E547)),""),""),"DD/MM/AAAA"),"&amp;data_fim=",TEXT(E548,"DD/MM/AAAA"),"&amp;hora_inicial=",HOUR(IF(E548&lt;&gt;"",IF(COUNTIF($F$2:$F548,F548)&gt;1,MAX(IF($F$1:$F547=F548,$E$1:$E547)),""),"")),"&amp;minuto_inicial=",MINUTE(IF(E548&lt;&gt;"",IF(COUNTIF($F$2:$F548,F548)&gt;1,MAX(IF($F$1:$F547=F548,$E$1:$E547)),""),"")),"&amp;hora_final=",HOUR(E548),"&amp;minuto_final=",MINUTE(E548),"&amp;periodo=6&amp;tipo=por_data&amp;upos=false&amp;outequip=0")),"")</f>
        <v/>
      </c>
      <c r="AN548" s="100" t="str">
        <f t="shared" si="68"/>
        <v xml:space="preserve">ABASTECEU no 22 NORTE ABASTECEU no CANDEIAS-MG            </v>
      </c>
    </row>
    <row r="549" spans="1:40" x14ac:dyDescent="0.25">
      <c r="A549" s="101">
        <f>IFERROR(VLOOKUP(AN549,ROTAS!$A:$B,2,FALSE),0)</f>
        <v>160</v>
      </c>
      <c r="B549" s="101">
        <f t="shared" si="69"/>
        <v>1</v>
      </c>
      <c r="C549" s="101">
        <f t="shared" si="70"/>
        <v>711</v>
      </c>
      <c r="D549" s="144">
        <v>44927</v>
      </c>
      <c r="E549" s="76">
        <v>44956.715277777781</v>
      </c>
      <c r="F549" s="6" t="s">
        <v>29</v>
      </c>
      <c r="G549" s="5" t="str">
        <f>IFERROR(VLOOKUP(SUMIFS(MSOLICITADA!$I:$I,MSOLICITADA!$B:$B,D549,MSOLICITADA!$F:$F,F549),CODIGOSPLACAS!$A$64:$B$89,2,FALSE),"")</f>
        <v>EDNILSON</v>
      </c>
      <c r="H549" s="77">
        <v>246797</v>
      </c>
      <c r="I549" s="77">
        <v>247508</v>
      </c>
      <c r="J549" s="7">
        <v>507.01</v>
      </c>
      <c r="K549" s="78">
        <v>3087.69</v>
      </c>
      <c r="L549" s="79" t="s">
        <v>111</v>
      </c>
      <c r="M549" s="6">
        <v>681</v>
      </c>
      <c r="N549" s="5">
        <f t="shared" si="64"/>
        <v>30</v>
      </c>
      <c r="O549" s="80">
        <f t="shared" si="65"/>
        <v>6.0899982248870836</v>
      </c>
      <c r="P549" s="8">
        <f t="shared" si="66"/>
        <v>1.4023392043549436</v>
      </c>
      <c r="Q549" s="8">
        <f t="shared" si="71"/>
        <v>1.5966128652005338</v>
      </c>
      <c r="R549" s="81">
        <f t="shared" si="67"/>
        <v>0.95780590717299574</v>
      </c>
      <c r="S549" s="113" t="str">
        <f>IF(F549="","",IF(H549="",TEXT(_xlfn.MAXIFS($I$1:I549,$F$1:F549,F549,$H$1:H549,"&gt;"&amp;0),"000.000"),F549))</f>
        <v>GKA2J56</v>
      </c>
      <c r="T549" s="101">
        <f t="shared" si="72"/>
        <v>30</v>
      </c>
      <c r="U549" s="82" t="s">
        <v>220</v>
      </c>
      <c r="V549" s="98" t="s">
        <v>206</v>
      </c>
      <c r="W549" s="82" t="s">
        <v>225</v>
      </c>
      <c r="X549" s="98" t="s">
        <v>284</v>
      </c>
      <c r="Y549" s="82" t="s">
        <v>222</v>
      </c>
      <c r="Z549" s="98" t="s">
        <v>175</v>
      </c>
      <c r="AA549" s="82" t="s">
        <v>221</v>
      </c>
      <c r="AB549" s="98" t="s">
        <v>168</v>
      </c>
      <c r="AC549" s="82" t="s">
        <v>225</v>
      </c>
      <c r="AD549" s="98" t="s">
        <v>237</v>
      </c>
      <c r="AE549" s="82" t="s">
        <v>220</v>
      </c>
      <c r="AF549" s="98" t="s">
        <v>165</v>
      </c>
      <c r="AG549" s="82"/>
      <c r="AH549" s="98"/>
      <c r="AI549" s="82"/>
      <c r="AJ549" s="98"/>
      <c r="AK549" s="83"/>
      <c r="AL549" s="84" t="str">
        <f>IF(F549&lt;&gt;0,IF(_xlfn.MAXIFS($I$1:I549,$F$1:F549,F549,$H$1:H549,"&gt;"&amp;0)=0,"KM NÃO ENCONTRADO",IF(H549=0,CONCATENATE("SUGESTÃO DE KM PARA PLACA ",F549," *",_xlfn.MAXIFS($I$1:I549,$F$1:F549,F549,$H$1:H549,"&gt;"&amp;0),"*"),"")),"")</f>
        <v/>
      </c>
      <c r="AM549" s="85" t="str" cm="1">
        <f t="array" ref="AM549">IFERROR(IF(M549&lt;&gt;"","",CONCATENATE("https://btx.brasiltrack.com/logistica/trajeto.php?idveiculo=",VLOOKUP(F549,DATAS!$A$221:$B$250,2,FALSE),"&amp;lat=-22.204247","&amp;data_ini=",TEXT(IF(E549&lt;&gt;"",IF(COUNTIF($F$2:$F549,F549)&gt;1,MAX(IF($F$1:$F548=F549,$E$1:$E548)),""),""),"DD/MM/AAAA"),"&amp;data_fim=",TEXT(E549,"DD/MM/AAAA"),"&amp;hora_inicial=",HOUR(IF(E549&lt;&gt;"",IF(COUNTIF($F$2:$F549,F549)&gt;1,MAX(IF($F$1:$F548=F549,$E$1:$E548)),""),"")),"&amp;minuto_inicial=",MINUTE(IF(E549&lt;&gt;"",IF(COUNTIF($F$2:$F549,F549)&gt;1,MAX(IF($F$1:$F548=F549,$E$1:$E548)),""),"")),"&amp;hora_final=",HOUR(E549),"&amp;minuto_final=",MINUTE(E549),"&amp;periodo=6&amp;tipo=por_data&amp;upos=false&amp;outequip=0")),"")</f>
        <v/>
      </c>
      <c r="AN549" s="100" t="str">
        <f t="shared" si="68"/>
        <v xml:space="preserve">ABASTECEU no CANDEIAS-MG PASSOU em SÃO PAULO-SP DESCARREGOU em SANTOS-SP CARREGOU em CUBATAO-SP PASSOU em ARUJÁ-SP ABASTECEU no 22 NORTE    </v>
      </c>
    </row>
    <row r="550" spans="1:40" x14ac:dyDescent="0.25">
      <c r="A550" s="101">
        <f>IFERROR(VLOOKUP(AN550,ROTAS!$A:$B,2,FALSE),0)</f>
        <v>79</v>
      </c>
      <c r="B550" s="101">
        <f t="shared" si="69"/>
        <v>5</v>
      </c>
      <c r="C550" s="101">
        <f t="shared" si="70"/>
        <v>807</v>
      </c>
      <c r="D550" s="144">
        <v>44927</v>
      </c>
      <c r="E550" s="76">
        <v>44956.729166666664</v>
      </c>
      <c r="F550" s="6" t="s">
        <v>124</v>
      </c>
      <c r="G550" s="5" t="str">
        <f>IFERROR(VLOOKUP(SUMIFS(MSOLICITADA!$I:$I,MSOLICITADA!$B:$B,D550,MSOLICITADA!$F:$F,F550),CODIGOSPLACAS!$A$64:$B$89,2,FALSE),"")</f>
        <v>ISRAEL</v>
      </c>
      <c r="H550" s="77">
        <v>146040</v>
      </c>
      <c r="I550" s="77">
        <v>146836</v>
      </c>
      <c r="J550" s="7">
        <v>467</v>
      </c>
      <c r="K550" s="78">
        <v>2844.03</v>
      </c>
      <c r="L550" s="79" t="s">
        <v>111</v>
      </c>
      <c r="M550" s="6">
        <v>419</v>
      </c>
      <c r="N550" s="5">
        <f t="shared" si="64"/>
        <v>377</v>
      </c>
      <c r="O550" s="80">
        <f t="shared" si="65"/>
        <v>6.0900000000000007</v>
      </c>
      <c r="P550" s="8">
        <f t="shared" si="66"/>
        <v>1.7044967880085653</v>
      </c>
      <c r="Q550" s="8">
        <f t="shared" si="71"/>
        <v>1.6528367477149088</v>
      </c>
      <c r="R550" s="81">
        <f t="shared" si="67"/>
        <v>0.52638190954773867</v>
      </c>
      <c r="S550" s="113" t="str">
        <f>IF(F550="","",IF(H550="",TEXT(_xlfn.MAXIFS($I$1:I550,$F$1:F550,F550,$H$1:H550,"&gt;"&amp;0),"000.000"),F550))</f>
        <v>GHH9B64</v>
      </c>
      <c r="T550" s="101">
        <f t="shared" si="72"/>
        <v>377</v>
      </c>
      <c r="U550" s="82" t="s">
        <v>220</v>
      </c>
      <c r="V550" s="98" t="s">
        <v>165</v>
      </c>
      <c r="W550" s="82" t="s">
        <v>222</v>
      </c>
      <c r="X550" s="98" t="s">
        <v>201</v>
      </c>
      <c r="Y550" s="82" t="s">
        <v>225</v>
      </c>
      <c r="Z550" s="98" t="s">
        <v>284</v>
      </c>
      <c r="AA550" s="82" t="s">
        <v>221</v>
      </c>
      <c r="AB550" s="98" t="s">
        <v>168</v>
      </c>
      <c r="AC550" s="82" t="s">
        <v>225</v>
      </c>
      <c r="AD550" s="98" t="s">
        <v>237</v>
      </c>
      <c r="AE550" s="82" t="s">
        <v>220</v>
      </c>
      <c r="AF550" s="98" t="s">
        <v>165</v>
      </c>
      <c r="AG550" s="82"/>
      <c r="AH550" s="98"/>
      <c r="AI550" s="82"/>
      <c r="AJ550" s="98"/>
      <c r="AK550" s="83"/>
      <c r="AL550" s="84" t="str">
        <f>IF(F550&lt;&gt;0,IF(_xlfn.MAXIFS($I$1:I550,$F$1:F550,F550,$H$1:H550,"&gt;"&amp;0)=0,"KM NÃO ENCONTRADO",IF(H550=0,CONCATENATE("SUGESTÃO DE KM PARA PLACA ",F550," *",_xlfn.MAXIFS($I$1:I550,$F$1:F550,F550,$H$1:H550,"&gt;"&amp;0),"*"),"")),"")</f>
        <v/>
      </c>
      <c r="AM550" s="85" t="str" cm="1">
        <f t="array" ref="AM550">IFERROR(IF(M550&lt;&gt;"","",CONCATENATE("https://btx.brasiltrack.com/logistica/trajeto.php?idveiculo=",VLOOKUP(F550,DATAS!$A$221:$B$250,2,FALSE),"&amp;lat=-22.204247","&amp;data_ini=",TEXT(IF(E550&lt;&gt;"",IF(COUNTIF($F$2:$F550,F550)&gt;1,MAX(IF($F$1:$F549=F550,$E$1:$E549)),""),""),"DD/MM/AAAA"),"&amp;data_fim=",TEXT(E550,"DD/MM/AAAA"),"&amp;hora_inicial=",HOUR(IF(E550&lt;&gt;"",IF(COUNTIF($F$2:$F550,F550)&gt;1,MAX(IF($F$1:$F549=F550,$E$1:$E549)),""),"")),"&amp;minuto_inicial=",MINUTE(IF(E550&lt;&gt;"",IF(COUNTIF($F$2:$F550,F550)&gt;1,MAX(IF($F$1:$F549=F550,$E$1:$E549)),""),"")),"&amp;hora_final=",HOUR(E550),"&amp;minuto_final=",MINUTE(E550),"&amp;periodo=6&amp;tipo=por_data&amp;upos=false&amp;outequip=0")),"")</f>
        <v/>
      </c>
      <c r="AN550" s="100" t="str">
        <f t="shared" si="68"/>
        <v xml:space="preserve">ABASTECEU no 22 NORTE DESCARREGOU em TRES CORACOES-MG PASSOU em SÃO PAULO-SP CARREGOU em CUBATAO-SP PASSOU em ARUJÁ-SP ABASTECEU no 22 NORTE    </v>
      </c>
    </row>
    <row r="551" spans="1:40" x14ac:dyDescent="0.25">
      <c r="A551" s="101">
        <f>IFERROR(VLOOKUP(AN551,ROTAS!$A:$B,2,FALSE),0)</f>
        <v>46</v>
      </c>
      <c r="B551" s="101">
        <f t="shared" si="69"/>
        <v>3</v>
      </c>
      <c r="C551" s="101">
        <f t="shared" si="70"/>
        <v>811.66666666666663</v>
      </c>
      <c r="D551" s="144">
        <v>44927</v>
      </c>
      <c r="E551" s="76">
        <v>44957.1875</v>
      </c>
      <c r="F551" s="6" t="s">
        <v>32</v>
      </c>
      <c r="G551" s="5" t="str">
        <f>IFERROR(VLOOKUP(SUMIFS(MSOLICITADA!$I:$I,MSOLICITADA!$B:$B,D551,MSOLICITADA!$F:$F,F551),CODIGOSPLACAS!$A$64:$B$89,2,FALSE),"")</f>
        <v>ADILSON</v>
      </c>
      <c r="H551" s="77">
        <v>210660</v>
      </c>
      <c r="I551" s="77">
        <v>211466</v>
      </c>
      <c r="J551" s="7">
        <v>448</v>
      </c>
      <c r="K551" s="78">
        <v>2728.32</v>
      </c>
      <c r="L551" s="79" t="s">
        <v>111</v>
      </c>
      <c r="M551" s="6">
        <v>378</v>
      </c>
      <c r="N551" s="5">
        <f t="shared" si="64"/>
        <v>428</v>
      </c>
      <c r="O551" s="80">
        <f t="shared" si="65"/>
        <v>6.0900000000000007</v>
      </c>
      <c r="P551" s="8">
        <f t="shared" si="66"/>
        <v>1.7991071428571428</v>
      </c>
      <c r="Q551" s="8">
        <f t="shared" si="71"/>
        <v>1.6695575721559062</v>
      </c>
      <c r="R551" s="81">
        <f t="shared" si="67"/>
        <v>0.46898263027295284</v>
      </c>
      <c r="S551" s="113" t="str">
        <f>IF(F551="","",IF(H551="",TEXT(_xlfn.MAXIFS($I$1:I551,$F$1:F551,F551,$H$1:H551,"&gt;"&amp;0),"000.000"),F551))</f>
        <v>GJU9A22</v>
      </c>
      <c r="T551" s="101">
        <f t="shared" si="72"/>
        <v>428</v>
      </c>
      <c r="U551" s="82" t="s">
        <v>220</v>
      </c>
      <c r="V551" s="98" t="s">
        <v>165</v>
      </c>
      <c r="W551" s="82" t="s">
        <v>222</v>
      </c>
      <c r="X551" s="98" t="s">
        <v>167</v>
      </c>
      <c r="Y551" s="82" t="s">
        <v>225</v>
      </c>
      <c r="Z551" s="98" t="s">
        <v>237</v>
      </c>
      <c r="AA551" s="82" t="s">
        <v>221</v>
      </c>
      <c r="AB551" s="98" t="s">
        <v>168</v>
      </c>
      <c r="AC551" s="82" t="s">
        <v>225</v>
      </c>
      <c r="AD551" s="98" t="s">
        <v>284</v>
      </c>
      <c r="AE551" s="82" t="s">
        <v>220</v>
      </c>
      <c r="AF551" s="98" t="s">
        <v>165</v>
      </c>
      <c r="AG551" s="82"/>
      <c r="AH551" s="98"/>
      <c r="AI551" s="82"/>
      <c r="AJ551" s="98"/>
      <c r="AK551" s="83"/>
      <c r="AL551" s="84" t="str">
        <f>IF(F551&lt;&gt;0,IF(_xlfn.MAXIFS($I$1:I551,$F$1:F551,F551,$H$1:H551,"&gt;"&amp;0)=0,"KM NÃO ENCONTRADO",IF(H551=0,CONCATENATE("SUGESTÃO DE KM PARA PLACA ",F551," *",_xlfn.MAXIFS($I$1:I551,$F$1:F551,F551,$H$1:H551,"&gt;"&amp;0),"*"),"")),"")</f>
        <v/>
      </c>
      <c r="AM551" s="85" t="str" cm="1">
        <f t="array" ref="AM551">IFERROR(IF(M551&lt;&gt;"","",CONCATENATE("https://btx.brasiltrack.com/logistica/trajeto.php?idveiculo=",VLOOKUP(F551,DATAS!$A$221:$B$250,2,FALSE),"&amp;lat=-22.204247","&amp;data_ini=",TEXT(IF(E551&lt;&gt;"",IF(COUNTIF($F$2:$F551,F551)&gt;1,MAX(IF($F$1:$F550=F551,$E$1:$E550)),""),""),"DD/MM/AAAA"),"&amp;data_fim=",TEXT(E551,"DD/MM/AAAA"),"&amp;hora_inicial=",HOUR(IF(E551&lt;&gt;"",IF(COUNTIF($F$2:$F551,F551)&gt;1,MAX(IF($F$1:$F550=F551,$E$1:$E550)),""),"")),"&amp;minuto_inicial=",MINUTE(IF(E551&lt;&gt;"",IF(COUNTIF($F$2:$F551,F551)&gt;1,MAX(IF($F$1:$F550=F551,$E$1:$E550)),""),"")),"&amp;hora_final=",HOUR(E551),"&amp;minuto_final=",MINUTE(E551),"&amp;periodo=6&amp;tipo=por_data&amp;upos=false&amp;outequip=0")),"")</f>
        <v/>
      </c>
      <c r="AN551" s="100" t="str">
        <f t="shared" si="68"/>
        <v xml:space="preserve">ABASTECEU no 22 NORTE DESCARREGOU em VARGINHA-MG PASSOU em ARUJÁ-SP CARREGOU em CUBATAO-SP PASSOU em SÃO PAULO-SP ABASTECEU no 22 NORTE    </v>
      </c>
    </row>
    <row r="552" spans="1:40" x14ac:dyDescent="0.25">
      <c r="A552" s="101">
        <f>IFERROR(VLOOKUP(AN552,ROTAS!$A:$B,2,FALSE),0)</f>
        <v>136</v>
      </c>
      <c r="B552" s="101">
        <f t="shared" si="69"/>
        <v>2</v>
      </c>
      <c r="C552" s="101">
        <f t="shared" si="70"/>
        <v>727.5</v>
      </c>
      <c r="D552" s="144">
        <v>44927</v>
      </c>
      <c r="E552" s="76">
        <v>44957.188194444447</v>
      </c>
      <c r="F552" s="6" t="s">
        <v>128</v>
      </c>
      <c r="G552" s="5" t="str">
        <f>IFERROR(VLOOKUP(SUMIFS(MSOLICITADA!$I:$I,MSOLICITADA!$B:$B,D552,MSOLICITADA!$F:$F,F552),CODIGOSPLACAS!$A$64:$B$89,2,FALSE),"")</f>
        <v>ELI RICARDO</v>
      </c>
      <c r="H552" s="77">
        <v>99741</v>
      </c>
      <c r="I552" s="77">
        <v>100481</v>
      </c>
      <c r="J552" s="7">
        <v>330</v>
      </c>
      <c r="K552" s="78">
        <v>2009.7</v>
      </c>
      <c r="L552" s="79" t="s">
        <v>111</v>
      </c>
      <c r="M552" s="6">
        <v>130</v>
      </c>
      <c r="N552" s="5">
        <f t="shared" si="64"/>
        <v>610</v>
      </c>
      <c r="O552" s="80">
        <f t="shared" si="65"/>
        <v>6.09</v>
      </c>
      <c r="P552" s="8">
        <f t="shared" si="66"/>
        <v>1.9565217391304348</v>
      </c>
      <c r="Q552" s="8">
        <f t="shared" si="71"/>
        <v>1.7619806950171255</v>
      </c>
      <c r="R552" s="81">
        <f t="shared" si="67"/>
        <v>0.17567567567567569</v>
      </c>
      <c r="S552" s="113" t="str">
        <f>IF(F552="","",IF(H552="",TEXT(_xlfn.MAXIFS($I$1:I552,$F$1:F552,F552,$H$1:H552,"&gt;"&amp;0),"000.000"),F552))</f>
        <v>GFR0D47</v>
      </c>
      <c r="T552" s="101">
        <f t="shared" si="72"/>
        <v>595</v>
      </c>
      <c r="U552" s="82" t="s">
        <v>220</v>
      </c>
      <c r="V552" s="98" t="s">
        <v>206</v>
      </c>
      <c r="W552" s="82" t="s">
        <v>225</v>
      </c>
      <c r="X552" s="98" t="s">
        <v>237</v>
      </c>
      <c r="Y552" s="82" t="s">
        <v>221</v>
      </c>
      <c r="Z552" s="98" t="s">
        <v>175</v>
      </c>
      <c r="AA552" s="82" t="s">
        <v>225</v>
      </c>
      <c r="AB552" s="98" t="s">
        <v>284</v>
      </c>
      <c r="AC552" s="82" t="s">
        <v>220</v>
      </c>
      <c r="AD552" s="98" t="s">
        <v>165</v>
      </c>
      <c r="AE552" s="82"/>
      <c r="AF552" s="98"/>
      <c r="AG552" s="82"/>
      <c r="AH552" s="98"/>
      <c r="AI552" s="82"/>
      <c r="AJ552" s="98"/>
      <c r="AK552" s="83">
        <v>155</v>
      </c>
      <c r="AL552" s="84" t="str">
        <f>IF(F552&lt;&gt;0,IF(_xlfn.MAXIFS($I$1:I552,$F$1:F552,F552,$H$1:H552,"&gt;"&amp;0)=0,"KM NÃO ENCONTRADO",IF(H552=0,CONCATENATE("SUGESTÃO DE KM PARA PLACA ",F552," *",_xlfn.MAXIFS($I$1:I552,$F$1:F552,F552,$H$1:H552,"&gt;"&amp;0),"*"),"")),"")</f>
        <v/>
      </c>
      <c r="AM552" s="85" t="str" cm="1">
        <f t="array" ref="AM552">IFERROR(IF(M552&lt;&gt;"","",CONCATENATE("https://btx.brasiltrack.com/logistica/trajeto.php?idveiculo=",VLOOKUP(F552,DATAS!$A$221:$B$250,2,FALSE),"&amp;lat=-22.204247","&amp;data_ini=",TEXT(IF(E552&lt;&gt;"",IF(COUNTIF($F$2:$F552,F552)&gt;1,MAX(IF($F$1:$F551=F552,$E$1:$E551)),""),""),"DD/MM/AAAA"),"&amp;data_fim=",TEXT(E552,"DD/MM/AAAA"),"&amp;hora_inicial=",HOUR(IF(E552&lt;&gt;"",IF(COUNTIF($F$2:$F552,F552)&gt;1,MAX(IF($F$1:$F551=F552,$E$1:$E551)),""),"")),"&amp;minuto_inicial=",MINUTE(IF(E552&lt;&gt;"",IF(COUNTIF($F$2:$F552,F552)&gt;1,MAX(IF($F$1:$F551=F552,$E$1:$E551)),""),"")),"&amp;hora_final=",HOUR(E552),"&amp;minuto_final=",MINUTE(E552),"&amp;periodo=6&amp;tipo=por_data&amp;upos=false&amp;outequip=0")),"")</f>
        <v/>
      </c>
      <c r="AN552" s="100" t="str">
        <f t="shared" si="68"/>
        <v xml:space="preserve">ABASTECEU no CANDEIAS-MG PASSOU em ARUJÁ-SP CARREGOU em SANTOS-SP PASSOU em SÃO PAULO-SP ABASTECEU no 22 NORTE      </v>
      </c>
    </row>
    <row r="553" spans="1:40" x14ac:dyDescent="0.25">
      <c r="A553" s="101">
        <f>IFERROR(VLOOKUP(AN553,ROTAS!$A:$B,2,FALSE),0)</f>
        <v>59</v>
      </c>
      <c r="B553" s="101">
        <f t="shared" si="69"/>
        <v>6</v>
      </c>
      <c r="C553" s="101">
        <f t="shared" si="70"/>
        <v>783.16666666666663</v>
      </c>
      <c r="D553" s="144">
        <v>44927</v>
      </c>
      <c r="E553" s="76">
        <v>44957.199305555558</v>
      </c>
      <c r="F553" s="6" t="s">
        <v>30</v>
      </c>
      <c r="G553" s="5" t="str">
        <f>IFERROR(VLOOKUP(SUMIFS(MSOLICITADA!$I:$I,MSOLICITADA!$B:$B,D553,MSOLICITADA!$F:$F,F553),CODIGOSPLACAS!$A$64:$B$89,2,FALSE),"")</f>
        <v>RONILSON</v>
      </c>
      <c r="H553" s="77">
        <v>227547</v>
      </c>
      <c r="I553" s="77">
        <v>228318</v>
      </c>
      <c r="J553" s="7">
        <v>475</v>
      </c>
      <c r="K553" s="78">
        <v>2892.75</v>
      </c>
      <c r="L553" s="79" t="s">
        <v>111</v>
      </c>
      <c r="M553" s="6">
        <v>338</v>
      </c>
      <c r="N553" s="5">
        <f t="shared" si="64"/>
        <v>433</v>
      </c>
      <c r="O553" s="80">
        <f t="shared" si="65"/>
        <v>6.09</v>
      </c>
      <c r="P553" s="8">
        <f t="shared" si="66"/>
        <v>1.6231578947368421</v>
      </c>
      <c r="Q553" s="8">
        <f t="shared" si="71"/>
        <v>1.6205104706314435</v>
      </c>
      <c r="R553" s="81">
        <f t="shared" si="67"/>
        <v>0.43839169909208819</v>
      </c>
      <c r="S553" s="113" t="str">
        <f>IF(F553="","",IF(H553="",TEXT(_xlfn.MAXIFS($I$1:I553,$F$1:F553,F553,$H$1:H553,"&gt;"&amp;0),"000.000"),F553))</f>
        <v>GFB0I37</v>
      </c>
      <c r="T553" s="101">
        <f t="shared" si="72"/>
        <v>432.66666666666669</v>
      </c>
      <c r="U553" s="82" t="s">
        <v>220</v>
      </c>
      <c r="V553" s="98" t="s">
        <v>165</v>
      </c>
      <c r="W553" s="82" t="s">
        <v>222</v>
      </c>
      <c r="X553" s="98" t="s">
        <v>201</v>
      </c>
      <c r="Y553" s="82" t="s">
        <v>225</v>
      </c>
      <c r="Z553" s="98" t="s">
        <v>237</v>
      </c>
      <c r="AA553" s="82" t="s">
        <v>221</v>
      </c>
      <c r="AB553" s="98" t="s">
        <v>168</v>
      </c>
      <c r="AC553" s="82" t="s">
        <v>225</v>
      </c>
      <c r="AD553" s="98" t="s">
        <v>284</v>
      </c>
      <c r="AE553" s="82" t="s">
        <v>220</v>
      </c>
      <c r="AF553" s="98" t="s">
        <v>165</v>
      </c>
      <c r="AG553" s="82"/>
      <c r="AH553" s="98"/>
      <c r="AI553" s="82"/>
      <c r="AJ553" s="98"/>
      <c r="AK553" s="83"/>
      <c r="AL553" s="84" t="str">
        <f>IF(F553&lt;&gt;0,IF(_xlfn.MAXIFS($I$1:I553,$F$1:F553,F553,$H$1:H553,"&gt;"&amp;0)=0,"KM NÃO ENCONTRADO",IF(H553=0,CONCATENATE("SUGESTÃO DE KM PARA PLACA ",F553," *",_xlfn.MAXIFS($I$1:I553,$F$1:F553,F553,$H$1:H553,"&gt;"&amp;0),"*"),"")),"")</f>
        <v/>
      </c>
      <c r="AM553" s="85" t="str" cm="1">
        <f t="array" ref="AM553">IFERROR(IF(M553&lt;&gt;"","",CONCATENATE("https://btx.brasiltrack.com/logistica/trajeto.php?idveiculo=",VLOOKUP(F553,DATAS!$A$221:$B$250,2,FALSE),"&amp;lat=-22.204247","&amp;data_ini=",TEXT(IF(E553&lt;&gt;"",IF(COUNTIF($F$2:$F553,F553)&gt;1,MAX(IF($F$1:$F552=F553,$E$1:$E552)),""),""),"DD/MM/AAAA"),"&amp;data_fim=",TEXT(E553,"DD/MM/AAAA"),"&amp;hora_inicial=",HOUR(IF(E553&lt;&gt;"",IF(COUNTIF($F$2:$F553,F553)&gt;1,MAX(IF($F$1:$F552=F553,$E$1:$E552)),""),"")),"&amp;minuto_inicial=",MINUTE(IF(E553&lt;&gt;"",IF(COUNTIF($F$2:$F553,F553)&gt;1,MAX(IF($F$1:$F552=F553,$E$1:$E552)),""),"")),"&amp;hora_final=",HOUR(E553),"&amp;minuto_final=",MINUTE(E553),"&amp;periodo=6&amp;tipo=por_data&amp;upos=false&amp;outequip=0")),"")</f>
        <v/>
      </c>
      <c r="AN553" s="100" t="str">
        <f t="shared" si="68"/>
        <v xml:space="preserve">ABASTECEU no 22 NORTE DESCARREGOU em TRES CORACOES-MG PASSOU em ARUJÁ-SP CARREGOU em CUBATAO-SP PASSOU em SÃO PAULO-SP ABASTECEU no 22 NORTE    </v>
      </c>
    </row>
    <row r="554" spans="1:40" x14ac:dyDescent="0.25">
      <c r="A554" s="101">
        <f>IFERROR(VLOOKUP(AN554,ROTAS!$A:$B,2,FALSE),0)</f>
        <v>162</v>
      </c>
      <c r="B554" s="101">
        <f t="shared" si="69"/>
        <v>1</v>
      </c>
      <c r="C554" s="101">
        <f t="shared" si="70"/>
        <v>351</v>
      </c>
      <c r="D554" s="144">
        <v>44927</v>
      </c>
      <c r="E554" s="76">
        <v>44957.263888888891</v>
      </c>
      <c r="F554" s="6" t="s">
        <v>26</v>
      </c>
      <c r="G554" s="5" t="str">
        <f>IFERROR(VLOOKUP(SUMIFS(MSOLICITADA!$I:$I,MSOLICITADA!$B:$B,D554,MSOLICITADA!$F:$F,F554),CODIGOSPLACAS!$A$64:$B$89,2,FALSE),"")</f>
        <v>DIEGO</v>
      </c>
      <c r="H554" s="77">
        <v>405402</v>
      </c>
      <c r="I554" s="77">
        <v>405753</v>
      </c>
      <c r="J554" s="7">
        <v>311.89999999999998</v>
      </c>
      <c r="K554" s="78">
        <v>1802.7819999999999</v>
      </c>
      <c r="L554" s="79" t="s">
        <v>112</v>
      </c>
      <c r="M554" s="6">
        <v>296</v>
      </c>
      <c r="N554" s="5">
        <f t="shared" si="64"/>
        <v>55</v>
      </c>
      <c r="O554" s="80">
        <f t="shared" si="65"/>
        <v>5.78</v>
      </c>
      <c r="P554" s="8">
        <f t="shared" si="66"/>
        <v>1.1253606925296571</v>
      </c>
      <c r="Q554" s="8">
        <f t="shared" si="71"/>
        <v>1.4763574081151452</v>
      </c>
      <c r="R554" s="81">
        <f t="shared" si="67"/>
        <v>0.84330484330484334</v>
      </c>
      <c r="S554" s="113" t="str">
        <f>IF(F554="","",IF(H554="",TEXT(_xlfn.MAXIFS($I$1:I554,$F$1:F554,F554,$H$1:H554,"&gt;"&amp;0),"000.000"),F554))</f>
        <v>BZA3587</v>
      </c>
      <c r="T554" s="101">
        <f t="shared" si="72"/>
        <v>55</v>
      </c>
      <c r="U554" s="82" t="s">
        <v>220</v>
      </c>
      <c r="V554" s="98" t="s">
        <v>206</v>
      </c>
      <c r="W554" s="82" t="s">
        <v>222</v>
      </c>
      <c r="X554" s="98" t="s">
        <v>171</v>
      </c>
      <c r="Y554" s="82" t="s">
        <v>221</v>
      </c>
      <c r="Z554" s="98" t="s">
        <v>234</v>
      </c>
      <c r="AA554" s="82" t="s">
        <v>220</v>
      </c>
      <c r="AB554" s="98" t="s">
        <v>206</v>
      </c>
      <c r="AC554" s="82"/>
      <c r="AD554" s="98"/>
      <c r="AE554" s="82"/>
      <c r="AF554" s="98"/>
      <c r="AG554" s="82"/>
      <c r="AH554" s="98"/>
      <c r="AI554" s="82"/>
      <c r="AJ554" s="98"/>
      <c r="AK554" s="83"/>
      <c r="AL554" s="84" t="str">
        <f>IF(F554&lt;&gt;0,IF(_xlfn.MAXIFS($I$1:I554,$F$1:F554,F554,$H$1:H554,"&gt;"&amp;0)=0,"KM NÃO ENCONTRADO",IF(H554=0,CONCATENATE("SUGESTÃO DE KM PARA PLACA ",F554," *",_xlfn.MAXIFS($I$1:I554,$F$1:F554,F554,$H$1:H554,"&gt;"&amp;0),"*"),"")),"")</f>
        <v/>
      </c>
      <c r="AM554" s="85" t="str" cm="1">
        <f t="array" ref="AM554">IFERROR(IF(M554&lt;&gt;"","",CONCATENATE("https://btx.brasiltrack.com/logistica/trajeto.php?idveiculo=",VLOOKUP(F554,DATAS!$A$221:$B$250,2,FALSE),"&amp;lat=-22.204247","&amp;data_ini=",TEXT(IF(E554&lt;&gt;"",IF(COUNTIF($F$2:$F554,F554)&gt;1,MAX(IF($F$1:$F553=F554,$E$1:$E553)),""),""),"DD/MM/AAAA"),"&amp;data_fim=",TEXT(E554,"DD/MM/AAAA"),"&amp;hora_inicial=",HOUR(IF(E554&lt;&gt;"",IF(COUNTIF($F$2:$F554,F554)&gt;1,MAX(IF($F$1:$F553=F554,$E$1:$E553)),""),"")),"&amp;minuto_inicial=",MINUTE(IF(E554&lt;&gt;"",IF(COUNTIF($F$2:$F554,F554)&gt;1,MAX(IF($F$1:$F553=F554,$E$1:$E553)),""),"")),"&amp;hora_final=",HOUR(E554),"&amp;minuto_final=",MINUTE(E554),"&amp;periodo=6&amp;tipo=por_data&amp;upos=false&amp;outequip=0")),"")</f>
        <v/>
      </c>
      <c r="AN554" s="100" t="str">
        <f t="shared" si="68"/>
        <v xml:space="preserve">ABASTECEU no CANDEIAS-MG DESCARREGOU em IGUATAMA-MG CARREGOU em LUZ-MG ABASTECEU no CANDEIAS-MG        </v>
      </c>
    </row>
    <row r="555" spans="1:40" x14ac:dyDescent="0.25">
      <c r="A555" s="101">
        <f>IFERROR(VLOOKUP(AN555,ROTAS!$A:$B,2,FALSE),0)</f>
        <v>157</v>
      </c>
      <c r="B555" s="101">
        <f t="shared" si="69"/>
        <v>1</v>
      </c>
      <c r="C555" s="101">
        <f t="shared" si="70"/>
        <v>739</v>
      </c>
      <c r="D555" s="144">
        <v>44927</v>
      </c>
      <c r="E555" s="76">
        <v>44957.333333333336</v>
      </c>
      <c r="F555" s="6" t="s">
        <v>28</v>
      </c>
      <c r="G555" s="5" t="s">
        <v>255</v>
      </c>
      <c r="H555" s="77">
        <v>251374</v>
      </c>
      <c r="I555" s="77">
        <v>252113</v>
      </c>
      <c r="J555" s="7">
        <v>568.1</v>
      </c>
      <c r="K555" s="78">
        <v>3283.62</v>
      </c>
      <c r="L555" s="79" t="s">
        <v>112</v>
      </c>
      <c r="M555" s="6">
        <v>689</v>
      </c>
      <c r="N555" s="5">
        <f t="shared" si="64"/>
        <v>50</v>
      </c>
      <c r="O555" s="80">
        <f t="shared" si="65"/>
        <v>5.7800035205069529</v>
      </c>
      <c r="P555" s="8">
        <f t="shared" si="66"/>
        <v>1.3008273191339552</v>
      </c>
      <c r="Q555" s="8">
        <f t="shared" si="71"/>
        <v>1.519654959485309</v>
      </c>
      <c r="R555" s="81">
        <f t="shared" si="67"/>
        <v>0.93234100135317999</v>
      </c>
      <c r="S555" s="113" t="str">
        <f>IF(F555="","",IF(H555="",TEXT(_xlfn.MAXIFS($I$1:I555,$F$1:F555,F555,$H$1:H555,"&gt;"&amp;0),"000.000"),F555))</f>
        <v>FZA3E94</v>
      </c>
      <c r="T555" s="101">
        <f t="shared" si="72"/>
        <v>50</v>
      </c>
      <c r="U555" s="82" t="s">
        <v>220</v>
      </c>
      <c r="V555" s="98" t="s">
        <v>165</v>
      </c>
      <c r="W555" s="82" t="s">
        <v>222</v>
      </c>
      <c r="X555" s="98" t="s">
        <v>171</v>
      </c>
      <c r="Y555" s="82" t="s">
        <v>221</v>
      </c>
      <c r="Z555" s="98" t="s">
        <v>234</v>
      </c>
      <c r="AA555" s="82" t="s">
        <v>220</v>
      </c>
      <c r="AB555" s="98" t="s">
        <v>206</v>
      </c>
      <c r="AC555" s="82"/>
      <c r="AD555" s="98"/>
      <c r="AE555" s="82"/>
      <c r="AF555" s="98"/>
      <c r="AG555" s="82"/>
      <c r="AH555" s="98"/>
      <c r="AI555" s="82"/>
      <c r="AJ555" s="98"/>
      <c r="AK555" s="83"/>
      <c r="AL555" s="84" t="str">
        <f>IF(F555&lt;&gt;0,IF(_xlfn.MAXIFS($I$1:I555,$F$1:F555,F555,$H$1:H555,"&gt;"&amp;0)=0,"KM NÃO ENCONTRADO",IF(H555=0,CONCATENATE("SUGESTÃO DE KM PARA PLACA ",F555," *",_xlfn.MAXIFS($I$1:I555,$F$1:F555,F555,$H$1:H555,"&gt;"&amp;0),"*"),"")),"")</f>
        <v/>
      </c>
      <c r="AM555" s="85" t="str" cm="1">
        <f t="array" ref="AM555">IFERROR(IF(M555&lt;&gt;"","",CONCATENATE("https://btx.brasiltrack.com/logistica/trajeto.php?idveiculo=",VLOOKUP(F555,DATAS!$A$221:$B$250,2,FALSE),"&amp;lat=-22.204247","&amp;data_ini=",TEXT(IF(E555&lt;&gt;"",IF(COUNTIF($F$2:$F555,F555)&gt;1,MAX(IF($F$1:$F554=F555,$E$1:$E554)),""),""),"DD/MM/AAAA"),"&amp;data_fim=",TEXT(E555,"DD/MM/AAAA"),"&amp;hora_inicial=",HOUR(IF(E555&lt;&gt;"",IF(COUNTIF($F$2:$F555,F555)&gt;1,MAX(IF($F$1:$F554=F555,$E$1:$E554)),""),"")),"&amp;minuto_inicial=",MINUTE(IF(E555&lt;&gt;"",IF(COUNTIF($F$2:$F555,F555)&gt;1,MAX(IF($F$1:$F554=F555,$E$1:$E554)),""),"")),"&amp;hora_final=",HOUR(E555),"&amp;minuto_final=",MINUTE(E555),"&amp;periodo=6&amp;tipo=por_data&amp;upos=false&amp;outequip=0")),"")</f>
        <v/>
      </c>
      <c r="AN555" s="100" t="str">
        <f t="shared" si="68"/>
        <v xml:space="preserve">ABASTECEU no 22 NORTE DESCARREGOU em IGUATAMA-MG CARREGOU em LUZ-MG ABASTECEU no CANDEIAS-MG        </v>
      </c>
    </row>
    <row r="556" spans="1:40" x14ac:dyDescent="0.25">
      <c r="A556" s="101">
        <f>IFERROR(VLOOKUP(AN556,ROTAS!$A:$B,2,FALSE),0)</f>
        <v>35</v>
      </c>
      <c r="B556" s="101">
        <f t="shared" si="69"/>
        <v>8</v>
      </c>
      <c r="C556" s="101">
        <f t="shared" si="70"/>
        <v>825.75</v>
      </c>
      <c r="D556" s="144">
        <v>44927</v>
      </c>
      <c r="E556" s="76">
        <v>44957.509027777778</v>
      </c>
      <c r="F556" s="6" t="s">
        <v>131</v>
      </c>
      <c r="G556" s="5" t="str">
        <f>IFERROR(VLOOKUP(SUMIFS(MSOLICITADA!$I:$I,MSOLICITADA!$B:$B,D556,MSOLICITADA!$F:$F,F556),CODIGOSPLACAS!$A$64:$B$89,2,FALSE),"")</f>
        <v>ALTIELIS</v>
      </c>
      <c r="H556" s="77">
        <v>56030</v>
      </c>
      <c r="I556" s="77">
        <v>56841</v>
      </c>
      <c r="J556" s="7">
        <v>454.91</v>
      </c>
      <c r="K556" s="78">
        <v>2770.4</v>
      </c>
      <c r="L556" s="79" t="s">
        <v>111</v>
      </c>
      <c r="M556" s="6">
        <v>386</v>
      </c>
      <c r="N556" s="5">
        <f t="shared" si="64"/>
        <v>425</v>
      </c>
      <c r="O556" s="80">
        <f t="shared" si="65"/>
        <v>6.0899958233496738</v>
      </c>
      <c r="P556" s="8">
        <f t="shared" si="66"/>
        <v>1.7827702182849354</v>
      </c>
      <c r="Q556" s="8">
        <f t="shared" si="71"/>
        <v>1.6793774979959049</v>
      </c>
      <c r="R556" s="81">
        <f t="shared" si="67"/>
        <v>0.47595561035758321</v>
      </c>
      <c r="S556" s="113" t="str">
        <f>IF(F556="","",IF(H556="",TEXT(_xlfn.MAXIFS($I$1:I556,$F$1:F556,F556,$H$1:H556,"&gt;"&amp;0),"000.000"),F556))</f>
        <v>GGN4J86</v>
      </c>
      <c r="T556" s="101">
        <f t="shared" si="72"/>
        <v>425</v>
      </c>
      <c r="U556" s="82" t="s">
        <v>220</v>
      </c>
      <c r="V556" s="98" t="s">
        <v>165</v>
      </c>
      <c r="W556" s="82" t="s">
        <v>222</v>
      </c>
      <c r="X556" s="98" t="s">
        <v>201</v>
      </c>
      <c r="Y556" s="82" t="s">
        <v>225</v>
      </c>
      <c r="Z556" s="98" t="s">
        <v>237</v>
      </c>
      <c r="AA556" s="82" t="s">
        <v>221</v>
      </c>
      <c r="AB556" s="98" t="s">
        <v>175</v>
      </c>
      <c r="AC556" s="82" t="s">
        <v>225</v>
      </c>
      <c r="AD556" s="98" t="s">
        <v>284</v>
      </c>
      <c r="AE556" s="82" t="s">
        <v>220</v>
      </c>
      <c r="AF556" s="98" t="s">
        <v>165</v>
      </c>
      <c r="AG556" s="82"/>
      <c r="AH556" s="98"/>
      <c r="AI556" s="82"/>
      <c r="AJ556" s="98"/>
      <c r="AK556" s="83"/>
      <c r="AL556" s="84" t="str">
        <f>IF(F556&lt;&gt;0,IF(_xlfn.MAXIFS($I$1:I556,$F$1:F556,F556,$H$1:H556,"&gt;"&amp;0)=0,"KM NÃO ENCONTRADO",IF(H556=0,CONCATENATE("SUGESTÃO DE KM PARA PLACA ",F556," *",_xlfn.MAXIFS($I$1:I556,$F$1:F556,F556,$H$1:H556,"&gt;"&amp;0),"*"),"")),"")</f>
        <v/>
      </c>
      <c r="AM556" s="85" t="str" cm="1">
        <f t="array" ref="AM556">IFERROR(IF(M556&lt;&gt;"","",CONCATENATE("https://btx.brasiltrack.com/logistica/trajeto.php?idveiculo=",VLOOKUP(F556,DATAS!$A$221:$B$250,2,FALSE),"&amp;lat=-22.204247","&amp;data_ini=",TEXT(IF(E556&lt;&gt;"",IF(COUNTIF($F$2:$F556,F556)&gt;1,MAX(IF($F$1:$F555=F556,$E$1:$E555)),""),""),"DD/MM/AAAA"),"&amp;data_fim=",TEXT(E556,"DD/MM/AAAA"),"&amp;hora_inicial=",HOUR(IF(E556&lt;&gt;"",IF(COUNTIF($F$2:$F556,F556)&gt;1,MAX(IF($F$1:$F555=F556,$E$1:$E555)),""),"")),"&amp;minuto_inicial=",MINUTE(IF(E556&lt;&gt;"",IF(COUNTIF($F$2:$F556,F556)&gt;1,MAX(IF($F$1:$F555=F556,$E$1:$E555)),""),"")),"&amp;hora_final=",HOUR(E556),"&amp;minuto_final=",MINUTE(E556),"&amp;periodo=6&amp;tipo=por_data&amp;upos=false&amp;outequip=0")),"")</f>
        <v/>
      </c>
      <c r="AN556" s="100" t="str">
        <f t="shared" si="68"/>
        <v xml:space="preserve">ABASTECEU no 22 NORTE DESCARREGOU em TRES CORACOES-MG PASSOU em ARUJÁ-SP CARREGOU em SANTOS-SP PASSOU em SÃO PAULO-SP ABASTECEU no 22 NORTE    </v>
      </c>
    </row>
    <row r="557" spans="1:40" x14ac:dyDescent="0.25">
      <c r="A557" s="101">
        <f>IFERROR(VLOOKUP(AN557,ROTAS!$A:$B,2,FALSE),0)</f>
        <v>35</v>
      </c>
      <c r="B557" s="101">
        <f t="shared" si="69"/>
        <v>8</v>
      </c>
      <c r="C557" s="101">
        <f t="shared" si="70"/>
        <v>825.75</v>
      </c>
      <c r="D557" s="144">
        <v>44927</v>
      </c>
      <c r="E557" s="76">
        <v>44957.519444444442</v>
      </c>
      <c r="F557" s="6" t="s">
        <v>33</v>
      </c>
      <c r="G557" s="5" t="str">
        <f>IFERROR(VLOOKUP(SUMIFS(MSOLICITADA!$I:$I,MSOLICITADA!$B:$B,D557,MSOLICITADA!$F:$F,F557),CODIGOSPLACAS!$A$64:$B$89,2,FALSE),"")</f>
        <v>JULIO</v>
      </c>
      <c r="H557" s="77">
        <v>171832</v>
      </c>
      <c r="I557" s="77">
        <v>172668</v>
      </c>
      <c r="J557" s="7">
        <v>467.89</v>
      </c>
      <c r="K557" s="78">
        <v>2851.35</v>
      </c>
      <c r="L557" s="79" t="s">
        <v>111</v>
      </c>
      <c r="M557" s="6">
        <v>411</v>
      </c>
      <c r="N557" s="5">
        <f t="shared" si="64"/>
        <v>425</v>
      </c>
      <c r="O557" s="80">
        <f t="shared" si="65"/>
        <v>6.0940605697920454</v>
      </c>
      <c r="P557" s="8">
        <f t="shared" si="66"/>
        <v>1.7867447476971083</v>
      </c>
      <c r="Q557" s="8">
        <f t="shared" si="71"/>
        <v>1.7400327790407339</v>
      </c>
      <c r="R557" s="81">
        <f t="shared" si="67"/>
        <v>0.49162679425837319</v>
      </c>
      <c r="S557" s="113" t="str">
        <f>IF(F557="","",IF(H557="",TEXT(_xlfn.MAXIFS($I$1:I557,$F$1:F557,F557,$H$1:H557,"&gt;"&amp;0),"000.000"),F557))</f>
        <v>GGF7G26</v>
      </c>
      <c r="T557" s="101">
        <f t="shared" si="72"/>
        <v>425</v>
      </c>
      <c r="U557" s="82" t="s">
        <v>220</v>
      </c>
      <c r="V557" s="98" t="s">
        <v>165</v>
      </c>
      <c r="W557" s="82" t="s">
        <v>222</v>
      </c>
      <c r="X557" s="98" t="s">
        <v>201</v>
      </c>
      <c r="Y557" s="82" t="s">
        <v>225</v>
      </c>
      <c r="Z557" s="98" t="s">
        <v>237</v>
      </c>
      <c r="AA557" s="82" t="s">
        <v>221</v>
      </c>
      <c r="AB557" s="98" t="s">
        <v>175</v>
      </c>
      <c r="AC557" s="82" t="s">
        <v>225</v>
      </c>
      <c r="AD557" s="98" t="s">
        <v>284</v>
      </c>
      <c r="AE557" s="82" t="s">
        <v>220</v>
      </c>
      <c r="AF557" s="98" t="s">
        <v>165</v>
      </c>
      <c r="AG557" s="82"/>
      <c r="AH557" s="98"/>
      <c r="AI557" s="82"/>
      <c r="AJ557" s="98"/>
      <c r="AK557" s="83"/>
      <c r="AL557" s="84" t="str">
        <f>IF(F557&lt;&gt;0,IF(_xlfn.MAXIFS($I$1:I557,$F$1:F557,F557,$H$1:H557,"&gt;"&amp;0)=0,"KM NÃO ENCONTRADO",IF(H557=0,CONCATENATE("SUGESTÃO DE KM PARA PLACA ",F557," *",_xlfn.MAXIFS($I$1:I557,$F$1:F557,F557,$H$1:H557,"&gt;"&amp;0),"*"),"")),"")</f>
        <v/>
      </c>
      <c r="AM557" s="85" t="str" cm="1">
        <f t="array" ref="AM557">IFERROR(IF(M557&lt;&gt;"","",CONCATENATE("https://btx.brasiltrack.com/logistica/trajeto.php?idveiculo=",VLOOKUP(F557,DATAS!$A$221:$B$250,2,FALSE),"&amp;lat=-22.204247","&amp;data_ini=",TEXT(IF(E557&lt;&gt;"",IF(COUNTIF($F$2:$F557,F557)&gt;1,MAX(IF($F$1:$F556=F557,$E$1:$E556)),""),""),"DD/MM/AAAA"),"&amp;data_fim=",TEXT(E557,"DD/MM/AAAA"),"&amp;hora_inicial=",HOUR(IF(E557&lt;&gt;"",IF(COUNTIF($F$2:$F557,F557)&gt;1,MAX(IF($F$1:$F556=F557,$E$1:$E556)),""),"")),"&amp;minuto_inicial=",MINUTE(IF(E557&lt;&gt;"",IF(COUNTIF($F$2:$F557,F557)&gt;1,MAX(IF($F$1:$F556=F557,$E$1:$E556)),""),"")),"&amp;hora_final=",HOUR(E557),"&amp;minuto_final=",MINUTE(E557),"&amp;periodo=6&amp;tipo=por_data&amp;upos=false&amp;outequip=0")),"")</f>
        <v/>
      </c>
      <c r="AN557" s="100" t="str">
        <f t="shared" si="68"/>
        <v xml:space="preserve">ABASTECEU no 22 NORTE DESCARREGOU em TRES CORACOES-MG PASSOU em ARUJÁ-SP CARREGOU em SANTOS-SP PASSOU em SÃO PAULO-SP ABASTECEU no 22 NORTE    </v>
      </c>
    </row>
    <row r="558" spans="1:40" x14ac:dyDescent="0.25">
      <c r="A558" s="101">
        <f>IFERROR(VLOOKUP(AN558,ROTAS!$A:$B,2,FALSE),0)</f>
        <v>163</v>
      </c>
      <c r="B558" s="101">
        <f t="shared" si="69"/>
        <v>1</v>
      </c>
      <c r="C558" s="101">
        <f t="shared" si="70"/>
        <v>495</v>
      </c>
      <c r="D558" s="144">
        <v>44927</v>
      </c>
      <c r="E558" s="76">
        <v>44957.729166666664</v>
      </c>
      <c r="F558" s="6" t="s">
        <v>22</v>
      </c>
      <c r="G558" s="5" t="str">
        <f>IFERROR(VLOOKUP(SUMIFS(MSOLICITADA!$I:$I,MSOLICITADA!$B:$B,D558,MSOLICITADA!$F:$F,F558),CODIGOSPLACAS!$A$64:$B$89,2,FALSE),"")</f>
        <v>GUILHERME</v>
      </c>
      <c r="H558" s="77">
        <v>1209380</v>
      </c>
      <c r="I558" s="77">
        <v>1209875</v>
      </c>
      <c r="J558" s="7">
        <v>278.39999999999998</v>
      </c>
      <c r="K558" s="78">
        <v>1609.152</v>
      </c>
      <c r="L558" s="79" t="s">
        <v>112</v>
      </c>
      <c r="M558" s="6">
        <v>325</v>
      </c>
      <c r="N558" s="5">
        <f t="shared" si="64"/>
        <v>170</v>
      </c>
      <c r="O558" s="80">
        <f t="shared" si="65"/>
        <v>5.78</v>
      </c>
      <c r="P558" s="8">
        <f t="shared" si="66"/>
        <v>1.7780172413793105</v>
      </c>
      <c r="Q558" s="8">
        <f t="shared" si="71"/>
        <v>1.8671963699182104</v>
      </c>
      <c r="R558" s="81">
        <f t="shared" si="67"/>
        <v>0.65656565656565657</v>
      </c>
      <c r="S558" s="113" t="str">
        <f>IF(F558="","",IF(H558="",TEXT(_xlfn.MAXIFS($I$1:I558,$F$1:F558,F558,$H$1:H558,"&gt;"&amp;0),"000.000"),F558))</f>
        <v>OQC0C33</v>
      </c>
      <c r="T558" s="101">
        <f t="shared" si="72"/>
        <v>170</v>
      </c>
      <c r="U558" s="82" t="s">
        <v>220</v>
      </c>
      <c r="V558" s="98" t="s">
        <v>165</v>
      </c>
      <c r="W558" s="82" t="s">
        <v>222</v>
      </c>
      <c r="X558" s="98" t="s">
        <v>201</v>
      </c>
      <c r="Y558" s="82" t="s">
        <v>221</v>
      </c>
      <c r="Z558" s="98" t="s">
        <v>169</v>
      </c>
      <c r="AA558" s="82" t="s">
        <v>220</v>
      </c>
      <c r="AB558" s="98" t="s">
        <v>206</v>
      </c>
      <c r="AC558" s="82"/>
      <c r="AD558" s="98"/>
      <c r="AE558" s="82"/>
      <c r="AF558" s="98"/>
      <c r="AG558" s="82"/>
      <c r="AH558" s="98"/>
      <c r="AI558" s="82"/>
      <c r="AJ558" s="98"/>
      <c r="AK558" s="83"/>
      <c r="AL558" s="84" t="str">
        <f>IF(F558&lt;&gt;0,IF(_xlfn.MAXIFS($I$1:I558,$F$1:F558,F558,$H$1:H558,"&gt;"&amp;0)=0,"KM NÃO ENCONTRADO",IF(H558=0,CONCATENATE("SUGESTÃO DE KM PARA PLACA ",F558," *",_xlfn.MAXIFS($I$1:I558,$F$1:F558,F558,$H$1:H558,"&gt;"&amp;0),"*"),"")),"")</f>
        <v/>
      </c>
      <c r="AM558" s="85" t="str" cm="1">
        <f t="array" ref="AM558">IFERROR(IF(M558&lt;&gt;"","",CONCATENATE("https://btx.brasiltrack.com/logistica/trajeto.php?idveiculo=",VLOOKUP(F558,DATAS!$A$221:$B$250,2,FALSE),"&amp;lat=-22.204247","&amp;data_ini=",TEXT(IF(E558&lt;&gt;"",IF(COUNTIF($F$2:$F558,F558)&gt;1,MAX(IF($F$1:$F557=F558,$E$1:$E557)),""),""),"DD/MM/AAAA"),"&amp;data_fim=",TEXT(E558,"DD/MM/AAAA"),"&amp;hora_inicial=",HOUR(IF(E558&lt;&gt;"",IF(COUNTIF($F$2:$F558,F558)&gt;1,MAX(IF($F$1:$F557=F558,$E$1:$E557)),""),"")),"&amp;minuto_inicial=",MINUTE(IF(E558&lt;&gt;"",IF(COUNTIF($F$2:$F558,F558)&gt;1,MAX(IF($F$1:$F557=F558,$E$1:$E557)),""),"")),"&amp;hora_final=",HOUR(E558),"&amp;minuto_final=",MINUTE(E558),"&amp;periodo=6&amp;tipo=por_data&amp;upos=false&amp;outequip=0")),"")</f>
        <v/>
      </c>
      <c r="AN558" s="100" t="str">
        <f t="shared" si="68"/>
        <v xml:space="preserve">ABASTECEU no 22 NORTE DESCARREGOU em TRES CORACOES-MG CARREGOU em FORMIGA-MG ABASTECEU no CANDEIAS-MG        </v>
      </c>
    </row>
    <row r="559" spans="1:40" x14ac:dyDescent="0.25">
      <c r="A559" s="101">
        <f>IFERROR(VLOOKUP(AN559,ROTAS!$A:$B,2,FALSE),0)</f>
        <v>164</v>
      </c>
      <c r="B559" s="101">
        <f t="shared" si="69"/>
        <v>1</v>
      </c>
      <c r="C559" s="101">
        <f t="shared" si="70"/>
        <v>527</v>
      </c>
      <c r="D559" s="144">
        <v>44927</v>
      </c>
      <c r="E559" s="76">
        <v>44957.784722222219</v>
      </c>
      <c r="F559" s="6" t="s">
        <v>23</v>
      </c>
      <c r="G559" s="5" t="str">
        <f>IFERROR(VLOOKUP(SUMIFS(MSOLICITADA!$I:$I,MSOLICITADA!$B:$B,D559,MSOLICITADA!$F:$F,F559),CODIGOSPLACAS!$A$64:$B$89,2,FALSE),"")</f>
        <v>ISAC</v>
      </c>
      <c r="H559" s="77">
        <v>1213987</v>
      </c>
      <c r="I559" s="77">
        <v>1214514</v>
      </c>
      <c r="J559" s="7">
        <v>400</v>
      </c>
      <c r="K559" s="78">
        <v>2476</v>
      </c>
      <c r="L559" s="79" t="s">
        <v>111</v>
      </c>
      <c r="M559" s="6">
        <v>487</v>
      </c>
      <c r="N559" s="5">
        <f t="shared" si="64"/>
        <v>40</v>
      </c>
      <c r="O559" s="80">
        <f t="shared" si="65"/>
        <v>6.19</v>
      </c>
      <c r="P559" s="8">
        <f t="shared" si="66"/>
        <v>1.3174999999999999</v>
      </c>
      <c r="Q559" s="8">
        <f t="shared" si="71"/>
        <v>1.4592701282718794</v>
      </c>
      <c r="R559" s="81">
        <f t="shared" si="67"/>
        <v>0.92409867172675519</v>
      </c>
      <c r="S559" s="113" t="str">
        <f>IF(F559="","",IF(H559="",TEXT(_xlfn.MAXIFS($I$1:I559,$F$1:F559,F559,$H$1:H559,"&gt;"&amp;0),"000.000"),F559))</f>
        <v>HNC7I76</v>
      </c>
      <c r="T559" s="101">
        <f t="shared" si="72"/>
        <v>40</v>
      </c>
      <c r="U559" s="82" t="s">
        <v>220</v>
      </c>
      <c r="V559" s="98" t="s">
        <v>165</v>
      </c>
      <c r="W559" s="82" t="s">
        <v>222</v>
      </c>
      <c r="X559" s="98" t="s">
        <v>171</v>
      </c>
      <c r="Y559" s="82" t="s">
        <v>220</v>
      </c>
      <c r="Z559" s="98" t="s">
        <v>2404</v>
      </c>
      <c r="AA559" s="82"/>
      <c r="AB559" s="98"/>
      <c r="AC559" s="82"/>
      <c r="AD559" s="98"/>
      <c r="AE559" s="82"/>
      <c r="AF559" s="98"/>
      <c r="AG559" s="82"/>
      <c r="AH559" s="98"/>
      <c r="AI559" s="82"/>
      <c r="AJ559" s="98"/>
      <c r="AK559" s="83"/>
      <c r="AL559" s="84" t="str">
        <f>IF(F559&lt;&gt;0,IF(_xlfn.MAXIFS($I$1:I559,$F$1:F559,F559,$H$1:H559,"&gt;"&amp;0)=0,"KM NÃO ENCONTRADO",IF(H559=0,CONCATENATE("SUGESTÃO DE KM PARA PLACA ",F559," *",_xlfn.MAXIFS($I$1:I559,$F$1:F559,F559,$H$1:H559,"&gt;"&amp;0),"*"),"")),"")</f>
        <v/>
      </c>
      <c r="AM559" s="85" t="str" cm="1">
        <f t="array" ref="AM559">IFERROR(IF(M559&lt;&gt;"","",CONCATENATE("https://btx.brasiltrack.com/logistica/trajeto.php?idveiculo=",VLOOKUP(F559,DATAS!$A$221:$B$250,2,FALSE),"&amp;lat=-22.204247","&amp;data_ini=",TEXT(IF(E559&lt;&gt;"",IF(COUNTIF($F$2:$F559,F559)&gt;1,MAX(IF($F$1:$F558=F559,$E$1:$E558)),""),""),"DD/MM/AAAA"),"&amp;data_fim=",TEXT(E559,"DD/MM/AAAA"),"&amp;hora_inicial=",HOUR(IF(E559&lt;&gt;"",IF(COUNTIF($F$2:$F559,F559)&gt;1,MAX(IF($F$1:$F558=F559,$E$1:$E558)),""),"")),"&amp;minuto_inicial=",MINUTE(IF(E559&lt;&gt;"",IF(COUNTIF($F$2:$F559,F559)&gt;1,MAX(IF($F$1:$F558=F559,$E$1:$E558)),""),"")),"&amp;hora_final=",HOUR(E559),"&amp;minuto_final=",MINUTE(E559),"&amp;periodo=6&amp;tipo=por_data&amp;upos=false&amp;outequip=0")),"")</f>
        <v/>
      </c>
      <c r="AN559" s="100" t="str">
        <f t="shared" si="68"/>
        <v xml:space="preserve">ABASTECEU no 22 NORTE DESCARREGOU em IGUATAMA-MG ABASTECEU no PMG ARCOS          </v>
      </c>
    </row>
    <row r="560" spans="1:40" x14ac:dyDescent="0.25">
      <c r="A560" s="101">
        <f>IFERROR(VLOOKUP(AN560,ROTAS!$A:$B,2,FALSE),0)</f>
        <v>121</v>
      </c>
      <c r="B560" s="101">
        <f t="shared" si="69"/>
        <v>6</v>
      </c>
      <c r="C560" s="101">
        <f t="shared" si="70"/>
        <v>679.83333333333337</v>
      </c>
      <c r="D560" s="144">
        <v>44927</v>
      </c>
      <c r="E560" s="76">
        <v>44957.892361111109</v>
      </c>
      <c r="F560" s="6" t="s">
        <v>29</v>
      </c>
      <c r="G560" s="5" t="str">
        <f>IFERROR(VLOOKUP(SUMIFS(MSOLICITADA!$I:$I,MSOLICITADA!$B:$B,D560,MSOLICITADA!$F:$F,F560),CODIGOSPLACAS!$A$64:$B$89,2,FALSE),"")</f>
        <v>EDNILSON</v>
      </c>
      <c r="H560" s="77">
        <v>247508</v>
      </c>
      <c r="I560" s="77">
        <v>248182</v>
      </c>
      <c r="J560" s="7">
        <v>399.09</v>
      </c>
      <c r="K560" s="78">
        <v>2430.46</v>
      </c>
      <c r="L560" s="79" t="s">
        <v>111</v>
      </c>
      <c r="M560" s="6">
        <v>337</v>
      </c>
      <c r="N560" s="5">
        <f t="shared" si="64"/>
        <v>337</v>
      </c>
      <c r="O560" s="80">
        <f t="shared" si="65"/>
        <v>6.0900047608308912</v>
      </c>
      <c r="P560" s="8">
        <f t="shared" si="66"/>
        <v>1.6888421158134757</v>
      </c>
      <c r="Q560" s="8">
        <f t="shared" si="71"/>
        <v>1.5966128652005338</v>
      </c>
      <c r="R560" s="81">
        <f t="shared" si="67"/>
        <v>0.5</v>
      </c>
      <c r="S560" s="113" t="str">
        <f>IF(F560="","",IF(H560="",TEXT(_xlfn.MAXIFS($I$1:I560,$F$1:F560,F560,$H$1:H560,"&gt;"&amp;0),"000.000"),F560))</f>
        <v>GKA2J56</v>
      </c>
      <c r="T560" s="101">
        <f t="shared" si="72"/>
        <v>339.83333333333331</v>
      </c>
      <c r="U560" s="82" t="s">
        <v>220</v>
      </c>
      <c r="V560" s="98" t="s">
        <v>165</v>
      </c>
      <c r="W560" s="82" t="s">
        <v>222</v>
      </c>
      <c r="X560" s="98" t="s">
        <v>200</v>
      </c>
      <c r="Y560" s="82" t="s">
        <v>225</v>
      </c>
      <c r="Z560" s="98" t="s">
        <v>237</v>
      </c>
      <c r="AA560" s="82" t="s">
        <v>221</v>
      </c>
      <c r="AB560" s="98" t="s">
        <v>168</v>
      </c>
      <c r="AC560" s="82" t="s">
        <v>225</v>
      </c>
      <c r="AD560" s="98" t="s">
        <v>237</v>
      </c>
      <c r="AE560" s="82" t="s">
        <v>220</v>
      </c>
      <c r="AF560" s="98" t="s">
        <v>165</v>
      </c>
      <c r="AG560" s="82"/>
      <c r="AH560" s="98"/>
      <c r="AI560" s="82"/>
      <c r="AJ560" s="98"/>
      <c r="AK560" s="83"/>
      <c r="AL560" s="84" t="str">
        <f>IF(F560&lt;&gt;0,IF(_xlfn.MAXIFS($I$1:I560,$F$1:F560,F560,$H$1:H560,"&gt;"&amp;0)=0,"KM NÃO ENCONTRADO",IF(H560=0,CONCATENATE("SUGESTÃO DE KM PARA PLACA ",F560," *",_xlfn.MAXIFS($I$1:I560,$F$1:F560,F560,$H$1:H560,"&gt;"&amp;0),"*"),"")),"")</f>
        <v/>
      </c>
      <c r="AM560" s="85" t="str" cm="1">
        <f t="array" ref="AM560">IFERROR(IF(M560&lt;&gt;"","",CONCATENATE("https://btx.brasiltrack.com/logistica/trajeto.php?idveiculo=",VLOOKUP(F560,DATAS!$A$221:$B$250,2,FALSE),"&amp;lat=-22.204247","&amp;data_ini=",TEXT(IF(E560&lt;&gt;"",IF(COUNTIF($F$2:$F560,F560)&gt;1,MAX(IF($F$1:$F559=F560,$E$1:$E559)),""),""),"DD/MM/AAAA"),"&amp;data_fim=",TEXT(E560,"DD/MM/AAAA"),"&amp;hora_inicial=",HOUR(IF(E560&lt;&gt;"",IF(COUNTIF($F$2:$F560,F560)&gt;1,MAX(IF($F$1:$F559=F560,$E$1:$E559)),""),"")),"&amp;minuto_inicial=",MINUTE(IF(E560&lt;&gt;"",IF(COUNTIF($F$2:$F560,F560)&gt;1,MAX(IF($F$1:$F559=F560,$E$1:$E559)),""),"")),"&amp;hora_final=",HOUR(E560),"&amp;minuto_final=",MINUTE(E560),"&amp;periodo=6&amp;tipo=por_data&amp;upos=false&amp;outequip=0")),"")</f>
        <v/>
      </c>
      <c r="AN560" s="100" t="str">
        <f t="shared" si="68"/>
        <v xml:space="preserve">ABASTECEU no 22 NORTE DESCARREGOU em CONGONHAL-MG PASSOU em ARUJÁ-SP CARREGOU em CUBATAO-SP PASSOU em ARUJÁ-SP ABASTECEU no 22 NORTE    </v>
      </c>
    </row>
    <row r="561" spans="1:40" x14ac:dyDescent="0.25">
      <c r="A561" s="101">
        <f>IFERROR(VLOOKUP(AN561,ROTAS!$A:$B,2,FALSE),0)</f>
        <v>121</v>
      </c>
      <c r="B561" s="101">
        <f t="shared" si="69"/>
        <v>6</v>
      </c>
      <c r="C561" s="101">
        <f t="shared" si="70"/>
        <v>679.83333333333337</v>
      </c>
      <c r="D561" s="144">
        <v>44927</v>
      </c>
      <c r="E561" s="76">
        <v>44957.90347222222</v>
      </c>
      <c r="F561" s="6" t="s">
        <v>124</v>
      </c>
      <c r="G561" s="5" t="str">
        <f>IFERROR(VLOOKUP(SUMIFS(MSOLICITADA!$I:$I,MSOLICITADA!$B:$B,D561,MSOLICITADA!$F:$F,F561),CODIGOSPLACAS!$A$64:$B$89,2,FALSE),"")</f>
        <v>ISRAEL</v>
      </c>
      <c r="H561" s="77">
        <v>146836</v>
      </c>
      <c r="I561" s="77">
        <v>147516</v>
      </c>
      <c r="J561" s="7">
        <v>406</v>
      </c>
      <c r="K561" s="78">
        <v>2472.54</v>
      </c>
      <c r="L561" s="79" t="s">
        <v>111</v>
      </c>
      <c r="M561" s="6">
        <v>340</v>
      </c>
      <c r="N561" s="5">
        <f t="shared" si="64"/>
        <v>340</v>
      </c>
      <c r="O561" s="80">
        <f t="shared" si="65"/>
        <v>6.09</v>
      </c>
      <c r="P561" s="8">
        <f t="shared" si="66"/>
        <v>1.6748768472906403</v>
      </c>
      <c r="Q561" s="8">
        <f t="shared" si="71"/>
        <v>1.6528367477149088</v>
      </c>
      <c r="R561" s="81">
        <f t="shared" si="67"/>
        <v>0.5</v>
      </c>
      <c r="S561" s="113" t="str">
        <f>IF(F561="","",IF(H561="",TEXT(_xlfn.MAXIFS($I$1:I561,$F$1:F561,F561,$H$1:H561,"&gt;"&amp;0),"000.000"),F561))</f>
        <v>GHH9B64</v>
      </c>
      <c r="T561" s="101">
        <f t="shared" si="72"/>
        <v>339.83333333333331</v>
      </c>
      <c r="U561" s="82" t="s">
        <v>220</v>
      </c>
      <c r="V561" s="98" t="s">
        <v>165</v>
      </c>
      <c r="W561" s="82" t="s">
        <v>222</v>
      </c>
      <c r="X561" s="98" t="s">
        <v>200</v>
      </c>
      <c r="Y561" s="82" t="s">
        <v>225</v>
      </c>
      <c r="Z561" s="98" t="s">
        <v>237</v>
      </c>
      <c r="AA561" s="82" t="s">
        <v>221</v>
      </c>
      <c r="AB561" s="98" t="s">
        <v>168</v>
      </c>
      <c r="AC561" s="82" t="s">
        <v>225</v>
      </c>
      <c r="AD561" s="98" t="s">
        <v>237</v>
      </c>
      <c r="AE561" s="82" t="s">
        <v>220</v>
      </c>
      <c r="AF561" s="98" t="s">
        <v>165</v>
      </c>
      <c r="AG561" s="82"/>
      <c r="AH561" s="98"/>
      <c r="AI561" s="82"/>
      <c r="AJ561" s="98"/>
      <c r="AK561" s="83"/>
      <c r="AL561" s="84" t="str">
        <f>IF(F561&lt;&gt;0,IF(_xlfn.MAXIFS($I$1:I561,$F$1:F561,F561,$H$1:H561,"&gt;"&amp;0)=0,"KM NÃO ENCONTRADO",IF(H561=0,CONCATENATE("SUGESTÃO DE KM PARA PLACA ",F561," *",_xlfn.MAXIFS($I$1:I561,$F$1:F561,F561,$H$1:H561,"&gt;"&amp;0),"*"),"")),"")</f>
        <v/>
      </c>
      <c r="AM561" s="85" t="str" cm="1">
        <f t="array" ref="AM561">IFERROR(IF(M561&lt;&gt;"","",CONCATENATE("https://btx.brasiltrack.com/logistica/trajeto.php?idveiculo=",VLOOKUP(F561,DATAS!$A$221:$B$250,2,FALSE),"&amp;lat=-22.204247","&amp;data_ini=",TEXT(IF(E561&lt;&gt;"",IF(COUNTIF($F$2:$F561,F561)&gt;1,MAX(IF($F$1:$F560=F561,$E$1:$E560)),""),""),"DD/MM/AAAA"),"&amp;data_fim=",TEXT(E561,"DD/MM/AAAA"),"&amp;hora_inicial=",HOUR(IF(E561&lt;&gt;"",IF(COUNTIF($F$2:$F561,F561)&gt;1,MAX(IF($F$1:$F560=F561,$E$1:$E560)),""),"")),"&amp;minuto_inicial=",MINUTE(IF(E561&lt;&gt;"",IF(COUNTIF($F$2:$F561,F561)&gt;1,MAX(IF($F$1:$F560=F561,$E$1:$E560)),""),"")),"&amp;hora_final=",HOUR(E561),"&amp;minuto_final=",MINUTE(E561),"&amp;periodo=6&amp;tipo=por_data&amp;upos=false&amp;outequip=0")),"")</f>
        <v/>
      </c>
      <c r="AN561" s="100" t="str">
        <f t="shared" si="68"/>
        <v xml:space="preserve">ABASTECEU no 22 NORTE DESCARREGOU em CONGONHAL-MG PASSOU em ARUJÁ-SP CARREGOU em CUBATAO-SP PASSOU em ARUJÁ-SP ABASTECEU no 22 NORTE    </v>
      </c>
    </row>
    <row r="562" spans="1:40" x14ac:dyDescent="0.25">
      <c r="A562" s="101">
        <f>IFERROR(VLOOKUP(AN562,ROTAS!$A:$B,2,FALSE),0)</f>
        <v>46</v>
      </c>
      <c r="B562" s="101">
        <f t="shared" si="69"/>
        <v>3</v>
      </c>
      <c r="C562" s="101">
        <f t="shared" si="70"/>
        <v>811.66666666666663</v>
      </c>
      <c r="D562" s="144">
        <v>44927</v>
      </c>
      <c r="E562" s="76">
        <v>44957.96597222222</v>
      </c>
      <c r="F562" s="6" t="s">
        <v>27</v>
      </c>
      <c r="G562" s="5" t="str">
        <f>IFERROR(VLOOKUP(SUMIFS(MSOLICITADA!$I:$I,MSOLICITADA!$B:$B,D562,MSOLICITADA!$F:$F,F562),CODIGOSPLACAS!$A$64:$B$89,2,FALSE),"")</f>
        <v>ANTONIO</v>
      </c>
      <c r="H562" s="77">
        <v>256512</v>
      </c>
      <c r="I562" s="77">
        <v>257329</v>
      </c>
      <c r="J562" s="7">
        <v>531</v>
      </c>
      <c r="K562" s="78">
        <v>3233.79</v>
      </c>
      <c r="L562" s="79" t="s">
        <v>111</v>
      </c>
      <c r="M562" s="6">
        <v>389</v>
      </c>
      <c r="N562" s="5">
        <f t="shared" si="64"/>
        <v>428</v>
      </c>
      <c r="O562" s="80">
        <f t="shared" si="65"/>
        <v>6.09</v>
      </c>
      <c r="P562" s="8">
        <f t="shared" si="66"/>
        <v>1.5386064030131827</v>
      </c>
      <c r="Q562" s="8">
        <f t="shared" si="71"/>
        <v>1.4666276036610979</v>
      </c>
      <c r="R562" s="81">
        <f t="shared" si="67"/>
        <v>0.47613219094247244</v>
      </c>
      <c r="S562" s="113" t="str">
        <f>IF(F562="","",IF(H562="",TEXT(_xlfn.MAXIFS($I$1:I562,$F$1:F562,F562,$H$1:H562,"&gt;"&amp;0),"000.000"),F562))</f>
        <v>GHS4J57</v>
      </c>
      <c r="T562" s="101">
        <f t="shared" si="72"/>
        <v>428</v>
      </c>
      <c r="U562" s="82" t="s">
        <v>220</v>
      </c>
      <c r="V562" s="98" t="s">
        <v>165</v>
      </c>
      <c r="W562" s="82" t="s">
        <v>222</v>
      </c>
      <c r="X562" s="98" t="s">
        <v>167</v>
      </c>
      <c r="Y562" s="82" t="s">
        <v>225</v>
      </c>
      <c r="Z562" s="98" t="s">
        <v>237</v>
      </c>
      <c r="AA562" s="82" t="s">
        <v>221</v>
      </c>
      <c r="AB562" s="98" t="s">
        <v>168</v>
      </c>
      <c r="AC562" s="82" t="s">
        <v>225</v>
      </c>
      <c r="AD562" s="98" t="s">
        <v>284</v>
      </c>
      <c r="AE562" s="82" t="s">
        <v>220</v>
      </c>
      <c r="AF562" s="98" t="s">
        <v>165</v>
      </c>
      <c r="AG562" s="82"/>
      <c r="AH562" s="98"/>
      <c r="AI562" s="82"/>
      <c r="AJ562" s="98"/>
      <c r="AK562" s="83"/>
      <c r="AL562" s="84" t="str">
        <f>IF(F562&lt;&gt;0,IF(_xlfn.MAXIFS($I$1:I562,$F$1:F562,F562,$H$1:H562,"&gt;"&amp;0)=0,"KM NÃO ENCONTRADO",IF(H562=0,CONCATENATE("SUGESTÃO DE KM PARA PLACA ",F562," *",_xlfn.MAXIFS($I$1:I562,$F$1:F562,F562,$H$1:H562,"&gt;"&amp;0),"*"),"")),"")</f>
        <v/>
      </c>
      <c r="AM562" s="85" t="str" cm="1">
        <f t="array" ref="AM562">IFERROR(IF(M562&lt;&gt;"","",CONCATENATE("https://btx.brasiltrack.com/logistica/trajeto.php?idveiculo=",VLOOKUP(F562,DATAS!$A$221:$B$250,2,FALSE),"&amp;lat=-22.204247","&amp;data_ini=",TEXT(IF(E562&lt;&gt;"",IF(COUNTIF($F$2:$F562,F562)&gt;1,MAX(IF($F$1:$F561=F562,$E$1:$E561)),""),""),"DD/MM/AAAA"),"&amp;data_fim=",TEXT(E562,"DD/MM/AAAA"),"&amp;hora_inicial=",HOUR(IF(E562&lt;&gt;"",IF(COUNTIF($F$2:$F562,F562)&gt;1,MAX(IF($F$1:$F561=F562,$E$1:$E561)),""),"")),"&amp;minuto_inicial=",MINUTE(IF(E562&lt;&gt;"",IF(COUNTIF($F$2:$F562,F562)&gt;1,MAX(IF($F$1:$F561=F562,$E$1:$E561)),""),"")),"&amp;hora_final=",HOUR(E562),"&amp;minuto_final=",MINUTE(E562),"&amp;periodo=6&amp;tipo=por_data&amp;upos=false&amp;outequip=0")),"")</f>
        <v/>
      </c>
      <c r="AN562" s="100" t="str">
        <f t="shared" si="68"/>
        <v xml:space="preserve">ABASTECEU no 22 NORTE DESCARREGOU em VARGINHA-MG PASSOU em ARUJÁ-SP CARREGOU em CUBATAO-SP PASSOU em SÃO PAULO-SP ABASTECEU no 22 NORTE    </v>
      </c>
    </row>
    <row r="563" spans="1:40" x14ac:dyDescent="0.25">
      <c r="A563" s="101">
        <f>IFERROR(VLOOKUP(AN563,ROTAS!$A:$B,2,FALSE),0)</f>
        <v>165</v>
      </c>
      <c r="B563" s="101">
        <f t="shared" ref="B563" si="73">COUNTIFS(A:A,A563)</f>
        <v>1</v>
      </c>
      <c r="C563" s="101">
        <f t="shared" ref="C563" si="74">(SUMIFS(M:M,A:A,A563)+SUMIFS(N:N,A:A,A563))/B563</f>
        <v>810</v>
      </c>
      <c r="D563" s="211">
        <f>IF(COUNTIFS($F$3:F562,F563,$E$3:E562,"&gt;="&amp;"01/02/2023 00:00",$E$3:E562,"&lt;="&amp;"28/02/2023 23:59")&gt;=1,DATEVALUE("01/02/2023"),DATEVALUE("01/01/2023"))</f>
        <v>44927</v>
      </c>
      <c r="E563" s="76">
        <v>44958.918055555558</v>
      </c>
      <c r="F563" s="6" t="s">
        <v>26</v>
      </c>
      <c r="G563" s="5" t="str">
        <f>IFERROR(VLOOKUP(SUMIFS(MSOLICITADA!$I:$I,MSOLICITADA!$B:$B,D563,MSOLICITADA!$F:$F,F563),CODIGOSPLACAS!$A$64:$B$89,2,FALSE),"")</f>
        <v>DIEGO</v>
      </c>
      <c r="H563" s="77">
        <v>405753</v>
      </c>
      <c r="I563" s="77">
        <v>406563</v>
      </c>
      <c r="J563" s="7">
        <v>603</v>
      </c>
      <c r="K563" s="78">
        <v>3672.27</v>
      </c>
      <c r="L563" s="79" t="s">
        <v>111</v>
      </c>
      <c r="M563" s="6">
        <v>780</v>
      </c>
      <c r="N563" s="5">
        <f t="shared" si="64"/>
        <v>30</v>
      </c>
      <c r="O563" s="80">
        <f t="shared" si="65"/>
        <v>6.09</v>
      </c>
      <c r="P563" s="8">
        <f t="shared" si="66"/>
        <v>1.3432835820895523</v>
      </c>
      <c r="Q563" s="8">
        <f t="shared" si="71"/>
        <v>1.4763574081151452</v>
      </c>
      <c r="R563" s="81">
        <f t="shared" si="67"/>
        <v>0.96296296296296291</v>
      </c>
      <c r="S563" s="113" t="str">
        <f>IF(F563="","",IF(H563="",TEXT(_xlfn.MAXIFS($I$1:I563,$F$1:F563,F563,$H$1:H563,"&gt;"&amp;0),"000.000"),F563))</f>
        <v>BZA3587</v>
      </c>
      <c r="T563" s="101">
        <f t="shared" si="72"/>
        <v>30</v>
      </c>
      <c r="U563" s="82" t="s">
        <v>220</v>
      </c>
      <c r="V563" s="98" t="s">
        <v>206</v>
      </c>
      <c r="W563" s="82" t="s">
        <v>225</v>
      </c>
      <c r="X563" s="98" t="s">
        <v>237</v>
      </c>
      <c r="Y563" s="82" t="s">
        <v>222</v>
      </c>
      <c r="Z563" s="98" t="s">
        <v>175</v>
      </c>
      <c r="AA563" s="82" t="s">
        <v>221</v>
      </c>
      <c r="AB563" s="98" t="s">
        <v>168</v>
      </c>
      <c r="AC563" s="82" t="s">
        <v>225</v>
      </c>
      <c r="AD563" s="98" t="s">
        <v>237</v>
      </c>
      <c r="AE563" s="82" t="s">
        <v>220</v>
      </c>
      <c r="AF563" s="98" t="s">
        <v>165</v>
      </c>
      <c r="AG563" s="82"/>
      <c r="AH563" s="98"/>
      <c r="AI563" s="82"/>
      <c r="AJ563" s="98"/>
      <c r="AK563" s="83"/>
      <c r="AL563" s="84" t="str">
        <f>IF(F563&lt;&gt;0,IF(_xlfn.MAXIFS($I$1:I563,$F$1:F563,F563,$H$1:H563,"&gt;"&amp;0)=0,"KM NÃO ENCONTRADO",IF(H563=0,CONCATENATE("SUGESTÃO DE KM PARA PLACA ",F563," *",_xlfn.MAXIFS($I$1:I563,$F$1:F563,F563,$H$1:H563,"&gt;"&amp;0),"*"),"")),"")</f>
        <v/>
      </c>
      <c r="AM563" s="85" t="str" cm="1">
        <f t="array" ref="AM563">IFERROR(IF(M563&lt;&gt;"","",CONCATENATE("https://btx.brasiltrack.com/logistica/trajeto.php?idveiculo=",VLOOKUP(F563,DATAS!$A$221:$B$250,2,FALSE),"&amp;lat=-22.204247","&amp;data_ini=",TEXT(IF(E563&lt;&gt;"",IF(COUNTIF($F$2:$F563,F563)&gt;1,MAX(IF($F$1:$F562=F563,$E$1:$E562)),""),""),"DD/MM/AAAA"),"&amp;data_fim=",TEXT(E563,"DD/MM/AAAA"),"&amp;hora_inicial=",HOUR(IF(E563&lt;&gt;"",IF(COUNTIF($F$2:$F563,F563)&gt;1,MAX(IF($F$1:$F562=F563,$E$1:$E562)),""),"")),"&amp;minuto_inicial=",MINUTE(IF(E563&lt;&gt;"",IF(COUNTIF($F$2:$F563,F563)&gt;1,MAX(IF($F$1:$F562=F563,$E$1:$E562)),""),"")),"&amp;hora_final=",HOUR(E563),"&amp;minuto_final=",MINUTE(E563),"&amp;periodo=6&amp;tipo=por_data&amp;upos=false&amp;outequip=0")),"")</f>
        <v/>
      </c>
      <c r="AN563" s="100" t="str">
        <f t="shared" si="68"/>
        <v xml:space="preserve">ABASTECEU no CANDEIAS-MG PASSOU em ARUJÁ-SP DESCARREGOU em SANTOS-SP CARREGOU em CUBATAO-SP PASSOU em ARUJÁ-SP ABASTECEU no 22 NORTE    </v>
      </c>
    </row>
    <row r="564" spans="1:40" x14ac:dyDescent="0.25">
      <c r="A564" s="101">
        <f>IFERROR(VLOOKUP(AN564,ROTAS!$A:$B,2,FALSE),0)</f>
        <v>166</v>
      </c>
      <c r="B564" s="101">
        <f t="shared" ref="B564:B568" si="75">COUNTIFS(A:A,A564)</f>
        <v>1</v>
      </c>
      <c r="C564" s="101">
        <f t="shared" ref="C564:C568" si="76">(SUMIFS(M:M,A:A,A564)+SUMIFS(N:N,A:A,A564))/B564</f>
        <v>691</v>
      </c>
      <c r="D564" s="211">
        <f>IF(COUNTIFS($F$3:F563,F564,$E$3:E563,"&gt;="&amp;"01/02/2023 00:00",$E$3:E563,"&lt;="&amp;"28/02/2023 23:59")&gt;=1,DATEVALUE("01/02/2023"),DATEVALUE("01/01/2023"))</f>
        <v>44927</v>
      </c>
      <c r="E564" s="76">
        <v>44958.95208333333</v>
      </c>
      <c r="F564" s="6" t="s">
        <v>29</v>
      </c>
      <c r="G564" s="5" t="str">
        <f>IFERROR(VLOOKUP(SUMIFS(MSOLICITADA!$I:$I,MSOLICITADA!$B:$B,D564,MSOLICITADA!$F:$F,F564),CODIGOSPLACAS!$A$64:$B$89,2,FALSE),"")</f>
        <v>EDNILSON</v>
      </c>
      <c r="H564" s="77">
        <v>248182</v>
      </c>
      <c r="I564" s="77">
        <v>248873</v>
      </c>
      <c r="J564" s="7">
        <v>416.13</v>
      </c>
      <c r="K564" s="78">
        <v>2534.23</v>
      </c>
      <c r="L564" s="79" t="s">
        <v>111</v>
      </c>
      <c r="M564" s="6">
        <v>361</v>
      </c>
      <c r="N564" s="5">
        <f t="shared" si="64"/>
        <v>330</v>
      </c>
      <c r="O564" s="80">
        <f t="shared" si="65"/>
        <v>6.089995914738183</v>
      </c>
      <c r="P564" s="8">
        <f t="shared" si="66"/>
        <v>1.6605387739408357</v>
      </c>
      <c r="Q564" s="8">
        <f t="shared" si="71"/>
        <v>1.5966128652005338</v>
      </c>
      <c r="R564" s="81">
        <f t="shared" si="67"/>
        <v>0.52243125904486254</v>
      </c>
      <c r="S564" s="113" t="str">
        <f>IF(F564="","",IF(H564="",TEXT(_xlfn.MAXIFS($I$1:I564,$F$1:F564,F564,$H$1:H564,"&gt;"&amp;0),"000.000"),F564))</f>
        <v>GKA2J56</v>
      </c>
      <c r="T564" s="101">
        <f t="shared" si="72"/>
        <v>330</v>
      </c>
      <c r="U564" s="82" t="s">
        <v>220</v>
      </c>
      <c r="V564" s="98" t="s">
        <v>165</v>
      </c>
      <c r="W564" s="82" t="s">
        <v>222</v>
      </c>
      <c r="X564" s="98" t="s">
        <v>200</v>
      </c>
      <c r="Y564" s="82" t="s">
        <v>225</v>
      </c>
      <c r="Z564" s="98" t="s">
        <v>237</v>
      </c>
      <c r="AA564" s="82" t="s">
        <v>221</v>
      </c>
      <c r="AB564" s="98" t="s">
        <v>168</v>
      </c>
      <c r="AC564" s="82" t="s">
        <v>225</v>
      </c>
      <c r="AD564" s="98" t="s">
        <v>237</v>
      </c>
      <c r="AE564" s="82" t="s">
        <v>220</v>
      </c>
      <c r="AF564" s="98" t="s">
        <v>219</v>
      </c>
      <c r="AG564" s="82"/>
      <c r="AH564" s="98"/>
      <c r="AI564" s="82"/>
      <c r="AJ564" s="98"/>
      <c r="AK564" s="83"/>
      <c r="AL564" s="84" t="str">
        <f>IF(F564&lt;&gt;0,IF(_xlfn.MAXIFS($I$1:I564,$F$1:F564,F564,$H$1:H564,"&gt;"&amp;0)=0,"KM NÃO ENCONTRADO",IF(H564=0,CONCATENATE("SUGESTÃO DE KM PARA PLACA ",F564," *",_xlfn.MAXIFS($I$1:I564,$F$1:F564,F564,$H$1:H564,"&gt;"&amp;0),"*"),"")),"")</f>
        <v/>
      </c>
      <c r="AM564" s="85" t="str" cm="1">
        <f t="array" ref="AM564">IFERROR(IF(M564&lt;&gt;"","",CONCATENATE("https://btx.brasiltrack.com/logistica/trajeto.php?idveiculo=",VLOOKUP(F564,DATAS!$A$221:$B$250,2,FALSE),"&amp;lat=-22.204247","&amp;data_ini=",TEXT(IF(E564&lt;&gt;"",IF(COUNTIF($F$2:$F564,F564)&gt;1,MAX(IF($F$1:$F563=F564,$E$1:$E563)),""),""),"DD/MM/AAAA"),"&amp;data_fim=",TEXT(E564,"DD/MM/AAAA"),"&amp;hora_inicial=",HOUR(IF(E564&lt;&gt;"",IF(COUNTIF($F$2:$F564,F564)&gt;1,MAX(IF($F$1:$F563=F564,$E$1:$E563)),""),"")),"&amp;minuto_inicial=",MINUTE(IF(E564&lt;&gt;"",IF(COUNTIF($F$2:$F564,F564)&gt;1,MAX(IF($F$1:$F563=F564,$E$1:$E563)),""),"")),"&amp;hora_final=",HOUR(E564),"&amp;minuto_final=",MINUTE(E564),"&amp;periodo=6&amp;tipo=por_data&amp;upos=false&amp;outequip=0")),"")</f>
        <v/>
      </c>
      <c r="AN564" s="100" t="str">
        <f t="shared" si="68"/>
        <v xml:space="preserve">ABASTECEU no 22 NORTE DESCARREGOU em CONGONHAL-MG PASSOU em ARUJÁ-SP CARREGOU em CUBATAO-SP PASSOU em ARUJÁ-SP ABASTECEU no DP ATIBAIA NORTE    </v>
      </c>
    </row>
    <row r="565" spans="1:40" x14ac:dyDescent="0.25">
      <c r="A565" s="101">
        <f>IFERROR(VLOOKUP(AN565,ROTAS!$A:$B,2,FALSE),0)</f>
        <v>167</v>
      </c>
      <c r="B565" s="101">
        <f t="shared" si="75"/>
        <v>1</v>
      </c>
      <c r="C565" s="101">
        <f t="shared" si="76"/>
        <v>736</v>
      </c>
      <c r="D565" s="211">
        <f>IF(COUNTIFS($F$3:F564,F565,$E$3:E564,"&gt;="&amp;"01/02/2023 00:00",$E$3:E564,"&lt;="&amp;"28/02/2023 23:59")&gt;=1,DATEVALUE("01/02/2023"),DATEVALUE("01/01/2023"))</f>
        <v>44927</v>
      </c>
      <c r="E565" s="76">
        <v>44958.95416666667</v>
      </c>
      <c r="F565" s="6" t="s">
        <v>28</v>
      </c>
      <c r="G565" s="5" t="str">
        <f>IFERROR(VLOOKUP(SUMIFS(MSOLICITADA!$I:$I,MSOLICITADA!$B:$B,D565,MSOLICITADA!$F:$F,F565),CODIGOSPLACAS!$A$64:$B$89,2,FALSE),"")</f>
        <v>RONY</v>
      </c>
      <c r="H565" s="77">
        <v>252113</v>
      </c>
      <c r="I565" s="77">
        <v>252849</v>
      </c>
      <c r="J565" s="7">
        <v>535.02</v>
      </c>
      <c r="K565" s="78">
        <v>3258.21</v>
      </c>
      <c r="L565" s="79" t="s">
        <v>111</v>
      </c>
      <c r="M565" s="6">
        <v>706</v>
      </c>
      <c r="N565" s="5">
        <f t="shared" si="64"/>
        <v>30</v>
      </c>
      <c r="O565" s="80">
        <f t="shared" si="65"/>
        <v>6.0898844902994282</v>
      </c>
      <c r="P565" s="8">
        <f t="shared" si="66"/>
        <v>1.3756495084295914</v>
      </c>
      <c r="Q565" s="8">
        <f t="shared" si="71"/>
        <v>1.519654959485309</v>
      </c>
      <c r="R565" s="81">
        <f t="shared" si="67"/>
        <v>0.95923913043478259</v>
      </c>
      <c r="S565" s="113" t="str">
        <f>IF(F565="","",IF(H565="",TEXT(_xlfn.MAXIFS($I$1:I565,$F$1:F565,F565,$H$1:H565,"&gt;"&amp;0),"000.000"),F565))</f>
        <v>FZA3E94</v>
      </c>
      <c r="T565" s="101">
        <f t="shared" si="72"/>
        <v>30</v>
      </c>
      <c r="U565" s="82" t="s">
        <v>220</v>
      </c>
      <c r="V565" s="98" t="s">
        <v>206</v>
      </c>
      <c r="W565" s="82" t="s">
        <v>225</v>
      </c>
      <c r="X565" s="98" t="s">
        <v>237</v>
      </c>
      <c r="Y565" s="82" t="s">
        <v>222</v>
      </c>
      <c r="Z565" s="98" t="s">
        <v>175</v>
      </c>
      <c r="AA565" s="82" t="s">
        <v>221</v>
      </c>
      <c r="AB565" s="98" t="s">
        <v>168</v>
      </c>
      <c r="AC565" s="82" t="s">
        <v>225</v>
      </c>
      <c r="AD565" s="98" t="s">
        <v>284</v>
      </c>
      <c r="AE565" s="82" t="s">
        <v>220</v>
      </c>
      <c r="AF565" s="98" t="s">
        <v>165</v>
      </c>
      <c r="AG565" s="82"/>
      <c r="AH565" s="98"/>
      <c r="AI565" s="82"/>
      <c r="AJ565" s="98"/>
      <c r="AK565" s="83"/>
      <c r="AL565" s="84" t="str">
        <f>IF(F565&lt;&gt;0,IF(_xlfn.MAXIFS($I$1:I565,$F$1:F565,F565,$H$1:H565,"&gt;"&amp;0)=0,"KM NÃO ENCONTRADO",IF(H565=0,CONCATENATE("SUGESTÃO DE KM PARA PLACA ",F565," *",_xlfn.MAXIFS($I$1:I565,$F$1:F565,F565,$H$1:H565,"&gt;"&amp;0),"*"),"")),"")</f>
        <v/>
      </c>
      <c r="AM565" s="85" t="str" cm="1">
        <f t="array" ref="AM565">IFERROR(IF(M565&lt;&gt;"","",CONCATENATE("https://btx.brasiltrack.com/logistica/trajeto.php?idveiculo=",VLOOKUP(F565,DATAS!$A$221:$B$250,2,FALSE),"&amp;lat=-22.204247","&amp;data_ini=",TEXT(IF(E565&lt;&gt;"",IF(COUNTIF($F$2:$F565,F565)&gt;1,MAX(IF($F$1:$F564=F565,$E$1:$E564)),""),""),"DD/MM/AAAA"),"&amp;data_fim=",TEXT(E565,"DD/MM/AAAA"),"&amp;hora_inicial=",HOUR(IF(E565&lt;&gt;"",IF(COUNTIF($F$2:$F565,F565)&gt;1,MAX(IF($F$1:$F564=F565,$E$1:$E564)),""),"")),"&amp;minuto_inicial=",MINUTE(IF(E565&lt;&gt;"",IF(COUNTIF($F$2:$F565,F565)&gt;1,MAX(IF($F$1:$F564=F565,$E$1:$E564)),""),"")),"&amp;hora_final=",HOUR(E565),"&amp;minuto_final=",MINUTE(E565),"&amp;periodo=6&amp;tipo=por_data&amp;upos=false&amp;outequip=0")),"")</f>
        <v/>
      </c>
      <c r="AN565" s="100" t="str">
        <f t="shared" si="68"/>
        <v xml:space="preserve">ABASTECEU no CANDEIAS-MG PASSOU em ARUJÁ-SP DESCARREGOU em SANTOS-SP CARREGOU em CUBATAO-SP PASSOU em SÃO PAULO-SP ABASTECEU no 22 NORTE    </v>
      </c>
    </row>
    <row r="566" spans="1:40" x14ac:dyDescent="0.25">
      <c r="A566" s="101">
        <f>IFERROR(VLOOKUP(AN566,ROTAS!$A:$B,2,FALSE),0)</f>
        <v>139</v>
      </c>
      <c r="B566" s="101">
        <f t="shared" si="75"/>
        <v>4</v>
      </c>
      <c r="C566" s="101">
        <f t="shared" si="76"/>
        <v>683.25</v>
      </c>
      <c r="D566" s="211">
        <f>IF(COUNTIFS($F$3:F565,F566,$E$3:E565,"&gt;="&amp;"01/02/2023 00:00",$E$3:E565,"&lt;="&amp;"28/02/2023 23:59")&gt;=1,DATEVALUE("01/02/2023"),DATEVALUE("01/01/2023"))</f>
        <v>44927</v>
      </c>
      <c r="E566" s="76">
        <v>44959.022916666669</v>
      </c>
      <c r="F566" s="6" t="s">
        <v>22</v>
      </c>
      <c r="G566" s="5" t="str">
        <f>IFERROR(VLOOKUP(SUMIFS(MSOLICITADA!$I:$I,MSOLICITADA!$B:$B,D566,MSOLICITADA!$F:$F,F566),CODIGOSPLACAS!$A$64:$B$89,2,FALSE),"")</f>
        <v>GUILHERME</v>
      </c>
      <c r="H566" s="77">
        <v>1209875</v>
      </c>
      <c r="I566" s="77">
        <v>1210557</v>
      </c>
      <c r="J566" s="7">
        <v>420.01</v>
      </c>
      <c r="K566" s="78">
        <v>2557.86</v>
      </c>
      <c r="L566" s="79" t="s">
        <v>111</v>
      </c>
      <c r="M566" s="6">
        <v>652</v>
      </c>
      <c r="N566" s="5">
        <f t="shared" si="64"/>
        <v>30</v>
      </c>
      <c r="O566" s="80">
        <f t="shared" si="65"/>
        <v>6.0899978571938771</v>
      </c>
      <c r="P566" s="8">
        <f t="shared" si="66"/>
        <v>1.6237708625985097</v>
      </c>
      <c r="Q566" s="8">
        <f t="shared" si="71"/>
        <v>1.8671963699182104</v>
      </c>
      <c r="R566" s="81">
        <f t="shared" si="67"/>
        <v>0.95601173020527863</v>
      </c>
      <c r="S566" s="113" t="str">
        <f>IF(F566="","",IF(H566="",TEXT(_xlfn.MAXIFS($I$1:I566,$F$1:F566,F566,$H$1:H566,"&gt;"&amp;0),"000.000"),F566))</f>
        <v>OQC0C33</v>
      </c>
      <c r="T566" s="101">
        <f t="shared" si="72"/>
        <v>30</v>
      </c>
      <c r="U566" s="82" t="s">
        <v>220</v>
      </c>
      <c r="V566" s="98" t="s">
        <v>206</v>
      </c>
      <c r="W566" s="82" t="s">
        <v>225</v>
      </c>
      <c r="X566" s="98" t="s">
        <v>284</v>
      </c>
      <c r="Y566" s="82" t="s">
        <v>222</v>
      </c>
      <c r="Z566" s="98" t="s">
        <v>175</v>
      </c>
      <c r="AA566" s="82" t="s">
        <v>221</v>
      </c>
      <c r="AB566" s="98" t="s">
        <v>168</v>
      </c>
      <c r="AC566" s="82" t="s">
        <v>225</v>
      </c>
      <c r="AD566" s="98" t="s">
        <v>284</v>
      </c>
      <c r="AE566" s="82" t="s">
        <v>220</v>
      </c>
      <c r="AF566" s="98" t="s">
        <v>165</v>
      </c>
      <c r="AG566" s="82"/>
      <c r="AH566" s="98"/>
      <c r="AI566" s="82"/>
      <c r="AJ566" s="98"/>
      <c r="AK566" s="83"/>
      <c r="AL566" s="84" t="str">
        <f>IF(F566&lt;&gt;0,IF(_xlfn.MAXIFS($I$1:I566,$F$1:F566,F566,$H$1:H566,"&gt;"&amp;0)=0,"KM NÃO ENCONTRADO",IF(H566=0,CONCATENATE("SUGESTÃO DE KM PARA PLACA ",F566," *",_xlfn.MAXIFS($I$1:I566,$F$1:F566,F566,$H$1:H566,"&gt;"&amp;0),"*"),"")),"")</f>
        <v/>
      </c>
      <c r="AM566" s="85" t="str" cm="1">
        <f t="array" ref="AM566">IFERROR(IF(M566&lt;&gt;"","",CONCATENATE("https://btx.brasiltrack.com/logistica/trajeto.php?idveiculo=",VLOOKUP(F566,DATAS!$A$221:$B$250,2,FALSE),"&amp;lat=-22.204247","&amp;data_ini=",TEXT(IF(E566&lt;&gt;"",IF(COUNTIF($F$2:$F566,F566)&gt;1,MAX(IF($F$1:$F565=F566,$E$1:$E565)),""),""),"DD/MM/AAAA"),"&amp;data_fim=",TEXT(E566,"DD/MM/AAAA"),"&amp;hora_inicial=",HOUR(IF(E566&lt;&gt;"",IF(COUNTIF($F$2:$F566,F566)&gt;1,MAX(IF($F$1:$F565=F566,$E$1:$E565)),""),"")),"&amp;minuto_inicial=",MINUTE(IF(E566&lt;&gt;"",IF(COUNTIF($F$2:$F566,F566)&gt;1,MAX(IF($F$1:$F565=F566,$E$1:$E565)),""),"")),"&amp;hora_final=",HOUR(E566),"&amp;minuto_final=",MINUTE(E566),"&amp;periodo=6&amp;tipo=por_data&amp;upos=false&amp;outequip=0")),"")</f>
        <v/>
      </c>
      <c r="AN566" s="100" t="str">
        <f t="shared" si="68"/>
        <v xml:space="preserve">ABASTECEU no CANDEIAS-MG PASSOU em SÃO PAULO-SP DESCARREGOU em SANTOS-SP CARREGOU em CUBATAO-SP PASSOU em SÃO PAULO-SP ABASTECEU no 22 NORTE    </v>
      </c>
    </row>
    <row r="567" spans="1:40" x14ac:dyDescent="0.25">
      <c r="A567" s="101">
        <f>IFERROR(VLOOKUP(AN567,ROTAS!$A:$B,2,FALSE),0)</f>
        <v>168</v>
      </c>
      <c r="B567" s="101">
        <f t="shared" si="75"/>
        <v>1</v>
      </c>
      <c r="C567" s="101">
        <f t="shared" si="76"/>
        <v>746</v>
      </c>
      <c r="D567" s="211">
        <f>IF(COUNTIFS($F$3:F566,F567,$E$3:E566,"&gt;="&amp;"01/02/2023 00:00",$E$3:E566,"&lt;="&amp;"28/02/2023 23:59")&gt;=1,DATEVALUE("01/02/2023"),DATEVALUE("01/01/2023"))</f>
        <v>44927</v>
      </c>
      <c r="E567" s="76">
        <v>44959.177777777775</v>
      </c>
      <c r="F567" s="6" t="s">
        <v>24</v>
      </c>
      <c r="G567" s="5" t="str">
        <f>IFERROR(VLOOKUP(SUMIFS(MSOLICITADA!$I:$I,MSOLICITADA!$B:$B,D567,MSOLICITADA!$F:$F,F567),CODIGOSPLACAS!$A$64:$B$89,2,FALSE),"")</f>
        <v>PAULO HENR.</v>
      </c>
      <c r="H567" s="77">
        <v>956017</v>
      </c>
      <c r="I567" s="77">
        <v>956763</v>
      </c>
      <c r="J567" s="7">
        <v>563.49</v>
      </c>
      <c r="K567" s="78">
        <v>3431.65</v>
      </c>
      <c r="L567" s="79" t="s">
        <v>111</v>
      </c>
      <c r="M567" s="6">
        <v>546</v>
      </c>
      <c r="N567" s="5">
        <f t="shared" si="64"/>
        <v>200</v>
      </c>
      <c r="O567" s="80">
        <f t="shared" si="65"/>
        <v>6.0899927239170175</v>
      </c>
      <c r="P567" s="8">
        <f t="shared" si="66"/>
        <v>1.3238921719995032</v>
      </c>
      <c r="Q567" s="8">
        <f t="shared" si="71"/>
        <v>1.5194077812359499</v>
      </c>
      <c r="R567" s="81">
        <f t="shared" si="67"/>
        <v>0.73190348525469173</v>
      </c>
      <c r="S567" s="113" t="str">
        <f>IF(F567="","",IF(H567="",TEXT(_xlfn.MAXIFS($I$1:I567,$F$1:F567,F567,$H$1:H567,"&gt;"&amp;0),"000.000"),F567))</f>
        <v>FKS0J24</v>
      </c>
      <c r="T567" s="101">
        <f t="shared" si="72"/>
        <v>200</v>
      </c>
      <c r="U567" s="82" t="s">
        <v>220</v>
      </c>
      <c r="V567" s="98" t="s">
        <v>206</v>
      </c>
      <c r="W567" s="82" t="s">
        <v>222</v>
      </c>
      <c r="X567" s="98" t="s">
        <v>171</v>
      </c>
      <c r="Y567" s="82" t="s">
        <v>221</v>
      </c>
      <c r="Z567" s="98" t="s">
        <v>185</v>
      </c>
      <c r="AA567" s="82" t="s">
        <v>220</v>
      </c>
      <c r="AB567" s="98" t="s">
        <v>166</v>
      </c>
      <c r="AC567" s="82"/>
      <c r="AD567" s="98"/>
      <c r="AE567" s="82"/>
      <c r="AF567" s="98"/>
      <c r="AG567" s="82"/>
      <c r="AH567" s="98"/>
      <c r="AI567" s="82"/>
      <c r="AJ567" s="98"/>
      <c r="AK567" s="83"/>
      <c r="AL567" s="84" t="str">
        <f>IF(F567&lt;&gt;0,IF(_xlfn.MAXIFS($I$1:I567,$F$1:F567,F567,$H$1:H567,"&gt;"&amp;0)=0,"KM NÃO ENCONTRADO",IF(H567=0,CONCATENATE("SUGESTÃO DE KM PARA PLACA ",F567," *",_xlfn.MAXIFS($I$1:I567,$F$1:F567,F567,$H$1:H567,"&gt;"&amp;0),"*"),"")),"")</f>
        <v/>
      </c>
      <c r="AM567" s="85" t="str" cm="1">
        <f t="array" ref="AM567">IFERROR(IF(M567&lt;&gt;"","",CONCATENATE("https://btx.brasiltrack.com/logistica/trajeto.php?idveiculo=",VLOOKUP(F567,DATAS!$A$221:$B$250,2,FALSE),"&amp;lat=-22.204247","&amp;data_ini=",TEXT(IF(E567&lt;&gt;"",IF(COUNTIF($F$2:$F567,F567)&gt;1,MAX(IF($F$1:$F566=F567,$E$1:$E566)),""),""),"DD/MM/AAAA"),"&amp;data_fim=",TEXT(E567,"DD/MM/AAAA"),"&amp;hora_inicial=",HOUR(IF(E567&lt;&gt;"",IF(COUNTIF($F$2:$F567,F567)&gt;1,MAX(IF($F$1:$F566=F567,$E$1:$E566)),""),"")),"&amp;minuto_inicial=",MINUTE(IF(E567&lt;&gt;"",IF(COUNTIF($F$2:$F567,F567)&gt;1,MAX(IF($F$1:$F566=F567,$E$1:$E566)),""),"")),"&amp;hora_final=",HOUR(E567),"&amp;minuto_final=",MINUTE(E567),"&amp;periodo=6&amp;tipo=por_data&amp;upos=false&amp;outequip=0")),"")</f>
        <v/>
      </c>
      <c r="AN567" s="100" t="str">
        <f t="shared" si="68"/>
        <v xml:space="preserve">ABASTECEU no CANDEIAS-MG DESCARREGOU em IGUATAMA-MG CARREGOU em PASSOS-MG ABASTECEU no 22 SUL        </v>
      </c>
    </row>
    <row r="568" spans="1:40" x14ac:dyDescent="0.25">
      <c r="A568" s="101">
        <f>IFERROR(VLOOKUP(AN568,ROTAS!$A:$B,2,FALSE),0)</f>
        <v>169</v>
      </c>
      <c r="B568" s="101">
        <f t="shared" si="75"/>
        <v>1</v>
      </c>
      <c r="C568" s="101">
        <f t="shared" si="76"/>
        <v>601</v>
      </c>
      <c r="D568" s="211">
        <f>IF(COUNTIFS($F$3:F567,F568,$E$3:E567,"&gt;="&amp;"01/02/2023 00:00",$E$3:E567,"&lt;="&amp;"28/02/2023 23:59")&gt;=1,DATEVALUE("01/02/2023"),DATEVALUE("01/01/2023"))</f>
        <v>44927</v>
      </c>
      <c r="E568" s="76">
        <v>44959.177777777775</v>
      </c>
      <c r="F568" s="6" t="s">
        <v>23</v>
      </c>
      <c r="G568" s="5" t="str">
        <f>IFERROR(VLOOKUP(SUMIFS(MSOLICITADA!$I:$I,MSOLICITADA!$B:$B,D568,MSOLICITADA!$F:$F,F568),CODIGOSPLACAS!$A$64:$B$89,2,FALSE),"")</f>
        <v>ISAC</v>
      </c>
      <c r="H568" s="77">
        <v>1214514</v>
      </c>
      <c r="I568" s="77">
        <v>1215115</v>
      </c>
      <c r="J568" s="7">
        <v>458.08</v>
      </c>
      <c r="K568" s="78">
        <v>2789.71</v>
      </c>
      <c r="L568" s="79" t="s">
        <v>111</v>
      </c>
      <c r="M568" s="6">
        <v>431</v>
      </c>
      <c r="N568" s="5">
        <f t="shared" si="64"/>
        <v>170</v>
      </c>
      <c r="O568" s="80">
        <f t="shared" si="65"/>
        <v>6.090006112469438</v>
      </c>
      <c r="P568" s="8">
        <f t="shared" si="66"/>
        <v>1.3119979042961929</v>
      </c>
      <c r="Q568" s="8">
        <f t="shared" si="71"/>
        <v>1.4592701282718794</v>
      </c>
      <c r="R568" s="81">
        <f t="shared" si="67"/>
        <v>0.7171381031613977</v>
      </c>
      <c r="S568" s="113" t="str">
        <f>IF(F568="","",IF(H568="",TEXT(_xlfn.MAXIFS($I$1:I568,$F$1:F568,F568,$H$1:H568,"&gt;"&amp;0),"000.000"),F568))</f>
        <v>HNC7I76</v>
      </c>
      <c r="T568" s="101">
        <f t="shared" si="72"/>
        <v>170</v>
      </c>
      <c r="U568" s="82" t="s">
        <v>220</v>
      </c>
      <c r="V568" s="98" t="s">
        <v>2404</v>
      </c>
      <c r="W568" s="82" t="s">
        <v>221</v>
      </c>
      <c r="X568" s="98" t="s">
        <v>185</v>
      </c>
      <c r="Y568" s="82" t="s">
        <v>220</v>
      </c>
      <c r="Z568" s="98" t="s">
        <v>166</v>
      </c>
      <c r="AA568" s="82"/>
      <c r="AB568" s="98"/>
      <c r="AC568" s="82"/>
      <c r="AD568" s="98"/>
      <c r="AE568" s="82"/>
      <c r="AF568" s="98"/>
      <c r="AG568" s="82"/>
      <c r="AH568" s="98"/>
      <c r="AI568" s="82"/>
      <c r="AJ568" s="98"/>
      <c r="AK568" s="83"/>
      <c r="AL568" s="84" t="str">
        <f>IF(F568&lt;&gt;0,IF(_xlfn.MAXIFS($I$1:I568,$F$1:F568,F568,$H$1:H568,"&gt;"&amp;0)=0,"KM NÃO ENCONTRADO",IF(H568=0,CONCATENATE("SUGESTÃO DE KM PARA PLACA ",F568," *",_xlfn.MAXIFS($I$1:I568,$F$1:F568,F568,$H$1:H568,"&gt;"&amp;0),"*"),"")),"")</f>
        <v/>
      </c>
      <c r="AM568" s="85" t="str" cm="1">
        <f t="array" ref="AM568">IFERROR(IF(M568&lt;&gt;"","",CONCATENATE("https://btx.brasiltrack.com/logistica/trajeto.php?idveiculo=",VLOOKUP(F568,DATAS!$A$221:$B$250,2,FALSE),"&amp;lat=-22.204247","&amp;data_ini=",TEXT(IF(E568&lt;&gt;"",IF(COUNTIF($F$2:$F568,F568)&gt;1,MAX(IF($F$1:$F567=F568,$E$1:$E567)),""),""),"DD/MM/AAAA"),"&amp;data_fim=",TEXT(E568,"DD/MM/AAAA"),"&amp;hora_inicial=",HOUR(IF(E568&lt;&gt;"",IF(COUNTIF($F$2:$F568,F568)&gt;1,MAX(IF($F$1:$F567=F568,$E$1:$E567)),""),"")),"&amp;minuto_inicial=",MINUTE(IF(E568&lt;&gt;"",IF(COUNTIF($F$2:$F568,F568)&gt;1,MAX(IF($F$1:$F567=F568,$E$1:$E567)),""),"")),"&amp;hora_final=",HOUR(E568),"&amp;minuto_final=",MINUTE(E568),"&amp;periodo=6&amp;tipo=por_data&amp;upos=false&amp;outequip=0")),"")</f>
        <v/>
      </c>
      <c r="AN568" s="100" t="str">
        <f t="shared" si="68"/>
        <v xml:space="preserve">ABASTECEU no PMG ARCOS CARREGOU em PASSOS-MG ABASTECEU no 22 SUL          </v>
      </c>
    </row>
    <row r="569" spans="1:40" x14ac:dyDescent="0.25">
      <c r="A569" s="101">
        <f>IFERROR(VLOOKUP(AN569,ROTAS!$A:$B,2,FALSE),0)</f>
        <v>170</v>
      </c>
      <c r="B569" s="101">
        <f t="shared" ref="B569:B571" si="77">COUNTIFS(A:A,A569)</f>
        <v>1</v>
      </c>
      <c r="C569" s="101">
        <f t="shared" ref="C569:C571" si="78">(SUMIFS(M:M,A:A,A569)+SUMIFS(N:N,A:A,A569))/B569</f>
        <v>1053</v>
      </c>
      <c r="D569" s="207">
        <v>44958</v>
      </c>
      <c r="E569" s="76">
        <v>44959.253472222219</v>
      </c>
      <c r="F569" s="6" t="s">
        <v>31</v>
      </c>
      <c r="G569" s="5" t="str">
        <f>IFERROR(VLOOKUP(SUMIFS(MSOLICITADA!$I:$I,MSOLICITADA!$B:$B,D569,MSOLICITADA!$F:$F,F569),CODIGOSPLACAS!$A$64:$B$89,2,FALSE),"")</f>
        <v>CELIO</v>
      </c>
      <c r="H569" s="77">
        <v>209785</v>
      </c>
      <c r="I569" s="77">
        <v>210838</v>
      </c>
      <c r="J569" s="7">
        <v>200</v>
      </c>
      <c r="K569" s="78">
        <v>1156</v>
      </c>
      <c r="L569" s="79" t="s">
        <v>112</v>
      </c>
      <c r="M569" s="6">
        <v>831</v>
      </c>
      <c r="N569" s="5">
        <f t="shared" si="64"/>
        <v>222</v>
      </c>
      <c r="O569" s="80">
        <f t="shared" si="65"/>
        <v>5.78</v>
      </c>
      <c r="P569" s="8">
        <f t="shared" si="66"/>
        <v>5.2980877390326206</v>
      </c>
      <c r="Q569" s="8">
        <f>IFERROR((SUMIFS(M:M,D:D,D569,F:F,F569)+SUMIFS(N:N,D:D,D569,F:F,F569)-SUMIFS(AK:AK,D:D,D569,F:F,F569))/(SUMIFS(J:J,D:D,D569,F:F,F569)-(SUMIFS(AK:AK,D:D,D569,F:F,F569)/5)),0)</f>
        <v>1.5449594309214183</v>
      </c>
      <c r="R569" s="81">
        <f t="shared" si="67"/>
        <v>0.78917378917378922</v>
      </c>
      <c r="S569" s="113" t="str">
        <f>IF(F569="","",IF(H569="",TEXT(_xlfn.MAXIFS($I$1:I569,$F$1:F569,F569,$H$1:H569,"&gt;"&amp;0),"000.000"),F569))</f>
        <v>GGZ3G38</v>
      </c>
      <c r="T569" s="101">
        <f t="shared" si="72"/>
        <v>222</v>
      </c>
      <c r="U569" s="82" t="s">
        <v>220</v>
      </c>
      <c r="V569" s="121" t="s">
        <v>227</v>
      </c>
      <c r="W569" s="82" t="s">
        <v>225</v>
      </c>
      <c r="X569" s="98" t="s">
        <v>281</v>
      </c>
      <c r="Y569" s="118" t="s">
        <v>222</v>
      </c>
      <c r="Z569" s="120" t="s">
        <v>175</v>
      </c>
      <c r="AA569" s="118" t="s">
        <v>221</v>
      </c>
      <c r="AB569" s="120" t="s">
        <v>175</v>
      </c>
      <c r="AC569" s="82" t="s">
        <v>225</v>
      </c>
      <c r="AD569" s="98" t="s">
        <v>284</v>
      </c>
      <c r="AE569" s="118" t="s">
        <v>222</v>
      </c>
      <c r="AF569" s="98" t="s">
        <v>201</v>
      </c>
      <c r="AG569" s="82" t="s">
        <v>225</v>
      </c>
      <c r="AH569" s="98" t="s">
        <v>169</v>
      </c>
      <c r="AI569" s="82"/>
      <c r="AJ569" s="98"/>
      <c r="AK569" s="83">
        <v>111</v>
      </c>
      <c r="AL569" s="84" t="str">
        <f>IF(F569&lt;&gt;0,IF(_xlfn.MAXIFS($I$1:I569,$F$1:F569,F569,$H$1:H569,"&gt;"&amp;0)=0,"KM NÃO ENCONTRADO",IF(H569=0,CONCATENATE("SUGESTÃO DE KM PARA PLACA ",F569," *",_xlfn.MAXIFS($I$1:I569,$F$1:F569,F569,$H$1:H569,"&gt;"&amp;0),"*"),"")),"")</f>
        <v/>
      </c>
      <c r="AM569" s="85" t="str" cm="1">
        <f t="array" ref="AM569">IFERROR(IF(M569&lt;&gt;"","",CONCATENATE("https://btx.brasiltrack.com/logistica/trajeto.php?idveiculo=",VLOOKUP(F569,DATAS!$A$221:$B$250,2,FALSE),"&amp;lat=-22.204247","&amp;data_ini=",TEXT(IF(E569&lt;&gt;"",IF(COUNTIF($F$2:$F569,F569)&gt;1,MAX(IF($F$1:$F568=F569,$E$1:$E568)),""),""),"DD/MM/AAAA"),"&amp;data_fim=",TEXT(E569,"DD/MM/AAAA"),"&amp;hora_inicial=",HOUR(IF(E569&lt;&gt;"",IF(COUNTIF($F$2:$F569,F569)&gt;1,MAX(IF($F$1:$F568=F569,$E$1:$E568)),""),"")),"&amp;minuto_inicial=",MINUTE(IF(E569&lt;&gt;"",IF(COUNTIF($F$2:$F569,F569)&gt;1,MAX(IF($F$1:$F568=F569,$E$1:$E568)),""),"")),"&amp;hora_final=",HOUR(E569),"&amp;minuto_final=",MINUTE(E569),"&amp;periodo=6&amp;tipo=por_data&amp;upos=false&amp;outequip=0")),"")</f>
        <v/>
      </c>
      <c r="AN569" s="100" t="str">
        <f t="shared" si="68"/>
        <v xml:space="preserve">ABASTECEU no PICA PAU NORTE PASSOU em OSASCO-SP DESCARREGOU em SANTOS-SP CARREGOU em SANTOS-SP PASSOU em SÃO PAULO-SP DESCARREGOU em TRES CORACOES-MG PASSOU em FORMIGA-MG  </v>
      </c>
    </row>
    <row r="570" spans="1:40" x14ac:dyDescent="0.25">
      <c r="A570" s="101">
        <f>IFERROR(VLOOKUP(AN570,ROTAS!$A:$B,2,FALSE),0)</f>
        <v>171</v>
      </c>
      <c r="B570" s="101">
        <f t="shared" si="77"/>
        <v>1</v>
      </c>
      <c r="C570" s="101">
        <f t="shared" si="78"/>
        <v>930</v>
      </c>
      <c r="D570" s="211">
        <v>44927</v>
      </c>
      <c r="E570" s="76">
        <v>44959.4375</v>
      </c>
      <c r="F570" s="6" t="s">
        <v>126</v>
      </c>
      <c r="G570" s="5" t="str">
        <f>IFERROR(VLOOKUP(SUMIFS(MSOLICITADA!$I:$I,MSOLICITADA!$B:$B,D570,MSOLICITADA!$F:$F,F570),CODIGOSPLACAS!$A$64:$B$89,2,FALSE),"")</f>
        <v>IZAIAS</v>
      </c>
      <c r="H570" s="77">
        <v>498442</v>
      </c>
      <c r="I570" s="77">
        <v>499372</v>
      </c>
      <c r="J570" s="7">
        <v>508.2</v>
      </c>
      <c r="K570" s="78">
        <v>2937.3960000000002</v>
      </c>
      <c r="L570" s="79" t="s">
        <v>112</v>
      </c>
      <c r="M570" s="6">
        <v>780</v>
      </c>
      <c r="N570" s="5">
        <f t="shared" si="64"/>
        <v>150</v>
      </c>
      <c r="O570" s="80">
        <f t="shared" si="65"/>
        <v>5.78</v>
      </c>
      <c r="P570" s="8">
        <f t="shared" si="66"/>
        <v>1.8299881936245572</v>
      </c>
      <c r="Q570" s="8">
        <f t="shared" si="71"/>
        <v>1.5602257971131808</v>
      </c>
      <c r="R570" s="81">
        <f t="shared" si="67"/>
        <v>0.83870967741935487</v>
      </c>
      <c r="S570" s="113" t="str">
        <f>IF(F570="","",IF(H570="",TEXT(_xlfn.MAXIFS($I$1:I570,$F$1:F570,F570,$H$1:H570,"&gt;"&amp;0),"000.000"),F570))</f>
        <v>GHX4D71</v>
      </c>
      <c r="T570" s="101">
        <f t="shared" si="72"/>
        <v>150</v>
      </c>
      <c r="U570" s="82" t="s">
        <v>220</v>
      </c>
      <c r="V570" s="121" t="s">
        <v>227</v>
      </c>
      <c r="W570" s="82" t="s">
        <v>222</v>
      </c>
      <c r="X570" s="98" t="s">
        <v>171</v>
      </c>
      <c r="Y570" s="82" t="s">
        <v>221</v>
      </c>
      <c r="Z570" s="98" t="s">
        <v>2417</v>
      </c>
      <c r="AA570" s="82" t="s">
        <v>220</v>
      </c>
      <c r="AB570" s="98" t="s">
        <v>206</v>
      </c>
      <c r="AC570" s="82"/>
      <c r="AD570" s="98"/>
      <c r="AE570" s="82"/>
      <c r="AF570" s="98"/>
      <c r="AG570" s="82"/>
      <c r="AH570" s="98"/>
      <c r="AI570" s="82"/>
      <c r="AJ570" s="98"/>
      <c r="AK570" s="83"/>
      <c r="AL570" s="84" t="str">
        <f>IF(F570&lt;&gt;0,IF(_xlfn.MAXIFS($I$1:I570,$F$1:F570,F570,$H$1:H570,"&gt;"&amp;0)=0,"KM NÃO ENCONTRADO",IF(H570=0,CONCATENATE("SUGESTÃO DE KM PARA PLACA ",F570," *",_xlfn.MAXIFS($I$1:I570,$F$1:F570,F570,$H$1:H570,"&gt;"&amp;0),"*"),"")),"")</f>
        <v/>
      </c>
      <c r="AM570" s="85" t="str" cm="1">
        <f t="array" ref="AM570">IFERROR(IF(M570&lt;&gt;"","",CONCATENATE("https://btx.brasiltrack.com/logistica/trajeto.php?idveiculo=",VLOOKUP(F570,DATAS!$A$221:$B$250,2,FALSE),"&amp;lat=-22.204247","&amp;data_ini=",TEXT(IF(E570&lt;&gt;"",IF(COUNTIF($F$2:$F570,F570)&gt;1,MAX(IF($F$1:$F569=F570,$E$1:$E569)),""),""),"DD/MM/AAAA"),"&amp;data_fim=",TEXT(E570,"DD/MM/AAAA"),"&amp;hora_inicial=",HOUR(IF(E570&lt;&gt;"",IF(COUNTIF($F$2:$F570,F570)&gt;1,MAX(IF($F$1:$F569=F570,$E$1:$E569)),""),"")),"&amp;minuto_inicial=",MINUTE(IF(E570&lt;&gt;"",IF(COUNTIF($F$2:$F570,F570)&gt;1,MAX(IF($F$1:$F569=F570,$E$1:$E569)),""),"")),"&amp;hora_final=",HOUR(E570),"&amp;minuto_final=",MINUTE(E570),"&amp;periodo=6&amp;tipo=por_data&amp;upos=false&amp;outequip=0")),"")</f>
        <v/>
      </c>
      <c r="AN570" s="100" t="str">
        <f t="shared" si="68"/>
        <v xml:space="preserve">ABASTECEU no PICA PAU NORTE DESCARREGOU em IGUATAMA-MG CARREGOU em IBIA-MG ABASTECEU no CANDEIAS-MG        </v>
      </c>
    </row>
    <row r="571" spans="1:40" x14ac:dyDescent="0.25">
      <c r="A571" s="101">
        <f>IFERROR(VLOOKUP(AN571,ROTAS!$A:$B,2,FALSE),0)</f>
        <v>172</v>
      </c>
      <c r="B571" s="101">
        <f t="shared" si="77"/>
        <v>1</v>
      </c>
      <c r="C571" s="101">
        <f t="shared" si="78"/>
        <v>194</v>
      </c>
      <c r="D571" s="207">
        <v>44958</v>
      </c>
      <c r="E571" s="76">
        <v>44959.527777777781</v>
      </c>
      <c r="F571" s="6" t="s">
        <v>31</v>
      </c>
      <c r="G571" s="5" t="str">
        <f>IFERROR(VLOOKUP(SUMIFS(MSOLICITADA!$I:$I,MSOLICITADA!$B:$B,D571,MSOLICITADA!$F:$F,F571),CODIGOSPLACAS!$A$64:$B$89,2,FALSE),"")</f>
        <v>CELIO</v>
      </c>
      <c r="H571" s="77">
        <v>210838</v>
      </c>
      <c r="I571" s="77">
        <v>211032</v>
      </c>
      <c r="J571" s="7">
        <v>101.9</v>
      </c>
      <c r="K571" s="78">
        <v>588.98200000000008</v>
      </c>
      <c r="L571" s="79" t="s">
        <v>112</v>
      </c>
      <c r="M571" s="6">
        <v>97</v>
      </c>
      <c r="N571" s="5">
        <f t="shared" si="64"/>
        <v>97</v>
      </c>
      <c r="O571" s="80">
        <f t="shared" si="65"/>
        <v>5.78</v>
      </c>
      <c r="P571" s="8">
        <f t="shared" si="66"/>
        <v>1.903827281648675</v>
      </c>
      <c r="Q571" s="8">
        <f t="shared" si="71"/>
        <v>1.5449594309214183</v>
      </c>
      <c r="R571" s="81">
        <f t="shared" si="67"/>
        <v>0.5</v>
      </c>
      <c r="S571" s="113" t="str">
        <f>IF(F571="","",IF(H571="",TEXT(_xlfn.MAXIFS($I$1:I571,$F$1:F571,F571,$H$1:H571,"&gt;"&amp;0),"000.000"),F571))</f>
        <v>GGZ3G38</v>
      </c>
      <c r="T571" s="101">
        <f t="shared" si="72"/>
        <v>97</v>
      </c>
      <c r="U571" s="82" t="s">
        <v>220</v>
      </c>
      <c r="V571" s="98" t="s">
        <v>206</v>
      </c>
      <c r="W571" s="82" t="s">
        <v>221</v>
      </c>
      <c r="X571" s="98" t="s">
        <v>169</v>
      </c>
      <c r="Y571" s="82" t="s">
        <v>220</v>
      </c>
      <c r="Z571" s="98" t="s">
        <v>206</v>
      </c>
      <c r="AA571" s="82"/>
      <c r="AB571" s="98"/>
      <c r="AC571" s="82"/>
      <c r="AD571" s="98"/>
      <c r="AE571" s="82"/>
      <c r="AF571" s="98"/>
      <c r="AG571" s="82"/>
      <c r="AH571" s="98"/>
      <c r="AI571" s="82"/>
      <c r="AJ571" s="98"/>
      <c r="AK571" s="83"/>
      <c r="AL571" s="84" t="str">
        <f>IF(F571&lt;&gt;0,IF(_xlfn.MAXIFS($I$1:I571,$F$1:F571,F571,$H$1:H571,"&gt;"&amp;0)=0,"KM NÃO ENCONTRADO",IF(H571=0,CONCATENATE("SUGESTÃO DE KM PARA PLACA ",F571," *",_xlfn.MAXIFS($I$1:I571,$F$1:F571,F571,$H$1:H571,"&gt;"&amp;0),"*"),"")),"")</f>
        <v/>
      </c>
      <c r="AM571" s="85" t="str" cm="1">
        <f t="array" ref="AM571">IFERROR(IF(M571&lt;&gt;"","",CONCATENATE("https://btx.brasiltrack.com/logistica/trajeto.php?idveiculo=",VLOOKUP(F571,DATAS!$A$221:$B$250,2,FALSE),"&amp;lat=-22.204247","&amp;data_ini=",TEXT(IF(E571&lt;&gt;"",IF(COUNTIF($F$2:$F571,F571)&gt;1,MAX(IF($F$1:$F570=F571,$E$1:$E570)),""),""),"DD/MM/AAAA"),"&amp;data_fim=",TEXT(E571,"DD/MM/AAAA"),"&amp;hora_inicial=",HOUR(IF(E571&lt;&gt;"",IF(COUNTIF($F$2:$F571,F571)&gt;1,MAX(IF($F$1:$F570=F571,$E$1:$E570)),""),"")),"&amp;minuto_inicial=",MINUTE(IF(E571&lt;&gt;"",IF(COUNTIF($F$2:$F571,F571)&gt;1,MAX(IF($F$1:$F570=F571,$E$1:$E570)),""),"")),"&amp;hora_final=",HOUR(E571),"&amp;minuto_final=",MINUTE(E571),"&amp;periodo=6&amp;tipo=por_data&amp;upos=false&amp;outequip=0")),"")</f>
        <v/>
      </c>
      <c r="AN571" s="100" t="str">
        <f t="shared" si="68"/>
        <v xml:space="preserve">ABASTECEU no CANDEIAS-MG CARREGOU em FORMIGA-MG ABASTECEU no CANDEIAS-MG          </v>
      </c>
    </row>
    <row r="572" spans="1:40" x14ac:dyDescent="0.25">
      <c r="A572" s="101">
        <f>IFERROR(VLOOKUP(AN572,ROTAS!$A:$B,2,FALSE),0)</f>
        <v>173</v>
      </c>
      <c r="B572" s="101">
        <f t="shared" ref="B572:B584" si="79">COUNTIFS(A:A,A572)</f>
        <v>1</v>
      </c>
      <c r="C572" s="101">
        <f t="shared" ref="C572:C584" si="80">(SUMIFS(M:M,A:A,A572)+SUMIFS(N:N,A:A,A572))/B572</f>
        <v>713</v>
      </c>
      <c r="D572" s="211">
        <v>44958</v>
      </c>
      <c r="E572" s="76">
        <v>44959.79583333333</v>
      </c>
      <c r="F572" s="6" t="s">
        <v>26</v>
      </c>
      <c r="G572" s="5" t="str">
        <f>IFERROR(VLOOKUP(SUMIFS(MSOLICITADA!$I:$I,MSOLICITADA!$B:$B,D572,MSOLICITADA!$F:$F,F572),CODIGOSPLACAS!$A$64:$B$89,2,FALSE),"")</f>
        <v>DIEGO</v>
      </c>
      <c r="H572" s="77">
        <v>406563</v>
      </c>
      <c r="I572" s="77">
        <v>407276</v>
      </c>
      <c r="J572" s="7">
        <v>545</v>
      </c>
      <c r="K572" s="78">
        <v>3264.55</v>
      </c>
      <c r="L572" s="79" t="s">
        <v>111</v>
      </c>
      <c r="M572" s="6">
        <v>567</v>
      </c>
      <c r="N572" s="5">
        <f t="shared" si="64"/>
        <v>146</v>
      </c>
      <c r="O572" s="80">
        <f t="shared" si="65"/>
        <v>5.99</v>
      </c>
      <c r="P572" s="8">
        <f t="shared" si="66"/>
        <v>1.308256880733945</v>
      </c>
      <c r="Q572" s="8">
        <f t="shared" si="71"/>
        <v>1.308256880733945</v>
      </c>
      <c r="R572" s="81">
        <f t="shared" si="67"/>
        <v>0.79523141654978957</v>
      </c>
      <c r="S572" s="113" t="str">
        <f>IF(F572="","",IF(H572="",TEXT(_xlfn.MAXIFS($I$1:I572,$F$1:F572,F572,$H$1:H572,"&gt;"&amp;0),"000.000"),F572))</f>
        <v>BZA3587</v>
      </c>
      <c r="T572" s="101">
        <f t="shared" si="72"/>
        <v>146</v>
      </c>
      <c r="U572" s="82" t="s">
        <v>220</v>
      </c>
      <c r="V572" s="98" t="s">
        <v>219</v>
      </c>
      <c r="W572" s="82" t="s">
        <v>222</v>
      </c>
      <c r="X572" s="98" t="s">
        <v>176</v>
      </c>
      <c r="Y572" s="82" t="s">
        <v>221</v>
      </c>
      <c r="Z572" s="98" t="s">
        <v>185</v>
      </c>
      <c r="AA572" s="82" t="s">
        <v>220</v>
      </c>
      <c r="AB572" s="98" t="s">
        <v>217</v>
      </c>
      <c r="AC572" s="82"/>
      <c r="AD572" s="98"/>
      <c r="AE572" s="82"/>
      <c r="AF572" s="98"/>
      <c r="AG572" s="82"/>
      <c r="AH572" s="98"/>
      <c r="AI572" s="82"/>
      <c r="AJ572" s="98"/>
      <c r="AK572" s="83"/>
      <c r="AL572" s="84" t="str">
        <f>IF(F572&lt;&gt;0,IF(_xlfn.MAXIFS($I$1:I572,$F$1:F572,F572,$H$1:H572,"&gt;"&amp;0)=0,"KM NÃO ENCONTRADO",IF(H572=0,CONCATENATE("SUGESTÃO DE KM PARA PLACA ",F572," *",_xlfn.MAXIFS($I$1:I572,$F$1:F572,F572,$H$1:H572,"&gt;"&amp;0),"*"),"")),"")</f>
        <v/>
      </c>
      <c r="AM572" s="85" t="str" cm="1">
        <f t="array" ref="AM572">IFERROR(IF(M572&lt;&gt;"","",CONCATENATE("https://btx.brasiltrack.com/logistica/trajeto.php?idveiculo=",VLOOKUP(F572,DATAS!$A$221:$B$250,2,FALSE),"&amp;lat=-22.204247","&amp;data_ini=",TEXT(IF(E572&lt;&gt;"",IF(COUNTIF($F$2:$F572,F572)&gt;1,MAX(IF($F$1:$F571=F572,$E$1:$E571)),""),""),"DD/MM/AAAA"),"&amp;data_fim=",TEXT(E572,"DD/MM/AAAA"),"&amp;hora_inicial=",HOUR(IF(E572&lt;&gt;"",IF(COUNTIF($F$2:$F572,F572)&gt;1,MAX(IF($F$1:$F571=F572,$E$1:$E571)),""),"")),"&amp;minuto_inicial=",MINUTE(IF(E572&lt;&gt;"",IF(COUNTIF($F$2:$F572,F572)&gt;1,MAX(IF($F$1:$F571=F572,$E$1:$E571)),""),"")),"&amp;hora_final=",HOUR(E572),"&amp;minuto_final=",MINUTE(E572),"&amp;periodo=6&amp;tipo=por_data&amp;upos=false&amp;outequip=0")),"")</f>
        <v/>
      </c>
      <c r="AN572" s="100" t="str">
        <f t="shared" si="68"/>
        <v xml:space="preserve">ABASTECEU no DP ATIBAIA NORTE DESCARREGOU em ALFENAS-MG CARREGOU em PASSOS-MG ABASTECEU no DP JK SUL        </v>
      </c>
    </row>
    <row r="573" spans="1:40" x14ac:dyDescent="0.25">
      <c r="A573" s="101">
        <f>IFERROR(VLOOKUP(AN573,ROTAS!$A:$B,2,FALSE),0)</f>
        <v>123</v>
      </c>
      <c r="B573" s="101">
        <f t="shared" si="79"/>
        <v>2</v>
      </c>
      <c r="C573" s="101">
        <f t="shared" si="80"/>
        <v>835</v>
      </c>
      <c r="D573" s="211">
        <v>44927</v>
      </c>
      <c r="E573" s="76">
        <v>44959.875</v>
      </c>
      <c r="F573" s="6" t="s">
        <v>128</v>
      </c>
      <c r="G573" s="5" t="str">
        <f>IFERROR(VLOOKUP(SUMIFS(MSOLICITADA!$I:$I,MSOLICITADA!$B:$B,D573,MSOLICITADA!$F:$F,F573),CODIGOSPLACAS!$A$64:$B$89,2,FALSE),"")</f>
        <v>ELI RICARDO</v>
      </c>
      <c r="H573" s="77">
        <v>100481</v>
      </c>
      <c r="I573" s="77">
        <v>101312</v>
      </c>
      <c r="J573" s="7">
        <v>478</v>
      </c>
      <c r="K573" s="78">
        <v>2911.02</v>
      </c>
      <c r="L573" s="79" t="s">
        <v>111</v>
      </c>
      <c r="M573" s="6">
        <v>415</v>
      </c>
      <c r="N573" s="5">
        <f t="shared" si="64"/>
        <v>416</v>
      </c>
      <c r="O573" s="80">
        <f t="shared" si="65"/>
        <v>6.09</v>
      </c>
      <c r="P573" s="8">
        <f t="shared" si="66"/>
        <v>1.7384937238493723</v>
      </c>
      <c r="Q573" s="8">
        <f t="shared" si="71"/>
        <v>1.7619806950171255</v>
      </c>
      <c r="R573" s="81">
        <f t="shared" si="67"/>
        <v>0.49939831528279183</v>
      </c>
      <c r="S573" s="113" t="str">
        <f>IF(F573="","",IF(H573="",TEXT(_xlfn.MAXIFS($I$1:I573,$F$1:F573,F573,$H$1:H573,"&gt;"&amp;0),"000.000"),F573))</f>
        <v>GFR0D47</v>
      </c>
      <c r="T573" s="101">
        <f t="shared" si="72"/>
        <v>417.5</v>
      </c>
      <c r="U573" s="82" t="s">
        <v>220</v>
      </c>
      <c r="V573" s="98" t="s">
        <v>165</v>
      </c>
      <c r="W573" s="82" t="s">
        <v>222</v>
      </c>
      <c r="X573" s="98" t="s">
        <v>201</v>
      </c>
      <c r="Y573" s="82" t="s">
        <v>225</v>
      </c>
      <c r="Z573" s="98" t="s">
        <v>237</v>
      </c>
      <c r="AA573" s="82" t="s">
        <v>221</v>
      </c>
      <c r="AB573" s="98" t="s">
        <v>168</v>
      </c>
      <c r="AC573" s="82" t="s">
        <v>225</v>
      </c>
      <c r="AD573" s="98" t="s">
        <v>237</v>
      </c>
      <c r="AE573" s="82" t="s">
        <v>220</v>
      </c>
      <c r="AF573" s="98" t="s">
        <v>165</v>
      </c>
      <c r="AG573" s="82"/>
      <c r="AH573" s="98"/>
      <c r="AI573" s="82"/>
      <c r="AJ573" s="98"/>
      <c r="AK573" s="83"/>
      <c r="AL573" s="84" t="str">
        <f>IF(F573&lt;&gt;0,IF(_xlfn.MAXIFS($I$1:I573,$F$1:F573,F573,$H$1:H573,"&gt;"&amp;0)=0,"KM NÃO ENCONTRADO",IF(H573=0,CONCATENATE("SUGESTÃO DE KM PARA PLACA ",F573," *",_xlfn.MAXIFS($I$1:I573,$F$1:F573,F573,$H$1:H573,"&gt;"&amp;0),"*"),"")),"")</f>
        <v/>
      </c>
      <c r="AM573" s="85" t="str" cm="1">
        <f t="array" ref="AM573">IFERROR(IF(M573&lt;&gt;"","",CONCATENATE("https://btx.brasiltrack.com/logistica/trajeto.php?idveiculo=",VLOOKUP(F573,DATAS!$A$221:$B$250,2,FALSE),"&amp;lat=-22.204247","&amp;data_ini=",TEXT(IF(E573&lt;&gt;"",IF(COUNTIF($F$2:$F573,F573)&gt;1,MAX(IF($F$1:$F572=F573,$E$1:$E572)),""),""),"DD/MM/AAAA"),"&amp;data_fim=",TEXT(E573,"DD/MM/AAAA"),"&amp;hora_inicial=",HOUR(IF(E573&lt;&gt;"",IF(COUNTIF($F$2:$F573,F573)&gt;1,MAX(IF($F$1:$F572=F573,$E$1:$E572)),""),"")),"&amp;minuto_inicial=",MINUTE(IF(E573&lt;&gt;"",IF(COUNTIF($F$2:$F573,F573)&gt;1,MAX(IF($F$1:$F572=F573,$E$1:$E572)),""),"")),"&amp;hora_final=",HOUR(E573),"&amp;minuto_final=",MINUTE(E573),"&amp;periodo=6&amp;tipo=por_data&amp;upos=false&amp;outequip=0")),"")</f>
        <v/>
      </c>
      <c r="AN573" s="100" t="str">
        <f t="shared" si="68"/>
        <v xml:space="preserve">ABASTECEU no 22 NORTE DESCARREGOU em TRES CORACOES-MG PASSOU em ARUJÁ-SP CARREGOU em CUBATAO-SP PASSOU em ARUJÁ-SP ABASTECEU no 22 NORTE    </v>
      </c>
    </row>
    <row r="574" spans="1:40" x14ac:dyDescent="0.25">
      <c r="A574" s="101">
        <f>IFERROR(VLOOKUP(AN574,ROTAS!$A:$B,2,FALSE),0)</f>
        <v>121</v>
      </c>
      <c r="B574" s="101">
        <f t="shared" si="79"/>
        <v>6</v>
      </c>
      <c r="C574" s="101">
        <f t="shared" si="80"/>
        <v>679.83333333333337</v>
      </c>
      <c r="D574" s="211">
        <v>44927</v>
      </c>
      <c r="E574" s="76">
        <v>44959.88958333333</v>
      </c>
      <c r="F574" s="6" t="s">
        <v>124</v>
      </c>
      <c r="G574" s="5" t="str">
        <f>IFERROR(VLOOKUP(SUMIFS(MSOLICITADA!$I:$I,MSOLICITADA!$B:$B,D574,MSOLICITADA!$F:$F,F574),CODIGOSPLACAS!$A$64:$B$89,2,FALSE),"")</f>
        <v>ISRAEL</v>
      </c>
      <c r="H574" s="77">
        <v>147516</v>
      </c>
      <c r="I574" s="77">
        <v>148199</v>
      </c>
      <c r="J574" s="7">
        <v>401.59100000000001</v>
      </c>
      <c r="K574" s="78">
        <v>2445.6799999999998</v>
      </c>
      <c r="L574" s="79" t="s">
        <v>111</v>
      </c>
      <c r="M574" s="6">
        <v>341</v>
      </c>
      <c r="N574" s="5">
        <f t="shared" si="64"/>
        <v>342</v>
      </c>
      <c r="O574" s="80">
        <f t="shared" si="65"/>
        <v>6.0899771160210259</v>
      </c>
      <c r="P574" s="8">
        <f t="shared" si="66"/>
        <v>1.7007353252438426</v>
      </c>
      <c r="Q574" s="8">
        <f t="shared" si="71"/>
        <v>1.6528367477149088</v>
      </c>
      <c r="R574" s="81">
        <f t="shared" si="67"/>
        <v>0.49926793557833088</v>
      </c>
      <c r="S574" s="113" t="str">
        <f>IF(F574="","",IF(H574="",TEXT(_xlfn.MAXIFS($I$1:I574,$F$1:F574,F574,$H$1:H574,"&gt;"&amp;0),"000.000"),F574))</f>
        <v>GHH9B64</v>
      </c>
      <c r="T574" s="101">
        <f t="shared" si="72"/>
        <v>339.83333333333331</v>
      </c>
      <c r="U574" s="82" t="s">
        <v>220</v>
      </c>
      <c r="V574" s="98" t="s">
        <v>165</v>
      </c>
      <c r="W574" s="82" t="s">
        <v>222</v>
      </c>
      <c r="X574" s="98" t="s">
        <v>200</v>
      </c>
      <c r="Y574" s="82" t="s">
        <v>225</v>
      </c>
      <c r="Z574" s="98" t="s">
        <v>237</v>
      </c>
      <c r="AA574" s="82" t="s">
        <v>221</v>
      </c>
      <c r="AB574" s="98" t="s">
        <v>168</v>
      </c>
      <c r="AC574" s="82" t="s">
        <v>225</v>
      </c>
      <c r="AD574" s="98" t="s">
        <v>237</v>
      </c>
      <c r="AE574" s="82" t="s">
        <v>220</v>
      </c>
      <c r="AF574" s="98" t="s">
        <v>165</v>
      </c>
      <c r="AG574" s="82"/>
      <c r="AH574" s="98"/>
      <c r="AI574" s="82"/>
      <c r="AJ574" s="98"/>
      <c r="AK574" s="83"/>
      <c r="AL574" s="84" t="str">
        <f>IF(F574&lt;&gt;0,IF(_xlfn.MAXIFS($I$1:I574,$F$1:F574,F574,$H$1:H574,"&gt;"&amp;0)=0,"KM NÃO ENCONTRADO",IF(H574=0,CONCATENATE("SUGESTÃO DE KM PARA PLACA ",F574," *",_xlfn.MAXIFS($I$1:I574,$F$1:F574,F574,$H$1:H574,"&gt;"&amp;0),"*"),"")),"")</f>
        <v/>
      </c>
      <c r="AM574" s="85" t="str" cm="1">
        <f t="array" ref="AM574">IFERROR(IF(M574&lt;&gt;"","",CONCATENATE("https://btx.brasiltrack.com/logistica/trajeto.php?idveiculo=",VLOOKUP(F574,DATAS!$A$221:$B$250,2,FALSE),"&amp;lat=-22.204247","&amp;data_ini=",TEXT(IF(E574&lt;&gt;"",IF(COUNTIF($F$2:$F574,F574)&gt;1,MAX(IF($F$1:$F573=F574,$E$1:$E573)),""),""),"DD/MM/AAAA"),"&amp;data_fim=",TEXT(E574,"DD/MM/AAAA"),"&amp;hora_inicial=",HOUR(IF(E574&lt;&gt;"",IF(COUNTIF($F$2:$F574,F574)&gt;1,MAX(IF($F$1:$F573=F574,$E$1:$E573)),""),"")),"&amp;minuto_inicial=",MINUTE(IF(E574&lt;&gt;"",IF(COUNTIF($F$2:$F574,F574)&gt;1,MAX(IF($F$1:$F573=F574,$E$1:$E573)),""),"")),"&amp;hora_final=",HOUR(E574),"&amp;minuto_final=",MINUTE(E574),"&amp;periodo=6&amp;tipo=por_data&amp;upos=false&amp;outequip=0")),"")</f>
        <v/>
      </c>
      <c r="AN574" s="100" t="str">
        <f t="shared" si="68"/>
        <v xml:space="preserve">ABASTECEU no 22 NORTE DESCARREGOU em CONGONHAL-MG PASSOU em ARUJÁ-SP CARREGOU em CUBATAO-SP PASSOU em ARUJÁ-SP ABASTECEU no 22 NORTE    </v>
      </c>
    </row>
    <row r="575" spans="1:40" x14ac:dyDescent="0.25">
      <c r="A575" s="101">
        <f>IFERROR(VLOOKUP(AN575,ROTAS!$A:$B,2,FALSE),0)</f>
        <v>79</v>
      </c>
      <c r="B575" s="101">
        <f t="shared" si="79"/>
        <v>5</v>
      </c>
      <c r="C575" s="101">
        <f t="shared" si="80"/>
        <v>807</v>
      </c>
      <c r="D575" s="211">
        <v>44927</v>
      </c>
      <c r="E575" s="76">
        <v>44959.902083333334</v>
      </c>
      <c r="F575" s="6" t="s">
        <v>33</v>
      </c>
      <c r="G575" s="5" t="str">
        <f>IFERROR(VLOOKUP(SUMIFS(MSOLICITADA!$I:$I,MSOLICITADA!$B:$B,D575,MSOLICITADA!$F:$F,F575),CODIGOSPLACAS!$A$64:$B$89,2,FALSE),"")</f>
        <v>JULIO</v>
      </c>
      <c r="H575" s="77">
        <v>172668</v>
      </c>
      <c r="I575" s="77">
        <v>173541</v>
      </c>
      <c r="J575" s="7">
        <v>505.01100000000002</v>
      </c>
      <c r="K575" s="78">
        <v>3075.51</v>
      </c>
      <c r="L575" s="79" t="s">
        <v>111</v>
      </c>
      <c r="M575" s="6">
        <v>496</v>
      </c>
      <c r="N575" s="5">
        <f t="shared" si="64"/>
        <v>377</v>
      </c>
      <c r="O575" s="80">
        <f t="shared" si="65"/>
        <v>6.089986158717335</v>
      </c>
      <c r="P575" s="8">
        <f t="shared" si="66"/>
        <v>1.7286752169754718</v>
      </c>
      <c r="Q575" s="8">
        <f t="shared" si="71"/>
        <v>1.7400327790407339</v>
      </c>
      <c r="R575" s="81">
        <f t="shared" si="67"/>
        <v>0.56815578465062999</v>
      </c>
      <c r="S575" s="113" t="str">
        <f>IF(F575="","",IF(H575="",TEXT(_xlfn.MAXIFS($I$1:I575,$F$1:F575,F575,$H$1:H575,"&gt;"&amp;0),"000.000"),F575))</f>
        <v>GGF7G26</v>
      </c>
      <c r="T575" s="101">
        <f t="shared" si="72"/>
        <v>377</v>
      </c>
      <c r="U575" s="82" t="s">
        <v>220</v>
      </c>
      <c r="V575" s="98" t="s">
        <v>165</v>
      </c>
      <c r="W575" s="82" t="s">
        <v>222</v>
      </c>
      <c r="X575" s="98" t="s">
        <v>201</v>
      </c>
      <c r="Y575" s="82" t="s">
        <v>225</v>
      </c>
      <c r="Z575" s="98" t="s">
        <v>284</v>
      </c>
      <c r="AA575" s="82" t="s">
        <v>221</v>
      </c>
      <c r="AB575" s="98" t="s">
        <v>168</v>
      </c>
      <c r="AC575" s="82" t="s">
        <v>225</v>
      </c>
      <c r="AD575" s="98" t="s">
        <v>237</v>
      </c>
      <c r="AE575" s="82" t="s">
        <v>220</v>
      </c>
      <c r="AF575" s="98" t="s">
        <v>165</v>
      </c>
      <c r="AG575" s="82"/>
      <c r="AH575" s="98"/>
      <c r="AI575" s="82"/>
      <c r="AJ575" s="98"/>
      <c r="AK575" s="83"/>
      <c r="AL575" s="84" t="str">
        <f>IF(F575&lt;&gt;0,IF(_xlfn.MAXIFS($I$1:I575,$F$1:F575,F575,$H$1:H575,"&gt;"&amp;0)=0,"KM NÃO ENCONTRADO",IF(H575=0,CONCATENATE("SUGESTÃO DE KM PARA PLACA ",F575," *",_xlfn.MAXIFS($I$1:I575,$F$1:F575,F575,$H$1:H575,"&gt;"&amp;0),"*"),"")),"")</f>
        <v/>
      </c>
      <c r="AM575" s="85" t="str" cm="1">
        <f t="array" ref="AM575">IFERROR(IF(M575&lt;&gt;"","",CONCATENATE("https://btx.brasiltrack.com/logistica/trajeto.php?idveiculo=",VLOOKUP(F575,DATAS!$A$221:$B$250,2,FALSE),"&amp;lat=-22.204247","&amp;data_ini=",TEXT(IF(E575&lt;&gt;"",IF(COUNTIF($F$2:$F575,F575)&gt;1,MAX(IF($F$1:$F574=F575,$E$1:$E574)),""),""),"DD/MM/AAAA"),"&amp;data_fim=",TEXT(E575,"DD/MM/AAAA"),"&amp;hora_inicial=",HOUR(IF(E575&lt;&gt;"",IF(COUNTIF($F$2:$F575,F575)&gt;1,MAX(IF($F$1:$F574=F575,$E$1:$E574)),""),"")),"&amp;minuto_inicial=",MINUTE(IF(E575&lt;&gt;"",IF(COUNTIF($F$2:$F575,F575)&gt;1,MAX(IF($F$1:$F574=F575,$E$1:$E574)),""),"")),"&amp;hora_final=",HOUR(E575),"&amp;minuto_final=",MINUTE(E575),"&amp;periodo=6&amp;tipo=por_data&amp;upos=false&amp;outequip=0")),"")</f>
        <v/>
      </c>
      <c r="AN575" s="100" t="str">
        <f t="shared" si="68"/>
        <v xml:space="preserve">ABASTECEU no 22 NORTE DESCARREGOU em TRES CORACOES-MG PASSOU em SÃO PAULO-SP CARREGOU em CUBATAO-SP PASSOU em ARUJÁ-SP ABASTECEU no 22 NORTE    </v>
      </c>
    </row>
    <row r="576" spans="1:40" x14ac:dyDescent="0.25">
      <c r="A576" s="101">
        <f>IFERROR(VLOOKUP(AN576,ROTAS!$A:$B,2,FALSE),0)</f>
        <v>174</v>
      </c>
      <c r="B576" s="101">
        <f t="shared" si="79"/>
        <v>1</v>
      </c>
      <c r="C576" s="101">
        <f t="shared" si="80"/>
        <v>818</v>
      </c>
      <c r="D576" s="211">
        <v>44927</v>
      </c>
      <c r="E576" s="76">
        <v>44959.90902777778</v>
      </c>
      <c r="F576" s="6" t="s">
        <v>127</v>
      </c>
      <c r="G576" s="5" t="str">
        <f>IFERROR(VLOOKUP(SUMIFS(MSOLICITADA!$I:$I,MSOLICITADA!$B:$B,D576,MSOLICITADA!$F:$F,F576),CODIGOSPLACAS!$A$64:$B$89,2,FALSE),"")</f>
        <v>EVERTON</v>
      </c>
      <c r="H576" s="77">
        <v>1239314</v>
      </c>
      <c r="I576" s="77">
        <v>1240132</v>
      </c>
      <c r="J576" s="7">
        <v>512.54</v>
      </c>
      <c r="K576" s="78">
        <v>3121.37</v>
      </c>
      <c r="L576" s="79" t="s">
        <v>111</v>
      </c>
      <c r="M576" s="6">
        <v>748</v>
      </c>
      <c r="N576" s="5">
        <f t="shared" si="64"/>
        <v>70</v>
      </c>
      <c r="O576" s="80">
        <f t="shared" si="65"/>
        <v>6.0900027314941276</v>
      </c>
      <c r="P576" s="8">
        <f t="shared" si="66"/>
        <v>1.5959729972294847</v>
      </c>
      <c r="Q576" s="8">
        <f t="shared" si="71"/>
        <v>1.9701972800245917</v>
      </c>
      <c r="R576" s="81">
        <f t="shared" si="67"/>
        <v>0.91442542787286063</v>
      </c>
      <c r="S576" s="113" t="str">
        <f>IF(F576="","",IF(H576="",TEXT(_xlfn.MAXIFS($I$1:I576,$F$1:F576,F576,$H$1:H576,"&gt;"&amp;0),"000.000"),F576))</f>
        <v>OPM8J51</v>
      </c>
      <c r="T576" s="101">
        <f t="shared" si="72"/>
        <v>70</v>
      </c>
      <c r="U576" s="82" t="s">
        <v>220</v>
      </c>
      <c r="V576" s="98" t="s">
        <v>206</v>
      </c>
      <c r="W576" s="82" t="s">
        <v>221</v>
      </c>
      <c r="X576" s="98" t="s">
        <v>169</v>
      </c>
      <c r="Y576" s="82" t="s">
        <v>225</v>
      </c>
      <c r="Z576" s="98" t="s">
        <v>284</v>
      </c>
      <c r="AA576" s="118" t="s">
        <v>222</v>
      </c>
      <c r="AB576" s="120" t="s">
        <v>175</v>
      </c>
      <c r="AC576" s="82" t="s">
        <v>221</v>
      </c>
      <c r="AD576" s="98" t="s">
        <v>168</v>
      </c>
      <c r="AE576" s="82" t="s">
        <v>225</v>
      </c>
      <c r="AF576" s="98" t="s">
        <v>237</v>
      </c>
      <c r="AG576" s="82" t="s">
        <v>220</v>
      </c>
      <c r="AH576" s="98" t="s">
        <v>165</v>
      </c>
      <c r="AI576" s="82"/>
      <c r="AJ576" s="98"/>
      <c r="AK576" s="83"/>
      <c r="AL576" s="84" t="str">
        <f>IF(F576&lt;&gt;0,IF(_xlfn.MAXIFS($I$1:I576,$F$1:F576,F576,$H$1:H576,"&gt;"&amp;0)=0,"KM NÃO ENCONTRADO",IF(H576=0,CONCATENATE("SUGESTÃO DE KM PARA PLACA ",F576," *",_xlfn.MAXIFS($I$1:I576,$F$1:F576,F576,$H$1:H576,"&gt;"&amp;0),"*"),"")),"")</f>
        <v/>
      </c>
      <c r="AM576" s="85" t="str" cm="1">
        <f t="array" ref="AM576">IFERROR(IF(M576&lt;&gt;"","",CONCATENATE("https://btx.brasiltrack.com/logistica/trajeto.php?idveiculo=",VLOOKUP(F576,DATAS!$A$221:$B$250,2,FALSE),"&amp;lat=-22.204247","&amp;data_ini=",TEXT(IF(E576&lt;&gt;"",IF(COUNTIF($F$2:$F576,F576)&gt;1,MAX(IF($F$1:$F575=F576,$E$1:$E575)),""),""),"DD/MM/AAAA"),"&amp;data_fim=",TEXT(E576,"DD/MM/AAAA"),"&amp;hora_inicial=",HOUR(IF(E576&lt;&gt;"",IF(COUNTIF($F$2:$F576,F576)&gt;1,MAX(IF($F$1:$F575=F576,$E$1:$E575)),""),"")),"&amp;minuto_inicial=",MINUTE(IF(E576&lt;&gt;"",IF(COUNTIF($F$2:$F576,F576)&gt;1,MAX(IF($F$1:$F575=F576,$E$1:$E575)),""),"")),"&amp;hora_final=",HOUR(E576),"&amp;minuto_final=",MINUTE(E576),"&amp;periodo=6&amp;tipo=por_data&amp;upos=false&amp;outequip=0")),"")</f>
        <v/>
      </c>
      <c r="AN576" s="100" t="str">
        <f t="shared" si="68"/>
        <v xml:space="preserve">ABASTECEU no CANDEIAS-MG CARREGOU em FORMIGA-MG PASSOU em SÃO PAULO-SP DESCARREGOU em SANTOS-SP CARREGOU em CUBATAO-SP PASSOU em ARUJÁ-SP ABASTECEU no 22 NORTE  </v>
      </c>
    </row>
    <row r="577" spans="1:40" x14ac:dyDescent="0.25">
      <c r="A577" s="101">
        <f>IFERROR(VLOOKUP(AN577,ROTAS!$A:$B,2,FALSE),0)</f>
        <v>79</v>
      </c>
      <c r="B577" s="101">
        <f t="shared" si="79"/>
        <v>5</v>
      </c>
      <c r="C577" s="101">
        <f t="shared" si="80"/>
        <v>807</v>
      </c>
      <c r="D577" s="211">
        <v>44927</v>
      </c>
      <c r="E577" s="76">
        <v>44959.913888888892</v>
      </c>
      <c r="F577" s="6" t="s">
        <v>131</v>
      </c>
      <c r="G577" s="5" t="str">
        <f>IFERROR(VLOOKUP(SUMIFS(MSOLICITADA!$I:$I,MSOLICITADA!$B:$B,D577,MSOLICITADA!$F:$F,F577),CODIGOSPLACAS!$A$64:$B$89,2,FALSE),"")</f>
        <v>ALTIELIS</v>
      </c>
      <c r="H577" s="77">
        <v>56841</v>
      </c>
      <c r="I577" s="77">
        <v>57611</v>
      </c>
      <c r="J577" s="7">
        <v>454.17</v>
      </c>
      <c r="K577" s="78">
        <v>2765.9</v>
      </c>
      <c r="L577" s="79" t="s">
        <v>111</v>
      </c>
      <c r="M577" s="6">
        <v>393</v>
      </c>
      <c r="N577" s="5">
        <f t="shared" si="64"/>
        <v>377</v>
      </c>
      <c r="O577" s="80">
        <f t="shared" si="65"/>
        <v>6.0900103485479002</v>
      </c>
      <c r="P577" s="8">
        <f t="shared" si="66"/>
        <v>1.6954004007310037</v>
      </c>
      <c r="Q577" s="8">
        <f t="shared" si="71"/>
        <v>1.6793774979959049</v>
      </c>
      <c r="R577" s="81">
        <f t="shared" si="67"/>
        <v>0.51038961038961039</v>
      </c>
      <c r="S577" s="113" t="str">
        <f>IF(F577="","",IF(H577="",TEXT(_xlfn.MAXIFS($I$1:I577,$F$1:F577,F577,$H$1:H577,"&gt;"&amp;0),"000.000"),F577))</f>
        <v>GGN4J86</v>
      </c>
      <c r="T577" s="101">
        <f t="shared" si="72"/>
        <v>377</v>
      </c>
      <c r="U577" s="82" t="s">
        <v>220</v>
      </c>
      <c r="V577" s="98" t="s">
        <v>165</v>
      </c>
      <c r="W577" s="82" t="s">
        <v>222</v>
      </c>
      <c r="X577" s="98" t="s">
        <v>201</v>
      </c>
      <c r="Y577" s="82" t="s">
        <v>225</v>
      </c>
      <c r="Z577" s="98" t="s">
        <v>284</v>
      </c>
      <c r="AA577" s="82" t="s">
        <v>221</v>
      </c>
      <c r="AB577" s="98" t="s">
        <v>168</v>
      </c>
      <c r="AC577" s="82" t="s">
        <v>225</v>
      </c>
      <c r="AD577" s="98" t="s">
        <v>237</v>
      </c>
      <c r="AE577" s="82" t="s">
        <v>220</v>
      </c>
      <c r="AF577" s="98" t="s">
        <v>165</v>
      </c>
      <c r="AG577" s="82"/>
      <c r="AH577" s="98"/>
      <c r="AI577" s="82"/>
      <c r="AJ577" s="98"/>
      <c r="AK577" s="83"/>
      <c r="AL577" s="84" t="str">
        <f>IF(F577&lt;&gt;0,IF(_xlfn.MAXIFS($I$1:I577,$F$1:F577,F577,$H$1:H577,"&gt;"&amp;0)=0,"KM NÃO ENCONTRADO",IF(H577=0,CONCATENATE("SUGESTÃO DE KM PARA PLACA ",F577," *",_xlfn.MAXIFS($I$1:I577,$F$1:F577,F577,$H$1:H577,"&gt;"&amp;0),"*"),"")),"")</f>
        <v/>
      </c>
      <c r="AM577" s="85" t="str" cm="1">
        <f t="array" ref="AM577">IFERROR(IF(M577&lt;&gt;"","",CONCATENATE("https://btx.brasiltrack.com/logistica/trajeto.php?idveiculo=",VLOOKUP(F577,DATAS!$A$221:$B$250,2,FALSE),"&amp;lat=-22.204247","&amp;data_ini=",TEXT(IF(E577&lt;&gt;"",IF(COUNTIF($F$2:$F577,F577)&gt;1,MAX(IF($F$1:$F576=F577,$E$1:$E576)),""),""),"DD/MM/AAAA"),"&amp;data_fim=",TEXT(E577,"DD/MM/AAAA"),"&amp;hora_inicial=",HOUR(IF(E577&lt;&gt;"",IF(COUNTIF($F$2:$F577,F577)&gt;1,MAX(IF($F$1:$F576=F577,$E$1:$E576)),""),"")),"&amp;minuto_inicial=",MINUTE(IF(E577&lt;&gt;"",IF(COUNTIF($F$2:$F577,F577)&gt;1,MAX(IF($F$1:$F576=F577,$E$1:$E576)),""),"")),"&amp;hora_final=",HOUR(E577),"&amp;minuto_final=",MINUTE(E577),"&amp;periodo=6&amp;tipo=por_data&amp;upos=false&amp;outequip=0")),"")</f>
        <v/>
      </c>
      <c r="AN577" s="100" t="str">
        <f t="shared" si="68"/>
        <v xml:space="preserve">ABASTECEU no 22 NORTE DESCARREGOU em TRES CORACOES-MG PASSOU em SÃO PAULO-SP CARREGOU em CUBATAO-SP PASSOU em ARUJÁ-SP ABASTECEU no 22 NORTE    </v>
      </c>
    </row>
    <row r="578" spans="1:40" x14ac:dyDescent="0.25">
      <c r="A578" s="101">
        <f>IFERROR(VLOOKUP(AN578,ROTAS!$A:$B,2,FALSE),0)</f>
        <v>175</v>
      </c>
      <c r="B578" s="101">
        <f t="shared" si="79"/>
        <v>2</v>
      </c>
      <c r="C578" s="101">
        <f t="shared" si="80"/>
        <v>896</v>
      </c>
      <c r="D578" s="211">
        <v>44927</v>
      </c>
      <c r="E578" s="76">
        <v>44959.917361111111</v>
      </c>
      <c r="F578" s="6" t="s">
        <v>32</v>
      </c>
      <c r="G578" s="5" t="str">
        <f>IFERROR(VLOOKUP(SUMIFS(MSOLICITADA!$I:$I,MSOLICITADA!$B:$B,D578,MSOLICITADA!$F:$F,F578),CODIGOSPLACAS!$A$64:$B$89,2,FALSE),"")</f>
        <v>ADILSON</v>
      </c>
      <c r="H578" s="77">
        <v>211466</v>
      </c>
      <c r="I578" s="77">
        <v>212361</v>
      </c>
      <c r="J578" s="7">
        <v>532</v>
      </c>
      <c r="K578" s="78">
        <v>3239.88</v>
      </c>
      <c r="L578" s="79" t="s">
        <v>111</v>
      </c>
      <c r="M578" s="6">
        <v>461</v>
      </c>
      <c r="N578" s="5">
        <f t="shared" si="64"/>
        <v>434</v>
      </c>
      <c r="O578" s="80">
        <f t="shared" si="65"/>
        <v>6.09</v>
      </c>
      <c r="P578" s="8">
        <f t="shared" si="66"/>
        <v>1.6823308270676691</v>
      </c>
      <c r="Q578" s="8">
        <f t="shared" si="71"/>
        <v>1.6695575721559062</v>
      </c>
      <c r="R578" s="81">
        <f t="shared" si="67"/>
        <v>0.51508379888268152</v>
      </c>
      <c r="S578" s="113" t="str">
        <f>IF(F578="","",IF(H578="",TEXT(_xlfn.MAXIFS($I$1:I578,$F$1:F578,F578,$H$1:H578,"&gt;"&amp;0),"000.000"),F578))</f>
        <v>GJU9A22</v>
      </c>
      <c r="T578" s="101">
        <f t="shared" si="72"/>
        <v>434</v>
      </c>
      <c r="U578" s="82" t="s">
        <v>220</v>
      </c>
      <c r="V578" s="98" t="s">
        <v>165</v>
      </c>
      <c r="W578" s="82" t="s">
        <v>222</v>
      </c>
      <c r="X578" s="98" t="s">
        <v>200</v>
      </c>
      <c r="Y578" s="82" t="s">
        <v>221</v>
      </c>
      <c r="Z578" s="98" t="s">
        <v>200</v>
      </c>
      <c r="AA578" s="82" t="s">
        <v>222</v>
      </c>
      <c r="AB578" s="98" t="s">
        <v>176</v>
      </c>
      <c r="AC578" s="82" t="s">
        <v>225</v>
      </c>
      <c r="AD578" s="98" t="s">
        <v>237</v>
      </c>
      <c r="AE578" s="82" t="s">
        <v>221</v>
      </c>
      <c r="AF578" s="98" t="s">
        <v>168</v>
      </c>
      <c r="AG578" s="82" t="s">
        <v>225</v>
      </c>
      <c r="AH578" s="98" t="s">
        <v>237</v>
      </c>
      <c r="AI578" s="82" t="s">
        <v>220</v>
      </c>
      <c r="AJ578" s="98" t="s">
        <v>165</v>
      </c>
      <c r="AK578" s="83"/>
      <c r="AL578" s="84" t="str">
        <f>IF(F578&lt;&gt;0,IF(_xlfn.MAXIFS($I$1:I578,$F$1:F578,F578,$H$1:H578,"&gt;"&amp;0)=0,"KM NÃO ENCONTRADO",IF(H578=0,CONCATENATE("SUGESTÃO DE KM PARA PLACA ",F578," *",_xlfn.MAXIFS($I$1:I578,$F$1:F578,F578,$H$1:H578,"&gt;"&amp;0),"*"),"")),"")</f>
        <v/>
      </c>
      <c r="AM578" s="85" t="str" cm="1">
        <f t="array" ref="AM578">IFERROR(IF(M578&lt;&gt;"","",CONCATENATE("https://btx.brasiltrack.com/logistica/trajeto.php?idveiculo=",VLOOKUP(F578,DATAS!$A$221:$B$250,2,FALSE),"&amp;lat=-22.204247","&amp;data_ini=",TEXT(IF(E578&lt;&gt;"",IF(COUNTIF($F$2:$F578,F578)&gt;1,MAX(IF($F$1:$F577=F578,$E$1:$E577)),""),""),"DD/MM/AAAA"),"&amp;data_fim=",TEXT(E578,"DD/MM/AAAA"),"&amp;hora_inicial=",HOUR(IF(E578&lt;&gt;"",IF(COUNTIF($F$2:$F578,F578)&gt;1,MAX(IF($F$1:$F577=F578,$E$1:$E577)),""),"")),"&amp;minuto_inicial=",MINUTE(IF(E578&lt;&gt;"",IF(COUNTIF($F$2:$F578,F578)&gt;1,MAX(IF($F$1:$F577=F578,$E$1:$E577)),""),"")),"&amp;hora_final=",HOUR(E578),"&amp;minuto_final=",MINUTE(E578),"&amp;periodo=6&amp;tipo=por_data&amp;upos=false&amp;outequip=0")),"")</f>
        <v/>
      </c>
      <c r="AN578" s="100" t="str">
        <f t="shared" si="68"/>
        <v>ABASTECEU no 22 NORTE DESCARREGOU em CONGONHAL-MG CARREGOU em CONGONHAL-MG DESCARREGOU em ALFENAS-MG PASSOU em ARUJÁ-SP CARREGOU em CUBATAO-SP PASSOU em ARUJÁ-SP ABASTECEU no 22 NORTE</v>
      </c>
    </row>
    <row r="579" spans="1:40" x14ac:dyDescent="0.25">
      <c r="A579" s="101">
        <f>IFERROR(VLOOKUP(AN579,ROTAS!$A:$B,2,FALSE),0)</f>
        <v>175</v>
      </c>
      <c r="B579" s="101">
        <f t="shared" si="79"/>
        <v>2</v>
      </c>
      <c r="C579" s="101">
        <f t="shared" si="80"/>
        <v>896</v>
      </c>
      <c r="D579" s="211">
        <v>44927</v>
      </c>
      <c r="E579" s="76">
        <v>44959.924305555556</v>
      </c>
      <c r="F579" s="6" t="s">
        <v>30</v>
      </c>
      <c r="G579" s="5" t="str">
        <f>IFERROR(VLOOKUP(SUMIFS(MSOLICITADA!$I:$I,MSOLICITADA!$B:$B,D579,MSOLICITADA!$F:$F,F579),CODIGOSPLACAS!$A$64:$B$89,2,FALSE),"")</f>
        <v>RONILSON</v>
      </c>
      <c r="H579" s="77">
        <v>228318</v>
      </c>
      <c r="I579" s="77">
        <v>229215</v>
      </c>
      <c r="J579" s="7">
        <v>548</v>
      </c>
      <c r="K579" s="78">
        <v>3337.32</v>
      </c>
      <c r="L579" s="79" t="s">
        <v>111</v>
      </c>
      <c r="M579" s="6">
        <v>463</v>
      </c>
      <c r="N579" s="5">
        <f t="shared" ref="N579:N642" si="81">IF(IF((I579-H579-M579)&lt;0,"ERRO",I579-H579-M579)=0,"",IF((I579-H579-M579)&lt;0,"ERRO",I579-H579-M579))</f>
        <v>434</v>
      </c>
      <c r="O579" s="80">
        <f t="shared" ref="O579:O642" si="82">IFERROR(K579/J579,"")</f>
        <v>6.09</v>
      </c>
      <c r="P579" s="8">
        <f t="shared" ref="P579:P642" si="83">IF(F579&lt;&gt;"",(SUM(M579:N579)-AK579)/(J579-(AK579/5)),0)</f>
        <v>1.6368613138686132</v>
      </c>
      <c r="Q579" s="8">
        <f t="shared" si="71"/>
        <v>1.6205104706314435</v>
      </c>
      <c r="R579" s="81">
        <f t="shared" ref="R579:R642" si="84">IFERROR(IF(M579/(I579-H579)=0,0,M579/(I579-H579)),0)</f>
        <v>0.51616499442586394</v>
      </c>
      <c r="S579" s="113" t="str">
        <f>IF(F579="","",IF(H579="",TEXT(_xlfn.MAXIFS($I$1:I579,$F$1:F579,F579,$H$1:H579,"&gt;"&amp;0),"000.000"),F579))</f>
        <v>GFB0I37</v>
      </c>
      <c r="T579" s="101">
        <f t="shared" si="72"/>
        <v>434</v>
      </c>
      <c r="U579" s="82" t="s">
        <v>220</v>
      </c>
      <c r="V579" s="98" t="s">
        <v>165</v>
      </c>
      <c r="W579" s="82" t="s">
        <v>222</v>
      </c>
      <c r="X579" s="98" t="s">
        <v>200</v>
      </c>
      <c r="Y579" s="82" t="s">
        <v>221</v>
      </c>
      <c r="Z579" s="98" t="s">
        <v>200</v>
      </c>
      <c r="AA579" s="82" t="s">
        <v>222</v>
      </c>
      <c r="AB579" s="98" t="s">
        <v>176</v>
      </c>
      <c r="AC579" s="82" t="s">
        <v>225</v>
      </c>
      <c r="AD579" s="98" t="s">
        <v>237</v>
      </c>
      <c r="AE579" s="82" t="s">
        <v>221</v>
      </c>
      <c r="AF579" s="98" t="s">
        <v>168</v>
      </c>
      <c r="AG579" s="82" t="s">
        <v>225</v>
      </c>
      <c r="AH579" s="98" t="s">
        <v>237</v>
      </c>
      <c r="AI579" s="82" t="s">
        <v>220</v>
      </c>
      <c r="AJ579" s="98" t="s">
        <v>165</v>
      </c>
      <c r="AK579" s="83"/>
      <c r="AL579" s="84" t="str">
        <f>IF(F579&lt;&gt;0,IF(_xlfn.MAXIFS($I$1:I579,$F$1:F579,F579,$H$1:H579,"&gt;"&amp;0)=0,"KM NÃO ENCONTRADO",IF(H579=0,CONCATENATE("SUGESTÃO DE KM PARA PLACA ",F579," *",_xlfn.MAXIFS($I$1:I579,$F$1:F579,F579,$H$1:H579,"&gt;"&amp;0),"*"),"")),"")</f>
        <v/>
      </c>
      <c r="AM579" s="85" t="str" cm="1">
        <f t="array" ref="AM579">IFERROR(IF(M579&lt;&gt;"","",CONCATENATE("https://btx.brasiltrack.com/logistica/trajeto.php?idveiculo=",VLOOKUP(F579,DATAS!$A$221:$B$250,2,FALSE),"&amp;lat=-22.204247","&amp;data_ini=",TEXT(IF(E579&lt;&gt;"",IF(COUNTIF($F$2:$F579,F579)&gt;1,MAX(IF($F$1:$F578=F579,$E$1:$E578)),""),""),"DD/MM/AAAA"),"&amp;data_fim=",TEXT(E579,"DD/MM/AAAA"),"&amp;hora_inicial=",HOUR(IF(E579&lt;&gt;"",IF(COUNTIF($F$2:$F579,F579)&gt;1,MAX(IF($F$1:$F578=F579,$E$1:$E578)),""),"")),"&amp;minuto_inicial=",MINUTE(IF(E579&lt;&gt;"",IF(COUNTIF($F$2:$F579,F579)&gt;1,MAX(IF($F$1:$F578=F579,$E$1:$E578)),""),"")),"&amp;hora_final=",HOUR(E579),"&amp;minuto_final=",MINUTE(E579),"&amp;periodo=6&amp;tipo=por_data&amp;upos=false&amp;outequip=0")),"")</f>
        <v/>
      </c>
      <c r="AN579" s="100" t="str">
        <f t="shared" ref="AN579:AN642" si="85">CONCATENATE(U579," ",V579," ",W579," ",X579," ",Y579," ",Z579," ",AA579," ",AB579," ",AC579," ",AD579," ",AE579," ",AF579," ",AG579," ",AH579," ",AI579," ",AJ579)</f>
        <v>ABASTECEU no 22 NORTE DESCARREGOU em CONGONHAL-MG CARREGOU em CONGONHAL-MG DESCARREGOU em ALFENAS-MG PASSOU em ARUJÁ-SP CARREGOU em CUBATAO-SP PASSOU em ARUJÁ-SP ABASTECEU no 22 NORTE</v>
      </c>
    </row>
    <row r="580" spans="1:40" x14ac:dyDescent="0.25">
      <c r="A580" s="101">
        <f>IFERROR(VLOOKUP(AN580,ROTAS!$A:$B,2,FALSE),0)</f>
        <v>176</v>
      </c>
      <c r="B580" s="101">
        <f t="shared" si="79"/>
        <v>1</v>
      </c>
      <c r="C580" s="101">
        <f t="shared" si="80"/>
        <v>254</v>
      </c>
      <c r="D580" s="211">
        <v>44958</v>
      </c>
      <c r="E580" s="76">
        <v>44959.949305555558</v>
      </c>
      <c r="F580" s="6" t="s">
        <v>31</v>
      </c>
      <c r="G580" s="5" t="str">
        <f>IFERROR(VLOOKUP(SUMIFS(MSOLICITADA!$I:$I,MSOLICITADA!$B:$B,D580,MSOLICITADA!$F:$F,F580),CODIGOSPLACAS!$A$64:$B$89,2,FALSE),"")</f>
        <v>CELIO</v>
      </c>
      <c r="H580" s="77">
        <v>211032</v>
      </c>
      <c r="I580" s="77">
        <v>211286</v>
      </c>
      <c r="J580" s="7">
        <v>620</v>
      </c>
      <c r="K580" s="78">
        <v>3775.8</v>
      </c>
      <c r="L580" s="79" t="s">
        <v>111</v>
      </c>
      <c r="M580" s="6">
        <v>254</v>
      </c>
      <c r="N580" s="5" t="str">
        <f t="shared" si="81"/>
        <v/>
      </c>
      <c r="O580" s="80">
        <f t="shared" si="82"/>
        <v>6.09</v>
      </c>
      <c r="P580" s="8">
        <f t="shared" si="83"/>
        <v>0.4096774193548387</v>
      </c>
      <c r="Q580" s="8">
        <f t="shared" si="71"/>
        <v>1.5449594309214183</v>
      </c>
      <c r="R580" s="81">
        <f t="shared" si="84"/>
        <v>1</v>
      </c>
      <c r="S580" s="113" t="str">
        <f>IF(F580="","",IF(H580="",TEXT(_xlfn.MAXIFS($I$1:I580,$F$1:F580,F580,$H$1:H580,"&gt;"&amp;0),"000.000"),F580))</f>
        <v>GGZ3G38</v>
      </c>
      <c r="T580" s="101" t="str">
        <f t="shared" si="72"/>
        <v/>
      </c>
      <c r="U580" s="82" t="s">
        <v>220</v>
      </c>
      <c r="V580" s="98" t="s">
        <v>206</v>
      </c>
      <c r="W580" s="82" t="s">
        <v>220</v>
      </c>
      <c r="X580" s="98" t="s">
        <v>233</v>
      </c>
      <c r="Y580" s="82"/>
      <c r="Z580" s="98"/>
      <c r="AA580" s="82"/>
      <c r="AB580" s="98"/>
      <c r="AC580" s="82"/>
      <c r="AD580" s="98"/>
      <c r="AE580" s="82"/>
      <c r="AF580" s="98"/>
      <c r="AG580" s="82"/>
      <c r="AH580" s="98"/>
      <c r="AI580" s="82"/>
      <c r="AJ580" s="98"/>
      <c r="AK580" s="83"/>
      <c r="AL580" s="84" t="str">
        <f>IF(F580&lt;&gt;0,IF(_xlfn.MAXIFS($I$1:I580,$F$1:F580,F580,$H$1:H580,"&gt;"&amp;0)=0,"KM NÃO ENCONTRADO",IF(H580=0,CONCATENATE("SUGESTÃO DE KM PARA PLACA ",F580," *",_xlfn.MAXIFS($I$1:I580,$F$1:F580,F580,$H$1:H580,"&gt;"&amp;0),"*"),"")),"")</f>
        <v/>
      </c>
      <c r="AM580" s="85" t="str" cm="1">
        <f t="array" ref="AM580">IFERROR(IF(M580&lt;&gt;"","",CONCATENATE("https://btx.brasiltrack.com/logistica/trajeto.php?idveiculo=",VLOOKUP(F580,DATAS!$A$221:$B$250,2,FALSE),"&amp;lat=-22.204247","&amp;data_ini=",TEXT(IF(E580&lt;&gt;"",IF(COUNTIF($F$2:$F580,F580)&gt;1,MAX(IF($F$1:$F579=F580,$E$1:$E579)),""),""),"DD/MM/AAAA"),"&amp;data_fim=",TEXT(E580,"DD/MM/AAAA"),"&amp;hora_inicial=",HOUR(IF(E580&lt;&gt;"",IF(COUNTIF($F$2:$F580,F580)&gt;1,MAX(IF($F$1:$F579=F580,$E$1:$E579)),""),"")),"&amp;minuto_inicial=",MINUTE(IF(E580&lt;&gt;"",IF(COUNTIF($F$2:$F580,F580)&gt;1,MAX(IF($F$1:$F579=F580,$E$1:$E579)),""),"")),"&amp;hora_final=",HOUR(E580),"&amp;minuto_final=",MINUTE(E580),"&amp;periodo=6&amp;tipo=por_data&amp;upos=false&amp;outequip=0")),"")</f>
        <v/>
      </c>
      <c r="AN580" s="100" t="str">
        <f t="shared" si="85"/>
        <v xml:space="preserve">ABASTECEU no CANDEIAS-MG ABASTECEU no DP ESTIVA            </v>
      </c>
    </row>
    <row r="581" spans="1:40" x14ac:dyDescent="0.25">
      <c r="A581" s="101">
        <f>IFERROR(VLOOKUP(AN581,ROTAS!$A:$B,2,FALSE),0)</f>
        <v>177</v>
      </c>
      <c r="B581" s="101">
        <f t="shared" si="79"/>
        <v>1</v>
      </c>
      <c r="C581" s="101">
        <f t="shared" si="80"/>
        <v>734</v>
      </c>
      <c r="D581" s="211">
        <v>44927</v>
      </c>
      <c r="E581" s="76">
        <v>44959.958333333336</v>
      </c>
      <c r="F581" s="6" t="s">
        <v>27</v>
      </c>
      <c r="G581" s="5" t="str">
        <f>IFERROR(VLOOKUP(SUMIFS(MSOLICITADA!$I:$I,MSOLICITADA!$B:$B,D581,MSOLICITADA!$F:$F,F581),CODIGOSPLACAS!$A$64:$B$89,2,FALSE),"")</f>
        <v>ANTONIO</v>
      </c>
      <c r="H581" s="77">
        <v>257329</v>
      </c>
      <c r="I581" s="77">
        <v>258063</v>
      </c>
      <c r="J581" s="7">
        <v>506</v>
      </c>
      <c r="K581" s="78">
        <v>3081.54</v>
      </c>
      <c r="L581" s="79" t="s">
        <v>111</v>
      </c>
      <c r="M581" s="6">
        <v>552</v>
      </c>
      <c r="N581" s="5">
        <f t="shared" si="81"/>
        <v>182</v>
      </c>
      <c r="O581" s="80">
        <f t="shared" si="82"/>
        <v>6.09</v>
      </c>
      <c r="P581" s="8">
        <f t="shared" si="83"/>
        <v>1.4505928853754941</v>
      </c>
      <c r="Q581" s="8">
        <f t="shared" si="71"/>
        <v>1.4666276036610979</v>
      </c>
      <c r="R581" s="81">
        <f t="shared" si="84"/>
        <v>0.75204359673024523</v>
      </c>
      <c r="S581" s="113" t="str">
        <f>IF(F581="","",IF(H581="",TEXT(_xlfn.MAXIFS($I$1:I581,$F$1:F581,F581,$H$1:H581,"&gt;"&amp;0),"000.000"),F581))</f>
        <v>GHS4J57</v>
      </c>
      <c r="T581" s="101">
        <f t="shared" si="72"/>
        <v>182</v>
      </c>
      <c r="U581" s="82" t="s">
        <v>220</v>
      </c>
      <c r="V581" s="98" t="s">
        <v>165</v>
      </c>
      <c r="W581" s="82" t="s">
        <v>222</v>
      </c>
      <c r="X581" s="98" t="s">
        <v>201</v>
      </c>
      <c r="Y581" s="82" t="s">
        <v>221</v>
      </c>
      <c r="Z581" s="98" t="s">
        <v>169</v>
      </c>
      <c r="AA581" s="82" t="s">
        <v>220</v>
      </c>
      <c r="AB581" s="98" t="s">
        <v>233</v>
      </c>
      <c r="AC581" s="82"/>
      <c r="AD581" s="98"/>
      <c r="AE581" s="82"/>
      <c r="AF581" s="98"/>
      <c r="AG581" s="82"/>
      <c r="AH581" s="98"/>
      <c r="AI581" s="82"/>
      <c r="AJ581" s="98"/>
      <c r="AK581" s="83"/>
      <c r="AL581" s="84" t="str">
        <f>IF(F581&lt;&gt;0,IF(_xlfn.MAXIFS($I$1:I581,$F$1:F581,F581,$H$1:H581,"&gt;"&amp;0)=0,"KM NÃO ENCONTRADO",IF(H581=0,CONCATENATE("SUGESTÃO DE KM PARA PLACA ",F581," *",_xlfn.MAXIFS($I$1:I581,$F$1:F581,F581,$H$1:H581,"&gt;"&amp;0),"*"),"")),"")</f>
        <v/>
      </c>
      <c r="AM581" s="85" t="str" cm="1">
        <f t="array" ref="AM581">IFERROR(IF(M581&lt;&gt;"","",CONCATENATE("https://btx.brasiltrack.com/logistica/trajeto.php?idveiculo=",VLOOKUP(F581,DATAS!$A$221:$B$250,2,FALSE),"&amp;lat=-22.204247","&amp;data_ini=",TEXT(IF(E581&lt;&gt;"",IF(COUNTIF($F$2:$F581,F581)&gt;1,MAX(IF($F$1:$F580=F581,$E$1:$E580)),""),""),"DD/MM/AAAA"),"&amp;data_fim=",TEXT(E581,"DD/MM/AAAA"),"&amp;hora_inicial=",HOUR(IF(E581&lt;&gt;"",IF(COUNTIF($F$2:$F581,F581)&gt;1,MAX(IF($F$1:$F580=F581,$E$1:$E580)),""),"")),"&amp;minuto_inicial=",MINUTE(IF(E581&lt;&gt;"",IF(COUNTIF($F$2:$F581,F581)&gt;1,MAX(IF($F$1:$F580=F581,$E$1:$E580)),""),"")),"&amp;hora_final=",HOUR(E581),"&amp;minuto_final=",MINUTE(E581),"&amp;periodo=6&amp;tipo=por_data&amp;upos=false&amp;outequip=0")),"")</f>
        <v/>
      </c>
      <c r="AN581" s="100" t="str">
        <f t="shared" si="85"/>
        <v xml:space="preserve">ABASTECEU no 22 NORTE DESCARREGOU em TRES CORACOES-MG CARREGOU em FORMIGA-MG ABASTECEU no DP ESTIVA        </v>
      </c>
    </row>
    <row r="582" spans="1:40" x14ac:dyDescent="0.25">
      <c r="A582" s="101">
        <f>IFERROR(VLOOKUP(AN582,ROTAS!$A:$B,2,FALSE),0)</f>
        <v>178</v>
      </c>
      <c r="B582" s="101">
        <f t="shared" si="79"/>
        <v>2</v>
      </c>
      <c r="C582" s="101">
        <f t="shared" si="80"/>
        <v>342</v>
      </c>
      <c r="D582" s="211">
        <v>44958</v>
      </c>
      <c r="E582" s="76">
        <v>44960.09652777778</v>
      </c>
      <c r="F582" s="6" t="s">
        <v>24</v>
      </c>
      <c r="G582" s="5" t="str">
        <f>IFERROR(VLOOKUP(SUMIFS(MSOLICITADA!$I:$I,MSOLICITADA!$B:$B,D582,MSOLICITADA!$F:$F,F582),CODIGOSPLACAS!$A$64:$B$89,2,FALSE),"")</f>
        <v>PAULO HENR.</v>
      </c>
      <c r="H582" s="77">
        <v>956763</v>
      </c>
      <c r="I582" s="77">
        <v>957106</v>
      </c>
      <c r="J582" s="7">
        <v>274</v>
      </c>
      <c r="K582" s="78">
        <v>1668.66</v>
      </c>
      <c r="L582" s="79" t="s">
        <v>111</v>
      </c>
      <c r="M582" s="6">
        <v>313</v>
      </c>
      <c r="N582" s="5">
        <f t="shared" si="81"/>
        <v>30</v>
      </c>
      <c r="O582" s="80">
        <f t="shared" si="82"/>
        <v>6.09</v>
      </c>
      <c r="P582" s="8">
        <f t="shared" si="83"/>
        <v>1.2518248175182483</v>
      </c>
      <c r="Q582" s="8">
        <f t="shared" si="71"/>
        <v>1.2518248175182483</v>
      </c>
      <c r="R582" s="81">
        <f t="shared" si="84"/>
        <v>0.91253644314868809</v>
      </c>
      <c r="S582" s="113" t="str">
        <f>IF(F582="","",IF(H582="",TEXT(_xlfn.MAXIFS($I$1:I582,$F$1:F582,F582,$H$1:H582,"&gt;"&amp;0),"000.000"),F582))</f>
        <v>FKS0J24</v>
      </c>
      <c r="T582" s="101">
        <f t="shared" si="72"/>
        <v>30</v>
      </c>
      <c r="U582" s="82" t="s">
        <v>220</v>
      </c>
      <c r="V582" s="98" t="s">
        <v>166</v>
      </c>
      <c r="W582" s="82" t="s">
        <v>225</v>
      </c>
      <c r="X582" s="98" t="s">
        <v>237</v>
      </c>
      <c r="Y582" s="82" t="s">
        <v>222</v>
      </c>
      <c r="Z582" s="98" t="s">
        <v>178</v>
      </c>
      <c r="AA582" s="82" t="s">
        <v>221</v>
      </c>
      <c r="AB582" s="98" t="s">
        <v>168</v>
      </c>
      <c r="AC582" s="82" t="s">
        <v>225</v>
      </c>
      <c r="AD582" s="98" t="s">
        <v>284</v>
      </c>
      <c r="AE582" s="82" t="s">
        <v>220</v>
      </c>
      <c r="AF582" s="98" t="s">
        <v>165</v>
      </c>
      <c r="AG582" s="82"/>
      <c r="AH582" s="98"/>
      <c r="AI582" s="82"/>
      <c r="AJ582" s="98"/>
      <c r="AK582" s="83"/>
      <c r="AL582" s="84" t="str">
        <f>IF(F582&lt;&gt;0,IF(_xlfn.MAXIFS($I$1:I582,$F$1:F582,F582,$H$1:H582,"&gt;"&amp;0)=0,"KM NÃO ENCONTRADO",IF(H582=0,CONCATENATE("SUGESTÃO DE KM PARA PLACA ",F582," *",_xlfn.MAXIFS($I$1:I582,$F$1:F582,F582,$H$1:H582,"&gt;"&amp;0),"*"),"")),"")</f>
        <v/>
      </c>
      <c r="AM582" s="85" t="str" cm="1">
        <f t="array" ref="AM582">IFERROR(IF(M582&lt;&gt;"","",CONCATENATE("https://btx.brasiltrack.com/logistica/trajeto.php?idveiculo=",VLOOKUP(F582,DATAS!$A$221:$B$250,2,FALSE),"&amp;lat=-22.204247","&amp;data_ini=",TEXT(IF(E582&lt;&gt;"",IF(COUNTIF($F$2:$F582,F582)&gt;1,MAX(IF($F$1:$F581=F582,$E$1:$E581)),""),""),"DD/MM/AAAA"),"&amp;data_fim=",TEXT(E582,"DD/MM/AAAA"),"&amp;hora_inicial=",HOUR(IF(E582&lt;&gt;"",IF(COUNTIF($F$2:$F582,F582)&gt;1,MAX(IF($F$1:$F581=F582,$E$1:$E581)),""),"")),"&amp;minuto_inicial=",MINUTE(IF(E582&lt;&gt;"",IF(COUNTIF($F$2:$F582,F582)&gt;1,MAX(IF($F$1:$F581=F582,$E$1:$E581)),""),"")),"&amp;hora_final=",HOUR(E582),"&amp;minuto_final=",MINUTE(E582),"&amp;periodo=6&amp;tipo=por_data&amp;upos=false&amp;outequip=0")),"")</f>
        <v/>
      </c>
      <c r="AN582" s="100" t="str">
        <f t="shared" si="85"/>
        <v xml:space="preserve">ABASTECEU no 22 SUL PASSOU em ARUJÁ-SP DESCARREGOU em GUARUJA-SP CARREGOU em CUBATAO-SP PASSOU em SÃO PAULO-SP ABASTECEU no 22 NORTE    </v>
      </c>
    </row>
    <row r="583" spans="1:40" x14ac:dyDescent="0.25">
      <c r="A583" s="101">
        <f>IFERROR(VLOOKUP(AN583,ROTAS!$A:$B,2,FALSE),0)</f>
        <v>178</v>
      </c>
      <c r="B583" s="101">
        <f t="shared" si="79"/>
        <v>2</v>
      </c>
      <c r="C583" s="101">
        <f t="shared" si="80"/>
        <v>342</v>
      </c>
      <c r="D583" s="211">
        <v>44958</v>
      </c>
      <c r="E583" s="76">
        <v>44960.097916666666</v>
      </c>
      <c r="F583" s="6" t="s">
        <v>23</v>
      </c>
      <c r="G583" s="5" t="str">
        <f>IFERROR(VLOOKUP(SUMIFS(MSOLICITADA!$I:$I,MSOLICITADA!$B:$B,D583,MSOLICITADA!$F:$F,F583),CODIGOSPLACAS!$A$64:$B$89,2,FALSE),"")</f>
        <v>ISAC</v>
      </c>
      <c r="H583" s="77">
        <v>1215115</v>
      </c>
      <c r="I583" s="77">
        <v>1215456</v>
      </c>
      <c r="J583" s="7">
        <v>279</v>
      </c>
      <c r="K583" s="78">
        <v>1699.11</v>
      </c>
      <c r="L583" s="79" t="s">
        <v>111</v>
      </c>
      <c r="M583" s="6">
        <v>311</v>
      </c>
      <c r="N583" s="5">
        <f t="shared" si="81"/>
        <v>30</v>
      </c>
      <c r="O583" s="80">
        <f t="shared" si="82"/>
        <v>6.09</v>
      </c>
      <c r="P583" s="8">
        <f t="shared" si="83"/>
        <v>1.2222222222222223</v>
      </c>
      <c r="Q583" s="8">
        <f t="shared" si="71"/>
        <v>1.2222222222222223</v>
      </c>
      <c r="R583" s="81">
        <f t="shared" si="84"/>
        <v>0.91202346041055715</v>
      </c>
      <c r="S583" s="113" t="str">
        <f>IF(F583="","",IF(H583="",TEXT(_xlfn.MAXIFS($I$1:I583,$F$1:F583,F583,$H$1:H583,"&gt;"&amp;0),"000.000"),F583))</f>
        <v>HNC7I76</v>
      </c>
      <c r="T583" s="101">
        <f t="shared" si="72"/>
        <v>30</v>
      </c>
      <c r="U583" s="82" t="s">
        <v>220</v>
      </c>
      <c r="V583" s="98" t="s">
        <v>166</v>
      </c>
      <c r="W583" s="82" t="s">
        <v>225</v>
      </c>
      <c r="X583" s="98" t="s">
        <v>237</v>
      </c>
      <c r="Y583" s="82" t="s">
        <v>222</v>
      </c>
      <c r="Z583" s="98" t="s">
        <v>178</v>
      </c>
      <c r="AA583" s="82" t="s">
        <v>221</v>
      </c>
      <c r="AB583" s="98" t="s">
        <v>168</v>
      </c>
      <c r="AC583" s="82" t="s">
        <v>225</v>
      </c>
      <c r="AD583" s="98" t="s">
        <v>284</v>
      </c>
      <c r="AE583" s="82" t="s">
        <v>220</v>
      </c>
      <c r="AF583" s="98" t="s">
        <v>165</v>
      </c>
      <c r="AG583" s="82"/>
      <c r="AH583" s="98"/>
      <c r="AI583" s="82"/>
      <c r="AJ583" s="98"/>
      <c r="AK583" s="83"/>
      <c r="AL583" s="84" t="str">
        <f>IF(F583&lt;&gt;0,IF(_xlfn.MAXIFS($I$1:I583,$F$1:F583,F583,$H$1:H583,"&gt;"&amp;0)=0,"KM NÃO ENCONTRADO",IF(H583=0,CONCATENATE("SUGESTÃO DE KM PARA PLACA ",F583," *",_xlfn.MAXIFS($I$1:I583,$F$1:F583,F583,$H$1:H583,"&gt;"&amp;0),"*"),"")),"")</f>
        <v/>
      </c>
      <c r="AM583" s="85" t="str" cm="1">
        <f t="array" ref="AM583">IFERROR(IF(M583&lt;&gt;"","",CONCATENATE("https://btx.brasiltrack.com/logistica/trajeto.php?idveiculo=",VLOOKUP(F583,DATAS!$A$221:$B$250,2,FALSE),"&amp;lat=-22.204247","&amp;data_ini=",TEXT(IF(E583&lt;&gt;"",IF(COUNTIF($F$2:$F583,F583)&gt;1,MAX(IF($F$1:$F582=F583,$E$1:$E582)),""),""),"DD/MM/AAAA"),"&amp;data_fim=",TEXT(E583,"DD/MM/AAAA"),"&amp;hora_inicial=",HOUR(IF(E583&lt;&gt;"",IF(COUNTIF($F$2:$F583,F583)&gt;1,MAX(IF($F$1:$F582=F583,$E$1:$E582)),""),"")),"&amp;minuto_inicial=",MINUTE(IF(E583&lt;&gt;"",IF(COUNTIF($F$2:$F583,F583)&gt;1,MAX(IF($F$1:$F582=F583,$E$1:$E582)),""),"")),"&amp;hora_final=",HOUR(E583),"&amp;minuto_final=",MINUTE(E583),"&amp;periodo=6&amp;tipo=por_data&amp;upos=false&amp;outequip=0")),"")</f>
        <v/>
      </c>
      <c r="AN583" s="100" t="str">
        <f t="shared" si="85"/>
        <v xml:space="preserve">ABASTECEU no 22 SUL PASSOU em ARUJÁ-SP DESCARREGOU em GUARUJA-SP CARREGOU em CUBATAO-SP PASSOU em SÃO PAULO-SP ABASTECEU no 22 NORTE    </v>
      </c>
    </row>
    <row r="584" spans="1:40" x14ac:dyDescent="0.25">
      <c r="A584" s="101">
        <f>IFERROR(VLOOKUP(AN584,ROTAS!$A:$B,2,FALSE),0)</f>
        <v>179</v>
      </c>
      <c r="B584" s="101">
        <f t="shared" si="79"/>
        <v>1</v>
      </c>
      <c r="C584" s="101">
        <f t="shared" si="80"/>
        <v>825</v>
      </c>
      <c r="D584" s="211">
        <v>44958</v>
      </c>
      <c r="E584" s="76">
        <v>44960.168749999997</v>
      </c>
      <c r="F584" s="6" t="s">
        <v>29</v>
      </c>
      <c r="G584" s="5" t="str">
        <f>IFERROR(VLOOKUP(SUMIFS(MSOLICITADA!$I:$I,MSOLICITADA!$B:$B,D584,MSOLICITADA!$F:$F,F584),CODIGOSPLACAS!$A$64:$B$89,2,FALSE),"")</f>
        <v>EDNILSON</v>
      </c>
      <c r="H584" s="77">
        <v>248873</v>
      </c>
      <c r="I584" s="77">
        <v>249698</v>
      </c>
      <c r="J584" s="7">
        <v>515</v>
      </c>
      <c r="K584" s="78">
        <v>3136.35</v>
      </c>
      <c r="L584" s="79" t="s">
        <v>111</v>
      </c>
      <c r="M584" s="6">
        <v>391</v>
      </c>
      <c r="N584" s="5">
        <f t="shared" si="81"/>
        <v>434</v>
      </c>
      <c r="O584" s="80">
        <f t="shared" si="82"/>
        <v>6.09</v>
      </c>
      <c r="P584" s="8">
        <f t="shared" si="83"/>
        <v>1.6019417475728155</v>
      </c>
      <c r="Q584" s="8">
        <f t="shared" si="71"/>
        <v>1.6019417475728155</v>
      </c>
      <c r="R584" s="81">
        <f t="shared" si="84"/>
        <v>0.47393939393939394</v>
      </c>
      <c r="S584" s="113" t="str">
        <f>IF(F584="","",IF(H584="",TEXT(_xlfn.MAXIFS($I$1:I584,$F$1:F584,F584,$H$1:H584,"&gt;"&amp;0),"000.000"),F584))</f>
        <v>GKA2J56</v>
      </c>
      <c r="T584" s="101">
        <f t="shared" si="72"/>
        <v>434</v>
      </c>
      <c r="U584" s="82" t="s">
        <v>220</v>
      </c>
      <c r="V584" s="98" t="s">
        <v>219</v>
      </c>
      <c r="W584" s="82" t="s">
        <v>222</v>
      </c>
      <c r="X584" s="98" t="s">
        <v>200</v>
      </c>
      <c r="Y584" s="82" t="s">
        <v>221</v>
      </c>
      <c r="Z584" s="98" t="s">
        <v>200</v>
      </c>
      <c r="AA584" s="82" t="s">
        <v>222</v>
      </c>
      <c r="AB584" s="98" t="s">
        <v>176</v>
      </c>
      <c r="AC584" s="82" t="s">
        <v>225</v>
      </c>
      <c r="AD584" s="98" t="s">
        <v>237</v>
      </c>
      <c r="AE584" s="82" t="s">
        <v>221</v>
      </c>
      <c r="AF584" s="98" t="s">
        <v>168</v>
      </c>
      <c r="AG584" s="82" t="s">
        <v>225</v>
      </c>
      <c r="AH584" s="98" t="s">
        <v>237</v>
      </c>
      <c r="AI584" s="82" t="s">
        <v>220</v>
      </c>
      <c r="AJ584" s="98" t="s">
        <v>165</v>
      </c>
      <c r="AK584" s="83"/>
      <c r="AL584" s="84" t="str">
        <f>IF(F584&lt;&gt;0,IF(_xlfn.MAXIFS($I$1:I584,$F$1:F584,F584,$H$1:H584,"&gt;"&amp;0)=0,"KM NÃO ENCONTRADO",IF(H584=0,CONCATENATE("SUGESTÃO DE KM PARA PLACA ",F584," *",_xlfn.MAXIFS($I$1:I584,$F$1:F584,F584,$H$1:H584,"&gt;"&amp;0),"*"),"")),"")</f>
        <v/>
      </c>
      <c r="AM584" s="85" t="str" cm="1">
        <f t="array" ref="AM584">IFERROR(IF(M584&lt;&gt;"","",CONCATENATE("https://btx.brasiltrack.com/logistica/trajeto.php?idveiculo=",VLOOKUP(F584,DATAS!$A$221:$B$250,2,FALSE),"&amp;lat=-22.204247","&amp;data_ini=",TEXT(IF(E584&lt;&gt;"",IF(COUNTIF($F$2:$F584,F584)&gt;1,MAX(IF($F$1:$F583=F584,$E$1:$E583)),""),""),"DD/MM/AAAA"),"&amp;data_fim=",TEXT(E584,"DD/MM/AAAA"),"&amp;hora_inicial=",HOUR(IF(E584&lt;&gt;"",IF(COUNTIF($F$2:$F584,F584)&gt;1,MAX(IF($F$1:$F583=F584,$E$1:$E583)),""),"")),"&amp;minuto_inicial=",MINUTE(IF(E584&lt;&gt;"",IF(COUNTIF($F$2:$F584,F584)&gt;1,MAX(IF($F$1:$F583=F584,$E$1:$E583)),""),"")),"&amp;hora_final=",HOUR(E584),"&amp;minuto_final=",MINUTE(E584),"&amp;periodo=6&amp;tipo=por_data&amp;upos=false&amp;outequip=0")),"")</f>
        <v/>
      </c>
      <c r="AN584" s="100" t="str">
        <f t="shared" si="85"/>
        <v>ABASTECEU no DP ATIBAIA NORTE DESCARREGOU em CONGONHAL-MG CARREGOU em CONGONHAL-MG DESCARREGOU em ALFENAS-MG PASSOU em ARUJÁ-SP CARREGOU em CUBATAO-SP PASSOU em ARUJÁ-SP ABASTECEU no 22 NORTE</v>
      </c>
    </row>
    <row r="585" spans="1:40" x14ac:dyDescent="0.25">
      <c r="A585" s="101">
        <f>IFERROR(VLOOKUP(AN585,ROTAS!$A:$B,2,FALSE),0)</f>
        <v>0</v>
      </c>
      <c r="B585" s="101"/>
      <c r="C585" s="101"/>
      <c r="D585" s="101"/>
      <c r="E585" s="76"/>
      <c r="F585" s="6"/>
      <c r="G585" s="5" t="str">
        <f>IFERROR(VLOOKUP(SUMIFS(MSOLICITADA!$I:$I,MSOLICITADA!$B:$B,D585,MSOLICITADA!$F:$F,F585),CODIGOSPLACAS!$A$64:$B$89,2,FALSE),"")</f>
        <v/>
      </c>
      <c r="H585" s="77"/>
      <c r="I585" s="77"/>
      <c r="J585" s="7"/>
      <c r="K585" s="78"/>
      <c r="L585" s="79"/>
      <c r="M585" s="6"/>
      <c r="N585" s="5" t="str">
        <f t="shared" si="81"/>
        <v/>
      </c>
      <c r="O585" s="80" t="str">
        <f t="shared" si="82"/>
        <v/>
      </c>
      <c r="P585" s="8">
        <f t="shared" si="83"/>
        <v>0</v>
      </c>
      <c r="Q585" s="8">
        <f t="shared" si="71"/>
        <v>0</v>
      </c>
      <c r="R585" s="81">
        <f t="shared" si="84"/>
        <v>0</v>
      </c>
      <c r="S585" s="113" t="str">
        <f>IF(F585="","",IF(H585="",TEXT(_xlfn.MAXIFS($I$1:I585,$F$1:F585,F585,$H$1:H585,"&gt;"&amp;0),"000.000"),F585))</f>
        <v/>
      </c>
      <c r="T585" s="101" t="str">
        <f t="shared" si="72"/>
        <v/>
      </c>
      <c r="U585" s="82"/>
      <c r="V585" s="98"/>
      <c r="W585" s="82"/>
      <c r="X585" s="98"/>
      <c r="Y585" s="82"/>
      <c r="Z585" s="98"/>
      <c r="AA585" s="82"/>
      <c r="AB585" s="98"/>
      <c r="AC585" s="82"/>
      <c r="AD585" s="98"/>
      <c r="AE585" s="82"/>
      <c r="AF585" s="98"/>
      <c r="AG585" s="82"/>
      <c r="AH585" s="98"/>
      <c r="AI585" s="82"/>
      <c r="AJ585" s="98"/>
      <c r="AK585" s="83"/>
      <c r="AL585" s="84" t="str">
        <f>IF(F585&lt;&gt;0,IF(_xlfn.MAXIFS($I$1:I585,$F$1:F585,F585,$H$1:H585,"&gt;"&amp;0)=0,"KM NÃO ENCONTRADO",IF(H585=0,CONCATENATE("SUGESTÃO DE KM PARA PLACA ",F585," *",_xlfn.MAXIFS($I$1:I585,$F$1:F585,F585,$H$1:H585,"&gt;"&amp;0),"*"),"")),"")</f>
        <v/>
      </c>
      <c r="AM585" s="85" t="str" cm="1">
        <f t="array" ref="AM585">IFERROR(IF(M585&lt;&gt;"","",CONCATENATE("https://btx.brasiltrack.com/logistica/trajeto.php?idveiculo=",VLOOKUP(F585,DATAS!$A$221:$B$250,2,FALSE),"&amp;lat=-22.204247","&amp;data_ini=",TEXT(IF(E585&lt;&gt;"",IF(COUNTIF($F$2:$F585,F585)&gt;1,MAX(IF($F$1:$F584=F585,$E$1:$E584)),""),""),"DD/MM/AAAA"),"&amp;data_fim=",TEXT(E585,"DD/MM/AAAA"),"&amp;hora_inicial=",HOUR(IF(E585&lt;&gt;"",IF(COUNTIF($F$2:$F585,F585)&gt;1,MAX(IF($F$1:$F584=F585,$E$1:$E584)),""),"")),"&amp;minuto_inicial=",MINUTE(IF(E585&lt;&gt;"",IF(COUNTIF($F$2:$F585,F585)&gt;1,MAX(IF($F$1:$F584=F585,$E$1:$E584)),""),"")),"&amp;hora_final=",HOUR(E585),"&amp;minuto_final=",MINUTE(E585),"&amp;periodo=6&amp;tipo=por_data&amp;upos=false&amp;outequip=0")),"")</f>
        <v/>
      </c>
      <c r="AN585" s="100" t="str">
        <f t="shared" si="85"/>
        <v xml:space="preserve">               </v>
      </c>
    </row>
    <row r="586" spans="1:40" x14ac:dyDescent="0.25">
      <c r="A586" s="101">
        <f>IFERROR(VLOOKUP(AN586,ROTAS!$A:$B,2,FALSE),0)</f>
        <v>0</v>
      </c>
      <c r="B586" s="101"/>
      <c r="C586" s="101"/>
      <c r="D586" s="101"/>
      <c r="E586" s="76"/>
      <c r="F586" s="6"/>
      <c r="G586" s="5" t="str">
        <f>IFERROR(VLOOKUP(SUMIFS(MSOLICITADA!$I:$I,MSOLICITADA!$B:$B,D586,MSOLICITADA!$F:$F,F586),CODIGOSPLACAS!$A$64:$B$89,2,FALSE),"")</f>
        <v/>
      </c>
      <c r="H586" s="77"/>
      <c r="I586" s="77"/>
      <c r="J586" s="7"/>
      <c r="K586" s="78"/>
      <c r="L586" s="79"/>
      <c r="M586" s="6"/>
      <c r="N586" s="5" t="str">
        <f t="shared" si="81"/>
        <v/>
      </c>
      <c r="O586" s="80" t="str">
        <f t="shared" si="82"/>
        <v/>
      </c>
      <c r="P586" s="8">
        <f t="shared" si="83"/>
        <v>0</v>
      </c>
      <c r="Q586" s="8">
        <f t="shared" si="71"/>
        <v>0</v>
      </c>
      <c r="R586" s="81">
        <f t="shared" si="84"/>
        <v>0</v>
      </c>
      <c r="S586" s="113" t="str">
        <f>IF(F586="","",IF(H586="",TEXT(_xlfn.MAXIFS($I$1:I586,$F$1:F586,F586,$H$1:H586,"&gt;"&amp;0),"000.000"),F586))</f>
        <v/>
      </c>
      <c r="T586" s="101" t="str">
        <f t="shared" si="72"/>
        <v/>
      </c>
      <c r="U586" s="82"/>
      <c r="V586" s="98"/>
      <c r="W586" s="82"/>
      <c r="X586" s="98"/>
      <c r="Y586" s="82"/>
      <c r="Z586" s="98"/>
      <c r="AA586" s="82"/>
      <c r="AB586" s="98"/>
      <c r="AC586" s="82"/>
      <c r="AD586" s="98"/>
      <c r="AE586" s="82"/>
      <c r="AF586" s="98"/>
      <c r="AG586" s="82"/>
      <c r="AH586" s="98"/>
      <c r="AI586" s="82"/>
      <c r="AJ586" s="98"/>
      <c r="AK586" s="83"/>
      <c r="AL586" s="84" t="str">
        <f>IF(F586&lt;&gt;0,IF(_xlfn.MAXIFS($I$1:I586,$F$1:F586,F586,$H$1:H586,"&gt;"&amp;0)=0,"KM NÃO ENCONTRADO",IF(H586=0,CONCATENATE("SUGESTÃO DE KM PARA PLACA ",F586," *",_xlfn.MAXIFS($I$1:I586,$F$1:F586,F586,$H$1:H586,"&gt;"&amp;0),"*"),"")),"")</f>
        <v/>
      </c>
      <c r="AM586" s="85" t="str" cm="1">
        <f t="array" ref="AM586">IFERROR(IF(M586&lt;&gt;"","",CONCATENATE("https://btx.brasiltrack.com/logistica/trajeto.php?idveiculo=",VLOOKUP(F586,DATAS!$A$221:$B$250,2,FALSE),"&amp;lat=-22.204247","&amp;data_ini=",TEXT(IF(E586&lt;&gt;"",IF(COUNTIF($F$2:$F586,F586)&gt;1,MAX(IF($F$1:$F585=F586,$E$1:$E585)),""),""),"DD/MM/AAAA"),"&amp;data_fim=",TEXT(E586,"DD/MM/AAAA"),"&amp;hora_inicial=",HOUR(IF(E586&lt;&gt;"",IF(COUNTIF($F$2:$F586,F586)&gt;1,MAX(IF($F$1:$F585=F586,$E$1:$E585)),""),"")),"&amp;minuto_inicial=",MINUTE(IF(E586&lt;&gt;"",IF(COUNTIF($F$2:$F586,F586)&gt;1,MAX(IF($F$1:$F585=F586,$E$1:$E585)),""),"")),"&amp;hora_final=",HOUR(E586),"&amp;minuto_final=",MINUTE(E586),"&amp;periodo=6&amp;tipo=por_data&amp;upos=false&amp;outequip=0")),"")</f>
        <v/>
      </c>
      <c r="AN586" s="100" t="str">
        <f t="shared" si="85"/>
        <v xml:space="preserve">               </v>
      </c>
    </row>
    <row r="587" spans="1:40" x14ac:dyDescent="0.25">
      <c r="A587" s="101">
        <f>IFERROR(VLOOKUP(AN587,ROTAS!$A:$B,2,FALSE),0)</f>
        <v>0</v>
      </c>
      <c r="B587" s="101"/>
      <c r="C587" s="101"/>
      <c r="D587" s="101"/>
      <c r="E587" s="76"/>
      <c r="F587" s="6"/>
      <c r="G587" s="5" t="str">
        <f>IFERROR(VLOOKUP(SUMIFS(MSOLICITADA!$I:$I,MSOLICITADA!$B:$B,D587,MSOLICITADA!$F:$F,F587),CODIGOSPLACAS!$A$64:$B$89,2,FALSE),"")</f>
        <v/>
      </c>
      <c r="H587" s="77"/>
      <c r="I587" s="77"/>
      <c r="J587" s="7"/>
      <c r="K587" s="78"/>
      <c r="L587" s="79"/>
      <c r="M587" s="6"/>
      <c r="N587" s="5" t="str">
        <f t="shared" si="81"/>
        <v/>
      </c>
      <c r="O587" s="80" t="str">
        <f t="shared" si="82"/>
        <v/>
      </c>
      <c r="P587" s="8">
        <f t="shared" si="83"/>
        <v>0</v>
      </c>
      <c r="Q587" s="8">
        <f t="shared" si="71"/>
        <v>0</v>
      </c>
      <c r="R587" s="81">
        <f t="shared" si="84"/>
        <v>0</v>
      </c>
      <c r="S587" s="113" t="str">
        <f>IF(F587="","",IF(H587="",TEXT(_xlfn.MAXIFS($I$1:I587,$F$1:F587,F587,$H$1:H587,"&gt;"&amp;0),"000.000"),F587))</f>
        <v/>
      </c>
      <c r="T587" s="101" t="str">
        <f t="shared" si="72"/>
        <v/>
      </c>
      <c r="U587" s="82"/>
      <c r="V587" s="98"/>
      <c r="W587" s="82"/>
      <c r="X587" s="98"/>
      <c r="Y587" s="82"/>
      <c r="Z587" s="98"/>
      <c r="AA587" s="82"/>
      <c r="AB587" s="98"/>
      <c r="AC587" s="82"/>
      <c r="AD587" s="98"/>
      <c r="AE587" s="82"/>
      <c r="AF587" s="98"/>
      <c r="AG587" s="82"/>
      <c r="AH587" s="98"/>
      <c r="AI587" s="82"/>
      <c r="AJ587" s="98"/>
      <c r="AK587" s="83"/>
      <c r="AL587" s="84" t="str">
        <f>IF(F587&lt;&gt;0,IF(_xlfn.MAXIFS($I$1:I587,$F$1:F587,F587,$H$1:H587,"&gt;"&amp;0)=0,"KM NÃO ENCONTRADO",IF(H587=0,CONCATENATE("SUGESTÃO DE KM PARA PLACA ",F587," *",_xlfn.MAXIFS($I$1:I587,$F$1:F587,F587,$H$1:H587,"&gt;"&amp;0),"*"),"")),"")</f>
        <v/>
      </c>
      <c r="AM587" s="85" t="str" cm="1">
        <f t="array" ref="AM587">IFERROR(IF(M587&lt;&gt;"","",CONCATENATE("https://btx.brasiltrack.com/logistica/trajeto.php?idveiculo=",VLOOKUP(F587,DATAS!$A$221:$B$250,2,FALSE),"&amp;lat=-22.204247","&amp;data_ini=",TEXT(IF(E587&lt;&gt;"",IF(COUNTIF($F$2:$F587,F587)&gt;1,MAX(IF($F$1:$F586=F587,$E$1:$E586)),""),""),"DD/MM/AAAA"),"&amp;data_fim=",TEXT(E587,"DD/MM/AAAA"),"&amp;hora_inicial=",HOUR(IF(E587&lt;&gt;"",IF(COUNTIF($F$2:$F587,F587)&gt;1,MAX(IF($F$1:$F586=F587,$E$1:$E586)),""),"")),"&amp;minuto_inicial=",MINUTE(IF(E587&lt;&gt;"",IF(COUNTIF($F$2:$F587,F587)&gt;1,MAX(IF($F$1:$F586=F587,$E$1:$E586)),""),"")),"&amp;hora_final=",HOUR(E587),"&amp;minuto_final=",MINUTE(E587),"&amp;periodo=6&amp;tipo=por_data&amp;upos=false&amp;outequip=0")),"")</f>
        <v/>
      </c>
      <c r="AN587" s="100" t="str">
        <f t="shared" si="85"/>
        <v xml:space="preserve">               </v>
      </c>
    </row>
    <row r="588" spans="1:40" x14ac:dyDescent="0.25">
      <c r="A588" s="101">
        <f>IFERROR(VLOOKUP(AN588,ROTAS!$A:$B,2,FALSE),0)</f>
        <v>0</v>
      </c>
      <c r="B588" s="101"/>
      <c r="C588" s="101"/>
      <c r="D588" s="101"/>
      <c r="E588" s="76"/>
      <c r="F588" s="6"/>
      <c r="G588" s="5" t="str">
        <f>IFERROR(VLOOKUP(SUMIFS(MSOLICITADA!$I:$I,MSOLICITADA!$B:$B,D588,MSOLICITADA!$F:$F,F588),CODIGOSPLACAS!$A$64:$B$89,2,FALSE),"")</f>
        <v/>
      </c>
      <c r="H588" s="77"/>
      <c r="I588" s="77"/>
      <c r="J588" s="7"/>
      <c r="K588" s="78"/>
      <c r="L588" s="79"/>
      <c r="M588" s="6"/>
      <c r="N588" s="5" t="str">
        <f t="shared" si="81"/>
        <v/>
      </c>
      <c r="O588" s="80" t="str">
        <f t="shared" si="82"/>
        <v/>
      </c>
      <c r="P588" s="8">
        <f t="shared" si="83"/>
        <v>0</v>
      </c>
      <c r="Q588" s="8">
        <f t="shared" si="71"/>
        <v>0</v>
      </c>
      <c r="R588" s="81">
        <f t="shared" si="84"/>
        <v>0</v>
      </c>
      <c r="S588" s="113" t="str">
        <f>IF(F588="","",IF(H588="",TEXT(_xlfn.MAXIFS($I$1:I588,$F$1:F588,F588,$H$1:H588,"&gt;"&amp;0),"000.000"),F588))</f>
        <v/>
      </c>
      <c r="T588" s="101" t="str">
        <f t="shared" si="72"/>
        <v/>
      </c>
      <c r="U588" s="82"/>
      <c r="V588" s="98"/>
      <c r="W588" s="82"/>
      <c r="X588" s="98"/>
      <c r="Y588" s="82"/>
      <c r="Z588" s="98"/>
      <c r="AA588" s="82"/>
      <c r="AB588" s="98"/>
      <c r="AC588" s="82"/>
      <c r="AD588" s="98"/>
      <c r="AE588" s="82"/>
      <c r="AF588" s="98"/>
      <c r="AG588" s="82"/>
      <c r="AH588" s="98"/>
      <c r="AI588" s="82"/>
      <c r="AJ588" s="98"/>
      <c r="AK588" s="83"/>
      <c r="AL588" s="84" t="str">
        <f>IF(F588&lt;&gt;0,IF(_xlfn.MAXIFS($I$1:I588,$F$1:F588,F588,$H$1:H588,"&gt;"&amp;0)=0,"KM NÃO ENCONTRADO",IF(H588=0,CONCATENATE("SUGESTÃO DE KM PARA PLACA ",F588," *",_xlfn.MAXIFS($I$1:I588,$F$1:F588,F588,$H$1:H588,"&gt;"&amp;0),"*"),"")),"")</f>
        <v/>
      </c>
      <c r="AM588" s="85" t="str" cm="1">
        <f t="array" ref="AM588">IFERROR(IF(M588&lt;&gt;"","",CONCATENATE("https://btx.brasiltrack.com/logistica/trajeto.php?idveiculo=",VLOOKUP(F588,DATAS!$A$221:$B$250,2,FALSE),"&amp;lat=-22.204247","&amp;data_ini=",TEXT(IF(E588&lt;&gt;"",IF(COUNTIF($F$2:$F588,F588)&gt;1,MAX(IF($F$1:$F587=F588,$E$1:$E587)),""),""),"DD/MM/AAAA"),"&amp;data_fim=",TEXT(E588,"DD/MM/AAAA"),"&amp;hora_inicial=",HOUR(IF(E588&lt;&gt;"",IF(COUNTIF($F$2:$F588,F588)&gt;1,MAX(IF($F$1:$F587=F588,$E$1:$E587)),""),"")),"&amp;minuto_inicial=",MINUTE(IF(E588&lt;&gt;"",IF(COUNTIF($F$2:$F588,F588)&gt;1,MAX(IF($F$1:$F587=F588,$E$1:$E587)),""),"")),"&amp;hora_final=",HOUR(E588),"&amp;minuto_final=",MINUTE(E588),"&amp;periodo=6&amp;tipo=por_data&amp;upos=false&amp;outequip=0")),"")</f>
        <v/>
      </c>
      <c r="AN588" s="100" t="str">
        <f t="shared" si="85"/>
        <v xml:space="preserve">               </v>
      </c>
    </row>
    <row r="589" spans="1:40" x14ac:dyDescent="0.25">
      <c r="A589" s="101">
        <f>IFERROR(VLOOKUP(AN589,ROTAS!$A:$B,2,FALSE),0)</f>
        <v>0</v>
      </c>
      <c r="B589" s="101"/>
      <c r="C589" s="101"/>
      <c r="D589" s="101"/>
      <c r="E589" s="76"/>
      <c r="F589" s="6"/>
      <c r="G589" s="5" t="str">
        <f>IFERROR(VLOOKUP(SUMIFS(MSOLICITADA!$I:$I,MSOLICITADA!$B:$B,D589,MSOLICITADA!$F:$F,F589),CODIGOSPLACAS!$A$64:$B$89,2,FALSE),"")</f>
        <v/>
      </c>
      <c r="H589" s="77"/>
      <c r="I589" s="77"/>
      <c r="J589" s="7"/>
      <c r="K589" s="78"/>
      <c r="L589" s="79"/>
      <c r="M589" s="6"/>
      <c r="N589" s="5" t="str">
        <f t="shared" si="81"/>
        <v/>
      </c>
      <c r="O589" s="80" t="str">
        <f t="shared" si="82"/>
        <v/>
      </c>
      <c r="P589" s="8">
        <f t="shared" si="83"/>
        <v>0</v>
      </c>
      <c r="Q589" s="8">
        <f t="shared" si="71"/>
        <v>0</v>
      </c>
      <c r="R589" s="81">
        <f t="shared" si="84"/>
        <v>0</v>
      </c>
      <c r="S589" s="113" t="str">
        <f>IF(F589="","",IF(H589="",TEXT(_xlfn.MAXIFS($I$1:I589,$F$1:F589,F589,$H$1:H589,"&gt;"&amp;0),"000.000"),F589))</f>
        <v/>
      </c>
      <c r="T589" s="101" t="str">
        <f t="shared" si="72"/>
        <v/>
      </c>
      <c r="U589" s="82"/>
      <c r="V589" s="98"/>
      <c r="W589" s="82"/>
      <c r="X589" s="98"/>
      <c r="Y589" s="82"/>
      <c r="Z589" s="98"/>
      <c r="AA589" s="82"/>
      <c r="AB589" s="98"/>
      <c r="AC589" s="82"/>
      <c r="AD589" s="98"/>
      <c r="AE589" s="82"/>
      <c r="AF589" s="98"/>
      <c r="AG589" s="82"/>
      <c r="AH589" s="98"/>
      <c r="AI589" s="82"/>
      <c r="AJ589" s="98"/>
      <c r="AK589" s="83"/>
      <c r="AL589" s="84" t="str">
        <f>IF(F589&lt;&gt;0,IF(_xlfn.MAXIFS($I$1:I589,$F$1:F589,F589,$H$1:H589,"&gt;"&amp;0)=0,"KM NÃO ENCONTRADO",IF(H589=0,CONCATENATE("SUGESTÃO DE KM PARA PLACA ",F589," *",_xlfn.MAXIFS($I$1:I589,$F$1:F589,F589,$H$1:H589,"&gt;"&amp;0),"*"),"")),"")</f>
        <v/>
      </c>
      <c r="AM589" s="85" t="str" cm="1">
        <f t="array" ref="AM589">IFERROR(IF(M589&lt;&gt;"","",CONCATENATE("https://btx.brasiltrack.com/logistica/trajeto.php?idveiculo=",VLOOKUP(F589,DATAS!$A$221:$B$250,2,FALSE),"&amp;lat=-22.204247","&amp;data_ini=",TEXT(IF(E589&lt;&gt;"",IF(COUNTIF($F$2:$F589,F589)&gt;1,MAX(IF($F$1:$F588=F589,$E$1:$E588)),""),""),"DD/MM/AAAA"),"&amp;data_fim=",TEXT(E589,"DD/MM/AAAA"),"&amp;hora_inicial=",HOUR(IF(E589&lt;&gt;"",IF(COUNTIF($F$2:$F589,F589)&gt;1,MAX(IF($F$1:$F588=F589,$E$1:$E588)),""),"")),"&amp;minuto_inicial=",MINUTE(IF(E589&lt;&gt;"",IF(COUNTIF($F$2:$F589,F589)&gt;1,MAX(IF($F$1:$F588=F589,$E$1:$E588)),""),"")),"&amp;hora_final=",HOUR(E589),"&amp;minuto_final=",MINUTE(E589),"&amp;periodo=6&amp;tipo=por_data&amp;upos=false&amp;outequip=0")),"")</f>
        <v/>
      </c>
      <c r="AN589" s="100" t="str">
        <f t="shared" si="85"/>
        <v xml:space="preserve">               </v>
      </c>
    </row>
    <row r="590" spans="1:40" x14ac:dyDescent="0.25">
      <c r="A590" s="101">
        <f>IFERROR(VLOOKUP(AN590,ROTAS!$A:$B,2,FALSE),0)</f>
        <v>0</v>
      </c>
      <c r="B590" s="101"/>
      <c r="C590" s="101"/>
      <c r="D590" s="101"/>
      <c r="E590" s="76"/>
      <c r="F590" s="6"/>
      <c r="G590" s="5" t="str">
        <f>IFERROR(VLOOKUP(SUMIFS(MSOLICITADA!$I:$I,MSOLICITADA!$B:$B,D590,MSOLICITADA!$F:$F,F590),CODIGOSPLACAS!$A$64:$B$89,2,FALSE),"")</f>
        <v/>
      </c>
      <c r="H590" s="77"/>
      <c r="I590" s="77"/>
      <c r="J590" s="7"/>
      <c r="K590" s="78"/>
      <c r="L590" s="79"/>
      <c r="M590" s="6"/>
      <c r="N590" s="5" t="str">
        <f t="shared" si="81"/>
        <v/>
      </c>
      <c r="O590" s="80" t="str">
        <f t="shared" si="82"/>
        <v/>
      </c>
      <c r="P590" s="8">
        <f t="shared" si="83"/>
        <v>0</v>
      </c>
      <c r="Q590" s="8">
        <f t="shared" si="71"/>
        <v>0</v>
      </c>
      <c r="R590" s="81">
        <f t="shared" si="84"/>
        <v>0</v>
      </c>
      <c r="S590" s="113" t="str">
        <f>IF(F590="","",IF(H590="",TEXT(_xlfn.MAXIFS($I$1:I590,$F$1:F590,F590,$H$1:H590,"&gt;"&amp;0),"000.000"),F590))</f>
        <v/>
      </c>
      <c r="T590" s="101" t="str">
        <f t="shared" si="72"/>
        <v/>
      </c>
      <c r="U590" s="82"/>
      <c r="V590" s="98"/>
      <c r="W590" s="82"/>
      <c r="X590" s="98"/>
      <c r="Y590" s="82"/>
      <c r="Z590" s="98"/>
      <c r="AA590" s="82"/>
      <c r="AB590" s="98"/>
      <c r="AC590" s="82"/>
      <c r="AD590" s="98"/>
      <c r="AE590" s="82"/>
      <c r="AF590" s="98"/>
      <c r="AG590" s="82"/>
      <c r="AH590" s="98"/>
      <c r="AI590" s="82"/>
      <c r="AJ590" s="98"/>
      <c r="AK590" s="83"/>
      <c r="AL590" s="84" t="str">
        <f>IF(F590&lt;&gt;0,IF(_xlfn.MAXIFS($I$1:I590,$F$1:F590,F590,$H$1:H590,"&gt;"&amp;0)=0,"KM NÃO ENCONTRADO",IF(H590=0,CONCATENATE("SUGESTÃO DE KM PARA PLACA ",F590," *",_xlfn.MAXIFS($I$1:I590,$F$1:F590,F590,$H$1:H590,"&gt;"&amp;0),"*"),"")),"")</f>
        <v/>
      </c>
      <c r="AM590" s="85" t="str" cm="1">
        <f t="array" ref="AM590">IFERROR(IF(M590&lt;&gt;"","",CONCATENATE("https://btx.brasiltrack.com/logistica/trajeto.php?idveiculo=",VLOOKUP(F590,DATAS!$A$221:$B$250,2,FALSE),"&amp;lat=-22.204247","&amp;data_ini=",TEXT(IF(E590&lt;&gt;"",IF(COUNTIF($F$2:$F590,F590)&gt;1,MAX(IF($F$1:$F589=F590,$E$1:$E589)),""),""),"DD/MM/AAAA"),"&amp;data_fim=",TEXT(E590,"DD/MM/AAAA"),"&amp;hora_inicial=",HOUR(IF(E590&lt;&gt;"",IF(COUNTIF($F$2:$F590,F590)&gt;1,MAX(IF($F$1:$F589=F590,$E$1:$E589)),""),"")),"&amp;minuto_inicial=",MINUTE(IF(E590&lt;&gt;"",IF(COUNTIF($F$2:$F590,F590)&gt;1,MAX(IF($F$1:$F589=F590,$E$1:$E589)),""),"")),"&amp;hora_final=",HOUR(E590),"&amp;minuto_final=",MINUTE(E590),"&amp;periodo=6&amp;tipo=por_data&amp;upos=false&amp;outequip=0")),"")</f>
        <v/>
      </c>
      <c r="AN590" s="100" t="str">
        <f t="shared" si="85"/>
        <v xml:space="preserve">               </v>
      </c>
    </row>
    <row r="591" spans="1:40" x14ac:dyDescent="0.25">
      <c r="A591" s="101">
        <f>IFERROR(VLOOKUP(AN591,ROTAS!$A:$B,2,FALSE),0)</f>
        <v>0</v>
      </c>
      <c r="B591" s="101"/>
      <c r="C591" s="101"/>
      <c r="D591" s="101"/>
      <c r="E591" s="76"/>
      <c r="F591" s="6"/>
      <c r="G591" s="5" t="str">
        <f>IFERROR(VLOOKUP(SUMIFS(MSOLICITADA!$I:$I,MSOLICITADA!$B:$B,D591,MSOLICITADA!$F:$F,F591),CODIGOSPLACAS!$A$64:$B$89,2,FALSE),"")</f>
        <v/>
      </c>
      <c r="H591" s="77"/>
      <c r="I591" s="77"/>
      <c r="J591" s="7"/>
      <c r="K591" s="78"/>
      <c r="L591" s="79"/>
      <c r="M591" s="6"/>
      <c r="N591" s="5" t="str">
        <f t="shared" si="81"/>
        <v/>
      </c>
      <c r="O591" s="80" t="str">
        <f t="shared" si="82"/>
        <v/>
      </c>
      <c r="P591" s="8">
        <f t="shared" si="83"/>
        <v>0</v>
      </c>
      <c r="Q591" s="8">
        <f t="shared" si="71"/>
        <v>0</v>
      </c>
      <c r="R591" s="81">
        <f t="shared" si="84"/>
        <v>0</v>
      </c>
      <c r="S591" s="113" t="str">
        <f>IF(F591="","",IF(H591="",TEXT(_xlfn.MAXIFS($I$1:I591,$F$1:F591,F591,$H$1:H591,"&gt;"&amp;0),"000.000"),F591))</f>
        <v/>
      </c>
      <c r="T591" s="101" t="str">
        <f t="shared" si="72"/>
        <v/>
      </c>
      <c r="U591" s="82"/>
      <c r="V591" s="98"/>
      <c r="W591" s="82"/>
      <c r="X591" s="98"/>
      <c r="Y591" s="82"/>
      <c r="Z591" s="98"/>
      <c r="AA591" s="82"/>
      <c r="AB591" s="98"/>
      <c r="AC591" s="82"/>
      <c r="AD591" s="98"/>
      <c r="AE591" s="82"/>
      <c r="AF591" s="98"/>
      <c r="AG591" s="82"/>
      <c r="AH591" s="98"/>
      <c r="AI591" s="82"/>
      <c r="AJ591" s="98"/>
      <c r="AK591" s="83"/>
      <c r="AL591" s="84" t="str">
        <f>IF(F591&lt;&gt;0,IF(_xlfn.MAXIFS($I$1:I591,$F$1:F591,F591,$H$1:H591,"&gt;"&amp;0)=0,"KM NÃO ENCONTRADO",IF(H591=0,CONCATENATE("SUGESTÃO DE KM PARA PLACA ",F591," *",_xlfn.MAXIFS($I$1:I591,$F$1:F591,F591,$H$1:H591,"&gt;"&amp;0),"*"),"")),"")</f>
        <v/>
      </c>
      <c r="AM591" s="85" t="str" cm="1">
        <f t="array" ref="AM591">IFERROR(IF(M591&lt;&gt;"","",CONCATENATE("https://btx.brasiltrack.com/logistica/trajeto.php?idveiculo=",VLOOKUP(F591,DATAS!$A$221:$B$250,2,FALSE),"&amp;lat=-22.204247","&amp;data_ini=",TEXT(IF(E591&lt;&gt;"",IF(COUNTIF($F$2:$F591,F591)&gt;1,MAX(IF($F$1:$F590=F591,$E$1:$E590)),""),""),"DD/MM/AAAA"),"&amp;data_fim=",TEXT(E591,"DD/MM/AAAA"),"&amp;hora_inicial=",HOUR(IF(E591&lt;&gt;"",IF(COUNTIF($F$2:$F591,F591)&gt;1,MAX(IF($F$1:$F590=F591,$E$1:$E590)),""),"")),"&amp;minuto_inicial=",MINUTE(IF(E591&lt;&gt;"",IF(COUNTIF($F$2:$F591,F591)&gt;1,MAX(IF($F$1:$F590=F591,$E$1:$E590)),""),"")),"&amp;hora_final=",HOUR(E591),"&amp;minuto_final=",MINUTE(E591),"&amp;periodo=6&amp;tipo=por_data&amp;upos=false&amp;outequip=0")),"")</f>
        <v/>
      </c>
      <c r="AN591" s="100" t="str">
        <f t="shared" si="85"/>
        <v xml:space="preserve">               </v>
      </c>
    </row>
    <row r="592" spans="1:40" x14ac:dyDescent="0.25">
      <c r="A592" s="101">
        <f>IFERROR(VLOOKUP(AN592,ROTAS!$A:$B,2,FALSE),0)</f>
        <v>0</v>
      </c>
      <c r="B592" s="101"/>
      <c r="C592" s="101"/>
      <c r="D592" s="101"/>
      <c r="E592" s="76"/>
      <c r="F592" s="6"/>
      <c r="G592" s="5" t="str">
        <f>IFERROR(VLOOKUP(SUMIFS(MSOLICITADA!$I:$I,MSOLICITADA!$B:$B,D592,MSOLICITADA!$F:$F,F592),CODIGOSPLACAS!$A$64:$B$89,2,FALSE),"")</f>
        <v/>
      </c>
      <c r="H592" s="77"/>
      <c r="I592" s="77"/>
      <c r="J592" s="7"/>
      <c r="K592" s="78"/>
      <c r="L592" s="79"/>
      <c r="M592" s="6"/>
      <c r="N592" s="5" t="str">
        <f t="shared" si="81"/>
        <v/>
      </c>
      <c r="O592" s="80" t="str">
        <f t="shared" si="82"/>
        <v/>
      </c>
      <c r="P592" s="8">
        <f t="shared" si="83"/>
        <v>0</v>
      </c>
      <c r="Q592" s="8">
        <f t="shared" si="71"/>
        <v>0</v>
      </c>
      <c r="R592" s="81">
        <f t="shared" si="84"/>
        <v>0</v>
      </c>
      <c r="S592" s="113" t="str">
        <f>IF(F592="","",IF(H592="",TEXT(_xlfn.MAXIFS($I$1:I592,$F$1:F592,F592,$H$1:H592,"&gt;"&amp;0),"000.000"),F592))</f>
        <v/>
      </c>
      <c r="T592" s="101" t="str">
        <f t="shared" si="72"/>
        <v/>
      </c>
      <c r="U592" s="82"/>
      <c r="V592" s="98"/>
      <c r="W592" s="82"/>
      <c r="X592" s="98"/>
      <c r="Y592" s="82"/>
      <c r="Z592" s="98"/>
      <c r="AA592" s="82"/>
      <c r="AB592" s="98"/>
      <c r="AC592" s="82"/>
      <c r="AD592" s="98"/>
      <c r="AE592" s="82"/>
      <c r="AF592" s="98"/>
      <c r="AG592" s="82"/>
      <c r="AH592" s="98"/>
      <c r="AI592" s="82"/>
      <c r="AJ592" s="98"/>
      <c r="AK592" s="83"/>
      <c r="AL592" s="84" t="str">
        <f>IF(F592&lt;&gt;0,IF(_xlfn.MAXIFS($I$1:I592,$F$1:F592,F592,$H$1:H592,"&gt;"&amp;0)=0,"KM NÃO ENCONTRADO",IF(H592=0,CONCATENATE("SUGESTÃO DE KM PARA PLACA ",F592," *",_xlfn.MAXIFS($I$1:I592,$F$1:F592,F592,$H$1:H592,"&gt;"&amp;0),"*"),"")),"")</f>
        <v/>
      </c>
      <c r="AM592" s="85" t="str" cm="1">
        <f t="array" ref="AM592">IFERROR(IF(M592&lt;&gt;"","",CONCATENATE("https://btx.brasiltrack.com/logistica/trajeto.php?idveiculo=",VLOOKUP(F592,DATAS!$A$221:$B$250,2,FALSE),"&amp;lat=-22.204247","&amp;data_ini=",TEXT(IF(E592&lt;&gt;"",IF(COUNTIF($F$2:$F592,F592)&gt;1,MAX(IF($F$1:$F591=F592,$E$1:$E591)),""),""),"DD/MM/AAAA"),"&amp;data_fim=",TEXT(E592,"DD/MM/AAAA"),"&amp;hora_inicial=",HOUR(IF(E592&lt;&gt;"",IF(COUNTIF($F$2:$F592,F592)&gt;1,MAX(IF($F$1:$F591=F592,$E$1:$E591)),""),"")),"&amp;minuto_inicial=",MINUTE(IF(E592&lt;&gt;"",IF(COUNTIF($F$2:$F592,F592)&gt;1,MAX(IF($F$1:$F591=F592,$E$1:$E591)),""),"")),"&amp;hora_final=",HOUR(E592),"&amp;minuto_final=",MINUTE(E592),"&amp;periodo=6&amp;tipo=por_data&amp;upos=false&amp;outequip=0")),"")</f>
        <v/>
      </c>
      <c r="AN592" s="100" t="str">
        <f t="shared" si="85"/>
        <v xml:space="preserve">               </v>
      </c>
    </row>
    <row r="593" spans="1:40" x14ac:dyDescent="0.25">
      <c r="A593" s="101">
        <f>IFERROR(VLOOKUP(AN593,ROTAS!$A:$B,2,FALSE),0)</f>
        <v>0</v>
      </c>
      <c r="B593" s="101"/>
      <c r="C593" s="101"/>
      <c r="D593" s="101"/>
      <c r="E593" s="76"/>
      <c r="F593" s="6"/>
      <c r="G593" s="5" t="str">
        <f>IFERROR(VLOOKUP(SUMIFS(MSOLICITADA!$I:$I,MSOLICITADA!$B:$B,D593,MSOLICITADA!$F:$F,F593),CODIGOSPLACAS!$A$64:$B$89,2,FALSE),"")</f>
        <v/>
      </c>
      <c r="H593" s="77"/>
      <c r="I593" s="77"/>
      <c r="J593" s="7"/>
      <c r="K593" s="78"/>
      <c r="L593" s="79"/>
      <c r="M593" s="6"/>
      <c r="N593" s="5" t="str">
        <f t="shared" si="81"/>
        <v/>
      </c>
      <c r="O593" s="80" t="str">
        <f t="shared" si="82"/>
        <v/>
      </c>
      <c r="P593" s="8">
        <f t="shared" si="83"/>
        <v>0</v>
      </c>
      <c r="Q593" s="8">
        <f t="shared" si="71"/>
        <v>0</v>
      </c>
      <c r="R593" s="81">
        <f t="shared" si="84"/>
        <v>0</v>
      </c>
      <c r="S593" s="113" t="str">
        <f>IF(F593="","",IF(H593="",TEXT(_xlfn.MAXIFS($I$1:I593,$F$1:F593,F593,$H$1:H593,"&gt;"&amp;0),"000.000"),F593))</f>
        <v/>
      </c>
      <c r="T593" s="101" t="str">
        <f t="shared" si="72"/>
        <v/>
      </c>
      <c r="U593" s="82"/>
      <c r="V593" s="98"/>
      <c r="W593" s="82"/>
      <c r="X593" s="98"/>
      <c r="Y593" s="82"/>
      <c r="Z593" s="98"/>
      <c r="AA593" s="82"/>
      <c r="AB593" s="98"/>
      <c r="AC593" s="82"/>
      <c r="AD593" s="98"/>
      <c r="AE593" s="82"/>
      <c r="AF593" s="98"/>
      <c r="AG593" s="82"/>
      <c r="AH593" s="98"/>
      <c r="AI593" s="82"/>
      <c r="AJ593" s="98"/>
      <c r="AK593" s="83"/>
      <c r="AL593" s="84" t="str">
        <f>IF(F593&lt;&gt;0,IF(_xlfn.MAXIFS($I$1:I593,$F$1:F593,F593,$H$1:H593,"&gt;"&amp;0)=0,"KM NÃO ENCONTRADO",IF(H593=0,CONCATENATE("SUGESTÃO DE KM PARA PLACA ",F593," *",_xlfn.MAXIFS($I$1:I593,$F$1:F593,F593,$H$1:H593,"&gt;"&amp;0),"*"),"")),"")</f>
        <v/>
      </c>
      <c r="AM593" s="85" t="str" cm="1">
        <f t="array" ref="AM593">IFERROR(IF(M593&lt;&gt;"","",CONCATENATE("https://btx.brasiltrack.com/logistica/trajeto.php?idveiculo=",VLOOKUP(F593,DATAS!$A$221:$B$250,2,FALSE),"&amp;lat=-22.204247","&amp;data_ini=",TEXT(IF(E593&lt;&gt;"",IF(COUNTIF($F$2:$F593,F593)&gt;1,MAX(IF($F$1:$F592=F593,$E$1:$E592)),""),""),"DD/MM/AAAA"),"&amp;data_fim=",TEXT(E593,"DD/MM/AAAA"),"&amp;hora_inicial=",HOUR(IF(E593&lt;&gt;"",IF(COUNTIF($F$2:$F593,F593)&gt;1,MAX(IF($F$1:$F592=F593,$E$1:$E592)),""),"")),"&amp;minuto_inicial=",MINUTE(IF(E593&lt;&gt;"",IF(COUNTIF($F$2:$F593,F593)&gt;1,MAX(IF($F$1:$F592=F593,$E$1:$E592)),""),"")),"&amp;hora_final=",HOUR(E593),"&amp;minuto_final=",MINUTE(E593),"&amp;periodo=6&amp;tipo=por_data&amp;upos=false&amp;outequip=0")),"")</f>
        <v/>
      </c>
      <c r="AN593" s="100" t="str">
        <f t="shared" si="85"/>
        <v xml:space="preserve">               </v>
      </c>
    </row>
    <row r="594" spans="1:40" x14ac:dyDescent="0.25">
      <c r="A594" s="101">
        <f>IFERROR(VLOOKUP(AN594,ROTAS!$A:$B,2,FALSE),0)</f>
        <v>0</v>
      </c>
      <c r="B594" s="101"/>
      <c r="C594" s="101"/>
      <c r="D594" s="101"/>
      <c r="E594" s="76"/>
      <c r="F594" s="6"/>
      <c r="G594" s="5" t="str">
        <f>IFERROR(VLOOKUP(SUMIFS(MSOLICITADA!$I:$I,MSOLICITADA!$B:$B,D594,MSOLICITADA!$F:$F,F594),CODIGOSPLACAS!$A$64:$B$89,2,FALSE),"")</f>
        <v/>
      </c>
      <c r="H594" s="77"/>
      <c r="I594" s="77"/>
      <c r="J594" s="7"/>
      <c r="K594" s="78"/>
      <c r="L594" s="79"/>
      <c r="M594" s="6"/>
      <c r="N594" s="5" t="str">
        <f t="shared" si="81"/>
        <v/>
      </c>
      <c r="O594" s="80" t="str">
        <f t="shared" si="82"/>
        <v/>
      </c>
      <c r="P594" s="8">
        <f t="shared" si="83"/>
        <v>0</v>
      </c>
      <c r="Q594" s="8">
        <f t="shared" si="71"/>
        <v>0</v>
      </c>
      <c r="R594" s="81">
        <f t="shared" si="84"/>
        <v>0</v>
      </c>
      <c r="S594" s="113" t="str">
        <f>IF(F594="","",IF(H594="",TEXT(_xlfn.MAXIFS($I$1:I594,$F$1:F594,F594,$H$1:H594,"&gt;"&amp;0),"000.000"),F594))</f>
        <v/>
      </c>
      <c r="T594" s="101" t="str">
        <f t="shared" si="72"/>
        <v/>
      </c>
      <c r="U594" s="82"/>
      <c r="V594" s="98"/>
      <c r="W594" s="82"/>
      <c r="X594" s="98"/>
      <c r="Y594" s="82"/>
      <c r="Z594" s="98"/>
      <c r="AA594" s="82"/>
      <c r="AB594" s="98"/>
      <c r="AC594" s="82"/>
      <c r="AD594" s="98"/>
      <c r="AE594" s="82"/>
      <c r="AF594" s="98"/>
      <c r="AG594" s="82"/>
      <c r="AH594" s="98"/>
      <c r="AI594" s="82"/>
      <c r="AJ594" s="98"/>
      <c r="AK594" s="83"/>
      <c r="AL594" s="84" t="str">
        <f>IF(F594&lt;&gt;0,IF(_xlfn.MAXIFS($I$1:I594,$F$1:F594,F594,$H$1:H594,"&gt;"&amp;0)=0,"KM NÃO ENCONTRADO",IF(H594=0,CONCATENATE("SUGESTÃO DE KM PARA PLACA ",F594," *",_xlfn.MAXIFS($I$1:I594,$F$1:F594,F594,$H$1:H594,"&gt;"&amp;0),"*"),"")),"")</f>
        <v/>
      </c>
      <c r="AM594" s="85" t="str" cm="1">
        <f t="array" ref="AM594">IFERROR(IF(M594&lt;&gt;"","",CONCATENATE("https://btx.brasiltrack.com/logistica/trajeto.php?idveiculo=",VLOOKUP(F594,DATAS!$A$221:$B$250,2,FALSE),"&amp;lat=-22.204247","&amp;data_ini=",TEXT(IF(E594&lt;&gt;"",IF(COUNTIF($F$2:$F594,F594)&gt;1,MAX(IF($F$1:$F593=F594,$E$1:$E593)),""),""),"DD/MM/AAAA"),"&amp;data_fim=",TEXT(E594,"DD/MM/AAAA"),"&amp;hora_inicial=",HOUR(IF(E594&lt;&gt;"",IF(COUNTIF($F$2:$F594,F594)&gt;1,MAX(IF($F$1:$F593=F594,$E$1:$E593)),""),"")),"&amp;minuto_inicial=",MINUTE(IF(E594&lt;&gt;"",IF(COUNTIF($F$2:$F594,F594)&gt;1,MAX(IF($F$1:$F593=F594,$E$1:$E593)),""),"")),"&amp;hora_final=",HOUR(E594),"&amp;minuto_final=",MINUTE(E594),"&amp;periodo=6&amp;tipo=por_data&amp;upos=false&amp;outequip=0")),"")</f>
        <v/>
      </c>
      <c r="AN594" s="100" t="str">
        <f t="shared" si="85"/>
        <v xml:space="preserve">               </v>
      </c>
    </row>
    <row r="595" spans="1:40" x14ac:dyDescent="0.25">
      <c r="A595" s="101">
        <f>IFERROR(VLOOKUP(AN595,ROTAS!$A:$B,2,FALSE),0)</f>
        <v>0</v>
      </c>
      <c r="B595" s="101"/>
      <c r="C595" s="101"/>
      <c r="D595" s="101"/>
      <c r="E595" s="76"/>
      <c r="F595" s="6"/>
      <c r="G595" s="5" t="str">
        <f>IFERROR(VLOOKUP(SUMIFS(MSOLICITADA!$I:$I,MSOLICITADA!$B:$B,D595,MSOLICITADA!$F:$F,F595),CODIGOSPLACAS!$A$64:$B$89,2,FALSE),"")</f>
        <v/>
      </c>
      <c r="H595" s="77"/>
      <c r="I595" s="77"/>
      <c r="J595" s="7"/>
      <c r="K595" s="78"/>
      <c r="L595" s="79"/>
      <c r="M595" s="6"/>
      <c r="N595" s="5" t="str">
        <f t="shared" si="81"/>
        <v/>
      </c>
      <c r="O595" s="80" t="str">
        <f t="shared" si="82"/>
        <v/>
      </c>
      <c r="P595" s="8">
        <f t="shared" si="83"/>
        <v>0</v>
      </c>
      <c r="Q595" s="8">
        <f t="shared" si="71"/>
        <v>0</v>
      </c>
      <c r="R595" s="81">
        <f t="shared" si="84"/>
        <v>0</v>
      </c>
      <c r="S595" s="113" t="str">
        <f>IF(F595="","",IF(H595="",TEXT(_xlfn.MAXIFS($I$1:I595,$F$1:F595,F595,$H$1:H595,"&gt;"&amp;0),"000.000"),F595))</f>
        <v/>
      </c>
      <c r="T595" s="101" t="str">
        <f t="shared" si="72"/>
        <v/>
      </c>
      <c r="U595" s="82"/>
      <c r="V595" s="98"/>
      <c r="W595" s="82"/>
      <c r="X595" s="98"/>
      <c r="Y595" s="82"/>
      <c r="Z595" s="98"/>
      <c r="AA595" s="82"/>
      <c r="AB595" s="98"/>
      <c r="AC595" s="82"/>
      <c r="AD595" s="98"/>
      <c r="AE595" s="82"/>
      <c r="AF595" s="98"/>
      <c r="AG595" s="82"/>
      <c r="AH595" s="98"/>
      <c r="AI595" s="82"/>
      <c r="AJ595" s="98"/>
      <c r="AK595" s="83"/>
      <c r="AL595" s="84" t="str">
        <f>IF(F595&lt;&gt;0,IF(_xlfn.MAXIFS($I$1:I595,$F$1:F595,F595,$H$1:H595,"&gt;"&amp;0)=0,"KM NÃO ENCONTRADO",IF(H595=0,CONCATENATE("SUGESTÃO DE KM PARA PLACA ",F595," *",_xlfn.MAXIFS($I$1:I595,$F$1:F595,F595,$H$1:H595,"&gt;"&amp;0),"*"),"")),"")</f>
        <v/>
      </c>
      <c r="AM595" s="85" t="str" cm="1">
        <f t="array" ref="AM595">IFERROR(IF(M595&lt;&gt;"","",CONCATENATE("https://btx.brasiltrack.com/logistica/trajeto.php?idveiculo=",VLOOKUP(F595,DATAS!$A$221:$B$250,2,FALSE),"&amp;lat=-22.204247","&amp;data_ini=",TEXT(IF(E595&lt;&gt;"",IF(COUNTIF($F$2:$F595,F595)&gt;1,MAX(IF($F$1:$F594=F595,$E$1:$E594)),""),""),"DD/MM/AAAA"),"&amp;data_fim=",TEXT(E595,"DD/MM/AAAA"),"&amp;hora_inicial=",HOUR(IF(E595&lt;&gt;"",IF(COUNTIF($F$2:$F595,F595)&gt;1,MAX(IF($F$1:$F594=F595,$E$1:$E594)),""),"")),"&amp;minuto_inicial=",MINUTE(IF(E595&lt;&gt;"",IF(COUNTIF($F$2:$F595,F595)&gt;1,MAX(IF($F$1:$F594=F595,$E$1:$E594)),""),"")),"&amp;hora_final=",HOUR(E595),"&amp;minuto_final=",MINUTE(E595),"&amp;periodo=6&amp;tipo=por_data&amp;upos=false&amp;outequip=0")),"")</f>
        <v/>
      </c>
      <c r="AN595" s="100" t="str">
        <f t="shared" si="85"/>
        <v xml:space="preserve">               </v>
      </c>
    </row>
    <row r="596" spans="1:40" x14ac:dyDescent="0.25">
      <c r="A596" s="101">
        <f>IFERROR(VLOOKUP(AN596,ROTAS!$A:$B,2,FALSE),0)</f>
        <v>0</v>
      </c>
      <c r="B596" s="101"/>
      <c r="C596" s="101"/>
      <c r="D596" s="101"/>
      <c r="E596" s="76"/>
      <c r="F596" s="6"/>
      <c r="G596" s="5" t="str">
        <f>IFERROR(VLOOKUP(SUMIFS(MSOLICITADA!$I:$I,MSOLICITADA!$B:$B,D596,MSOLICITADA!$F:$F,F596),CODIGOSPLACAS!$A$64:$B$89,2,FALSE),"")</f>
        <v/>
      </c>
      <c r="H596" s="77"/>
      <c r="I596" s="77"/>
      <c r="J596" s="7"/>
      <c r="K596" s="78"/>
      <c r="L596" s="79"/>
      <c r="M596" s="6"/>
      <c r="N596" s="5" t="str">
        <f t="shared" si="81"/>
        <v/>
      </c>
      <c r="O596" s="80" t="str">
        <f t="shared" si="82"/>
        <v/>
      </c>
      <c r="P596" s="8">
        <f t="shared" si="83"/>
        <v>0</v>
      </c>
      <c r="Q596" s="8">
        <f t="shared" ref="Q596:Q664" si="86">IFERROR((SUMIFS(M:M,D:D,D596,F:F,F596)+SUMIFS(N:N,D:D,D596,F:F,F596)-SUMIFS(AK:AK,D:D,D596,F:F,F596))/(SUMIFS(J:J,D:D,D596,F:F,F596)-(SUMIFS(AK:AK,D:D,D596,F:F,F596)/5)),0)</f>
        <v>0</v>
      </c>
      <c r="R596" s="81">
        <f t="shared" si="84"/>
        <v>0</v>
      </c>
      <c r="S596" s="113" t="str">
        <f>IF(F596="","",IF(H596="",TEXT(_xlfn.MAXIFS($I$1:I596,$F$1:F596,F596,$H$1:H596,"&gt;"&amp;0),"000.000"),F596))</f>
        <v/>
      </c>
      <c r="T596" s="101" t="str">
        <f t="shared" ref="T596:T664" si="87">IF(E596&lt;&gt;"",IF(A596=0,"ERRO",IFERROR(AVERAGEIFS(N:N,A:A,A596,M:M,"&gt;"&amp;0),"")),"")</f>
        <v/>
      </c>
      <c r="U596" s="82"/>
      <c r="V596" s="98"/>
      <c r="W596" s="82"/>
      <c r="X596" s="98"/>
      <c r="Y596" s="82"/>
      <c r="Z596" s="98"/>
      <c r="AA596" s="82"/>
      <c r="AB596" s="98"/>
      <c r="AC596" s="82"/>
      <c r="AD596" s="98"/>
      <c r="AE596" s="82"/>
      <c r="AF596" s="98"/>
      <c r="AG596" s="82"/>
      <c r="AH596" s="98"/>
      <c r="AI596" s="82"/>
      <c r="AJ596" s="98"/>
      <c r="AK596" s="83"/>
      <c r="AL596" s="84" t="str">
        <f>IF(F596&lt;&gt;0,IF(_xlfn.MAXIFS($I$1:I596,$F$1:F596,F596,$H$1:H596,"&gt;"&amp;0)=0,"KM NÃO ENCONTRADO",IF(H596=0,CONCATENATE("SUGESTÃO DE KM PARA PLACA ",F596," *",_xlfn.MAXIFS($I$1:I596,$F$1:F596,F596,$H$1:H596,"&gt;"&amp;0),"*"),"")),"")</f>
        <v/>
      </c>
      <c r="AM596" s="85" t="str" cm="1">
        <f t="array" ref="AM596">IFERROR(IF(M596&lt;&gt;"","",CONCATENATE("https://btx.brasiltrack.com/logistica/trajeto.php?idveiculo=",VLOOKUP(F596,DATAS!$A$221:$B$250,2,FALSE),"&amp;lat=-22.204247","&amp;data_ini=",TEXT(IF(E596&lt;&gt;"",IF(COUNTIF($F$2:$F596,F596)&gt;1,MAX(IF($F$1:$F595=F596,$E$1:$E595)),""),""),"DD/MM/AAAA"),"&amp;data_fim=",TEXT(E596,"DD/MM/AAAA"),"&amp;hora_inicial=",HOUR(IF(E596&lt;&gt;"",IF(COUNTIF($F$2:$F596,F596)&gt;1,MAX(IF($F$1:$F595=F596,$E$1:$E595)),""),"")),"&amp;minuto_inicial=",MINUTE(IF(E596&lt;&gt;"",IF(COUNTIF($F$2:$F596,F596)&gt;1,MAX(IF($F$1:$F595=F596,$E$1:$E595)),""),"")),"&amp;hora_final=",HOUR(E596),"&amp;minuto_final=",MINUTE(E596),"&amp;periodo=6&amp;tipo=por_data&amp;upos=false&amp;outequip=0")),"")</f>
        <v/>
      </c>
      <c r="AN596" s="100" t="str">
        <f t="shared" si="85"/>
        <v xml:space="preserve">               </v>
      </c>
    </row>
    <row r="597" spans="1:40" x14ac:dyDescent="0.25">
      <c r="A597" s="101">
        <f>IFERROR(VLOOKUP(AN597,ROTAS!$A:$B,2,FALSE),0)</f>
        <v>0</v>
      </c>
      <c r="B597" s="101"/>
      <c r="C597" s="101"/>
      <c r="D597" s="101"/>
      <c r="E597" s="76"/>
      <c r="F597" s="6"/>
      <c r="G597" s="5" t="str">
        <f>IFERROR(VLOOKUP(SUMIFS(MSOLICITADA!$I:$I,MSOLICITADA!$B:$B,D597,MSOLICITADA!$F:$F,F597),CODIGOSPLACAS!$A$64:$B$89,2,FALSE),"")</f>
        <v/>
      </c>
      <c r="H597" s="77"/>
      <c r="I597" s="77"/>
      <c r="J597" s="7"/>
      <c r="K597" s="78"/>
      <c r="L597" s="79"/>
      <c r="M597" s="6"/>
      <c r="N597" s="5" t="str">
        <f t="shared" si="81"/>
        <v/>
      </c>
      <c r="O597" s="80" t="str">
        <f t="shared" si="82"/>
        <v/>
      </c>
      <c r="P597" s="8">
        <f t="shared" si="83"/>
        <v>0</v>
      </c>
      <c r="Q597" s="8">
        <f t="shared" si="86"/>
        <v>0</v>
      </c>
      <c r="R597" s="81">
        <f t="shared" si="84"/>
        <v>0</v>
      </c>
      <c r="S597" s="113" t="str">
        <f>IF(F597="","",IF(H597="",TEXT(_xlfn.MAXIFS($I$1:I597,$F$1:F597,F597,$H$1:H597,"&gt;"&amp;0),"000.000"),F597))</f>
        <v/>
      </c>
      <c r="T597" s="101" t="str">
        <f t="shared" si="87"/>
        <v/>
      </c>
      <c r="U597" s="82"/>
      <c r="V597" s="98"/>
      <c r="W597" s="82"/>
      <c r="X597" s="98"/>
      <c r="Y597" s="82"/>
      <c r="Z597" s="98"/>
      <c r="AA597" s="82"/>
      <c r="AB597" s="98"/>
      <c r="AC597" s="82"/>
      <c r="AD597" s="98"/>
      <c r="AE597" s="82"/>
      <c r="AF597" s="98"/>
      <c r="AG597" s="82"/>
      <c r="AH597" s="98"/>
      <c r="AI597" s="82"/>
      <c r="AJ597" s="98"/>
      <c r="AK597" s="83"/>
      <c r="AL597" s="84" t="str">
        <f>IF(F597&lt;&gt;0,IF(_xlfn.MAXIFS($I$1:I597,$F$1:F597,F597,$H$1:H597,"&gt;"&amp;0)=0,"KM NÃO ENCONTRADO",IF(H597=0,CONCATENATE("SUGESTÃO DE KM PARA PLACA ",F597," *",_xlfn.MAXIFS($I$1:I597,$F$1:F597,F597,$H$1:H597,"&gt;"&amp;0),"*"),"")),"")</f>
        <v/>
      </c>
      <c r="AM597" s="85" t="str" cm="1">
        <f t="array" ref="AM597">IFERROR(IF(M597&lt;&gt;"","",CONCATENATE("https://btx.brasiltrack.com/logistica/trajeto.php?idveiculo=",VLOOKUP(F597,DATAS!$A$221:$B$250,2,FALSE),"&amp;lat=-22.204247","&amp;data_ini=",TEXT(IF(E597&lt;&gt;"",IF(COUNTIF($F$2:$F597,F597)&gt;1,MAX(IF($F$1:$F596=F597,$E$1:$E596)),""),""),"DD/MM/AAAA"),"&amp;data_fim=",TEXT(E597,"DD/MM/AAAA"),"&amp;hora_inicial=",HOUR(IF(E597&lt;&gt;"",IF(COUNTIF($F$2:$F597,F597)&gt;1,MAX(IF($F$1:$F596=F597,$E$1:$E596)),""),"")),"&amp;minuto_inicial=",MINUTE(IF(E597&lt;&gt;"",IF(COUNTIF($F$2:$F597,F597)&gt;1,MAX(IF($F$1:$F596=F597,$E$1:$E596)),""),"")),"&amp;hora_final=",HOUR(E597),"&amp;minuto_final=",MINUTE(E597),"&amp;periodo=6&amp;tipo=por_data&amp;upos=false&amp;outequip=0")),"")</f>
        <v/>
      </c>
      <c r="AN597" s="100" t="str">
        <f t="shared" si="85"/>
        <v xml:space="preserve">               </v>
      </c>
    </row>
    <row r="598" spans="1:40" x14ac:dyDescent="0.25">
      <c r="A598" s="101">
        <f>IFERROR(VLOOKUP(AN598,ROTAS!$A:$B,2,FALSE),0)</f>
        <v>0</v>
      </c>
      <c r="B598" s="101"/>
      <c r="C598" s="101"/>
      <c r="D598" s="101"/>
      <c r="E598" s="76"/>
      <c r="F598" s="6"/>
      <c r="G598" s="5" t="str">
        <f>IFERROR(VLOOKUP(SUMIFS(MSOLICITADA!$I:$I,MSOLICITADA!$B:$B,D598,MSOLICITADA!$F:$F,F598),CODIGOSPLACAS!$A$64:$B$89,2,FALSE),"")</f>
        <v/>
      </c>
      <c r="H598" s="77"/>
      <c r="I598" s="77"/>
      <c r="J598" s="7"/>
      <c r="K598" s="78"/>
      <c r="L598" s="79"/>
      <c r="M598" s="6"/>
      <c r="N598" s="5" t="str">
        <f t="shared" si="81"/>
        <v/>
      </c>
      <c r="O598" s="80" t="str">
        <f t="shared" si="82"/>
        <v/>
      </c>
      <c r="P598" s="8">
        <f t="shared" si="83"/>
        <v>0</v>
      </c>
      <c r="Q598" s="8">
        <f t="shared" si="86"/>
        <v>0</v>
      </c>
      <c r="R598" s="81">
        <f t="shared" si="84"/>
        <v>0</v>
      </c>
      <c r="S598" s="113" t="str">
        <f>IF(F598="","",IF(H598="",TEXT(_xlfn.MAXIFS($I$1:I598,$F$1:F598,F598,$H$1:H598,"&gt;"&amp;0),"000.000"),F598))</f>
        <v/>
      </c>
      <c r="T598" s="101" t="str">
        <f t="shared" si="87"/>
        <v/>
      </c>
      <c r="U598" s="82"/>
      <c r="V598" s="98"/>
      <c r="W598" s="82"/>
      <c r="X598" s="98"/>
      <c r="Y598" s="82"/>
      <c r="Z598" s="98"/>
      <c r="AA598" s="82"/>
      <c r="AB598" s="98"/>
      <c r="AC598" s="82"/>
      <c r="AD598" s="98"/>
      <c r="AE598" s="82"/>
      <c r="AF598" s="98"/>
      <c r="AG598" s="82"/>
      <c r="AH598" s="98"/>
      <c r="AI598" s="82"/>
      <c r="AJ598" s="98"/>
      <c r="AK598" s="83"/>
      <c r="AL598" s="84" t="str">
        <f>IF(F598&lt;&gt;0,IF(_xlfn.MAXIFS($I$1:I598,$F$1:F598,F598,$H$1:H598,"&gt;"&amp;0)=0,"KM NÃO ENCONTRADO",IF(H598=0,CONCATENATE("SUGESTÃO DE KM PARA PLACA ",F598," *",_xlfn.MAXIFS($I$1:I598,$F$1:F598,F598,$H$1:H598,"&gt;"&amp;0),"*"),"")),"")</f>
        <v/>
      </c>
      <c r="AM598" s="85" t="str" cm="1">
        <f t="array" ref="AM598">IFERROR(IF(M598&lt;&gt;"","",CONCATENATE("https://btx.brasiltrack.com/logistica/trajeto.php?idveiculo=",VLOOKUP(F598,DATAS!$A$221:$B$250,2,FALSE),"&amp;lat=-22.204247","&amp;data_ini=",TEXT(IF(E598&lt;&gt;"",IF(COUNTIF($F$2:$F598,F598)&gt;1,MAX(IF($F$1:$F597=F598,$E$1:$E597)),""),""),"DD/MM/AAAA"),"&amp;data_fim=",TEXT(E598,"DD/MM/AAAA"),"&amp;hora_inicial=",HOUR(IF(E598&lt;&gt;"",IF(COUNTIF($F$2:$F598,F598)&gt;1,MAX(IF($F$1:$F597=F598,$E$1:$E597)),""),"")),"&amp;minuto_inicial=",MINUTE(IF(E598&lt;&gt;"",IF(COUNTIF($F$2:$F598,F598)&gt;1,MAX(IF($F$1:$F597=F598,$E$1:$E597)),""),"")),"&amp;hora_final=",HOUR(E598),"&amp;minuto_final=",MINUTE(E598),"&amp;periodo=6&amp;tipo=por_data&amp;upos=false&amp;outequip=0")),"")</f>
        <v/>
      </c>
      <c r="AN598" s="100" t="str">
        <f t="shared" si="85"/>
        <v xml:space="preserve">               </v>
      </c>
    </row>
    <row r="599" spans="1:40" x14ac:dyDescent="0.25">
      <c r="A599" s="101">
        <f>IFERROR(VLOOKUP(AN599,ROTAS!$A:$B,2,FALSE),0)</f>
        <v>0</v>
      </c>
      <c r="B599" s="101"/>
      <c r="C599" s="101"/>
      <c r="D599" s="101"/>
      <c r="E599" s="76"/>
      <c r="F599" s="6"/>
      <c r="G599" s="5" t="str">
        <f>IFERROR(VLOOKUP(SUMIFS(MSOLICITADA!$I:$I,MSOLICITADA!$B:$B,D599,MSOLICITADA!$F:$F,F599),CODIGOSPLACAS!$A$64:$B$89,2,FALSE),"")</f>
        <v/>
      </c>
      <c r="H599" s="77"/>
      <c r="I599" s="77"/>
      <c r="J599" s="7"/>
      <c r="K599" s="78"/>
      <c r="L599" s="79"/>
      <c r="M599" s="6"/>
      <c r="N599" s="5" t="str">
        <f t="shared" si="81"/>
        <v/>
      </c>
      <c r="O599" s="80" t="str">
        <f t="shared" si="82"/>
        <v/>
      </c>
      <c r="P599" s="8">
        <f t="shared" si="83"/>
        <v>0</v>
      </c>
      <c r="Q599" s="8">
        <f t="shared" si="86"/>
        <v>0</v>
      </c>
      <c r="R599" s="81">
        <f t="shared" si="84"/>
        <v>0</v>
      </c>
      <c r="S599" s="113" t="str">
        <f>IF(F599="","",IF(H599="",TEXT(_xlfn.MAXIFS($I$1:I599,$F$1:F599,F599,$H$1:H599,"&gt;"&amp;0),"000.000"),F599))</f>
        <v/>
      </c>
      <c r="T599" s="101" t="str">
        <f t="shared" si="87"/>
        <v/>
      </c>
      <c r="U599" s="82"/>
      <c r="V599" s="98"/>
      <c r="W599" s="82"/>
      <c r="X599" s="98"/>
      <c r="Y599" s="82"/>
      <c r="Z599" s="98"/>
      <c r="AA599" s="82"/>
      <c r="AB599" s="98"/>
      <c r="AC599" s="82"/>
      <c r="AD599" s="98"/>
      <c r="AE599" s="82"/>
      <c r="AF599" s="98"/>
      <c r="AG599" s="82"/>
      <c r="AH599" s="98"/>
      <c r="AI599" s="82"/>
      <c r="AJ599" s="98"/>
      <c r="AK599" s="83"/>
      <c r="AL599" s="84" t="str">
        <f>IF(F599&lt;&gt;0,IF(_xlfn.MAXIFS($I$1:I599,$F$1:F599,F599,$H$1:H599,"&gt;"&amp;0)=0,"KM NÃO ENCONTRADO",IF(H599=0,CONCATENATE("SUGESTÃO DE KM PARA PLACA ",F599," *",_xlfn.MAXIFS($I$1:I599,$F$1:F599,F599,$H$1:H599,"&gt;"&amp;0),"*"),"")),"")</f>
        <v/>
      </c>
      <c r="AM599" s="85" t="str" cm="1">
        <f t="array" ref="AM599">IFERROR(IF(M599&lt;&gt;"","",CONCATENATE("https://btx.brasiltrack.com/logistica/trajeto.php?idveiculo=",VLOOKUP(F599,DATAS!$A$221:$B$250,2,FALSE),"&amp;lat=-22.204247","&amp;data_ini=",TEXT(IF(E599&lt;&gt;"",IF(COUNTIF($F$2:$F599,F599)&gt;1,MAX(IF($F$1:$F598=F599,$E$1:$E598)),""),""),"DD/MM/AAAA"),"&amp;data_fim=",TEXT(E599,"DD/MM/AAAA"),"&amp;hora_inicial=",HOUR(IF(E599&lt;&gt;"",IF(COUNTIF($F$2:$F599,F599)&gt;1,MAX(IF($F$1:$F598=F599,$E$1:$E598)),""),"")),"&amp;minuto_inicial=",MINUTE(IF(E599&lt;&gt;"",IF(COUNTIF($F$2:$F599,F599)&gt;1,MAX(IF($F$1:$F598=F599,$E$1:$E598)),""),"")),"&amp;hora_final=",HOUR(E599),"&amp;minuto_final=",MINUTE(E599),"&amp;periodo=6&amp;tipo=por_data&amp;upos=false&amp;outequip=0")),"")</f>
        <v/>
      </c>
      <c r="AN599" s="100" t="str">
        <f t="shared" si="85"/>
        <v xml:space="preserve">               </v>
      </c>
    </row>
    <row r="600" spans="1:40" x14ac:dyDescent="0.25">
      <c r="A600" s="101">
        <f>IFERROR(VLOOKUP(AN600,ROTAS!$A:$B,2,FALSE),0)</f>
        <v>0</v>
      </c>
      <c r="B600" s="101"/>
      <c r="C600" s="101"/>
      <c r="D600" s="101"/>
      <c r="E600" s="76"/>
      <c r="F600" s="6"/>
      <c r="G600" s="5" t="str">
        <f>IFERROR(VLOOKUP(SUMIFS(MSOLICITADA!$I:$I,MSOLICITADA!$B:$B,D600,MSOLICITADA!$F:$F,F600),CODIGOSPLACAS!$A$64:$B$89,2,FALSE),"")</f>
        <v/>
      </c>
      <c r="H600" s="77"/>
      <c r="I600" s="77"/>
      <c r="J600" s="7"/>
      <c r="K600" s="78"/>
      <c r="L600" s="79"/>
      <c r="M600" s="6"/>
      <c r="N600" s="5" t="str">
        <f t="shared" si="81"/>
        <v/>
      </c>
      <c r="O600" s="80" t="str">
        <f t="shared" si="82"/>
        <v/>
      </c>
      <c r="P600" s="8">
        <f t="shared" si="83"/>
        <v>0</v>
      </c>
      <c r="Q600" s="8">
        <f t="shared" si="86"/>
        <v>0</v>
      </c>
      <c r="R600" s="81">
        <f t="shared" si="84"/>
        <v>0</v>
      </c>
      <c r="S600" s="113" t="str">
        <f>IF(F600="","",IF(H600="",TEXT(_xlfn.MAXIFS($I$1:I600,$F$1:F600,F600,$H$1:H600,"&gt;"&amp;0),"000.000"),F600))</f>
        <v/>
      </c>
      <c r="T600" s="101" t="str">
        <f t="shared" si="87"/>
        <v/>
      </c>
      <c r="U600" s="82"/>
      <c r="V600" s="98"/>
      <c r="W600" s="82"/>
      <c r="X600" s="98"/>
      <c r="Y600" s="82"/>
      <c r="Z600" s="98"/>
      <c r="AA600" s="82"/>
      <c r="AB600" s="98"/>
      <c r="AC600" s="82"/>
      <c r="AD600" s="98"/>
      <c r="AE600" s="82"/>
      <c r="AF600" s="98"/>
      <c r="AG600" s="82"/>
      <c r="AH600" s="98"/>
      <c r="AI600" s="82"/>
      <c r="AJ600" s="98"/>
      <c r="AK600" s="83"/>
      <c r="AL600" s="84" t="str">
        <f>IF(F600&lt;&gt;0,IF(_xlfn.MAXIFS($I$1:I600,$F$1:F600,F600,$H$1:H600,"&gt;"&amp;0)=0,"KM NÃO ENCONTRADO",IF(H600=0,CONCATENATE("SUGESTÃO DE KM PARA PLACA ",F600," *",_xlfn.MAXIFS($I$1:I600,$F$1:F600,F600,$H$1:H600,"&gt;"&amp;0),"*"),"")),"")</f>
        <v/>
      </c>
      <c r="AM600" s="85" t="str" cm="1">
        <f t="array" ref="AM600">IFERROR(IF(M600&lt;&gt;"","",CONCATENATE("https://btx.brasiltrack.com/logistica/trajeto.php?idveiculo=",VLOOKUP(F600,DATAS!$A$221:$B$250,2,FALSE),"&amp;lat=-22.204247","&amp;data_ini=",TEXT(IF(E600&lt;&gt;"",IF(COUNTIF($F$2:$F600,F600)&gt;1,MAX(IF($F$1:$F599=F600,$E$1:$E599)),""),""),"DD/MM/AAAA"),"&amp;data_fim=",TEXT(E600,"DD/MM/AAAA"),"&amp;hora_inicial=",HOUR(IF(E600&lt;&gt;"",IF(COUNTIF($F$2:$F600,F600)&gt;1,MAX(IF($F$1:$F599=F600,$E$1:$E599)),""),"")),"&amp;minuto_inicial=",MINUTE(IF(E600&lt;&gt;"",IF(COUNTIF($F$2:$F600,F600)&gt;1,MAX(IF($F$1:$F599=F600,$E$1:$E599)),""),"")),"&amp;hora_final=",HOUR(E600),"&amp;minuto_final=",MINUTE(E600),"&amp;periodo=6&amp;tipo=por_data&amp;upos=false&amp;outequip=0")),"")</f>
        <v/>
      </c>
      <c r="AN600" s="100" t="str">
        <f t="shared" si="85"/>
        <v xml:space="preserve">               </v>
      </c>
    </row>
    <row r="601" spans="1:40" x14ac:dyDescent="0.25">
      <c r="A601" s="101">
        <f>IFERROR(VLOOKUP(AN601,ROTAS!$A:$B,2,FALSE),0)</f>
        <v>0</v>
      </c>
      <c r="B601" s="101"/>
      <c r="C601" s="101"/>
      <c r="D601" s="101"/>
      <c r="E601" s="76"/>
      <c r="F601" s="6"/>
      <c r="G601" s="5" t="str">
        <f>IFERROR(VLOOKUP(SUMIFS(MSOLICITADA!$I:$I,MSOLICITADA!$B:$B,D601,MSOLICITADA!$F:$F,F601),CODIGOSPLACAS!$A$64:$B$89,2,FALSE),"")</f>
        <v/>
      </c>
      <c r="H601" s="77"/>
      <c r="I601" s="77"/>
      <c r="J601" s="7"/>
      <c r="K601" s="78"/>
      <c r="L601" s="79"/>
      <c r="M601" s="6"/>
      <c r="N601" s="5" t="str">
        <f t="shared" si="81"/>
        <v/>
      </c>
      <c r="O601" s="80" t="str">
        <f t="shared" si="82"/>
        <v/>
      </c>
      <c r="P601" s="8">
        <f t="shared" si="83"/>
        <v>0</v>
      </c>
      <c r="Q601" s="8">
        <f t="shared" si="86"/>
        <v>0</v>
      </c>
      <c r="R601" s="81">
        <f t="shared" si="84"/>
        <v>0</v>
      </c>
      <c r="S601" s="113" t="str">
        <f>IF(F601="","",IF(H601="",TEXT(_xlfn.MAXIFS($I$1:I601,$F$1:F601,F601,$H$1:H601,"&gt;"&amp;0),"000.000"),F601))</f>
        <v/>
      </c>
      <c r="T601" s="101" t="str">
        <f t="shared" si="87"/>
        <v/>
      </c>
      <c r="U601" s="82"/>
      <c r="V601" s="98"/>
      <c r="W601" s="82"/>
      <c r="X601" s="98"/>
      <c r="Y601" s="82"/>
      <c r="Z601" s="98"/>
      <c r="AA601" s="82"/>
      <c r="AB601" s="98"/>
      <c r="AC601" s="82"/>
      <c r="AD601" s="98"/>
      <c r="AE601" s="82"/>
      <c r="AF601" s="98"/>
      <c r="AG601" s="82"/>
      <c r="AH601" s="98"/>
      <c r="AI601" s="82"/>
      <c r="AJ601" s="98"/>
      <c r="AK601" s="83"/>
      <c r="AL601" s="84" t="str">
        <f>IF(F601&lt;&gt;0,IF(_xlfn.MAXIFS($I$1:I601,$F$1:F601,F601,$H$1:H601,"&gt;"&amp;0)=0,"KM NÃO ENCONTRADO",IF(H601=0,CONCATENATE("SUGESTÃO DE KM PARA PLACA ",F601," *",_xlfn.MAXIFS($I$1:I601,$F$1:F601,F601,$H$1:H601,"&gt;"&amp;0),"*"),"")),"")</f>
        <v/>
      </c>
      <c r="AM601" s="85" t="str" cm="1">
        <f t="array" ref="AM601">IFERROR(IF(M601&lt;&gt;"","",CONCATENATE("https://btx.brasiltrack.com/logistica/trajeto.php?idveiculo=",VLOOKUP(F601,DATAS!$A$221:$B$250,2,FALSE),"&amp;lat=-22.204247","&amp;data_ini=",TEXT(IF(E601&lt;&gt;"",IF(COUNTIF($F$2:$F601,F601)&gt;1,MAX(IF($F$1:$F600=F601,$E$1:$E600)),""),""),"DD/MM/AAAA"),"&amp;data_fim=",TEXT(E601,"DD/MM/AAAA"),"&amp;hora_inicial=",HOUR(IF(E601&lt;&gt;"",IF(COUNTIF($F$2:$F601,F601)&gt;1,MAX(IF($F$1:$F600=F601,$E$1:$E600)),""),"")),"&amp;minuto_inicial=",MINUTE(IF(E601&lt;&gt;"",IF(COUNTIF($F$2:$F601,F601)&gt;1,MAX(IF($F$1:$F600=F601,$E$1:$E600)),""),"")),"&amp;hora_final=",HOUR(E601),"&amp;minuto_final=",MINUTE(E601),"&amp;periodo=6&amp;tipo=por_data&amp;upos=false&amp;outequip=0")),"")</f>
        <v/>
      </c>
      <c r="AN601" s="100" t="str">
        <f t="shared" si="85"/>
        <v xml:space="preserve">               </v>
      </c>
    </row>
    <row r="602" spans="1:40" x14ac:dyDescent="0.25">
      <c r="A602" s="101">
        <f>IFERROR(VLOOKUP(AN602,ROTAS!$A:$B,2,FALSE),0)</f>
        <v>0</v>
      </c>
      <c r="B602" s="101"/>
      <c r="C602" s="101"/>
      <c r="D602" s="101"/>
      <c r="E602" s="76"/>
      <c r="F602" s="6"/>
      <c r="G602" s="5" t="str">
        <f>IFERROR(VLOOKUP(SUMIFS(MSOLICITADA!$I:$I,MSOLICITADA!$B:$B,D602,MSOLICITADA!$F:$F,F602),CODIGOSPLACAS!$A$64:$B$89,2,FALSE),"")</f>
        <v/>
      </c>
      <c r="H602" s="77"/>
      <c r="I602" s="77"/>
      <c r="J602" s="7"/>
      <c r="K602" s="78"/>
      <c r="L602" s="79"/>
      <c r="M602" s="6"/>
      <c r="N602" s="5" t="str">
        <f t="shared" si="81"/>
        <v/>
      </c>
      <c r="O602" s="80" t="str">
        <f t="shared" si="82"/>
        <v/>
      </c>
      <c r="P602" s="8">
        <f t="shared" si="83"/>
        <v>0</v>
      </c>
      <c r="Q602" s="8">
        <f t="shared" si="86"/>
        <v>0</v>
      </c>
      <c r="R602" s="81">
        <f t="shared" si="84"/>
        <v>0</v>
      </c>
      <c r="S602" s="113" t="str">
        <f>IF(F602="","",IF(H602="",TEXT(_xlfn.MAXIFS($I$1:I602,$F$1:F602,F602,$H$1:H602,"&gt;"&amp;0),"000.000"),F602))</f>
        <v/>
      </c>
      <c r="T602" s="101" t="str">
        <f t="shared" si="87"/>
        <v/>
      </c>
      <c r="U602" s="82"/>
      <c r="V602" s="98"/>
      <c r="W602" s="82"/>
      <c r="X602" s="98"/>
      <c r="Y602" s="82"/>
      <c r="Z602" s="98"/>
      <c r="AA602" s="82"/>
      <c r="AB602" s="98"/>
      <c r="AC602" s="82"/>
      <c r="AD602" s="98"/>
      <c r="AE602" s="82"/>
      <c r="AF602" s="98"/>
      <c r="AG602" s="82"/>
      <c r="AH602" s="98"/>
      <c r="AI602" s="82"/>
      <c r="AJ602" s="98"/>
      <c r="AK602" s="83"/>
      <c r="AL602" s="84" t="str">
        <f>IF(F602&lt;&gt;0,IF(_xlfn.MAXIFS($I$1:I602,$F$1:F602,F602,$H$1:H602,"&gt;"&amp;0)=0,"KM NÃO ENCONTRADO",IF(H602=0,CONCATENATE("SUGESTÃO DE KM PARA PLACA ",F602," *",_xlfn.MAXIFS($I$1:I602,$F$1:F602,F602,$H$1:H602,"&gt;"&amp;0),"*"),"")),"")</f>
        <v/>
      </c>
      <c r="AM602" s="85" t="str" cm="1">
        <f t="array" ref="AM602">IFERROR(IF(M602&lt;&gt;"","",CONCATENATE("https://btx.brasiltrack.com/logistica/trajeto.php?idveiculo=",VLOOKUP(F602,DATAS!$A$221:$B$250,2,FALSE),"&amp;lat=-22.204247","&amp;data_ini=",TEXT(IF(E602&lt;&gt;"",IF(COUNTIF($F$2:$F602,F602)&gt;1,MAX(IF($F$1:$F601=F602,$E$1:$E601)),""),""),"DD/MM/AAAA"),"&amp;data_fim=",TEXT(E602,"DD/MM/AAAA"),"&amp;hora_inicial=",HOUR(IF(E602&lt;&gt;"",IF(COUNTIF($F$2:$F602,F602)&gt;1,MAX(IF($F$1:$F601=F602,$E$1:$E601)),""),"")),"&amp;minuto_inicial=",MINUTE(IF(E602&lt;&gt;"",IF(COUNTIF($F$2:$F602,F602)&gt;1,MAX(IF($F$1:$F601=F602,$E$1:$E601)),""),"")),"&amp;hora_final=",HOUR(E602),"&amp;minuto_final=",MINUTE(E602),"&amp;periodo=6&amp;tipo=por_data&amp;upos=false&amp;outequip=0")),"")</f>
        <v/>
      </c>
      <c r="AN602" s="100" t="str">
        <f t="shared" si="85"/>
        <v xml:space="preserve">               </v>
      </c>
    </row>
    <row r="603" spans="1:40" x14ac:dyDescent="0.25">
      <c r="A603" s="101">
        <f>IFERROR(VLOOKUP(AN603,ROTAS!$A:$B,2,FALSE),0)</f>
        <v>0</v>
      </c>
      <c r="B603" s="101"/>
      <c r="C603" s="101"/>
      <c r="D603" s="101"/>
      <c r="E603" s="76"/>
      <c r="F603" s="6"/>
      <c r="G603" s="5" t="str">
        <f>IFERROR(VLOOKUP(SUMIFS(MSOLICITADA!$I:$I,MSOLICITADA!$B:$B,D603,MSOLICITADA!$F:$F,F603),CODIGOSPLACAS!$A$64:$B$89,2,FALSE),"")</f>
        <v/>
      </c>
      <c r="H603" s="77"/>
      <c r="I603" s="77"/>
      <c r="J603" s="7"/>
      <c r="K603" s="78"/>
      <c r="L603" s="79"/>
      <c r="M603" s="6"/>
      <c r="N603" s="5" t="str">
        <f t="shared" si="81"/>
        <v/>
      </c>
      <c r="O603" s="80" t="str">
        <f t="shared" si="82"/>
        <v/>
      </c>
      <c r="P603" s="8">
        <f t="shared" si="83"/>
        <v>0</v>
      </c>
      <c r="Q603" s="8">
        <f t="shared" si="86"/>
        <v>0</v>
      </c>
      <c r="R603" s="81">
        <f t="shared" si="84"/>
        <v>0</v>
      </c>
      <c r="S603" s="113" t="str">
        <f>IF(F603="","",IF(H603="",TEXT(_xlfn.MAXIFS($I$1:I603,$F$1:F603,F603,$H$1:H603,"&gt;"&amp;0),"000.000"),F603))</f>
        <v/>
      </c>
      <c r="T603" s="101" t="str">
        <f t="shared" si="87"/>
        <v/>
      </c>
      <c r="U603" s="82"/>
      <c r="V603" s="98"/>
      <c r="W603" s="82"/>
      <c r="X603" s="98"/>
      <c r="Y603" s="82"/>
      <c r="Z603" s="98"/>
      <c r="AA603" s="82"/>
      <c r="AB603" s="98"/>
      <c r="AC603" s="82"/>
      <c r="AD603" s="98"/>
      <c r="AE603" s="82"/>
      <c r="AF603" s="98"/>
      <c r="AG603" s="82"/>
      <c r="AH603" s="98"/>
      <c r="AI603" s="82"/>
      <c r="AJ603" s="98"/>
      <c r="AK603" s="83"/>
      <c r="AL603" s="84" t="str">
        <f>IF(F603&lt;&gt;0,IF(_xlfn.MAXIFS($I$1:I603,$F$1:F603,F603,$H$1:H603,"&gt;"&amp;0)=0,"KM NÃO ENCONTRADO",IF(H603=0,CONCATENATE("SUGESTÃO DE KM PARA PLACA ",F603," *",_xlfn.MAXIFS($I$1:I603,$F$1:F603,F603,$H$1:H603,"&gt;"&amp;0),"*"),"")),"")</f>
        <v/>
      </c>
      <c r="AM603" s="85" t="str" cm="1">
        <f t="array" ref="AM603">IFERROR(IF(M603&lt;&gt;"","",CONCATENATE("https://btx.brasiltrack.com/logistica/trajeto.php?idveiculo=",VLOOKUP(F603,DATAS!$A$221:$B$250,2,FALSE),"&amp;lat=-22.204247","&amp;data_ini=",TEXT(IF(E603&lt;&gt;"",IF(COUNTIF($F$2:$F603,F603)&gt;1,MAX(IF($F$1:$F602=F603,$E$1:$E602)),""),""),"DD/MM/AAAA"),"&amp;data_fim=",TEXT(E603,"DD/MM/AAAA"),"&amp;hora_inicial=",HOUR(IF(E603&lt;&gt;"",IF(COUNTIF($F$2:$F603,F603)&gt;1,MAX(IF($F$1:$F602=F603,$E$1:$E602)),""),"")),"&amp;minuto_inicial=",MINUTE(IF(E603&lt;&gt;"",IF(COUNTIF($F$2:$F603,F603)&gt;1,MAX(IF($F$1:$F602=F603,$E$1:$E602)),""),"")),"&amp;hora_final=",HOUR(E603),"&amp;minuto_final=",MINUTE(E603),"&amp;periodo=6&amp;tipo=por_data&amp;upos=false&amp;outequip=0")),"")</f>
        <v/>
      </c>
      <c r="AN603" s="100" t="str">
        <f t="shared" si="85"/>
        <v xml:space="preserve">               </v>
      </c>
    </row>
    <row r="604" spans="1:40" x14ac:dyDescent="0.25">
      <c r="A604" s="101">
        <f>IFERROR(VLOOKUP(AN604,ROTAS!$A:$B,2,FALSE),0)</f>
        <v>0</v>
      </c>
      <c r="B604" s="101"/>
      <c r="C604" s="101"/>
      <c r="D604" s="101"/>
      <c r="E604" s="76"/>
      <c r="F604" s="6"/>
      <c r="G604" s="5" t="str">
        <f>IFERROR(VLOOKUP(SUMIFS(MSOLICITADA!$I:$I,MSOLICITADA!$B:$B,D604,MSOLICITADA!$F:$F,F604),CODIGOSPLACAS!$A$64:$B$89,2,FALSE),"")</f>
        <v/>
      </c>
      <c r="H604" s="77"/>
      <c r="I604" s="77"/>
      <c r="J604" s="7"/>
      <c r="K604" s="78"/>
      <c r="L604" s="79"/>
      <c r="M604" s="6"/>
      <c r="N604" s="5" t="str">
        <f t="shared" si="81"/>
        <v/>
      </c>
      <c r="O604" s="80" t="str">
        <f t="shared" si="82"/>
        <v/>
      </c>
      <c r="P604" s="8">
        <f t="shared" si="83"/>
        <v>0</v>
      </c>
      <c r="Q604" s="8">
        <f t="shared" si="86"/>
        <v>0</v>
      </c>
      <c r="R604" s="81">
        <f t="shared" si="84"/>
        <v>0</v>
      </c>
      <c r="S604" s="113" t="str">
        <f>IF(F604="","",IF(H604="",TEXT(_xlfn.MAXIFS($I$1:I604,$F$1:F604,F604,$H$1:H604,"&gt;"&amp;0),"000.000"),F604))</f>
        <v/>
      </c>
      <c r="T604" s="101" t="str">
        <f t="shared" si="87"/>
        <v/>
      </c>
      <c r="U604" s="82"/>
      <c r="V604" s="98"/>
      <c r="W604" s="82"/>
      <c r="X604" s="98"/>
      <c r="Y604" s="82"/>
      <c r="Z604" s="98"/>
      <c r="AA604" s="82"/>
      <c r="AB604" s="98"/>
      <c r="AC604" s="82"/>
      <c r="AD604" s="98"/>
      <c r="AE604" s="82"/>
      <c r="AF604" s="98"/>
      <c r="AG604" s="82"/>
      <c r="AH604" s="98"/>
      <c r="AI604" s="82"/>
      <c r="AJ604" s="98"/>
      <c r="AK604" s="83"/>
      <c r="AL604" s="84" t="str">
        <f>IF(F604&lt;&gt;0,IF(_xlfn.MAXIFS($I$1:I604,$F$1:F604,F604,$H$1:H604,"&gt;"&amp;0)=0,"KM NÃO ENCONTRADO",IF(H604=0,CONCATENATE("SUGESTÃO DE KM PARA PLACA ",F604," *",_xlfn.MAXIFS($I$1:I604,$F$1:F604,F604,$H$1:H604,"&gt;"&amp;0),"*"),"")),"")</f>
        <v/>
      </c>
      <c r="AM604" s="85" t="str" cm="1">
        <f t="array" ref="AM604">IFERROR(IF(M604&lt;&gt;"","",CONCATENATE("https://btx.brasiltrack.com/logistica/trajeto.php?idveiculo=",VLOOKUP(F604,DATAS!$A$221:$B$250,2,FALSE),"&amp;lat=-22.204247","&amp;data_ini=",TEXT(IF(E604&lt;&gt;"",IF(COUNTIF($F$2:$F604,F604)&gt;1,MAX(IF($F$1:$F603=F604,$E$1:$E603)),""),""),"DD/MM/AAAA"),"&amp;data_fim=",TEXT(E604,"DD/MM/AAAA"),"&amp;hora_inicial=",HOUR(IF(E604&lt;&gt;"",IF(COUNTIF($F$2:$F604,F604)&gt;1,MAX(IF($F$1:$F603=F604,$E$1:$E603)),""),"")),"&amp;minuto_inicial=",MINUTE(IF(E604&lt;&gt;"",IF(COUNTIF($F$2:$F604,F604)&gt;1,MAX(IF($F$1:$F603=F604,$E$1:$E603)),""),"")),"&amp;hora_final=",HOUR(E604),"&amp;minuto_final=",MINUTE(E604),"&amp;periodo=6&amp;tipo=por_data&amp;upos=false&amp;outequip=0")),"")</f>
        <v/>
      </c>
      <c r="AN604" s="100" t="str">
        <f t="shared" si="85"/>
        <v xml:space="preserve">               </v>
      </c>
    </row>
    <row r="605" spans="1:40" x14ac:dyDescent="0.25">
      <c r="A605" s="101">
        <f>IFERROR(VLOOKUP(AN605,ROTAS!$A:$B,2,FALSE),0)</f>
        <v>0</v>
      </c>
      <c r="B605" s="101"/>
      <c r="C605" s="101"/>
      <c r="D605" s="101"/>
      <c r="E605" s="76"/>
      <c r="F605" s="6"/>
      <c r="G605" s="5" t="str">
        <f>IFERROR(VLOOKUP(SUMIFS(MSOLICITADA!$I:$I,MSOLICITADA!$B:$B,D605,MSOLICITADA!$F:$F,F605),CODIGOSPLACAS!$A$64:$B$89,2,FALSE),"")</f>
        <v/>
      </c>
      <c r="H605" s="77"/>
      <c r="I605" s="77"/>
      <c r="J605" s="7"/>
      <c r="K605" s="78"/>
      <c r="L605" s="79"/>
      <c r="M605" s="6"/>
      <c r="N605" s="5" t="str">
        <f t="shared" si="81"/>
        <v/>
      </c>
      <c r="O605" s="80" t="str">
        <f t="shared" si="82"/>
        <v/>
      </c>
      <c r="P605" s="8">
        <f t="shared" si="83"/>
        <v>0</v>
      </c>
      <c r="Q605" s="8">
        <f t="shared" si="86"/>
        <v>0</v>
      </c>
      <c r="R605" s="81">
        <f t="shared" si="84"/>
        <v>0</v>
      </c>
      <c r="S605" s="113" t="str">
        <f>IF(F605="","",IF(H605="",TEXT(_xlfn.MAXIFS($I$1:I605,$F$1:F605,F605,$H$1:H605,"&gt;"&amp;0),"000.000"),F605))</f>
        <v/>
      </c>
      <c r="T605" s="101" t="str">
        <f t="shared" si="87"/>
        <v/>
      </c>
      <c r="U605" s="82"/>
      <c r="V605" s="98"/>
      <c r="W605" s="82"/>
      <c r="X605" s="98"/>
      <c r="Y605" s="82"/>
      <c r="Z605" s="98"/>
      <c r="AA605" s="82"/>
      <c r="AB605" s="98"/>
      <c r="AC605" s="82"/>
      <c r="AD605" s="98"/>
      <c r="AE605" s="82"/>
      <c r="AF605" s="98"/>
      <c r="AG605" s="82"/>
      <c r="AH605" s="98"/>
      <c r="AI605" s="82"/>
      <c r="AJ605" s="98"/>
      <c r="AK605" s="83"/>
      <c r="AL605" s="84" t="str">
        <f>IF(F605&lt;&gt;0,IF(_xlfn.MAXIFS($I$1:I605,$F$1:F605,F605,$H$1:H605,"&gt;"&amp;0)=0,"KM NÃO ENCONTRADO",IF(H605=0,CONCATENATE("SUGESTÃO DE KM PARA PLACA ",F605," *",_xlfn.MAXIFS($I$1:I605,$F$1:F605,F605,$H$1:H605,"&gt;"&amp;0),"*"),"")),"")</f>
        <v/>
      </c>
      <c r="AM605" s="85" t="str" cm="1">
        <f t="array" ref="AM605">IFERROR(IF(M605&lt;&gt;"","",CONCATENATE("https://btx.brasiltrack.com/logistica/trajeto.php?idveiculo=",VLOOKUP(F605,DATAS!$A$221:$B$250,2,FALSE),"&amp;lat=-22.204247","&amp;data_ini=",TEXT(IF(E605&lt;&gt;"",IF(COUNTIF($F$2:$F605,F605)&gt;1,MAX(IF($F$1:$F604=F605,$E$1:$E604)),""),""),"DD/MM/AAAA"),"&amp;data_fim=",TEXT(E605,"DD/MM/AAAA"),"&amp;hora_inicial=",HOUR(IF(E605&lt;&gt;"",IF(COUNTIF($F$2:$F605,F605)&gt;1,MAX(IF($F$1:$F604=F605,$E$1:$E604)),""),"")),"&amp;minuto_inicial=",MINUTE(IF(E605&lt;&gt;"",IF(COUNTIF($F$2:$F605,F605)&gt;1,MAX(IF($F$1:$F604=F605,$E$1:$E604)),""),"")),"&amp;hora_final=",HOUR(E605),"&amp;minuto_final=",MINUTE(E605),"&amp;periodo=6&amp;tipo=por_data&amp;upos=false&amp;outequip=0")),"")</f>
        <v/>
      </c>
      <c r="AN605" s="100" t="str">
        <f t="shared" si="85"/>
        <v xml:space="preserve">               </v>
      </c>
    </row>
    <row r="606" spans="1:40" x14ac:dyDescent="0.25">
      <c r="A606" s="101">
        <f>IFERROR(VLOOKUP(AN606,ROTAS!$A:$B,2,FALSE),0)</f>
        <v>0</v>
      </c>
      <c r="B606" s="101"/>
      <c r="C606" s="101"/>
      <c r="D606" s="101"/>
      <c r="E606" s="76"/>
      <c r="F606" s="6"/>
      <c r="G606" s="5" t="str">
        <f>IFERROR(VLOOKUP(SUMIFS(MSOLICITADA!$I:$I,MSOLICITADA!$B:$B,D606,MSOLICITADA!$F:$F,F606),CODIGOSPLACAS!$A$64:$B$89,2,FALSE),"")</f>
        <v/>
      </c>
      <c r="H606" s="77"/>
      <c r="I606" s="77"/>
      <c r="J606" s="7"/>
      <c r="K606" s="78"/>
      <c r="L606" s="79"/>
      <c r="M606" s="6"/>
      <c r="N606" s="5" t="str">
        <f t="shared" si="81"/>
        <v/>
      </c>
      <c r="O606" s="80" t="str">
        <f t="shared" si="82"/>
        <v/>
      </c>
      <c r="P606" s="8">
        <f t="shared" si="83"/>
        <v>0</v>
      </c>
      <c r="Q606" s="8">
        <f t="shared" si="86"/>
        <v>0</v>
      </c>
      <c r="R606" s="81">
        <f t="shared" si="84"/>
        <v>0</v>
      </c>
      <c r="S606" s="113" t="str">
        <f>IF(F606="","",IF(H606="",TEXT(_xlfn.MAXIFS($I$1:I606,$F$1:F606,F606,$H$1:H606,"&gt;"&amp;0),"000.000"),F606))</f>
        <v/>
      </c>
      <c r="T606" s="101" t="str">
        <f t="shared" si="87"/>
        <v/>
      </c>
      <c r="U606" s="82"/>
      <c r="V606" s="98"/>
      <c r="W606" s="82"/>
      <c r="X606" s="98"/>
      <c r="Y606" s="82"/>
      <c r="Z606" s="98"/>
      <c r="AA606" s="82"/>
      <c r="AB606" s="98"/>
      <c r="AC606" s="82"/>
      <c r="AD606" s="98"/>
      <c r="AE606" s="82"/>
      <c r="AF606" s="98"/>
      <c r="AG606" s="82"/>
      <c r="AH606" s="98"/>
      <c r="AI606" s="82"/>
      <c r="AJ606" s="98"/>
      <c r="AK606" s="83"/>
      <c r="AL606" s="84" t="str">
        <f>IF(F606&lt;&gt;0,IF(_xlfn.MAXIFS($I$1:I606,$F$1:F606,F606,$H$1:H606,"&gt;"&amp;0)=0,"KM NÃO ENCONTRADO",IF(H606=0,CONCATENATE("SUGESTÃO DE KM PARA PLACA ",F606," *",_xlfn.MAXIFS($I$1:I606,$F$1:F606,F606,$H$1:H606,"&gt;"&amp;0),"*"),"")),"")</f>
        <v/>
      </c>
      <c r="AM606" s="85" t="str" cm="1">
        <f t="array" ref="AM606">IFERROR(IF(M606&lt;&gt;"","",CONCATENATE("https://btx.brasiltrack.com/logistica/trajeto.php?idveiculo=",VLOOKUP(F606,DATAS!$A$221:$B$250,2,FALSE),"&amp;lat=-22.204247","&amp;data_ini=",TEXT(IF(E606&lt;&gt;"",IF(COUNTIF($F$2:$F606,F606)&gt;1,MAX(IF($F$1:$F605=F606,$E$1:$E605)),""),""),"DD/MM/AAAA"),"&amp;data_fim=",TEXT(E606,"DD/MM/AAAA"),"&amp;hora_inicial=",HOUR(IF(E606&lt;&gt;"",IF(COUNTIF($F$2:$F606,F606)&gt;1,MAX(IF($F$1:$F605=F606,$E$1:$E605)),""),"")),"&amp;minuto_inicial=",MINUTE(IF(E606&lt;&gt;"",IF(COUNTIF($F$2:$F606,F606)&gt;1,MAX(IF($F$1:$F605=F606,$E$1:$E605)),""),"")),"&amp;hora_final=",HOUR(E606),"&amp;minuto_final=",MINUTE(E606),"&amp;periodo=6&amp;tipo=por_data&amp;upos=false&amp;outequip=0")),"")</f>
        <v/>
      </c>
      <c r="AN606" s="100" t="str">
        <f t="shared" si="85"/>
        <v xml:space="preserve">               </v>
      </c>
    </row>
    <row r="607" spans="1:40" x14ac:dyDescent="0.25">
      <c r="A607" s="101">
        <f>IFERROR(VLOOKUP(AN607,ROTAS!$A:$B,2,FALSE),0)</f>
        <v>0</v>
      </c>
      <c r="B607" s="101"/>
      <c r="C607" s="101"/>
      <c r="D607" s="101"/>
      <c r="E607" s="76"/>
      <c r="F607" s="6"/>
      <c r="G607" s="5" t="str">
        <f>IFERROR(VLOOKUP(SUMIFS(MSOLICITADA!$I:$I,MSOLICITADA!$B:$B,D607,MSOLICITADA!$F:$F,F607),CODIGOSPLACAS!$A$64:$B$89,2,FALSE),"")</f>
        <v/>
      </c>
      <c r="H607" s="77"/>
      <c r="I607" s="77"/>
      <c r="J607" s="7"/>
      <c r="K607" s="78"/>
      <c r="L607" s="79"/>
      <c r="M607" s="6"/>
      <c r="N607" s="5" t="str">
        <f t="shared" si="81"/>
        <v/>
      </c>
      <c r="O607" s="80" t="str">
        <f t="shared" si="82"/>
        <v/>
      </c>
      <c r="P607" s="8">
        <f t="shared" si="83"/>
        <v>0</v>
      </c>
      <c r="Q607" s="8">
        <f t="shared" si="86"/>
        <v>0</v>
      </c>
      <c r="R607" s="81">
        <f t="shared" si="84"/>
        <v>0</v>
      </c>
      <c r="S607" s="113" t="str">
        <f>IF(F607="","",IF(H607="",TEXT(_xlfn.MAXIFS($I$1:I607,$F$1:F607,F607,$H$1:H607,"&gt;"&amp;0),"000.000"),F607))</f>
        <v/>
      </c>
      <c r="T607" s="101" t="str">
        <f t="shared" si="87"/>
        <v/>
      </c>
      <c r="U607" s="82"/>
      <c r="V607" s="98"/>
      <c r="W607" s="82"/>
      <c r="X607" s="98"/>
      <c r="Y607" s="82"/>
      <c r="Z607" s="98"/>
      <c r="AA607" s="82"/>
      <c r="AB607" s="98"/>
      <c r="AC607" s="82"/>
      <c r="AD607" s="98"/>
      <c r="AE607" s="82"/>
      <c r="AF607" s="98"/>
      <c r="AG607" s="82"/>
      <c r="AH607" s="98"/>
      <c r="AI607" s="82"/>
      <c r="AJ607" s="98"/>
      <c r="AK607" s="83"/>
      <c r="AL607" s="84" t="str">
        <f>IF(F607&lt;&gt;0,IF(_xlfn.MAXIFS($I$1:I607,$F$1:F607,F607,$H$1:H607,"&gt;"&amp;0)=0,"KM NÃO ENCONTRADO",IF(H607=0,CONCATENATE("SUGESTÃO DE KM PARA PLACA ",F607," *",_xlfn.MAXIFS($I$1:I607,$F$1:F607,F607,$H$1:H607,"&gt;"&amp;0),"*"),"")),"")</f>
        <v/>
      </c>
      <c r="AM607" s="85" t="str" cm="1">
        <f t="array" ref="AM607">IFERROR(IF(M607&lt;&gt;"","",CONCATENATE("https://btx.brasiltrack.com/logistica/trajeto.php?idveiculo=",VLOOKUP(F607,DATAS!$A$221:$B$250,2,FALSE),"&amp;lat=-22.204247","&amp;data_ini=",TEXT(IF(E607&lt;&gt;"",IF(COUNTIF($F$2:$F607,F607)&gt;1,MAX(IF($F$1:$F606=F607,$E$1:$E606)),""),""),"DD/MM/AAAA"),"&amp;data_fim=",TEXT(E607,"DD/MM/AAAA"),"&amp;hora_inicial=",HOUR(IF(E607&lt;&gt;"",IF(COUNTIF($F$2:$F607,F607)&gt;1,MAX(IF($F$1:$F606=F607,$E$1:$E606)),""),"")),"&amp;minuto_inicial=",MINUTE(IF(E607&lt;&gt;"",IF(COUNTIF($F$2:$F607,F607)&gt;1,MAX(IF($F$1:$F606=F607,$E$1:$E606)),""),"")),"&amp;hora_final=",HOUR(E607),"&amp;minuto_final=",MINUTE(E607),"&amp;periodo=6&amp;tipo=por_data&amp;upos=false&amp;outequip=0")),"")</f>
        <v/>
      </c>
      <c r="AN607" s="100" t="str">
        <f t="shared" si="85"/>
        <v xml:space="preserve">               </v>
      </c>
    </row>
    <row r="608" spans="1:40" x14ac:dyDescent="0.25">
      <c r="A608" s="101">
        <f>IFERROR(VLOOKUP(AN608,ROTAS!$A:$B,2,FALSE),0)</f>
        <v>0</v>
      </c>
      <c r="B608" s="101"/>
      <c r="C608" s="101"/>
      <c r="D608" s="101"/>
      <c r="E608" s="76"/>
      <c r="F608" s="6"/>
      <c r="G608" s="5" t="str">
        <f>IFERROR(VLOOKUP(SUMIFS(MSOLICITADA!$I:$I,MSOLICITADA!$B:$B,D608,MSOLICITADA!$F:$F,F608),CODIGOSPLACAS!$A$64:$B$89,2,FALSE),"")</f>
        <v/>
      </c>
      <c r="H608" s="77"/>
      <c r="I608" s="77"/>
      <c r="J608" s="7"/>
      <c r="K608" s="78"/>
      <c r="L608" s="79"/>
      <c r="M608" s="6"/>
      <c r="N608" s="5" t="str">
        <f t="shared" si="81"/>
        <v/>
      </c>
      <c r="O608" s="80" t="str">
        <f t="shared" si="82"/>
        <v/>
      </c>
      <c r="P608" s="8">
        <f t="shared" si="83"/>
        <v>0</v>
      </c>
      <c r="Q608" s="8">
        <f t="shared" si="86"/>
        <v>0</v>
      </c>
      <c r="R608" s="81">
        <f t="shared" si="84"/>
        <v>0</v>
      </c>
      <c r="S608" s="113" t="str">
        <f>IF(F608="","",IF(H608="",TEXT(_xlfn.MAXIFS($I$1:I608,$F$1:F608,F608,$H$1:H608,"&gt;"&amp;0),"000.000"),F608))</f>
        <v/>
      </c>
      <c r="T608" s="101" t="str">
        <f t="shared" si="87"/>
        <v/>
      </c>
      <c r="U608" s="82"/>
      <c r="V608" s="98"/>
      <c r="W608" s="82"/>
      <c r="X608" s="98"/>
      <c r="Y608" s="82"/>
      <c r="Z608" s="98"/>
      <c r="AA608" s="82"/>
      <c r="AB608" s="98"/>
      <c r="AC608" s="82"/>
      <c r="AD608" s="98"/>
      <c r="AE608" s="82"/>
      <c r="AF608" s="98"/>
      <c r="AG608" s="82"/>
      <c r="AH608" s="98"/>
      <c r="AI608" s="82"/>
      <c r="AJ608" s="98"/>
      <c r="AK608" s="83"/>
      <c r="AL608" s="84" t="str">
        <f>IF(F608&lt;&gt;0,IF(_xlfn.MAXIFS($I$1:I608,$F$1:F608,F608,$H$1:H608,"&gt;"&amp;0)=0,"KM NÃO ENCONTRADO",IF(H608=0,CONCATENATE("SUGESTÃO DE KM PARA PLACA ",F608," *",_xlfn.MAXIFS($I$1:I608,$F$1:F608,F608,$H$1:H608,"&gt;"&amp;0),"*"),"")),"")</f>
        <v/>
      </c>
      <c r="AM608" s="85" t="str" cm="1">
        <f t="array" ref="AM608">IFERROR(IF(M608&lt;&gt;"","",CONCATENATE("https://btx.brasiltrack.com/logistica/trajeto.php?idveiculo=",VLOOKUP(F608,DATAS!$A$221:$B$250,2,FALSE),"&amp;lat=-22.204247","&amp;data_ini=",TEXT(IF(E608&lt;&gt;"",IF(COUNTIF($F$2:$F608,F608)&gt;1,MAX(IF($F$1:$F607=F608,$E$1:$E607)),""),""),"DD/MM/AAAA"),"&amp;data_fim=",TEXT(E608,"DD/MM/AAAA"),"&amp;hora_inicial=",HOUR(IF(E608&lt;&gt;"",IF(COUNTIF($F$2:$F608,F608)&gt;1,MAX(IF($F$1:$F607=F608,$E$1:$E607)),""),"")),"&amp;minuto_inicial=",MINUTE(IF(E608&lt;&gt;"",IF(COUNTIF($F$2:$F608,F608)&gt;1,MAX(IF($F$1:$F607=F608,$E$1:$E607)),""),"")),"&amp;hora_final=",HOUR(E608),"&amp;minuto_final=",MINUTE(E608),"&amp;periodo=6&amp;tipo=por_data&amp;upos=false&amp;outequip=0")),"")</f>
        <v/>
      </c>
      <c r="AN608" s="100" t="str">
        <f t="shared" si="85"/>
        <v xml:space="preserve">               </v>
      </c>
    </row>
    <row r="609" spans="1:40" x14ac:dyDescent="0.25">
      <c r="A609" s="101">
        <f>IFERROR(VLOOKUP(AN609,ROTAS!$A:$B,2,FALSE),0)</f>
        <v>0</v>
      </c>
      <c r="B609" s="101"/>
      <c r="C609" s="101"/>
      <c r="D609" s="101"/>
      <c r="E609" s="76"/>
      <c r="F609" s="6"/>
      <c r="G609" s="5" t="str">
        <f>IFERROR(VLOOKUP(SUMIFS(MSOLICITADA!$I:$I,MSOLICITADA!$B:$B,D609,MSOLICITADA!$F:$F,F609),CODIGOSPLACAS!$A$64:$B$89,2,FALSE),"")</f>
        <v/>
      </c>
      <c r="H609" s="77"/>
      <c r="I609" s="77"/>
      <c r="J609" s="7"/>
      <c r="K609" s="78"/>
      <c r="L609" s="79"/>
      <c r="M609" s="6"/>
      <c r="N609" s="5" t="str">
        <f t="shared" si="81"/>
        <v/>
      </c>
      <c r="O609" s="80" t="str">
        <f t="shared" si="82"/>
        <v/>
      </c>
      <c r="P609" s="8">
        <f t="shared" si="83"/>
        <v>0</v>
      </c>
      <c r="Q609" s="8">
        <f t="shared" si="86"/>
        <v>0</v>
      </c>
      <c r="R609" s="81">
        <f t="shared" si="84"/>
        <v>0</v>
      </c>
      <c r="S609" s="113" t="str">
        <f>IF(F609="","",IF(H609="",TEXT(_xlfn.MAXIFS($I$1:I609,$F$1:F609,F609,$H$1:H609,"&gt;"&amp;0),"000.000"),F609))</f>
        <v/>
      </c>
      <c r="T609" s="101" t="str">
        <f t="shared" si="87"/>
        <v/>
      </c>
      <c r="U609" s="82"/>
      <c r="V609" s="98"/>
      <c r="W609" s="82"/>
      <c r="X609" s="98"/>
      <c r="Y609" s="82"/>
      <c r="Z609" s="98"/>
      <c r="AA609" s="82"/>
      <c r="AB609" s="98"/>
      <c r="AC609" s="82"/>
      <c r="AD609" s="98"/>
      <c r="AE609" s="82"/>
      <c r="AF609" s="98"/>
      <c r="AG609" s="82"/>
      <c r="AH609" s="98"/>
      <c r="AI609" s="82"/>
      <c r="AJ609" s="98"/>
      <c r="AK609" s="83"/>
      <c r="AL609" s="84" t="str">
        <f>IF(F609&lt;&gt;0,IF(_xlfn.MAXIFS($I$1:I609,$F$1:F609,F609,$H$1:H609,"&gt;"&amp;0)=0,"KM NÃO ENCONTRADO",IF(H609=0,CONCATENATE("SUGESTÃO DE KM PARA PLACA ",F609," *",_xlfn.MAXIFS($I$1:I609,$F$1:F609,F609,$H$1:H609,"&gt;"&amp;0),"*"),"")),"")</f>
        <v/>
      </c>
      <c r="AM609" s="85" t="str" cm="1">
        <f t="array" ref="AM609">IFERROR(IF(M609&lt;&gt;"","",CONCATENATE("https://btx.brasiltrack.com/logistica/trajeto.php?idveiculo=",VLOOKUP(F609,DATAS!$A$221:$B$250,2,FALSE),"&amp;lat=-22.204247","&amp;data_ini=",TEXT(IF(E609&lt;&gt;"",IF(COUNTIF($F$2:$F609,F609)&gt;1,MAX(IF($F$1:$F608=F609,$E$1:$E608)),""),""),"DD/MM/AAAA"),"&amp;data_fim=",TEXT(E609,"DD/MM/AAAA"),"&amp;hora_inicial=",HOUR(IF(E609&lt;&gt;"",IF(COUNTIF($F$2:$F609,F609)&gt;1,MAX(IF($F$1:$F608=F609,$E$1:$E608)),""),"")),"&amp;minuto_inicial=",MINUTE(IF(E609&lt;&gt;"",IF(COUNTIF($F$2:$F609,F609)&gt;1,MAX(IF($F$1:$F608=F609,$E$1:$E608)),""),"")),"&amp;hora_final=",HOUR(E609),"&amp;minuto_final=",MINUTE(E609),"&amp;periodo=6&amp;tipo=por_data&amp;upos=false&amp;outequip=0")),"")</f>
        <v/>
      </c>
      <c r="AN609" s="100" t="str">
        <f t="shared" si="85"/>
        <v xml:space="preserve">               </v>
      </c>
    </row>
    <row r="610" spans="1:40" x14ac:dyDescent="0.25">
      <c r="A610" s="101">
        <f>IFERROR(VLOOKUP(AN610,ROTAS!$A:$B,2,FALSE),0)</f>
        <v>0</v>
      </c>
      <c r="B610" s="101"/>
      <c r="C610" s="101"/>
      <c r="D610" s="101"/>
      <c r="E610" s="76"/>
      <c r="F610" s="6"/>
      <c r="G610" s="5" t="str">
        <f>IFERROR(VLOOKUP(SUMIFS(MSOLICITADA!$I:$I,MSOLICITADA!$B:$B,D610,MSOLICITADA!$F:$F,F610),CODIGOSPLACAS!$A$64:$B$89,2,FALSE),"")</f>
        <v/>
      </c>
      <c r="H610" s="77"/>
      <c r="I610" s="77"/>
      <c r="J610" s="7"/>
      <c r="K610" s="78"/>
      <c r="L610" s="79"/>
      <c r="M610" s="6"/>
      <c r="N610" s="5" t="str">
        <f t="shared" si="81"/>
        <v/>
      </c>
      <c r="O610" s="80" t="str">
        <f t="shared" si="82"/>
        <v/>
      </c>
      <c r="P610" s="8">
        <f t="shared" si="83"/>
        <v>0</v>
      </c>
      <c r="Q610" s="8">
        <f t="shared" si="86"/>
        <v>0</v>
      </c>
      <c r="R610" s="81">
        <f t="shared" si="84"/>
        <v>0</v>
      </c>
      <c r="S610" s="113" t="str">
        <f>IF(F610="","",IF(H610="",TEXT(_xlfn.MAXIFS($I$1:I610,$F$1:F610,F610,$H$1:H610,"&gt;"&amp;0),"000.000"),F610))</f>
        <v/>
      </c>
      <c r="T610" s="101" t="str">
        <f t="shared" si="87"/>
        <v/>
      </c>
      <c r="U610" s="82"/>
      <c r="V610" s="98"/>
      <c r="W610" s="82"/>
      <c r="X610" s="98"/>
      <c r="Y610" s="82"/>
      <c r="Z610" s="98"/>
      <c r="AA610" s="82"/>
      <c r="AB610" s="98"/>
      <c r="AC610" s="82"/>
      <c r="AD610" s="98"/>
      <c r="AE610" s="82"/>
      <c r="AF610" s="98"/>
      <c r="AG610" s="82"/>
      <c r="AH610" s="98"/>
      <c r="AI610" s="82"/>
      <c r="AJ610" s="98"/>
      <c r="AK610" s="83"/>
      <c r="AL610" s="84" t="str">
        <f>IF(F610&lt;&gt;0,IF(_xlfn.MAXIFS($I$1:I610,$F$1:F610,F610,$H$1:H610,"&gt;"&amp;0)=0,"KM NÃO ENCONTRADO",IF(H610=0,CONCATENATE("SUGESTÃO DE KM PARA PLACA ",F610," *",_xlfn.MAXIFS($I$1:I610,$F$1:F610,F610,$H$1:H610,"&gt;"&amp;0),"*"),"")),"")</f>
        <v/>
      </c>
      <c r="AM610" s="85" t="str" cm="1">
        <f t="array" ref="AM610">IFERROR(IF(M610&lt;&gt;"","",CONCATENATE("https://btx.brasiltrack.com/logistica/trajeto.php?idveiculo=",VLOOKUP(F610,DATAS!$A$221:$B$250,2,FALSE),"&amp;lat=-22.204247","&amp;data_ini=",TEXT(IF(E610&lt;&gt;"",IF(COUNTIF($F$2:$F610,F610)&gt;1,MAX(IF($F$1:$F609=F610,$E$1:$E609)),""),""),"DD/MM/AAAA"),"&amp;data_fim=",TEXT(E610,"DD/MM/AAAA"),"&amp;hora_inicial=",HOUR(IF(E610&lt;&gt;"",IF(COUNTIF($F$2:$F610,F610)&gt;1,MAX(IF($F$1:$F609=F610,$E$1:$E609)),""),"")),"&amp;minuto_inicial=",MINUTE(IF(E610&lt;&gt;"",IF(COUNTIF($F$2:$F610,F610)&gt;1,MAX(IF($F$1:$F609=F610,$E$1:$E609)),""),"")),"&amp;hora_final=",HOUR(E610),"&amp;minuto_final=",MINUTE(E610),"&amp;periodo=6&amp;tipo=por_data&amp;upos=false&amp;outequip=0")),"")</f>
        <v/>
      </c>
      <c r="AN610" s="100" t="str">
        <f t="shared" si="85"/>
        <v xml:space="preserve">               </v>
      </c>
    </row>
    <row r="611" spans="1:40" x14ac:dyDescent="0.25">
      <c r="A611" s="101">
        <f>IFERROR(VLOOKUP(AN611,ROTAS!$A:$B,2,FALSE),0)</f>
        <v>0</v>
      </c>
      <c r="B611" s="101"/>
      <c r="C611" s="101"/>
      <c r="D611" s="101"/>
      <c r="E611" s="76"/>
      <c r="F611" s="6"/>
      <c r="G611" s="5" t="str">
        <f>IFERROR(VLOOKUP(SUMIFS(MSOLICITADA!$I:$I,MSOLICITADA!$B:$B,D611,MSOLICITADA!$F:$F,F611),CODIGOSPLACAS!$A$64:$B$89,2,FALSE),"")</f>
        <v/>
      </c>
      <c r="H611" s="77"/>
      <c r="I611" s="77"/>
      <c r="J611" s="7"/>
      <c r="K611" s="78"/>
      <c r="L611" s="79"/>
      <c r="M611" s="6"/>
      <c r="N611" s="5" t="str">
        <f t="shared" si="81"/>
        <v/>
      </c>
      <c r="O611" s="80" t="str">
        <f t="shared" si="82"/>
        <v/>
      </c>
      <c r="P611" s="8">
        <f t="shared" si="83"/>
        <v>0</v>
      </c>
      <c r="Q611" s="8">
        <f t="shared" si="86"/>
        <v>0</v>
      </c>
      <c r="R611" s="81">
        <f t="shared" si="84"/>
        <v>0</v>
      </c>
      <c r="S611" s="113" t="str">
        <f>IF(F611="","",IF(H611="",TEXT(_xlfn.MAXIFS($I$1:I611,$F$1:F611,F611,$H$1:H611,"&gt;"&amp;0),"000.000"),F611))</f>
        <v/>
      </c>
      <c r="T611" s="101" t="str">
        <f t="shared" si="87"/>
        <v/>
      </c>
      <c r="U611" s="82"/>
      <c r="V611" s="98"/>
      <c r="W611" s="82"/>
      <c r="X611" s="98"/>
      <c r="Y611" s="82"/>
      <c r="Z611" s="98"/>
      <c r="AA611" s="82"/>
      <c r="AB611" s="98"/>
      <c r="AC611" s="82"/>
      <c r="AD611" s="98"/>
      <c r="AE611" s="82"/>
      <c r="AF611" s="98"/>
      <c r="AG611" s="82"/>
      <c r="AH611" s="98"/>
      <c r="AI611" s="82"/>
      <c r="AJ611" s="98"/>
      <c r="AK611" s="83"/>
      <c r="AL611" s="84" t="str">
        <f>IF(F611&lt;&gt;0,IF(_xlfn.MAXIFS($I$1:I611,$F$1:F611,F611,$H$1:H611,"&gt;"&amp;0)=0,"KM NÃO ENCONTRADO",IF(H611=0,CONCATENATE("SUGESTÃO DE KM PARA PLACA ",F611," *",_xlfn.MAXIFS($I$1:I611,$F$1:F611,F611,$H$1:H611,"&gt;"&amp;0),"*"),"")),"")</f>
        <v/>
      </c>
      <c r="AM611" s="85" t="str" cm="1">
        <f t="array" ref="AM611">IFERROR(IF(M611&lt;&gt;"","",CONCATENATE("https://btx.brasiltrack.com/logistica/trajeto.php?idveiculo=",VLOOKUP(F611,DATAS!$A$221:$B$250,2,FALSE),"&amp;lat=-22.204247","&amp;data_ini=",TEXT(IF(E611&lt;&gt;"",IF(COUNTIF($F$2:$F611,F611)&gt;1,MAX(IF($F$1:$F610=F611,$E$1:$E610)),""),""),"DD/MM/AAAA"),"&amp;data_fim=",TEXT(E611,"DD/MM/AAAA"),"&amp;hora_inicial=",HOUR(IF(E611&lt;&gt;"",IF(COUNTIF($F$2:$F611,F611)&gt;1,MAX(IF($F$1:$F610=F611,$E$1:$E610)),""),"")),"&amp;minuto_inicial=",MINUTE(IF(E611&lt;&gt;"",IF(COUNTIF($F$2:$F611,F611)&gt;1,MAX(IF($F$1:$F610=F611,$E$1:$E610)),""),"")),"&amp;hora_final=",HOUR(E611),"&amp;minuto_final=",MINUTE(E611),"&amp;periodo=6&amp;tipo=por_data&amp;upos=false&amp;outequip=0")),"")</f>
        <v/>
      </c>
      <c r="AN611" s="100" t="str">
        <f t="shared" si="85"/>
        <v xml:space="preserve">               </v>
      </c>
    </row>
    <row r="612" spans="1:40" x14ac:dyDescent="0.25">
      <c r="A612" s="101">
        <f>IFERROR(VLOOKUP(AN612,ROTAS!$A:$B,2,FALSE),0)</f>
        <v>0</v>
      </c>
      <c r="B612" s="101"/>
      <c r="C612" s="101"/>
      <c r="D612" s="101"/>
      <c r="E612" s="76"/>
      <c r="F612" s="6"/>
      <c r="G612" s="5" t="str">
        <f>IFERROR(VLOOKUP(SUMIFS(MSOLICITADA!$I:$I,MSOLICITADA!$B:$B,D612,MSOLICITADA!$F:$F,F612),CODIGOSPLACAS!$A$64:$B$89,2,FALSE),"")</f>
        <v/>
      </c>
      <c r="H612" s="77"/>
      <c r="I612" s="77"/>
      <c r="J612" s="7"/>
      <c r="K612" s="78"/>
      <c r="L612" s="79"/>
      <c r="M612" s="6"/>
      <c r="N612" s="5" t="str">
        <f t="shared" si="81"/>
        <v/>
      </c>
      <c r="O612" s="80" t="str">
        <f t="shared" si="82"/>
        <v/>
      </c>
      <c r="P612" s="8">
        <f t="shared" si="83"/>
        <v>0</v>
      </c>
      <c r="Q612" s="8">
        <f t="shared" si="86"/>
        <v>0</v>
      </c>
      <c r="R612" s="81">
        <f t="shared" si="84"/>
        <v>0</v>
      </c>
      <c r="S612" s="113" t="str">
        <f>IF(F612="","",IF(H612="",TEXT(_xlfn.MAXIFS($I$1:I612,$F$1:F612,F612,$H$1:H612,"&gt;"&amp;0),"000.000"),F612))</f>
        <v/>
      </c>
      <c r="T612" s="101" t="str">
        <f t="shared" si="87"/>
        <v/>
      </c>
      <c r="U612" s="82"/>
      <c r="V612" s="98"/>
      <c r="W612" s="82"/>
      <c r="X612" s="98"/>
      <c r="Y612" s="82"/>
      <c r="Z612" s="98"/>
      <c r="AA612" s="82"/>
      <c r="AB612" s="98"/>
      <c r="AC612" s="82"/>
      <c r="AD612" s="98"/>
      <c r="AE612" s="82"/>
      <c r="AF612" s="98"/>
      <c r="AG612" s="82"/>
      <c r="AH612" s="98"/>
      <c r="AI612" s="82"/>
      <c r="AJ612" s="98"/>
      <c r="AK612" s="83"/>
      <c r="AL612" s="84" t="str">
        <f>IF(F612&lt;&gt;0,IF(_xlfn.MAXIFS($I$1:I612,$F$1:F612,F612,$H$1:H612,"&gt;"&amp;0)=0,"KM NÃO ENCONTRADO",IF(H612=0,CONCATENATE("SUGESTÃO DE KM PARA PLACA ",F612," *",_xlfn.MAXIFS($I$1:I612,$F$1:F612,F612,$H$1:H612,"&gt;"&amp;0),"*"),"")),"")</f>
        <v/>
      </c>
      <c r="AM612" s="85" t="str" cm="1">
        <f t="array" ref="AM612">IFERROR(IF(M612&lt;&gt;"","",CONCATENATE("https://btx.brasiltrack.com/logistica/trajeto.php?idveiculo=",VLOOKUP(F612,DATAS!$A$221:$B$250,2,FALSE),"&amp;lat=-22.204247","&amp;data_ini=",TEXT(IF(E612&lt;&gt;"",IF(COUNTIF($F$2:$F612,F612)&gt;1,MAX(IF($F$1:$F611=F612,$E$1:$E611)),""),""),"DD/MM/AAAA"),"&amp;data_fim=",TEXT(E612,"DD/MM/AAAA"),"&amp;hora_inicial=",HOUR(IF(E612&lt;&gt;"",IF(COUNTIF($F$2:$F612,F612)&gt;1,MAX(IF($F$1:$F611=F612,$E$1:$E611)),""),"")),"&amp;minuto_inicial=",MINUTE(IF(E612&lt;&gt;"",IF(COUNTIF($F$2:$F612,F612)&gt;1,MAX(IF($F$1:$F611=F612,$E$1:$E611)),""),"")),"&amp;hora_final=",HOUR(E612),"&amp;minuto_final=",MINUTE(E612),"&amp;periodo=6&amp;tipo=por_data&amp;upos=false&amp;outequip=0")),"")</f>
        <v/>
      </c>
      <c r="AN612" s="100" t="str">
        <f t="shared" si="85"/>
        <v xml:space="preserve">               </v>
      </c>
    </row>
    <row r="613" spans="1:40" x14ac:dyDescent="0.25">
      <c r="A613" s="101">
        <f>IFERROR(VLOOKUP(AN613,ROTAS!$A:$B,2,FALSE),0)</f>
        <v>0</v>
      </c>
      <c r="B613" s="101"/>
      <c r="C613" s="101"/>
      <c r="D613" s="101"/>
      <c r="E613" s="76"/>
      <c r="F613" s="6"/>
      <c r="G613" s="5" t="str">
        <f>IFERROR(VLOOKUP(SUMIFS(MSOLICITADA!$I:$I,MSOLICITADA!$B:$B,D613,MSOLICITADA!$F:$F,F613),CODIGOSPLACAS!$A$64:$B$89,2,FALSE),"")</f>
        <v/>
      </c>
      <c r="H613" s="77"/>
      <c r="I613" s="77"/>
      <c r="J613" s="7"/>
      <c r="K613" s="78"/>
      <c r="L613" s="79"/>
      <c r="M613" s="6"/>
      <c r="N613" s="5" t="str">
        <f t="shared" si="81"/>
        <v/>
      </c>
      <c r="O613" s="80" t="str">
        <f t="shared" si="82"/>
        <v/>
      </c>
      <c r="P613" s="8">
        <f t="shared" si="83"/>
        <v>0</v>
      </c>
      <c r="Q613" s="8">
        <f t="shared" si="86"/>
        <v>0</v>
      </c>
      <c r="R613" s="81">
        <f t="shared" si="84"/>
        <v>0</v>
      </c>
      <c r="S613" s="113" t="str">
        <f>IF(F613="","",IF(H613="",TEXT(_xlfn.MAXIFS($I$1:I613,$F$1:F613,F613,$H$1:H613,"&gt;"&amp;0),"000.000"),F613))</f>
        <v/>
      </c>
      <c r="T613" s="101" t="str">
        <f t="shared" si="87"/>
        <v/>
      </c>
      <c r="U613" s="82"/>
      <c r="V613" s="98"/>
      <c r="W613" s="82"/>
      <c r="X613" s="98"/>
      <c r="Y613" s="82"/>
      <c r="Z613" s="98"/>
      <c r="AA613" s="82"/>
      <c r="AB613" s="98"/>
      <c r="AC613" s="82"/>
      <c r="AD613" s="98"/>
      <c r="AE613" s="82"/>
      <c r="AF613" s="98"/>
      <c r="AG613" s="82"/>
      <c r="AH613" s="98"/>
      <c r="AI613" s="82"/>
      <c r="AJ613" s="98"/>
      <c r="AK613" s="83"/>
      <c r="AL613" s="84" t="str">
        <f>IF(F613&lt;&gt;0,IF(_xlfn.MAXIFS($I$1:I613,$F$1:F613,F613,$H$1:H613,"&gt;"&amp;0)=0,"KM NÃO ENCONTRADO",IF(H613=0,CONCATENATE("SUGESTÃO DE KM PARA PLACA ",F613," *",_xlfn.MAXIFS($I$1:I613,$F$1:F613,F613,$H$1:H613,"&gt;"&amp;0),"*"),"")),"")</f>
        <v/>
      </c>
      <c r="AM613" s="85" t="str" cm="1">
        <f t="array" ref="AM613">IFERROR(IF(M613&lt;&gt;"","",CONCATENATE("https://btx.brasiltrack.com/logistica/trajeto.php?idveiculo=",VLOOKUP(F613,DATAS!$A$221:$B$250,2,FALSE),"&amp;lat=-22.204247","&amp;data_ini=",TEXT(IF(E613&lt;&gt;"",IF(COUNTIF($F$2:$F613,F613)&gt;1,MAX(IF($F$1:$F612=F613,$E$1:$E612)),""),""),"DD/MM/AAAA"),"&amp;data_fim=",TEXT(E613,"DD/MM/AAAA"),"&amp;hora_inicial=",HOUR(IF(E613&lt;&gt;"",IF(COUNTIF($F$2:$F613,F613)&gt;1,MAX(IF($F$1:$F612=F613,$E$1:$E612)),""),"")),"&amp;minuto_inicial=",MINUTE(IF(E613&lt;&gt;"",IF(COUNTIF($F$2:$F613,F613)&gt;1,MAX(IF($F$1:$F612=F613,$E$1:$E612)),""),"")),"&amp;hora_final=",HOUR(E613),"&amp;minuto_final=",MINUTE(E613),"&amp;periodo=6&amp;tipo=por_data&amp;upos=false&amp;outequip=0")),"")</f>
        <v/>
      </c>
      <c r="AN613" s="100" t="str">
        <f t="shared" si="85"/>
        <v xml:space="preserve">               </v>
      </c>
    </row>
    <row r="614" spans="1:40" x14ac:dyDescent="0.25">
      <c r="A614" s="101">
        <f>IFERROR(VLOOKUP(AN614,ROTAS!$A:$B,2,FALSE),0)</f>
        <v>0</v>
      </c>
      <c r="B614" s="101"/>
      <c r="C614" s="101"/>
      <c r="D614" s="101"/>
      <c r="E614" s="76"/>
      <c r="F614" s="6"/>
      <c r="G614" s="5" t="str">
        <f>IFERROR(VLOOKUP(SUMIFS(MSOLICITADA!$I:$I,MSOLICITADA!$B:$B,D614,MSOLICITADA!$F:$F,F614),CODIGOSPLACAS!$A$64:$B$89,2,FALSE),"")</f>
        <v/>
      </c>
      <c r="H614" s="77"/>
      <c r="I614" s="77"/>
      <c r="J614" s="7"/>
      <c r="K614" s="78"/>
      <c r="L614" s="79"/>
      <c r="M614" s="6"/>
      <c r="N614" s="5" t="str">
        <f t="shared" si="81"/>
        <v/>
      </c>
      <c r="O614" s="80" t="str">
        <f t="shared" si="82"/>
        <v/>
      </c>
      <c r="P614" s="8">
        <f t="shared" si="83"/>
        <v>0</v>
      </c>
      <c r="Q614" s="8">
        <f t="shared" si="86"/>
        <v>0</v>
      </c>
      <c r="R614" s="81">
        <f t="shared" si="84"/>
        <v>0</v>
      </c>
      <c r="S614" s="113" t="str">
        <f>IF(F614="","",IF(H614="",TEXT(_xlfn.MAXIFS($I$1:I614,$F$1:F614,F614,$H$1:H614,"&gt;"&amp;0),"000.000"),F614))</f>
        <v/>
      </c>
      <c r="T614" s="101" t="str">
        <f t="shared" si="87"/>
        <v/>
      </c>
      <c r="U614" s="82"/>
      <c r="V614" s="98"/>
      <c r="W614" s="82"/>
      <c r="X614" s="98"/>
      <c r="Y614" s="82"/>
      <c r="Z614" s="98"/>
      <c r="AA614" s="82"/>
      <c r="AB614" s="98"/>
      <c r="AC614" s="82"/>
      <c r="AD614" s="98"/>
      <c r="AE614" s="82"/>
      <c r="AF614" s="98"/>
      <c r="AG614" s="82"/>
      <c r="AH614" s="98"/>
      <c r="AI614" s="82"/>
      <c r="AJ614" s="98"/>
      <c r="AK614" s="83"/>
      <c r="AL614" s="84" t="str">
        <f>IF(F614&lt;&gt;0,IF(_xlfn.MAXIFS($I$1:I614,$F$1:F614,F614,$H$1:H614,"&gt;"&amp;0)=0,"KM NÃO ENCONTRADO",IF(H614=0,CONCATENATE("SUGESTÃO DE KM PARA PLACA ",F614," *",_xlfn.MAXIFS($I$1:I614,$F$1:F614,F614,$H$1:H614,"&gt;"&amp;0),"*"),"")),"")</f>
        <v/>
      </c>
      <c r="AM614" s="85" t="str" cm="1">
        <f t="array" ref="AM614">IFERROR(IF(M614&lt;&gt;"","",CONCATENATE("https://btx.brasiltrack.com/logistica/trajeto.php?idveiculo=",VLOOKUP(F614,DATAS!$A$221:$B$250,2,FALSE),"&amp;lat=-22.204247","&amp;data_ini=",TEXT(IF(E614&lt;&gt;"",IF(COUNTIF($F$2:$F614,F614)&gt;1,MAX(IF($F$1:$F613=F614,$E$1:$E613)),""),""),"DD/MM/AAAA"),"&amp;data_fim=",TEXT(E614,"DD/MM/AAAA"),"&amp;hora_inicial=",HOUR(IF(E614&lt;&gt;"",IF(COUNTIF($F$2:$F614,F614)&gt;1,MAX(IF($F$1:$F613=F614,$E$1:$E613)),""),"")),"&amp;minuto_inicial=",MINUTE(IF(E614&lt;&gt;"",IF(COUNTIF($F$2:$F614,F614)&gt;1,MAX(IF($F$1:$F613=F614,$E$1:$E613)),""),"")),"&amp;hora_final=",HOUR(E614),"&amp;minuto_final=",MINUTE(E614),"&amp;periodo=6&amp;tipo=por_data&amp;upos=false&amp;outequip=0")),"")</f>
        <v/>
      </c>
      <c r="AN614" s="100" t="str">
        <f t="shared" si="85"/>
        <v xml:space="preserve">               </v>
      </c>
    </row>
    <row r="615" spans="1:40" x14ac:dyDescent="0.25">
      <c r="A615" s="101">
        <f>IFERROR(VLOOKUP(AN615,ROTAS!$A:$B,2,FALSE),0)</f>
        <v>0</v>
      </c>
      <c r="B615" s="101"/>
      <c r="C615" s="101"/>
      <c r="D615" s="101"/>
      <c r="E615" s="76"/>
      <c r="F615" s="6"/>
      <c r="G615" s="5" t="str">
        <f>IFERROR(VLOOKUP(SUMIFS(MSOLICITADA!$I:$I,MSOLICITADA!$B:$B,D615,MSOLICITADA!$F:$F,F615),CODIGOSPLACAS!$A$64:$B$89,2,FALSE),"")</f>
        <v/>
      </c>
      <c r="H615" s="77"/>
      <c r="I615" s="77"/>
      <c r="J615" s="7"/>
      <c r="K615" s="78"/>
      <c r="L615" s="79"/>
      <c r="M615" s="6"/>
      <c r="N615" s="5" t="str">
        <f t="shared" si="81"/>
        <v/>
      </c>
      <c r="O615" s="80" t="str">
        <f t="shared" si="82"/>
        <v/>
      </c>
      <c r="P615" s="8">
        <f t="shared" si="83"/>
        <v>0</v>
      </c>
      <c r="Q615" s="8">
        <f t="shared" si="86"/>
        <v>0</v>
      </c>
      <c r="R615" s="81">
        <f t="shared" si="84"/>
        <v>0</v>
      </c>
      <c r="S615" s="113" t="str">
        <f>IF(F615="","",IF(H615="",TEXT(_xlfn.MAXIFS($I$1:I615,$F$1:F615,F615,$H$1:H615,"&gt;"&amp;0),"000.000"),F615))</f>
        <v/>
      </c>
      <c r="T615" s="101" t="str">
        <f t="shared" si="87"/>
        <v/>
      </c>
      <c r="U615" s="82"/>
      <c r="V615" s="98"/>
      <c r="W615" s="82"/>
      <c r="X615" s="98"/>
      <c r="Y615" s="82"/>
      <c r="Z615" s="98"/>
      <c r="AA615" s="82"/>
      <c r="AB615" s="98"/>
      <c r="AC615" s="82"/>
      <c r="AD615" s="98"/>
      <c r="AE615" s="82"/>
      <c r="AF615" s="98"/>
      <c r="AG615" s="82"/>
      <c r="AH615" s="98"/>
      <c r="AI615" s="82"/>
      <c r="AJ615" s="98"/>
      <c r="AK615" s="83"/>
      <c r="AL615" s="84" t="str">
        <f>IF(F615&lt;&gt;0,IF(_xlfn.MAXIFS($I$1:I615,$F$1:F615,F615,$H$1:H615,"&gt;"&amp;0)=0,"KM NÃO ENCONTRADO",IF(H615=0,CONCATENATE("SUGESTÃO DE KM PARA PLACA ",F615," *",_xlfn.MAXIFS($I$1:I615,$F$1:F615,F615,$H$1:H615,"&gt;"&amp;0),"*"),"")),"")</f>
        <v/>
      </c>
      <c r="AM615" s="85" t="str" cm="1">
        <f t="array" ref="AM615">IFERROR(IF(M615&lt;&gt;"","",CONCATENATE("https://btx.brasiltrack.com/logistica/trajeto.php?idveiculo=",VLOOKUP(F615,DATAS!$A$221:$B$250,2,FALSE),"&amp;lat=-22.204247","&amp;data_ini=",TEXT(IF(E615&lt;&gt;"",IF(COUNTIF($F$2:$F615,F615)&gt;1,MAX(IF($F$1:$F614=F615,$E$1:$E614)),""),""),"DD/MM/AAAA"),"&amp;data_fim=",TEXT(E615,"DD/MM/AAAA"),"&amp;hora_inicial=",HOUR(IF(E615&lt;&gt;"",IF(COUNTIF($F$2:$F615,F615)&gt;1,MAX(IF($F$1:$F614=F615,$E$1:$E614)),""),"")),"&amp;minuto_inicial=",MINUTE(IF(E615&lt;&gt;"",IF(COUNTIF($F$2:$F615,F615)&gt;1,MAX(IF($F$1:$F614=F615,$E$1:$E614)),""),"")),"&amp;hora_final=",HOUR(E615),"&amp;minuto_final=",MINUTE(E615),"&amp;periodo=6&amp;tipo=por_data&amp;upos=false&amp;outequip=0")),"")</f>
        <v/>
      </c>
      <c r="AN615" s="100" t="str">
        <f t="shared" si="85"/>
        <v xml:space="preserve">               </v>
      </c>
    </row>
    <row r="616" spans="1:40" x14ac:dyDescent="0.25">
      <c r="A616" s="101">
        <f>IFERROR(VLOOKUP(AN616,ROTAS!$A:$B,2,FALSE),0)</f>
        <v>0</v>
      </c>
      <c r="B616" s="101"/>
      <c r="C616" s="101"/>
      <c r="D616" s="101"/>
      <c r="E616" s="76"/>
      <c r="F616" s="6"/>
      <c r="G616" s="5" t="str">
        <f>IFERROR(VLOOKUP(SUMIFS(MSOLICITADA!$I:$I,MSOLICITADA!$B:$B,D616,MSOLICITADA!$F:$F,F616),CODIGOSPLACAS!$A$64:$B$89,2,FALSE),"")</f>
        <v/>
      </c>
      <c r="H616" s="77"/>
      <c r="I616" s="77"/>
      <c r="J616" s="7"/>
      <c r="K616" s="78"/>
      <c r="L616" s="79"/>
      <c r="M616" s="6"/>
      <c r="N616" s="5" t="str">
        <f t="shared" si="81"/>
        <v/>
      </c>
      <c r="O616" s="80" t="str">
        <f t="shared" si="82"/>
        <v/>
      </c>
      <c r="P616" s="8">
        <f t="shared" si="83"/>
        <v>0</v>
      </c>
      <c r="Q616" s="8">
        <f t="shared" si="86"/>
        <v>0</v>
      </c>
      <c r="R616" s="81">
        <f t="shared" si="84"/>
        <v>0</v>
      </c>
      <c r="S616" s="113" t="str">
        <f>IF(F616="","",IF(H616="",TEXT(_xlfn.MAXIFS($I$1:I616,$F$1:F616,F616,$H$1:H616,"&gt;"&amp;0),"000.000"),F616))</f>
        <v/>
      </c>
      <c r="T616" s="101" t="str">
        <f t="shared" si="87"/>
        <v/>
      </c>
      <c r="U616" s="82"/>
      <c r="V616" s="98"/>
      <c r="W616" s="82"/>
      <c r="X616" s="98"/>
      <c r="Y616" s="82"/>
      <c r="Z616" s="98"/>
      <c r="AA616" s="82"/>
      <c r="AB616" s="98"/>
      <c r="AC616" s="82"/>
      <c r="AD616" s="98"/>
      <c r="AE616" s="82"/>
      <c r="AF616" s="98"/>
      <c r="AG616" s="82"/>
      <c r="AH616" s="98"/>
      <c r="AI616" s="82"/>
      <c r="AJ616" s="98"/>
      <c r="AK616" s="83"/>
      <c r="AL616" s="84" t="str">
        <f>IF(F616&lt;&gt;0,IF(_xlfn.MAXIFS($I$1:I616,$F$1:F616,F616,$H$1:H616,"&gt;"&amp;0)=0,"KM NÃO ENCONTRADO",IF(H616=0,CONCATENATE("SUGESTÃO DE KM PARA PLACA ",F616," *",_xlfn.MAXIFS($I$1:I616,$F$1:F616,F616,$H$1:H616,"&gt;"&amp;0),"*"),"")),"")</f>
        <v/>
      </c>
      <c r="AM616" s="85" t="str" cm="1">
        <f t="array" ref="AM616">IFERROR(IF(M616&lt;&gt;"","",CONCATENATE("https://btx.brasiltrack.com/logistica/trajeto.php?idveiculo=",VLOOKUP(F616,DATAS!$A$221:$B$250,2,FALSE),"&amp;lat=-22.204247","&amp;data_ini=",TEXT(IF(E616&lt;&gt;"",IF(COUNTIF($F$2:$F616,F616)&gt;1,MAX(IF($F$1:$F615=F616,$E$1:$E615)),""),""),"DD/MM/AAAA"),"&amp;data_fim=",TEXT(E616,"DD/MM/AAAA"),"&amp;hora_inicial=",HOUR(IF(E616&lt;&gt;"",IF(COUNTIF($F$2:$F616,F616)&gt;1,MAX(IF($F$1:$F615=F616,$E$1:$E615)),""),"")),"&amp;minuto_inicial=",MINUTE(IF(E616&lt;&gt;"",IF(COUNTIF($F$2:$F616,F616)&gt;1,MAX(IF($F$1:$F615=F616,$E$1:$E615)),""),"")),"&amp;hora_final=",HOUR(E616),"&amp;minuto_final=",MINUTE(E616),"&amp;periodo=6&amp;tipo=por_data&amp;upos=false&amp;outequip=0")),"")</f>
        <v/>
      </c>
      <c r="AN616" s="100" t="str">
        <f t="shared" si="85"/>
        <v xml:space="preserve">               </v>
      </c>
    </row>
    <row r="617" spans="1:40" x14ac:dyDescent="0.25">
      <c r="A617" s="101">
        <f>IFERROR(VLOOKUP(AN617,ROTAS!$A:$B,2,FALSE),0)</f>
        <v>0</v>
      </c>
      <c r="B617" s="101"/>
      <c r="C617" s="101"/>
      <c r="D617" s="101"/>
      <c r="E617" s="76"/>
      <c r="F617" s="6"/>
      <c r="G617" s="5" t="str">
        <f>IFERROR(VLOOKUP(SUMIFS(MSOLICITADA!$I:$I,MSOLICITADA!$B:$B,D617,MSOLICITADA!$F:$F,F617),CODIGOSPLACAS!$A$64:$B$89,2,FALSE),"")</f>
        <v/>
      </c>
      <c r="H617" s="77"/>
      <c r="I617" s="77"/>
      <c r="J617" s="7"/>
      <c r="K617" s="78"/>
      <c r="L617" s="79"/>
      <c r="M617" s="6"/>
      <c r="N617" s="5" t="str">
        <f t="shared" si="81"/>
        <v/>
      </c>
      <c r="O617" s="80" t="str">
        <f t="shared" si="82"/>
        <v/>
      </c>
      <c r="P617" s="8">
        <f t="shared" si="83"/>
        <v>0</v>
      </c>
      <c r="Q617" s="8">
        <f t="shared" si="86"/>
        <v>0</v>
      </c>
      <c r="R617" s="81">
        <f t="shared" si="84"/>
        <v>0</v>
      </c>
      <c r="S617" s="113" t="str">
        <f>IF(F617="","",IF(H617="",TEXT(_xlfn.MAXIFS($I$1:I617,$F$1:F617,F617,$H$1:H617,"&gt;"&amp;0),"000.000"),F617))</f>
        <v/>
      </c>
      <c r="T617" s="101" t="str">
        <f t="shared" si="87"/>
        <v/>
      </c>
      <c r="U617" s="82"/>
      <c r="V617" s="98"/>
      <c r="W617" s="82"/>
      <c r="X617" s="98"/>
      <c r="Y617" s="82"/>
      <c r="Z617" s="98"/>
      <c r="AA617" s="82"/>
      <c r="AB617" s="98"/>
      <c r="AC617" s="82"/>
      <c r="AD617" s="98"/>
      <c r="AE617" s="82"/>
      <c r="AF617" s="98"/>
      <c r="AG617" s="82"/>
      <c r="AH617" s="98"/>
      <c r="AI617" s="82"/>
      <c r="AJ617" s="98"/>
      <c r="AK617" s="83"/>
      <c r="AL617" s="84" t="str">
        <f>IF(F617&lt;&gt;0,IF(_xlfn.MAXIFS($I$1:I617,$F$1:F617,F617,$H$1:H617,"&gt;"&amp;0)=0,"KM NÃO ENCONTRADO",IF(H617=0,CONCATENATE("SUGESTÃO DE KM PARA PLACA ",F617," *",_xlfn.MAXIFS($I$1:I617,$F$1:F617,F617,$H$1:H617,"&gt;"&amp;0),"*"),"")),"")</f>
        <v/>
      </c>
      <c r="AM617" s="85" t="str" cm="1">
        <f t="array" ref="AM617">IFERROR(IF(M617&lt;&gt;"","",CONCATENATE("https://btx.brasiltrack.com/logistica/trajeto.php?idveiculo=",VLOOKUP(F617,DATAS!$A$221:$B$250,2,FALSE),"&amp;lat=-22.204247","&amp;data_ini=",TEXT(IF(E617&lt;&gt;"",IF(COUNTIF($F$2:$F617,F617)&gt;1,MAX(IF($F$1:$F616=F617,$E$1:$E616)),""),""),"DD/MM/AAAA"),"&amp;data_fim=",TEXT(E617,"DD/MM/AAAA"),"&amp;hora_inicial=",HOUR(IF(E617&lt;&gt;"",IF(COUNTIF($F$2:$F617,F617)&gt;1,MAX(IF($F$1:$F616=F617,$E$1:$E616)),""),"")),"&amp;minuto_inicial=",MINUTE(IF(E617&lt;&gt;"",IF(COUNTIF($F$2:$F617,F617)&gt;1,MAX(IF($F$1:$F616=F617,$E$1:$E616)),""),"")),"&amp;hora_final=",HOUR(E617),"&amp;minuto_final=",MINUTE(E617),"&amp;periodo=6&amp;tipo=por_data&amp;upos=false&amp;outequip=0")),"")</f>
        <v/>
      </c>
      <c r="AN617" s="100" t="str">
        <f t="shared" si="85"/>
        <v xml:space="preserve">               </v>
      </c>
    </row>
    <row r="618" spans="1:40" x14ac:dyDescent="0.25">
      <c r="A618" s="101">
        <f>IFERROR(VLOOKUP(AN618,ROTAS!$A:$B,2,FALSE),0)</f>
        <v>0</v>
      </c>
      <c r="B618" s="101"/>
      <c r="C618" s="101"/>
      <c r="D618" s="101"/>
      <c r="E618" s="76"/>
      <c r="F618" s="6"/>
      <c r="G618" s="5" t="str">
        <f>IFERROR(VLOOKUP(SUMIFS(MSOLICITADA!$I:$I,MSOLICITADA!$B:$B,D618,MSOLICITADA!$F:$F,F618),CODIGOSPLACAS!$A$64:$B$89,2,FALSE),"")</f>
        <v/>
      </c>
      <c r="H618" s="77"/>
      <c r="I618" s="77"/>
      <c r="J618" s="7"/>
      <c r="K618" s="78"/>
      <c r="L618" s="79"/>
      <c r="M618" s="6"/>
      <c r="N618" s="5" t="str">
        <f t="shared" si="81"/>
        <v/>
      </c>
      <c r="O618" s="80" t="str">
        <f t="shared" si="82"/>
        <v/>
      </c>
      <c r="P618" s="8">
        <f t="shared" si="83"/>
        <v>0</v>
      </c>
      <c r="Q618" s="8">
        <f t="shared" si="86"/>
        <v>0</v>
      </c>
      <c r="R618" s="81">
        <f t="shared" si="84"/>
        <v>0</v>
      </c>
      <c r="S618" s="113" t="str">
        <f>IF(F618="","",IF(H618="",TEXT(_xlfn.MAXIFS($I$1:I618,$F$1:F618,F618,$H$1:H618,"&gt;"&amp;0),"000.000"),F618))</f>
        <v/>
      </c>
      <c r="T618" s="101" t="str">
        <f t="shared" si="87"/>
        <v/>
      </c>
      <c r="U618" s="82"/>
      <c r="V618" s="98"/>
      <c r="W618" s="82"/>
      <c r="X618" s="98"/>
      <c r="Y618" s="82"/>
      <c r="Z618" s="98"/>
      <c r="AA618" s="82"/>
      <c r="AB618" s="98"/>
      <c r="AC618" s="82"/>
      <c r="AD618" s="98"/>
      <c r="AE618" s="82"/>
      <c r="AF618" s="98"/>
      <c r="AG618" s="82"/>
      <c r="AH618" s="98"/>
      <c r="AI618" s="82"/>
      <c r="AJ618" s="98"/>
      <c r="AK618" s="83"/>
      <c r="AL618" s="84" t="str">
        <f>IF(F618&lt;&gt;0,IF(_xlfn.MAXIFS($I$1:I618,$F$1:F618,F618,$H$1:H618,"&gt;"&amp;0)=0,"KM NÃO ENCONTRADO",IF(H618=0,CONCATENATE("SUGESTÃO DE KM PARA PLACA ",F618," *",_xlfn.MAXIFS($I$1:I618,$F$1:F618,F618,$H$1:H618,"&gt;"&amp;0),"*"),"")),"")</f>
        <v/>
      </c>
      <c r="AM618" s="85" t="str" cm="1">
        <f t="array" ref="AM618">IFERROR(IF(M618&lt;&gt;"","",CONCATENATE("https://btx.brasiltrack.com/logistica/trajeto.php?idveiculo=",VLOOKUP(F618,DATAS!$A$221:$B$250,2,FALSE),"&amp;lat=-22.204247","&amp;data_ini=",TEXT(IF(E618&lt;&gt;"",IF(COUNTIF($F$2:$F618,F618)&gt;1,MAX(IF($F$1:$F617=F618,$E$1:$E617)),""),""),"DD/MM/AAAA"),"&amp;data_fim=",TEXT(E618,"DD/MM/AAAA"),"&amp;hora_inicial=",HOUR(IF(E618&lt;&gt;"",IF(COUNTIF($F$2:$F618,F618)&gt;1,MAX(IF($F$1:$F617=F618,$E$1:$E617)),""),"")),"&amp;minuto_inicial=",MINUTE(IF(E618&lt;&gt;"",IF(COUNTIF($F$2:$F618,F618)&gt;1,MAX(IF($F$1:$F617=F618,$E$1:$E617)),""),"")),"&amp;hora_final=",HOUR(E618),"&amp;minuto_final=",MINUTE(E618),"&amp;periodo=6&amp;tipo=por_data&amp;upos=false&amp;outequip=0")),"")</f>
        <v/>
      </c>
      <c r="AN618" s="100" t="str">
        <f t="shared" si="85"/>
        <v xml:space="preserve">               </v>
      </c>
    </row>
    <row r="619" spans="1:40" x14ac:dyDescent="0.25">
      <c r="A619" s="101">
        <f>IFERROR(VLOOKUP(AN619,ROTAS!$A:$B,2,FALSE),0)</f>
        <v>0</v>
      </c>
      <c r="B619" s="101"/>
      <c r="C619" s="101"/>
      <c r="D619" s="101"/>
      <c r="E619" s="76"/>
      <c r="F619" s="6"/>
      <c r="G619" s="5" t="str">
        <f>IFERROR(VLOOKUP(SUMIFS(MSOLICITADA!$I:$I,MSOLICITADA!$B:$B,D619,MSOLICITADA!$F:$F,F619),CODIGOSPLACAS!$A$64:$B$89,2,FALSE),"")</f>
        <v/>
      </c>
      <c r="H619" s="77"/>
      <c r="I619" s="77"/>
      <c r="J619" s="7"/>
      <c r="K619" s="78"/>
      <c r="L619" s="79"/>
      <c r="M619" s="6"/>
      <c r="N619" s="5" t="str">
        <f t="shared" si="81"/>
        <v/>
      </c>
      <c r="O619" s="80" t="str">
        <f t="shared" si="82"/>
        <v/>
      </c>
      <c r="P619" s="8">
        <f t="shared" si="83"/>
        <v>0</v>
      </c>
      <c r="Q619" s="8">
        <f t="shared" si="86"/>
        <v>0</v>
      </c>
      <c r="R619" s="81">
        <f t="shared" si="84"/>
        <v>0</v>
      </c>
      <c r="S619" s="113" t="str">
        <f>IF(F619="","",IF(H619="",TEXT(_xlfn.MAXIFS($I$1:I619,$F$1:F619,F619,$H$1:H619,"&gt;"&amp;0),"000.000"),F619))</f>
        <v/>
      </c>
      <c r="T619" s="101" t="str">
        <f t="shared" si="87"/>
        <v/>
      </c>
      <c r="U619" s="82"/>
      <c r="V619" s="98"/>
      <c r="W619" s="82"/>
      <c r="X619" s="98"/>
      <c r="Y619" s="82"/>
      <c r="Z619" s="98"/>
      <c r="AA619" s="82"/>
      <c r="AB619" s="98"/>
      <c r="AC619" s="82"/>
      <c r="AD619" s="98"/>
      <c r="AE619" s="82"/>
      <c r="AF619" s="98"/>
      <c r="AG619" s="82"/>
      <c r="AH619" s="98"/>
      <c r="AI619" s="82"/>
      <c r="AJ619" s="98"/>
      <c r="AK619" s="83"/>
      <c r="AL619" s="84" t="str">
        <f>IF(F619&lt;&gt;0,IF(_xlfn.MAXIFS($I$1:I619,$F$1:F619,F619,$H$1:H619,"&gt;"&amp;0)=0,"KM NÃO ENCONTRADO",IF(H619=0,CONCATENATE("SUGESTÃO DE KM PARA PLACA ",F619," *",_xlfn.MAXIFS($I$1:I619,$F$1:F619,F619,$H$1:H619,"&gt;"&amp;0),"*"),"")),"")</f>
        <v/>
      </c>
      <c r="AM619" s="85" t="str" cm="1">
        <f t="array" ref="AM619">IFERROR(IF(M619&lt;&gt;"","",CONCATENATE("https://btx.brasiltrack.com/logistica/trajeto.php?idveiculo=",VLOOKUP(F619,DATAS!$A$221:$B$250,2,FALSE),"&amp;lat=-22.204247","&amp;data_ini=",TEXT(IF(E619&lt;&gt;"",IF(COUNTIF($F$2:$F619,F619)&gt;1,MAX(IF($F$1:$F618=F619,$E$1:$E618)),""),""),"DD/MM/AAAA"),"&amp;data_fim=",TEXT(E619,"DD/MM/AAAA"),"&amp;hora_inicial=",HOUR(IF(E619&lt;&gt;"",IF(COUNTIF($F$2:$F619,F619)&gt;1,MAX(IF($F$1:$F618=F619,$E$1:$E618)),""),"")),"&amp;minuto_inicial=",MINUTE(IF(E619&lt;&gt;"",IF(COUNTIF($F$2:$F619,F619)&gt;1,MAX(IF($F$1:$F618=F619,$E$1:$E618)),""),"")),"&amp;hora_final=",HOUR(E619),"&amp;minuto_final=",MINUTE(E619),"&amp;periodo=6&amp;tipo=por_data&amp;upos=false&amp;outequip=0")),"")</f>
        <v/>
      </c>
      <c r="AN619" s="100" t="str">
        <f t="shared" si="85"/>
        <v xml:space="preserve">               </v>
      </c>
    </row>
    <row r="620" spans="1:40" x14ac:dyDescent="0.25">
      <c r="A620" s="101">
        <f>IFERROR(VLOOKUP(AN620,ROTAS!$A:$B,2,FALSE),0)</f>
        <v>0</v>
      </c>
      <c r="B620" s="101"/>
      <c r="C620" s="101"/>
      <c r="D620" s="101"/>
      <c r="E620" s="76"/>
      <c r="F620" s="6"/>
      <c r="G620" s="5" t="str">
        <f>IFERROR(VLOOKUP(SUMIFS(MSOLICITADA!$I:$I,MSOLICITADA!$B:$B,D620,MSOLICITADA!$F:$F,F620),CODIGOSPLACAS!$A$64:$B$89,2,FALSE),"")</f>
        <v/>
      </c>
      <c r="H620" s="77"/>
      <c r="I620" s="77"/>
      <c r="J620" s="7"/>
      <c r="K620" s="78"/>
      <c r="L620" s="79"/>
      <c r="M620" s="6"/>
      <c r="N620" s="5" t="str">
        <f t="shared" si="81"/>
        <v/>
      </c>
      <c r="O620" s="80" t="str">
        <f t="shared" si="82"/>
        <v/>
      </c>
      <c r="P620" s="8">
        <f t="shared" si="83"/>
        <v>0</v>
      </c>
      <c r="Q620" s="8">
        <f t="shared" si="86"/>
        <v>0</v>
      </c>
      <c r="R620" s="81">
        <f t="shared" si="84"/>
        <v>0</v>
      </c>
      <c r="S620" s="113" t="str">
        <f>IF(F620="","",IF(H620="",TEXT(_xlfn.MAXIFS($I$1:I620,$F$1:F620,F620,$H$1:H620,"&gt;"&amp;0),"000.000"),F620))</f>
        <v/>
      </c>
      <c r="T620" s="101" t="str">
        <f t="shared" si="87"/>
        <v/>
      </c>
      <c r="U620" s="82"/>
      <c r="V620" s="98"/>
      <c r="W620" s="82"/>
      <c r="X620" s="98"/>
      <c r="Y620" s="82"/>
      <c r="Z620" s="98"/>
      <c r="AA620" s="82"/>
      <c r="AB620" s="98"/>
      <c r="AC620" s="82"/>
      <c r="AD620" s="98"/>
      <c r="AE620" s="82"/>
      <c r="AF620" s="98"/>
      <c r="AG620" s="82"/>
      <c r="AH620" s="98"/>
      <c r="AI620" s="82"/>
      <c r="AJ620" s="98"/>
      <c r="AK620" s="83"/>
      <c r="AL620" s="84" t="str">
        <f>IF(F620&lt;&gt;0,IF(_xlfn.MAXIFS($I$1:I620,$F$1:F620,F620,$H$1:H620,"&gt;"&amp;0)=0,"KM NÃO ENCONTRADO",IF(H620=0,CONCATENATE("SUGESTÃO DE KM PARA PLACA ",F620," *",_xlfn.MAXIFS($I$1:I620,$F$1:F620,F620,$H$1:H620,"&gt;"&amp;0),"*"),"")),"")</f>
        <v/>
      </c>
      <c r="AM620" s="85" t="str" cm="1">
        <f t="array" ref="AM620">IFERROR(IF(M620&lt;&gt;"","",CONCATENATE("https://btx.brasiltrack.com/logistica/trajeto.php?idveiculo=",VLOOKUP(F620,DATAS!$A$221:$B$250,2,FALSE),"&amp;lat=-22.204247","&amp;data_ini=",TEXT(IF(E620&lt;&gt;"",IF(COUNTIF($F$2:$F620,F620)&gt;1,MAX(IF($F$1:$F619=F620,$E$1:$E619)),""),""),"DD/MM/AAAA"),"&amp;data_fim=",TEXT(E620,"DD/MM/AAAA"),"&amp;hora_inicial=",HOUR(IF(E620&lt;&gt;"",IF(COUNTIF($F$2:$F620,F620)&gt;1,MAX(IF($F$1:$F619=F620,$E$1:$E619)),""),"")),"&amp;minuto_inicial=",MINUTE(IF(E620&lt;&gt;"",IF(COUNTIF($F$2:$F620,F620)&gt;1,MAX(IF($F$1:$F619=F620,$E$1:$E619)),""),"")),"&amp;hora_final=",HOUR(E620),"&amp;minuto_final=",MINUTE(E620),"&amp;periodo=6&amp;tipo=por_data&amp;upos=false&amp;outequip=0")),"")</f>
        <v/>
      </c>
      <c r="AN620" s="100" t="str">
        <f t="shared" si="85"/>
        <v xml:space="preserve">               </v>
      </c>
    </row>
    <row r="621" spans="1:40" x14ac:dyDescent="0.25">
      <c r="A621" s="101">
        <f>IFERROR(VLOOKUP(AN621,ROTAS!$A:$B,2,FALSE),0)</f>
        <v>0</v>
      </c>
      <c r="B621" s="101"/>
      <c r="C621" s="101"/>
      <c r="D621" s="101"/>
      <c r="E621" s="76"/>
      <c r="F621" s="6"/>
      <c r="G621" s="5" t="str">
        <f>IFERROR(VLOOKUP(SUMIFS(MSOLICITADA!$I:$I,MSOLICITADA!$B:$B,D621,MSOLICITADA!$F:$F,F621),CODIGOSPLACAS!$A$64:$B$89,2,FALSE),"")</f>
        <v/>
      </c>
      <c r="H621" s="77"/>
      <c r="I621" s="77"/>
      <c r="J621" s="7"/>
      <c r="K621" s="78"/>
      <c r="L621" s="79"/>
      <c r="M621" s="6"/>
      <c r="N621" s="5" t="str">
        <f t="shared" si="81"/>
        <v/>
      </c>
      <c r="O621" s="80" t="str">
        <f t="shared" si="82"/>
        <v/>
      </c>
      <c r="P621" s="8">
        <f t="shared" si="83"/>
        <v>0</v>
      </c>
      <c r="Q621" s="8">
        <f t="shared" si="86"/>
        <v>0</v>
      </c>
      <c r="R621" s="81">
        <f t="shared" si="84"/>
        <v>0</v>
      </c>
      <c r="S621" s="113" t="str">
        <f>IF(F621="","",IF(H621="",TEXT(_xlfn.MAXIFS($I$1:I621,$F$1:F621,F621,$H$1:H621,"&gt;"&amp;0),"000.000"),F621))</f>
        <v/>
      </c>
      <c r="T621" s="101" t="str">
        <f t="shared" si="87"/>
        <v/>
      </c>
      <c r="U621" s="82"/>
      <c r="V621" s="98"/>
      <c r="W621" s="82"/>
      <c r="X621" s="98"/>
      <c r="Y621" s="82"/>
      <c r="Z621" s="98"/>
      <c r="AA621" s="82"/>
      <c r="AB621" s="98"/>
      <c r="AC621" s="82"/>
      <c r="AD621" s="98"/>
      <c r="AE621" s="82"/>
      <c r="AF621" s="98"/>
      <c r="AG621" s="82"/>
      <c r="AH621" s="98"/>
      <c r="AI621" s="82"/>
      <c r="AJ621" s="98"/>
      <c r="AK621" s="83"/>
      <c r="AL621" s="84" t="str">
        <f>IF(F621&lt;&gt;0,IF(_xlfn.MAXIFS($I$1:I621,$F$1:F621,F621,$H$1:H621,"&gt;"&amp;0)=0,"KM NÃO ENCONTRADO",IF(H621=0,CONCATENATE("SUGESTÃO DE KM PARA PLACA ",F621," *",_xlfn.MAXIFS($I$1:I621,$F$1:F621,F621,$H$1:H621,"&gt;"&amp;0),"*"),"")),"")</f>
        <v/>
      </c>
      <c r="AM621" s="85" t="str" cm="1">
        <f t="array" ref="AM621">IFERROR(IF(M621&lt;&gt;"","",CONCATENATE("https://btx.brasiltrack.com/logistica/trajeto.php?idveiculo=",VLOOKUP(F621,DATAS!$A$221:$B$250,2,FALSE),"&amp;lat=-22.204247","&amp;data_ini=",TEXT(IF(E621&lt;&gt;"",IF(COUNTIF($F$2:$F621,F621)&gt;1,MAX(IF($F$1:$F620=F621,$E$1:$E620)),""),""),"DD/MM/AAAA"),"&amp;data_fim=",TEXT(E621,"DD/MM/AAAA"),"&amp;hora_inicial=",HOUR(IF(E621&lt;&gt;"",IF(COUNTIF($F$2:$F621,F621)&gt;1,MAX(IF($F$1:$F620=F621,$E$1:$E620)),""),"")),"&amp;minuto_inicial=",MINUTE(IF(E621&lt;&gt;"",IF(COUNTIF($F$2:$F621,F621)&gt;1,MAX(IF($F$1:$F620=F621,$E$1:$E620)),""),"")),"&amp;hora_final=",HOUR(E621),"&amp;minuto_final=",MINUTE(E621),"&amp;periodo=6&amp;tipo=por_data&amp;upos=false&amp;outequip=0")),"")</f>
        <v/>
      </c>
      <c r="AN621" s="100" t="str">
        <f t="shared" si="85"/>
        <v xml:space="preserve">               </v>
      </c>
    </row>
    <row r="622" spans="1:40" x14ac:dyDescent="0.25">
      <c r="A622" s="101">
        <f>IFERROR(VLOOKUP(AN622,ROTAS!$A:$B,2,FALSE),0)</f>
        <v>0</v>
      </c>
      <c r="B622" s="101"/>
      <c r="C622" s="101"/>
      <c r="D622" s="101"/>
      <c r="E622" s="76"/>
      <c r="F622" s="6"/>
      <c r="G622" s="5" t="str">
        <f>IFERROR(VLOOKUP(SUMIFS(MSOLICITADA!$I:$I,MSOLICITADA!$B:$B,D622,MSOLICITADA!$F:$F,F622),CODIGOSPLACAS!$A$64:$B$89,2,FALSE),"")</f>
        <v/>
      </c>
      <c r="H622" s="77"/>
      <c r="I622" s="77"/>
      <c r="J622" s="7"/>
      <c r="K622" s="78"/>
      <c r="L622" s="79"/>
      <c r="M622" s="6"/>
      <c r="N622" s="5" t="str">
        <f t="shared" si="81"/>
        <v/>
      </c>
      <c r="O622" s="80" t="str">
        <f t="shared" si="82"/>
        <v/>
      </c>
      <c r="P622" s="8">
        <f t="shared" si="83"/>
        <v>0</v>
      </c>
      <c r="Q622" s="8">
        <f t="shared" si="86"/>
        <v>0</v>
      </c>
      <c r="R622" s="81">
        <f t="shared" si="84"/>
        <v>0</v>
      </c>
      <c r="S622" s="113" t="str">
        <f>IF(F622="","",IF(H622="",TEXT(_xlfn.MAXIFS($I$1:I622,$F$1:F622,F622,$H$1:H622,"&gt;"&amp;0),"000.000"),F622))</f>
        <v/>
      </c>
      <c r="T622" s="101" t="str">
        <f t="shared" si="87"/>
        <v/>
      </c>
      <c r="U622" s="82"/>
      <c r="V622" s="98"/>
      <c r="W622" s="82"/>
      <c r="X622" s="98"/>
      <c r="Y622" s="82"/>
      <c r="Z622" s="98"/>
      <c r="AA622" s="82"/>
      <c r="AB622" s="98"/>
      <c r="AC622" s="82"/>
      <c r="AD622" s="98"/>
      <c r="AE622" s="82"/>
      <c r="AF622" s="98"/>
      <c r="AG622" s="82"/>
      <c r="AH622" s="98"/>
      <c r="AI622" s="82"/>
      <c r="AJ622" s="98"/>
      <c r="AK622" s="83"/>
      <c r="AL622" s="84" t="str">
        <f>IF(F622&lt;&gt;0,IF(_xlfn.MAXIFS($I$1:I622,$F$1:F622,F622,$H$1:H622,"&gt;"&amp;0)=0,"KM NÃO ENCONTRADO",IF(H622=0,CONCATENATE("SUGESTÃO DE KM PARA PLACA ",F622," *",_xlfn.MAXIFS($I$1:I622,$F$1:F622,F622,$H$1:H622,"&gt;"&amp;0),"*"),"")),"")</f>
        <v/>
      </c>
      <c r="AM622" s="85" t="str" cm="1">
        <f t="array" ref="AM622">IFERROR(IF(M622&lt;&gt;"","",CONCATENATE("https://btx.brasiltrack.com/logistica/trajeto.php?idveiculo=",VLOOKUP(F622,DATAS!$A$221:$B$250,2,FALSE),"&amp;lat=-22.204247","&amp;data_ini=",TEXT(IF(E622&lt;&gt;"",IF(COUNTIF($F$2:$F622,F622)&gt;1,MAX(IF($F$1:$F621=F622,$E$1:$E621)),""),""),"DD/MM/AAAA"),"&amp;data_fim=",TEXT(E622,"DD/MM/AAAA"),"&amp;hora_inicial=",HOUR(IF(E622&lt;&gt;"",IF(COUNTIF($F$2:$F622,F622)&gt;1,MAX(IF($F$1:$F621=F622,$E$1:$E621)),""),"")),"&amp;minuto_inicial=",MINUTE(IF(E622&lt;&gt;"",IF(COUNTIF($F$2:$F622,F622)&gt;1,MAX(IF($F$1:$F621=F622,$E$1:$E621)),""),"")),"&amp;hora_final=",HOUR(E622),"&amp;minuto_final=",MINUTE(E622),"&amp;periodo=6&amp;tipo=por_data&amp;upos=false&amp;outequip=0")),"")</f>
        <v/>
      </c>
      <c r="AN622" s="100" t="str">
        <f t="shared" si="85"/>
        <v xml:space="preserve">               </v>
      </c>
    </row>
    <row r="623" spans="1:40" x14ac:dyDescent="0.25">
      <c r="A623" s="101">
        <f>IFERROR(VLOOKUP(AN623,ROTAS!$A:$B,2,FALSE),0)</f>
        <v>0</v>
      </c>
      <c r="B623" s="101"/>
      <c r="C623" s="101"/>
      <c r="D623" s="101"/>
      <c r="E623" s="76"/>
      <c r="F623" s="6"/>
      <c r="G623" s="5" t="str">
        <f>IFERROR(VLOOKUP(SUMIFS(MSOLICITADA!$I:$I,MSOLICITADA!$B:$B,D623,MSOLICITADA!$F:$F,F623),CODIGOSPLACAS!$A$64:$B$89,2,FALSE),"")</f>
        <v/>
      </c>
      <c r="H623" s="77"/>
      <c r="I623" s="77"/>
      <c r="J623" s="7"/>
      <c r="K623" s="78"/>
      <c r="L623" s="79"/>
      <c r="M623" s="6"/>
      <c r="N623" s="5" t="str">
        <f t="shared" si="81"/>
        <v/>
      </c>
      <c r="O623" s="80" t="str">
        <f t="shared" si="82"/>
        <v/>
      </c>
      <c r="P623" s="8">
        <f t="shared" si="83"/>
        <v>0</v>
      </c>
      <c r="Q623" s="8">
        <f t="shared" si="86"/>
        <v>0</v>
      </c>
      <c r="R623" s="81">
        <f t="shared" si="84"/>
        <v>0</v>
      </c>
      <c r="S623" s="113" t="str">
        <f>IF(F623="","",IF(H623="",TEXT(_xlfn.MAXIFS($I$1:I623,$F$1:F623,F623,$H$1:H623,"&gt;"&amp;0),"000.000"),F623))</f>
        <v/>
      </c>
      <c r="T623" s="101" t="str">
        <f t="shared" si="87"/>
        <v/>
      </c>
      <c r="U623" s="82"/>
      <c r="V623" s="98"/>
      <c r="W623" s="82"/>
      <c r="X623" s="98"/>
      <c r="Y623" s="82"/>
      <c r="Z623" s="98"/>
      <c r="AA623" s="82"/>
      <c r="AB623" s="98"/>
      <c r="AC623" s="82"/>
      <c r="AD623" s="98"/>
      <c r="AE623" s="82"/>
      <c r="AF623" s="98"/>
      <c r="AG623" s="82"/>
      <c r="AH623" s="98"/>
      <c r="AI623" s="82"/>
      <c r="AJ623" s="98"/>
      <c r="AK623" s="83"/>
      <c r="AL623" s="84" t="str">
        <f>IF(F623&lt;&gt;0,IF(_xlfn.MAXIFS($I$1:I623,$F$1:F623,F623,$H$1:H623,"&gt;"&amp;0)=0,"KM NÃO ENCONTRADO",IF(H623=0,CONCATENATE("SUGESTÃO DE KM PARA PLACA ",F623," *",_xlfn.MAXIFS($I$1:I623,$F$1:F623,F623,$H$1:H623,"&gt;"&amp;0),"*"),"")),"")</f>
        <v/>
      </c>
      <c r="AM623" s="85" t="str" cm="1">
        <f t="array" ref="AM623">IFERROR(IF(M623&lt;&gt;"","",CONCATENATE("https://btx.brasiltrack.com/logistica/trajeto.php?idveiculo=",VLOOKUP(F623,DATAS!$A$221:$B$250,2,FALSE),"&amp;lat=-22.204247","&amp;data_ini=",TEXT(IF(E623&lt;&gt;"",IF(COUNTIF($F$2:$F623,F623)&gt;1,MAX(IF($F$1:$F622=F623,$E$1:$E622)),""),""),"DD/MM/AAAA"),"&amp;data_fim=",TEXT(E623,"DD/MM/AAAA"),"&amp;hora_inicial=",HOUR(IF(E623&lt;&gt;"",IF(COUNTIF($F$2:$F623,F623)&gt;1,MAX(IF($F$1:$F622=F623,$E$1:$E622)),""),"")),"&amp;minuto_inicial=",MINUTE(IF(E623&lt;&gt;"",IF(COUNTIF($F$2:$F623,F623)&gt;1,MAX(IF($F$1:$F622=F623,$E$1:$E622)),""),"")),"&amp;hora_final=",HOUR(E623),"&amp;minuto_final=",MINUTE(E623),"&amp;periodo=6&amp;tipo=por_data&amp;upos=false&amp;outequip=0")),"")</f>
        <v/>
      </c>
      <c r="AN623" s="100" t="str">
        <f t="shared" si="85"/>
        <v xml:space="preserve">               </v>
      </c>
    </row>
    <row r="624" spans="1:40" x14ac:dyDescent="0.25">
      <c r="A624" s="101">
        <f>IFERROR(VLOOKUP(AN624,ROTAS!$A:$B,2,FALSE),0)</f>
        <v>0</v>
      </c>
      <c r="B624" s="101"/>
      <c r="C624" s="101"/>
      <c r="D624" s="101"/>
      <c r="E624" s="76"/>
      <c r="F624" s="6"/>
      <c r="G624" s="5" t="str">
        <f>IFERROR(VLOOKUP(SUMIFS(MSOLICITADA!$I:$I,MSOLICITADA!$B:$B,D624,MSOLICITADA!$F:$F,F624),CODIGOSPLACAS!$A$64:$B$89,2,FALSE),"")</f>
        <v/>
      </c>
      <c r="H624" s="77"/>
      <c r="I624" s="77"/>
      <c r="J624" s="7"/>
      <c r="K624" s="78"/>
      <c r="L624" s="79"/>
      <c r="M624" s="6"/>
      <c r="N624" s="5" t="str">
        <f t="shared" si="81"/>
        <v/>
      </c>
      <c r="O624" s="80" t="str">
        <f t="shared" si="82"/>
        <v/>
      </c>
      <c r="P624" s="8">
        <f t="shared" si="83"/>
        <v>0</v>
      </c>
      <c r="Q624" s="8">
        <f t="shared" si="86"/>
        <v>0</v>
      </c>
      <c r="R624" s="81">
        <f t="shared" si="84"/>
        <v>0</v>
      </c>
      <c r="S624" s="113" t="str">
        <f>IF(F624="","",IF(H624="",TEXT(_xlfn.MAXIFS($I$1:I624,$F$1:F624,F624,$H$1:H624,"&gt;"&amp;0),"000.000"),F624))</f>
        <v/>
      </c>
      <c r="T624" s="101" t="str">
        <f t="shared" si="87"/>
        <v/>
      </c>
      <c r="U624" s="82"/>
      <c r="V624" s="98"/>
      <c r="W624" s="82"/>
      <c r="X624" s="98"/>
      <c r="Y624" s="82"/>
      <c r="Z624" s="98"/>
      <c r="AA624" s="82"/>
      <c r="AB624" s="98"/>
      <c r="AC624" s="82"/>
      <c r="AD624" s="98"/>
      <c r="AE624" s="82"/>
      <c r="AF624" s="98"/>
      <c r="AG624" s="82"/>
      <c r="AH624" s="98"/>
      <c r="AI624" s="82"/>
      <c r="AJ624" s="98"/>
      <c r="AK624" s="83"/>
      <c r="AL624" s="84" t="str">
        <f>IF(F624&lt;&gt;0,IF(_xlfn.MAXIFS($I$1:I624,$F$1:F624,F624,$H$1:H624,"&gt;"&amp;0)=0,"KM NÃO ENCONTRADO",IF(H624=0,CONCATENATE("SUGESTÃO DE KM PARA PLACA ",F624," *",_xlfn.MAXIFS($I$1:I624,$F$1:F624,F624,$H$1:H624,"&gt;"&amp;0),"*"),"")),"")</f>
        <v/>
      </c>
      <c r="AM624" s="85" t="str" cm="1">
        <f t="array" ref="AM624">IFERROR(IF(M624&lt;&gt;"","",CONCATENATE("https://btx.brasiltrack.com/logistica/trajeto.php?idveiculo=",VLOOKUP(F624,DATAS!$A$221:$B$250,2,FALSE),"&amp;lat=-22.204247","&amp;data_ini=",TEXT(IF(E624&lt;&gt;"",IF(COUNTIF($F$2:$F624,F624)&gt;1,MAX(IF($F$1:$F623=F624,$E$1:$E623)),""),""),"DD/MM/AAAA"),"&amp;data_fim=",TEXT(E624,"DD/MM/AAAA"),"&amp;hora_inicial=",HOUR(IF(E624&lt;&gt;"",IF(COUNTIF($F$2:$F624,F624)&gt;1,MAX(IF($F$1:$F623=F624,$E$1:$E623)),""),"")),"&amp;minuto_inicial=",MINUTE(IF(E624&lt;&gt;"",IF(COUNTIF($F$2:$F624,F624)&gt;1,MAX(IF($F$1:$F623=F624,$E$1:$E623)),""),"")),"&amp;hora_final=",HOUR(E624),"&amp;minuto_final=",MINUTE(E624),"&amp;periodo=6&amp;tipo=por_data&amp;upos=false&amp;outequip=0")),"")</f>
        <v/>
      </c>
      <c r="AN624" s="100" t="str">
        <f t="shared" si="85"/>
        <v xml:space="preserve">               </v>
      </c>
    </row>
    <row r="625" spans="1:40" x14ac:dyDescent="0.25">
      <c r="A625" s="101">
        <f>IFERROR(VLOOKUP(AN625,ROTAS!$A:$B,2,FALSE),0)</f>
        <v>0</v>
      </c>
      <c r="B625" s="101"/>
      <c r="C625" s="101"/>
      <c r="D625" s="101"/>
      <c r="E625" s="76"/>
      <c r="F625" s="6"/>
      <c r="G625" s="5" t="str">
        <f>IFERROR(VLOOKUP(SUMIFS(MSOLICITADA!$I:$I,MSOLICITADA!$B:$B,D625,MSOLICITADA!$F:$F,F625),CODIGOSPLACAS!$A$64:$B$89,2,FALSE),"")</f>
        <v/>
      </c>
      <c r="H625" s="77"/>
      <c r="I625" s="77"/>
      <c r="J625" s="7"/>
      <c r="K625" s="78"/>
      <c r="L625" s="79"/>
      <c r="M625" s="6"/>
      <c r="N625" s="5" t="str">
        <f t="shared" si="81"/>
        <v/>
      </c>
      <c r="O625" s="80" t="str">
        <f t="shared" si="82"/>
        <v/>
      </c>
      <c r="P625" s="8">
        <f t="shared" si="83"/>
        <v>0</v>
      </c>
      <c r="Q625" s="8">
        <f t="shared" si="86"/>
        <v>0</v>
      </c>
      <c r="R625" s="81">
        <f t="shared" si="84"/>
        <v>0</v>
      </c>
      <c r="S625" s="113" t="str">
        <f>IF(F625="","",IF(H625="",TEXT(_xlfn.MAXIFS($I$1:I625,$F$1:F625,F625,$H$1:H625,"&gt;"&amp;0),"000.000"),F625))</f>
        <v/>
      </c>
      <c r="T625" s="101" t="str">
        <f t="shared" si="87"/>
        <v/>
      </c>
      <c r="U625" s="82"/>
      <c r="V625" s="98"/>
      <c r="W625" s="82"/>
      <c r="X625" s="98"/>
      <c r="Y625" s="82"/>
      <c r="Z625" s="98"/>
      <c r="AA625" s="82"/>
      <c r="AB625" s="98"/>
      <c r="AC625" s="82"/>
      <c r="AD625" s="98"/>
      <c r="AE625" s="82"/>
      <c r="AF625" s="98"/>
      <c r="AG625" s="82"/>
      <c r="AH625" s="98"/>
      <c r="AI625" s="82"/>
      <c r="AJ625" s="98"/>
      <c r="AK625" s="83"/>
      <c r="AL625" s="84" t="str">
        <f>IF(F625&lt;&gt;0,IF(_xlfn.MAXIFS($I$1:I625,$F$1:F625,F625,$H$1:H625,"&gt;"&amp;0)=0,"KM NÃO ENCONTRADO",IF(H625=0,CONCATENATE("SUGESTÃO DE KM PARA PLACA ",F625," *",_xlfn.MAXIFS($I$1:I625,$F$1:F625,F625,$H$1:H625,"&gt;"&amp;0),"*"),"")),"")</f>
        <v/>
      </c>
      <c r="AM625" s="85" t="str" cm="1">
        <f t="array" ref="AM625">IFERROR(IF(M625&lt;&gt;"","",CONCATENATE("https://btx.brasiltrack.com/logistica/trajeto.php?idveiculo=",VLOOKUP(F625,DATAS!$A$221:$B$250,2,FALSE),"&amp;lat=-22.204247","&amp;data_ini=",TEXT(IF(E625&lt;&gt;"",IF(COUNTIF($F$2:$F625,F625)&gt;1,MAX(IF($F$1:$F624=F625,$E$1:$E624)),""),""),"DD/MM/AAAA"),"&amp;data_fim=",TEXT(E625,"DD/MM/AAAA"),"&amp;hora_inicial=",HOUR(IF(E625&lt;&gt;"",IF(COUNTIF($F$2:$F625,F625)&gt;1,MAX(IF($F$1:$F624=F625,$E$1:$E624)),""),"")),"&amp;minuto_inicial=",MINUTE(IF(E625&lt;&gt;"",IF(COUNTIF($F$2:$F625,F625)&gt;1,MAX(IF($F$1:$F624=F625,$E$1:$E624)),""),"")),"&amp;hora_final=",HOUR(E625),"&amp;minuto_final=",MINUTE(E625),"&amp;periodo=6&amp;tipo=por_data&amp;upos=false&amp;outequip=0")),"")</f>
        <v/>
      </c>
      <c r="AN625" s="100" t="str">
        <f t="shared" si="85"/>
        <v xml:space="preserve">               </v>
      </c>
    </row>
    <row r="626" spans="1:40" x14ac:dyDescent="0.25">
      <c r="A626" s="101">
        <f>IFERROR(VLOOKUP(AN626,ROTAS!$A:$B,2,FALSE),0)</f>
        <v>0</v>
      </c>
      <c r="B626" s="101"/>
      <c r="C626" s="101"/>
      <c r="D626" s="101"/>
      <c r="E626" s="76"/>
      <c r="F626" s="6"/>
      <c r="G626" s="5" t="str">
        <f>IFERROR(VLOOKUP(SUMIFS(MSOLICITADA!$I:$I,MSOLICITADA!$B:$B,D626,MSOLICITADA!$F:$F,F626),CODIGOSPLACAS!$A$64:$B$89,2,FALSE),"")</f>
        <v/>
      </c>
      <c r="H626" s="77"/>
      <c r="I626" s="77"/>
      <c r="J626" s="7"/>
      <c r="K626" s="78"/>
      <c r="L626" s="79"/>
      <c r="M626" s="6"/>
      <c r="N626" s="5" t="str">
        <f t="shared" si="81"/>
        <v/>
      </c>
      <c r="O626" s="80" t="str">
        <f t="shared" si="82"/>
        <v/>
      </c>
      <c r="P626" s="8">
        <f t="shared" si="83"/>
        <v>0</v>
      </c>
      <c r="Q626" s="8">
        <f t="shared" si="86"/>
        <v>0</v>
      </c>
      <c r="R626" s="81">
        <f t="shared" si="84"/>
        <v>0</v>
      </c>
      <c r="S626" s="113" t="str">
        <f>IF(F626="","",IF(H626="",TEXT(_xlfn.MAXIFS($I$1:I626,$F$1:F626,F626,$H$1:H626,"&gt;"&amp;0),"000.000"),F626))</f>
        <v/>
      </c>
      <c r="T626" s="101" t="str">
        <f t="shared" si="87"/>
        <v/>
      </c>
      <c r="U626" s="82"/>
      <c r="V626" s="98"/>
      <c r="W626" s="82"/>
      <c r="X626" s="98"/>
      <c r="Y626" s="82"/>
      <c r="Z626" s="98"/>
      <c r="AA626" s="82"/>
      <c r="AB626" s="98"/>
      <c r="AC626" s="82"/>
      <c r="AD626" s="98"/>
      <c r="AE626" s="82"/>
      <c r="AF626" s="98"/>
      <c r="AG626" s="82"/>
      <c r="AH626" s="98"/>
      <c r="AI626" s="82"/>
      <c r="AJ626" s="98"/>
      <c r="AK626" s="83"/>
      <c r="AL626" s="84" t="str">
        <f>IF(F626&lt;&gt;0,IF(_xlfn.MAXIFS($I$1:I626,$F$1:F626,F626,$H$1:H626,"&gt;"&amp;0)=0,"KM NÃO ENCONTRADO",IF(H626=0,CONCATENATE("SUGESTÃO DE KM PARA PLACA ",F626," *",_xlfn.MAXIFS($I$1:I626,$F$1:F626,F626,$H$1:H626,"&gt;"&amp;0),"*"),"")),"")</f>
        <v/>
      </c>
      <c r="AM626" s="85" t="str" cm="1">
        <f t="array" ref="AM626">IFERROR(IF(M626&lt;&gt;"","",CONCATENATE("https://btx.brasiltrack.com/logistica/trajeto.php?idveiculo=",VLOOKUP(F626,DATAS!$A$221:$B$250,2,FALSE),"&amp;lat=-22.204247","&amp;data_ini=",TEXT(IF(E626&lt;&gt;"",IF(COUNTIF($F$2:$F626,F626)&gt;1,MAX(IF($F$1:$F625=F626,$E$1:$E625)),""),""),"DD/MM/AAAA"),"&amp;data_fim=",TEXT(E626,"DD/MM/AAAA"),"&amp;hora_inicial=",HOUR(IF(E626&lt;&gt;"",IF(COUNTIF($F$2:$F626,F626)&gt;1,MAX(IF($F$1:$F625=F626,$E$1:$E625)),""),"")),"&amp;minuto_inicial=",MINUTE(IF(E626&lt;&gt;"",IF(COUNTIF($F$2:$F626,F626)&gt;1,MAX(IF($F$1:$F625=F626,$E$1:$E625)),""),"")),"&amp;hora_final=",HOUR(E626),"&amp;minuto_final=",MINUTE(E626),"&amp;periodo=6&amp;tipo=por_data&amp;upos=false&amp;outequip=0")),"")</f>
        <v/>
      </c>
      <c r="AN626" s="100" t="str">
        <f t="shared" si="85"/>
        <v xml:space="preserve">               </v>
      </c>
    </row>
    <row r="627" spans="1:40" x14ac:dyDescent="0.25">
      <c r="A627" s="101">
        <f>IFERROR(VLOOKUP(AN627,ROTAS!$A:$B,2,FALSE),0)</f>
        <v>0</v>
      </c>
      <c r="B627" s="101"/>
      <c r="C627" s="101"/>
      <c r="D627" s="101"/>
      <c r="E627" s="76"/>
      <c r="F627" s="6"/>
      <c r="G627" s="5" t="str">
        <f>IFERROR(VLOOKUP(SUMIFS(MSOLICITADA!$I:$I,MSOLICITADA!$B:$B,D627,MSOLICITADA!$F:$F,F627),CODIGOSPLACAS!$A$64:$B$89,2,FALSE),"")</f>
        <v/>
      </c>
      <c r="H627" s="77"/>
      <c r="I627" s="77"/>
      <c r="J627" s="7"/>
      <c r="K627" s="78"/>
      <c r="L627" s="79"/>
      <c r="M627" s="6"/>
      <c r="N627" s="5" t="str">
        <f t="shared" si="81"/>
        <v/>
      </c>
      <c r="O627" s="80" t="str">
        <f t="shared" si="82"/>
        <v/>
      </c>
      <c r="P627" s="8">
        <f t="shared" si="83"/>
        <v>0</v>
      </c>
      <c r="Q627" s="8">
        <f t="shared" si="86"/>
        <v>0</v>
      </c>
      <c r="R627" s="81">
        <f t="shared" si="84"/>
        <v>0</v>
      </c>
      <c r="S627" s="113" t="str">
        <f>IF(F627="","",IF(H627="",TEXT(_xlfn.MAXIFS($I$1:I627,$F$1:F627,F627,$H$1:H627,"&gt;"&amp;0),"000.000"),F627))</f>
        <v/>
      </c>
      <c r="T627" s="101" t="str">
        <f t="shared" si="87"/>
        <v/>
      </c>
      <c r="U627" s="82"/>
      <c r="V627" s="98"/>
      <c r="W627" s="82"/>
      <c r="X627" s="98"/>
      <c r="Y627" s="82"/>
      <c r="Z627" s="98"/>
      <c r="AA627" s="82"/>
      <c r="AB627" s="98"/>
      <c r="AC627" s="82"/>
      <c r="AD627" s="98"/>
      <c r="AE627" s="82"/>
      <c r="AF627" s="98"/>
      <c r="AG627" s="82"/>
      <c r="AH627" s="98"/>
      <c r="AI627" s="82"/>
      <c r="AJ627" s="98"/>
      <c r="AK627" s="83"/>
      <c r="AL627" s="84" t="str">
        <f>IF(F627&lt;&gt;0,IF(_xlfn.MAXIFS($I$1:I627,$F$1:F627,F627,$H$1:H627,"&gt;"&amp;0)=0,"KM NÃO ENCONTRADO",IF(H627=0,CONCATENATE("SUGESTÃO DE KM PARA PLACA ",F627," *",_xlfn.MAXIFS($I$1:I627,$F$1:F627,F627,$H$1:H627,"&gt;"&amp;0),"*"),"")),"")</f>
        <v/>
      </c>
      <c r="AM627" s="85" t="str" cm="1">
        <f t="array" ref="AM627">IFERROR(IF(M627&lt;&gt;"","",CONCATENATE("https://btx.brasiltrack.com/logistica/trajeto.php?idveiculo=",VLOOKUP(F627,DATAS!$A$221:$B$250,2,FALSE),"&amp;lat=-22.204247","&amp;data_ini=",TEXT(IF(E627&lt;&gt;"",IF(COUNTIF($F$2:$F627,F627)&gt;1,MAX(IF($F$1:$F626=F627,$E$1:$E626)),""),""),"DD/MM/AAAA"),"&amp;data_fim=",TEXT(E627,"DD/MM/AAAA"),"&amp;hora_inicial=",HOUR(IF(E627&lt;&gt;"",IF(COUNTIF($F$2:$F627,F627)&gt;1,MAX(IF($F$1:$F626=F627,$E$1:$E626)),""),"")),"&amp;minuto_inicial=",MINUTE(IF(E627&lt;&gt;"",IF(COUNTIF($F$2:$F627,F627)&gt;1,MAX(IF($F$1:$F626=F627,$E$1:$E626)),""),"")),"&amp;hora_final=",HOUR(E627),"&amp;minuto_final=",MINUTE(E627),"&amp;periodo=6&amp;tipo=por_data&amp;upos=false&amp;outequip=0")),"")</f>
        <v/>
      </c>
      <c r="AN627" s="100" t="str">
        <f t="shared" si="85"/>
        <v xml:space="preserve">               </v>
      </c>
    </row>
    <row r="628" spans="1:40" x14ac:dyDescent="0.25">
      <c r="A628" s="101">
        <f>IFERROR(VLOOKUP(AN628,ROTAS!$A:$B,2,FALSE),0)</f>
        <v>0</v>
      </c>
      <c r="B628" s="101"/>
      <c r="C628" s="101"/>
      <c r="D628" s="101"/>
      <c r="E628" s="76"/>
      <c r="F628" s="6"/>
      <c r="G628" s="5" t="str">
        <f>IFERROR(VLOOKUP(SUMIFS(MSOLICITADA!$I:$I,MSOLICITADA!$B:$B,D628,MSOLICITADA!$F:$F,F628),CODIGOSPLACAS!$A$64:$B$89,2,FALSE),"")</f>
        <v/>
      </c>
      <c r="H628" s="77"/>
      <c r="I628" s="77"/>
      <c r="J628" s="7"/>
      <c r="K628" s="78"/>
      <c r="L628" s="79"/>
      <c r="M628" s="6"/>
      <c r="N628" s="5" t="str">
        <f t="shared" si="81"/>
        <v/>
      </c>
      <c r="O628" s="80" t="str">
        <f t="shared" si="82"/>
        <v/>
      </c>
      <c r="P628" s="8">
        <f t="shared" si="83"/>
        <v>0</v>
      </c>
      <c r="Q628" s="8">
        <f t="shared" si="86"/>
        <v>0</v>
      </c>
      <c r="R628" s="81">
        <f t="shared" si="84"/>
        <v>0</v>
      </c>
      <c r="S628" s="113" t="str">
        <f>IF(F628="","",IF(H628="",TEXT(_xlfn.MAXIFS($I$1:I628,$F$1:F628,F628,$H$1:H628,"&gt;"&amp;0),"000.000"),F628))</f>
        <v/>
      </c>
      <c r="T628" s="101" t="str">
        <f t="shared" si="87"/>
        <v/>
      </c>
      <c r="U628" s="82"/>
      <c r="V628" s="98"/>
      <c r="W628" s="82"/>
      <c r="X628" s="98"/>
      <c r="Y628" s="82"/>
      <c r="Z628" s="98"/>
      <c r="AA628" s="82"/>
      <c r="AB628" s="98"/>
      <c r="AC628" s="82"/>
      <c r="AD628" s="98"/>
      <c r="AE628" s="82"/>
      <c r="AF628" s="98"/>
      <c r="AG628" s="82"/>
      <c r="AH628" s="98"/>
      <c r="AI628" s="82"/>
      <c r="AJ628" s="98"/>
      <c r="AK628" s="83"/>
      <c r="AL628" s="84" t="str">
        <f>IF(F628&lt;&gt;0,IF(_xlfn.MAXIFS($I$1:I628,$F$1:F628,F628,$H$1:H628,"&gt;"&amp;0)=0,"KM NÃO ENCONTRADO",IF(H628=0,CONCATENATE("SUGESTÃO DE KM PARA PLACA ",F628," *",_xlfn.MAXIFS($I$1:I628,$F$1:F628,F628,$H$1:H628,"&gt;"&amp;0),"*"),"")),"")</f>
        <v/>
      </c>
      <c r="AM628" s="85" t="str" cm="1">
        <f t="array" ref="AM628">IFERROR(IF(M628&lt;&gt;"","",CONCATENATE("https://btx.brasiltrack.com/logistica/trajeto.php?idveiculo=",VLOOKUP(F628,DATAS!$A$221:$B$250,2,FALSE),"&amp;lat=-22.204247","&amp;data_ini=",TEXT(IF(E628&lt;&gt;"",IF(COUNTIF($F$2:$F628,F628)&gt;1,MAX(IF($F$1:$F627=F628,$E$1:$E627)),""),""),"DD/MM/AAAA"),"&amp;data_fim=",TEXT(E628,"DD/MM/AAAA"),"&amp;hora_inicial=",HOUR(IF(E628&lt;&gt;"",IF(COUNTIF($F$2:$F628,F628)&gt;1,MAX(IF($F$1:$F627=F628,$E$1:$E627)),""),"")),"&amp;minuto_inicial=",MINUTE(IF(E628&lt;&gt;"",IF(COUNTIF($F$2:$F628,F628)&gt;1,MAX(IF($F$1:$F627=F628,$E$1:$E627)),""),"")),"&amp;hora_final=",HOUR(E628),"&amp;minuto_final=",MINUTE(E628),"&amp;periodo=6&amp;tipo=por_data&amp;upos=false&amp;outequip=0")),"")</f>
        <v/>
      </c>
      <c r="AN628" s="100" t="str">
        <f t="shared" si="85"/>
        <v xml:space="preserve">               </v>
      </c>
    </row>
    <row r="629" spans="1:40" x14ac:dyDescent="0.25">
      <c r="A629" s="101">
        <f>IFERROR(VLOOKUP(AN629,ROTAS!$A:$B,2,FALSE),0)</f>
        <v>0</v>
      </c>
      <c r="B629" s="101"/>
      <c r="C629" s="101"/>
      <c r="D629" s="101"/>
      <c r="E629" s="76"/>
      <c r="F629" s="6"/>
      <c r="G629" s="5" t="str">
        <f>IFERROR(VLOOKUP(SUMIFS(MSOLICITADA!$I:$I,MSOLICITADA!$B:$B,D629,MSOLICITADA!$F:$F,F629),CODIGOSPLACAS!$A$64:$B$89,2,FALSE),"")</f>
        <v/>
      </c>
      <c r="H629" s="77"/>
      <c r="I629" s="77"/>
      <c r="J629" s="7"/>
      <c r="K629" s="78"/>
      <c r="L629" s="79"/>
      <c r="M629" s="6"/>
      <c r="N629" s="5" t="str">
        <f t="shared" si="81"/>
        <v/>
      </c>
      <c r="O629" s="80" t="str">
        <f t="shared" si="82"/>
        <v/>
      </c>
      <c r="P629" s="8">
        <f t="shared" si="83"/>
        <v>0</v>
      </c>
      <c r="Q629" s="8">
        <f t="shared" si="86"/>
        <v>0</v>
      </c>
      <c r="R629" s="81">
        <f t="shared" si="84"/>
        <v>0</v>
      </c>
      <c r="S629" s="113" t="str">
        <f>IF(F629="","",IF(H629="",TEXT(_xlfn.MAXIFS($I$1:I629,$F$1:F629,F629,$H$1:H629,"&gt;"&amp;0),"000.000"),F629))</f>
        <v/>
      </c>
      <c r="T629" s="101" t="str">
        <f t="shared" si="87"/>
        <v/>
      </c>
      <c r="U629" s="82"/>
      <c r="V629" s="98"/>
      <c r="W629" s="82"/>
      <c r="X629" s="98"/>
      <c r="Y629" s="82"/>
      <c r="Z629" s="98"/>
      <c r="AA629" s="82"/>
      <c r="AB629" s="98"/>
      <c r="AC629" s="82"/>
      <c r="AD629" s="98"/>
      <c r="AE629" s="82"/>
      <c r="AF629" s="98"/>
      <c r="AG629" s="82"/>
      <c r="AH629" s="98"/>
      <c r="AI629" s="82"/>
      <c r="AJ629" s="98"/>
      <c r="AK629" s="83"/>
      <c r="AL629" s="84" t="str">
        <f>IF(F629&lt;&gt;0,IF(_xlfn.MAXIFS($I$1:I629,$F$1:F629,F629,$H$1:H629,"&gt;"&amp;0)=0,"KM NÃO ENCONTRADO",IF(H629=0,CONCATENATE("SUGESTÃO DE KM PARA PLACA ",F629," *",_xlfn.MAXIFS($I$1:I629,$F$1:F629,F629,$H$1:H629,"&gt;"&amp;0),"*"),"")),"")</f>
        <v/>
      </c>
      <c r="AM629" s="85" t="str" cm="1">
        <f t="array" ref="AM629">IFERROR(IF(M629&lt;&gt;"","",CONCATENATE("https://btx.brasiltrack.com/logistica/trajeto.php?idveiculo=",VLOOKUP(F629,DATAS!$A$221:$B$250,2,FALSE),"&amp;lat=-22.204247","&amp;data_ini=",TEXT(IF(E629&lt;&gt;"",IF(COUNTIF($F$2:$F629,F629)&gt;1,MAX(IF($F$1:$F628=F629,$E$1:$E628)),""),""),"DD/MM/AAAA"),"&amp;data_fim=",TEXT(E629,"DD/MM/AAAA"),"&amp;hora_inicial=",HOUR(IF(E629&lt;&gt;"",IF(COUNTIF($F$2:$F629,F629)&gt;1,MAX(IF($F$1:$F628=F629,$E$1:$E628)),""),"")),"&amp;minuto_inicial=",MINUTE(IF(E629&lt;&gt;"",IF(COUNTIF($F$2:$F629,F629)&gt;1,MAX(IF($F$1:$F628=F629,$E$1:$E628)),""),"")),"&amp;hora_final=",HOUR(E629),"&amp;minuto_final=",MINUTE(E629),"&amp;periodo=6&amp;tipo=por_data&amp;upos=false&amp;outequip=0")),"")</f>
        <v/>
      </c>
      <c r="AN629" s="100" t="str">
        <f t="shared" si="85"/>
        <v xml:space="preserve">               </v>
      </c>
    </row>
    <row r="630" spans="1:40" x14ac:dyDescent="0.25">
      <c r="A630" s="101">
        <f>IFERROR(VLOOKUP(AN630,ROTAS!$A:$B,2,FALSE),0)</f>
        <v>0</v>
      </c>
      <c r="B630" s="101"/>
      <c r="C630" s="101"/>
      <c r="D630" s="101"/>
      <c r="E630" s="76"/>
      <c r="F630" s="6"/>
      <c r="G630" s="5" t="str">
        <f>IFERROR(VLOOKUP(SUMIFS(MSOLICITADA!$I:$I,MSOLICITADA!$B:$B,D630,MSOLICITADA!$F:$F,F630),CODIGOSPLACAS!$A$64:$B$89,2,FALSE),"")</f>
        <v/>
      </c>
      <c r="H630" s="77"/>
      <c r="I630" s="77"/>
      <c r="J630" s="7"/>
      <c r="K630" s="78"/>
      <c r="L630" s="79"/>
      <c r="M630" s="6"/>
      <c r="N630" s="5" t="str">
        <f t="shared" si="81"/>
        <v/>
      </c>
      <c r="O630" s="80" t="str">
        <f t="shared" si="82"/>
        <v/>
      </c>
      <c r="P630" s="8">
        <f t="shared" si="83"/>
        <v>0</v>
      </c>
      <c r="Q630" s="8">
        <f t="shared" si="86"/>
        <v>0</v>
      </c>
      <c r="R630" s="81">
        <f t="shared" si="84"/>
        <v>0</v>
      </c>
      <c r="S630" s="113" t="str">
        <f>IF(F630="","",IF(H630="",TEXT(_xlfn.MAXIFS($I$1:I630,$F$1:F630,F630,$H$1:H630,"&gt;"&amp;0),"000.000"),F630))</f>
        <v/>
      </c>
      <c r="T630" s="101" t="str">
        <f t="shared" si="87"/>
        <v/>
      </c>
      <c r="U630" s="82"/>
      <c r="V630" s="98"/>
      <c r="W630" s="82"/>
      <c r="X630" s="98"/>
      <c r="Y630" s="82"/>
      <c r="Z630" s="98"/>
      <c r="AA630" s="82"/>
      <c r="AB630" s="98"/>
      <c r="AC630" s="82"/>
      <c r="AD630" s="98"/>
      <c r="AE630" s="82"/>
      <c r="AF630" s="98"/>
      <c r="AG630" s="82"/>
      <c r="AH630" s="98"/>
      <c r="AI630" s="82"/>
      <c r="AJ630" s="98"/>
      <c r="AK630" s="83"/>
      <c r="AL630" s="84" t="str">
        <f>IF(F630&lt;&gt;0,IF(_xlfn.MAXIFS($I$1:I630,$F$1:F630,F630,$H$1:H630,"&gt;"&amp;0)=0,"KM NÃO ENCONTRADO",IF(H630=0,CONCATENATE("SUGESTÃO DE KM PARA PLACA ",F630," *",_xlfn.MAXIFS($I$1:I630,$F$1:F630,F630,$H$1:H630,"&gt;"&amp;0),"*"),"")),"")</f>
        <v/>
      </c>
      <c r="AM630" s="85" t="str" cm="1">
        <f t="array" ref="AM630">IFERROR(IF(M630&lt;&gt;"","",CONCATENATE("https://btx.brasiltrack.com/logistica/trajeto.php?idveiculo=",VLOOKUP(F630,DATAS!$A$221:$B$250,2,FALSE),"&amp;lat=-22.204247","&amp;data_ini=",TEXT(IF(E630&lt;&gt;"",IF(COUNTIF($F$2:$F630,F630)&gt;1,MAX(IF($F$1:$F629=F630,$E$1:$E629)),""),""),"DD/MM/AAAA"),"&amp;data_fim=",TEXT(E630,"DD/MM/AAAA"),"&amp;hora_inicial=",HOUR(IF(E630&lt;&gt;"",IF(COUNTIF($F$2:$F630,F630)&gt;1,MAX(IF($F$1:$F629=F630,$E$1:$E629)),""),"")),"&amp;minuto_inicial=",MINUTE(IF(E630&lt;&gt;"",IF(COUNTIF($F$2:$F630,F630)&gt;1,MAX(IF($F$1:$F629=F630,$E$1:$E629)),""),"")),"&amp;hora_final=",HOUR(E630),"&amp;minuto_final=",MINUTE(E630),"&amp;periodo=6&amp;tipo=por_data&amp;upos=false&amp;outequip=0")),"")</f>
        <v/>
      </c>
      <c r="AN630" s="100" t="str">
        <f t="shared" si="85"/>
        <v xml:space="preserve">               </v>
      </c>
    </row>
    <row r="631" spans="1:40" x14ac:dyDescent="0.25">
      <c r="A631" s="101">
        <f>IFERROR(VLOOKUP(AN631,ROTAS!$A:$B,2,FALSE),0)</f>
        <v>0</v>
      </c>
      <c r="B631" s="101"/>
      <c r="C631" s="101"/>
      <c r="D631" s="101"/>
      <c r="E631" s="76"/>
      <c r="F631" s="6"/>
      <c r="G631" s="5" t="str">
        <f>IFERROR(VLOOKUP(SUMIFS(MSOLICITADA!$I:$I,MSOLICITADA!$B:$B,D631,MSOLICITADA!$F:$F,F631),CODIGOSPLACAS!$A$64:$B$89,2,FALSE),"")</f>
        <v/>
      </c>
      <c r="H631" s="77"/>
      <c r="I631" s="77"/>
      <c r="J631" s="7"/>
      <c r="K631" s="78"/>
      <c r="L631" s="79"/>
      <c r="M631" s="6"/>
      <c r="N631" s="5" t="str">
        <f t="shared" si="81"/>
        <v/>
      </c>
      <c r="O631" s="80" t="str">
        <f t="shared" si="82"/>
        <v/>
      </c>
      <c r="P631" s="8">
        <f t="shared" si="83"/>
        <v>0</v>
      </c>
      <c r="Q631" s="8">
        <f t="shared" si="86"/>
        <v>0</v>
      </c>
      <c r="R631" s="81">
        <f t="shared" si="84"/>
        <v>0</v>
      </c>
      <c r="S631" s="113" t="str">
        <f>IF(F631="","",IF(H631="",TEXT(_xlfn.MAXIFS($I$1:I631,$F$1:F631,F631,$H$1:H631,"&gt;"&amp;0),"000.000"),F631))</f>
        <v/>
      </c>
      <c r="T631" s="101" t="str">
        <f t="shared" si="87"/>
        <v/>
      </c>
      <c r="U631" s="82"/>
      <c r="V631" s="98"/>
      <c r="W631" s="82"/>
      <c r="X631" s="98"/>
      <c r="Y631" s="82"/>
      <c r="Z631" s="98"/>
      <c r="AA631" s="82"/>
      <c r="AB631" s="98"/>
      <c r="AC631" s="82"/>
      <c r="AD631" s="98"/>
      <c r="AE631" s="82"/>
      <c r="AF631" s="98"/>
      <c r="AG631" s="82"/>
      <c r="AH631" s="98"/>
      <c r="AI631" s="82"/>
      <c r="AJ631" s="98"/>
      <c r="AK631" s="83"/>
      <c r="AL631" s="84" t="str">
        <f>IF(F631&lt;&gt;0,IF(_xlfn.MAXIFS($I$1:I631,$F$1:F631,F631,$H$1:H631,"&gt;"&amp;0)=0,"KM NÃO ENCONTRADO",IF(H631=0,CONCATENATE("SUGESTÃO DE KM PARA PLACA ",F631," *",_xlfn.MAXIFS($I$1:I631,$F$1:F631,F631,$H$1:H631,"&gt;"&amp;0),"*"),"")),"")</f>
        <v/>
      </c>
      <c r="AM631" s="85" t="str" cm="1">
        <f t="array" ref="AM631">IFERROR(IF(M631&lt;&gt;"","",CONCATENATE("https://btx.brasiltrack.com/logistica/trajeto.php?idveiculo=",VLOOKUP(F631,DATAS!$A$221:$B$250,2,FALSE),"&amp;lat=-22.204247","&amp;data_ini=",TEXT(IF(E631&lt;&gt;"",IF(COUNTIF($F$2:$F631,F631)&gt;1,MAX(IF($F$1:$F630=F631,$E$1:$E630)),""),""),"DD/MM/AAAA"),"&amp;data_fim=",TEXT(E631,"DD/MM/AAAA"),"&amp;hora_inicial=",HOUR(IF(E631&lt;&gt;"",IF(COUNTIF($F$2:$F631,F631)&gt;1,MAX(IF($F$1:$F630=F631,$E$1:$E630)),""),"")),"&amp;minuto_inicial=",MINUTE(IF(E631&lt;&gt;"",IF(COUNTIF($F$2:$F631,F631)&gt;1,MAX(IF($F$1:$F630=F631,$E$1:$E630)),""),"")),"&amp;hora_final=",HOUR(E631),"&amp;minuto_final=",MINUTE(E631),"&amp;periodo=6&amp;tipo=por_data&amp;upos=false&amp;outequip=0")),"")</f>
        <v/>
      </c>
      <c r="AN631" s="100" t="str">
        <f t="shared" si="85"/>
        <v xml:space="preserve">               </v>
      </c>
    </row>
    <row r="632" spans="1:40" x14ac:dyDescent="0.25">
      <c r="A632" s="101">
        <f>IFERROR(VLOOKUP(AN632,ROTAS!$A:$B,2,FALSE),0)</f>
        <v>0</v>
      </c>
      <c r="B632" s="101"/>
      <c r="C632" s="101"/>
      <c r="D632" s="101"/>
      <c r="E632" s="76"/>
      <c r="F632" s="6"/>
      <c r="G632" s="5" t="str">
        <f>IFERROR(VLOOKUP(SUMIFS(MSOLICITADA!$I:$I,MSOLICITADA!$B:$B,D632,MSOLICITADA!$F:$F,F632),CODIGOSPLACAS!$A$64:$B$89,2,FALSE),"")</f>
        <v/>
      </c>
      <c r="H632" s="77"/>
      <c r="I632" s="77"/>
      <c r="J632" s="7"/>
      <c r="K632" s="78"/>
      <c r="L632" s="79"/>
      <c r="M632" s="6"/>
      <c r="N632" s="5" t="str">
        <f t="shared" si="81"/>
        <v/>
      </c>
      <c r="O632" s="80" t="str">
        <f t="shared" si="82"/>
        <v/>
      </c>
      <c r="P632" s="8">
        <f t="shared" si="83"/>
        <v>0</v>
      </c>
      <c r="Q632" s="8">
        <f t="shared" si="86"/>
        <v>0</v>
      </c>
      <c r="R632" s="81">
        <f t="shared" si="84"/>
        <v>0</v>
      </c>
      <c r="S632" s="113" t="str">
        <f>IF(F632="","",IF(H632="",TEXT(_xlfn.MAXIFS($I$1:I632,$F$1:F632,F632,$H$1:H632,"&gt;"&amp;0),"000.000"),F632))</f>
        <v/>
      </c>
      <c r="T632" s="101" t="str">
        <f t="shared" si="87"/>
        <v/>
      </c>
      <c r="U632" s="82"/>
      <c r="V632" s="98"/>
      <c r="W632" s="82"/>
      <c r="X632" s="98"/>
      <c r="Y632" s="82"/>
      <c r="Z632" s="98"/>
      <c r="AA632" s="82"/>
      <c r="AB632" s="98"/>
      <c r="AC632" s="82"/>
      <c r="AD632" s="98"/>
      <c r="AE632" s="82"/>
      <c r="AF632" s="98"/>
      <c r="AG632" s="82"/>
      <c r="AH632" s="98"/>
      <c r="AI632" s="82"/>
      <c r="AJ632" s="98"/>
      <c r="AK632" s="83"/>
      <c r="AL632" s="84" t="str">
        <f>IF(F632&lt;&gt;0,IF(_xlfn.MAXIFS($I$1:I632,$F$1:F632,F632,$H$1:H632,"&gt;"&amp;0)=0,"KM NÃO ENCONTRADO",IF(H632=0,CONCATENATE("SUGESTÃO DE KM PARA PLACA ",F632," *",_xlfn.MAXIFS($I$1:I632,$F$1:F632,F632,$H$1:H632,"&gt;"&amp;0),"*"),"")),"")</f>
        <v/>
      </c>
      <c r="AM632" s="85" t="str" cm="1">
        <f t="array" ref="AM632">IFERROR(IF(M632&lt;&gt;"","",CONCATENATE("https://btx.brasiltrack.com/logistica/trajeto.php?idveiculo=",VLOOKUP(F632,DATAS!$A$221:$B$250,2,FALSE),"&amp;lat=-22.204247","&amp;data_ini=",TEXT(IF(E632&lt;&gt;"",IF(COUNTIF($F$2:$F632,F632)&gt;1,MAX(IF($F$1:$F631=F632,$E$1:$E631)),""),""),"DD/MM/AAAA"),"&amp;data_fim=",TEXT(E632,"DD/MM/AAAA"),"&amp;hora_inicial=",HOUR(IF(E632&lt;&gt;"",IF(COUNTIF($F$2:$F632,F632)&gt;1,MAX(IF($F$1:$F631=F632,$E$1:$E631)),""),"")),"&amp;minuto_inicial=",MINUTE(IF(E632&lt;&gt;"",IF(COUNTIF($F$2:$F632,F632)&gt;1,MAX(IF($F$1:$F631=F632,$E$1:$E631)),""),"")),"&amp;hora_final=",HOUR(E632),"&amp;minuto_final=",MINUTE(E632),"&amp;periodo=6&amp;tipo=por_data&amp;upos=false&amp;outequip=0")),"")</f>
        <v/>
      </c>
      <c r="AN632" s="100" t="str">
        <f t="shared" si="85"/>
        <v xml:space="preserve">               </v>
      </c>
    </row>
    <row r="633" spans="1:40" x14ac:dyDescent="0.25">
      <c r="A633" s="101">
        <f>IFERROR(VLOOKUP(AN633,ROTAS!$A:$B,2,FALSE),0)</f>
        <v>0</v>
      </c>
      <c r="B633" s="101"/>
      <c r="C633" s="101"/>
      <c r="D633" s="101"/>
      <c r="E633" s="76"/>
      <c r="F633" s="6"/>
      <c r="G633" s="5" t="str">
        <f>IFERROR(VLOOKUP(SUMIFS(MSOLICITADA!$I:$I,MSOLICITADA!$B:$B,D633,MSOLICITADA!$F:$F,F633),CODIGOSPLACAS!$A$64:$B$89,2,FALSE),"")</f>
        <v/>
      </c>
      <c r="H633" s="77"/>
      <c r="I633" s="77"/>
      <c r="J633" s="7"/>
      <c r="K633" s="78"/>
      <c r="L633" s="79"/>
      <c r="M633" s="6"/>
      <c r="N633" s="5" t="str">
        <f t="shared" si="81"/>
        <v/>
      </c>
      <c r="O633" s="80" t="str">
        <f t="shared" si="82"/>
        <v/>
      </c>
      <c r="P633" s="8">
        <f t="shared" si="83"/>
        <v>0</v>
      </c>
      <c r="Q633" s="8">
        <f t="shared" si="86"/>
        <v>0</v>
      </c>
      <c r="R633" s="81">
        <f t="shared" si="84"/>
        <v>0</v>
      </c>
      <c r="S633" s="113" t="str">
        <f>IF(F633="","",IF(H633="",TEXT(_xlfn.MAXIFS($I$1:I633,$F$1:F633,F633,$H$1:H633,"&gt;"&amp;0),"000.000"),F633))</f>
        <v/>
      </c>
      <c r="T633" s="101" t="str">
        <f t="shared" si="87"/>
        <v/>
      </c>
      <c r="U633" s="82"/>
      <c r="V633" s="98"/>
      <c r="W633" s="82"/>
      <c r="X633" s="98"/>
      <c r="Y633" s="82"/>
      <c r="Z633" s="98"/>
      <c r="AA633" s="82"/>
      <c r="AB633" s="98"/>
      <c r="AC633" s="82"/>
      <c r="AD633" s="98"/>
      <c r="AE633" s="82"/>
      <c r="AF633" s="98"/>
      <c r="AG633" s="82"/>
      <c r="AH633" s="98"/>
      <c r="AI633" s="82"/>
      <c r="AJ633" s="98"/>
      <c r="AK633" s="83"/>
      <c r="AL633" s="84" t="str">
        <f>IF(F633&lt;&gt;0,IF(_xlfn.MAXIFS($I$1:I633,$F$1:F633,F633,$H$1:H633,"&gt;"&amp;0)=0,"KM NÃO ENCONTRADO",IF(H633=0,CONCATENATE("SUGESTÃO DE KM PARA PLACA ",F633," *",_xlfn.MAXIFS($I$1:I633,$F$1:F633,F633,$H$1:H633,"&gt;"&amp;0),"*"),"")),"")</f>
        <v/>
      </c>
      <c r="AM633" s="85" t="str" cm="1">
        <f t="array" ref="AM633">IFERROR(IF(M633&lt;&gt;"","",CONCATENATE("https://btx.brasiltrack.com/logistica/trajeto.php?idveiculo=",VLOOKUP(F633,DATAS!$A$221:$B$250,2,FALSE),"&amp;lat=-22.204247","&amp;data_ini=",TEXT(IF(E633&lt;&gt;"",IF(COUNTIF($F$2:$F633,F633)&gt;1,MAX(IF($F$1:$F632=F633,$E$1:$E632)),""),""),"DD/MM/AAAA"),"&amp;data_fim=",TEXT(E633,"DD/MM/AAAA"),"&amp;hora_inicial=",HOUR(IF(E633&lt;&gt;"",IF(COUNTIF($F$2:$F633,F633)&gt;1,MAX(IF($F$1:$F632=F633,$E$1:$E632)),""),"")),"&amp;minuto_inicial=",MINUTE(IF(E633&lt;&gt;"",IF(COUNTIF($F$2:$F633,F633)&gt;1,MAX(IF($F$1:$F632=F633,$E$1:$E632)),""),"")),"&amp;hora_final=",HOUR(E633),"&amp;minuto_final=",MINUTE(E633),"&amp;periodo=6&amp;tipo=por_data&amp;upos=false&amp;outequip=0")),"")</f>
        <v/>
      </c>
      <c r="AN633" s="100" t="str">
        <f t="shared" si="85"/>
        <v xml:space="preserve">               </v>
      </c>
    </row>
    <row r="634" spans="1:40" x14ac:dyDescent="0.25">
      <c r="A634" s="101">
        <f>IFERROR(VLOOKUP(AN634,ROTAS!$A:$B,2,FALSE),0)</f>
        <v>0</v>
      </c>
      <c r="B634" s="101"/>
      <c r="C634" s="101"/>
      <c r="D634" s="101"/>
      <c r="E634" s="76"/>
      <c r="F634" s="6"/>
      <c r="G634" s="5" t="str">
        <f>IFERROR(VLOOKUP(SUMIFS(MSOLICITADA!$I:$I,MSOLICITADA!$B:$B,D634,MSOLICITADA!$F:$F,F634),CODIGOSPLACAS!$A$64:$B$89,2,FALSE),"")</f>
        <v/>
      </c>
      <c r="H634" s="77"/>
      <c r="I634" s="77"/>
      <c r="J634" s="7"/>
      <c r="K634" s="78"/>
      <c r="L634" s="79"/>
      <c r="M634" s="6"/>
      <c r="N634" s="5" t="str">
        <f t="shared" si="81"/>
        <v/>
      </c>
      <c r="O634" s="80" t="str">
        <f t="shared" si="82"/>
        <v/>
      </c>
      <c r="P634" s="8">
        <f t="shared" si="83"/>
        <v>0</v>
      </c>
      <c r="Q634" s="8">
        <f t="shared" si="86"/>
        <v>0</v>
      </c>
      <c r="R634" s="81">
        <f t="shared" si="84"/>
        <v>0</v>
      </c>
      <c r="S634" s="113" t="str">
        <f>IF(F634="","",IF(H634="",TEXT(_xlfn.MAXIFS($I$1:I634,$F$1:F634,F634,$H$1:H634,"&gt;"&amp;0),"000.000"),F634))</f>
        <v/>
      </c>
      <c r="T634" s="101" t="str">
        <f t="shared" si="87"/>
        <v/>
      </c>
      <c r="U634" s="82"/>
      <c r="V634" s="98"/>
      <c r="W634" s="82"/>
      <c r="X634" s="98"/>
      <c r="Y634" s="82"/>
      <c r="Z634" s="98"/>
      <c r="AA634" s="82"/>
      <c r="AB634" s="98"/>
      <c r="AC634" s="82"/>
      <c r="AD634" s="98"/>
      <c r="AE634" s="82"/>
      <c r="AF634" s="98"/>
      <c r="AG634" s="82"/>
      <c r="AH634" s="98"/>
      <c r="AI634" s="82"/>
      <c r="AJ634" s="98"/>
      <c r="AK634" s="83"/>
      <c r="AL634" s="84" t="str">
        <f>IF(F634&lt;&gt;0,IF(_xlfn.MAXIFS($I$1:I634,$F$1:F634,F634,$H$1:H634,"&gt;"&amp;0)=0,"KM NÃO ENCONTRADO",IF(H634=0,CONCATENATE("SUGESTÃO DE KM PARA PLACA ",F634," *",_xlfn.MAXIFS($I$1:I634,$F$1:F634,F634,$H$1:H634,"&gt;"&amp;0),"*"),"")),"")</f>
        <v/>
      </c>
      <c r="AM634" s="85" t="str" cm="1">
        <f t="array" ref="AM634">IFERROR(IF(M634&lt;&gt;"","",CONCATENATE("https://btx.brasiltrack.com/logistica/trajeto.php?idveiculo=",VLOOKUP(F634,DATAS!$A$221:$B$250,2,FALSE),"&amp;lat=-22.204247","&amp;data_ini=",TEXT(IF(E634&lt;&gt;"",IF(COUNTIF($F$2:$F634,F634)&gt;1,MAX(IF($F$1:$F633=F634,$E$1:$E633)),""),""),"DD/MM/AAAA"),"&amp;data_fim=",TEXT(E634,"DD/MM/AAAA"),"&amp;hora_inicial=",HOUR(IF(E634&lt;&gt;"",IF(COUNTIF($F$2:$F634,F634)&gt;1,MAX(IF($F$1:$F633=F634,$E$1:$E633)),""),"")),"&amp;minuto_inicial=",MINUTE(IF(E634&lt;&gt;"",IF(COUNTIF($F$2:$F634,F634)&gt;1,MAX(IF($F$1:$F633=F634,$E$1:$E633)),""),"")),"&amp;hora_final=",HOUR(E634),"&amp;minuto_final=",MINUTE(E634),"&amp;periodo=6&amp;tipo=por_data&amp;upos=false&amp;outequip=0")),"")</f>
        <v/>
      </c>
      <c r="AN634" s="100" t="str">
        <f t="shared" si="85"/>
        <v xml:space="preserve">               </v>
      </c>
    </row>
    <row r="635" spans="1:40" x14ac:dyDescent="0.25">
      <c r="A635" s="101">
        <f>IFERROR(VLOOKUP(AN635,ROTAS!$A:$B,2,FALSE),0)</f>
        <v>0</v>
      </c>
      <c r="B635" s="101"/>
      <c r="C635" s="101"/>
      <c r="D635" s="101"/>
      <c r="E635" s="76"/>
      <c r="F635" s="6"/>
      <c r="G635" s="5" t="str">
        <f>IFERROR(VLOOKUP(SUMIFS(MSOLICITADA!$I:$I,MSOLICITADA!$B:$B,D635,MSOLICITADA!$F:$F,F635),CODIGOSPLACAS!$A$64:$B$89,2,FALSE),"")</f>
        <v/>
      </c>
      <c r="H635" s="77"/>
      <c r="I635" s="77"/>
      <c r="J635" s="7"/>
      <c r="K635" s="78"/>
      <c r="L635" s="79"/>
      <c r="M635" s="6"/>
      <c r="N635" s="5" t="str">
        <f t="shared" si="81"/>
        <v/>
      </c>
      <c r="O635" s="80" t="str">
        <f t="shared" si="82"/>
        <v/>
      </c>
      <c r="P635" s="8">
        <f t="shared" si="83"/>
        <v>0</v>
      </c>
      <c r="Q635" s="8">
        <f t="shared" si="86"/>
        <v>0</v>
      </c>
      <c r="R635" s="81">
        <f t="shared" si="84"/>
        <v>0</v>
      </c>
      <c r="S635" s="113" t="str">
        <f>IF(F635="","",IF(H635="",TEXT(_xlfn.MAXIFS($I$1:I635,$F$1:F635,F635,$H$1:H635,"&gt;"&amp;0),"000.000"),F635))</f>
        <v/>
      </c>
      <c r="T635" s="101" t="str">
        <f t="shared" si="87"/>
        <v/>
      </c>
      <c r="U635" s="82"/>
      <c r="V635" s="98"/>
      <c r="W635" s="82"/>
      <c r="X635" s="98"/>
      <c r="Y635" s="82"/>
      <c r="Z635" s="98"/>
      <c r="AA635" s="82"/>
      <c r="AB635" s="98"/>
      <c r="AC635" s="82"/>
      <c r="AD635" s="98"/>
      <c r="AE635" s="82"/>
      <c r="AF635" s="98"/>
      <c r="AG635" s="82"/>
      <c r="AH635" s="98"/>
      <c r="AI635" s="82"/>
      <c r="AJ635" s="98"/>
      <c r="AK635" s="83"/>
      <c r="AL635" s="84" t="str">
        <f>IF(F635&lt;&gt;0,IF(_xlfn.MAXIFS($I$1:I635,$F$1:F635,F635,$H$1:H635,"&gt;"&amp;0)=0,"KM NÃO ENCONTRADO",IF(H635=0,CONCATENATE("SUGESTÃO DE KM PARA PLACA ",F635," *",_xlfn.MAXIFS($I$1:I635,$F$1:F635,F635,$H$1:H635,"&gt;"&amp;0),"*"),"")),"")</f>
        <v/>
      </c>
      <c r="AM635" s="85" t="str" cm="1">
        <f t="array" ref="AM635">IFERROR(IF(M635&lt;&gt;"","",CONCATENATE("https://btx.brasiltrack.com/logistica/trajeto.php?idveiculo=",VLOOKUP(F635,DATAS!$A$221:$B$250,2,FALSE),"&amp;lat=-22.204247","&amp;data_ini=",TEXT(IF(E635&lt;&gt;"",IF(COUNTIF($F$2:$F635,F635)&gt;1,MAX(IF($F$1:$F634=F635,$E$1:$E634)),""),""),"DD/MM/AAAA"),"&amp;data_fim=",TEXT(E635,"DD/MM/AAAA"),"&amp;hora_inicial=",HOUR(IF(E635&lt;&gt;"",IF(COUNTIF($F$2:$F635,F635)&gt;1,MAX(IF($F$1:$F634=F635,$E$1:$E634)),""),"")),"&amp;minuto_inicial=",MINUTE(IF(E635&lt;&gt;"",IF(COUNTIF($F$2:$F635,F635)&gt;1,MAX(IF($F$1:$F634=F635,$E$1:$E634)),""),"")),"&amp;hora_final=",HOUR(E635),"&amp;minuto_final=",MINUTE(E635),"&amp;periodo=6&amp;tipo=por_data&amp;upos=false&amp;outequip=0")),"")</f>
        <v/>
      </c>
      <c r="AN635" s="100" t="str">
        <f t="shared" si="85"/>
        <v xml:space="preserve">               </v>
      </c>
    </row>
    <row r="636" spans="1:40" x14ac:dyDescent="0.25">
      <c r="A636" s="101">
        <f>IFERROR(VLOOKUP(AN636,ROTAS!$A:$B,2,FALSE),0)</f>
        <v>0</v>
      </c>
      <c r="B636" s="101"/>
      <c r="C636" s="101"/>
      <c r="D636" s="101"/>
      <c r="E636" s="76"/>
      <c r="F636" s="6"/>
      <c r="G636" s="5" t="str">
        <f>IFERROR(VLOOKUP(SUMIFS(MSOLICITADA!$I:$I,MSOLICITADA!$B:$B,D636,MSOLICITADA!$F:$F,F636),CODIGOSPLACAS!$A$64:$B$89,2,FALSE),"")</f>
        <v/>
      </c>
      <c r="H636" s="77"/>
      <c r="I636" s="77"/>
      <c r="J636" s="7"/>
      <c r="K636" s="78"/>
      <c r="L636" s="79"/>
      <c r="M636" s="6"/>
      <c r="N636" s="5" t="str">
        <f t="shared" si="81"/>
        <v/>
      </c>
      <c r="O636" s="80" t="str">
        <f t="shared" si="82"/>
        <v/>
      </c>
      <c r="P636" s="8">
        <f t="shared" si="83"/>
        <v>0</v>
      </c>
      <c r="Q636" s="8">
        <f t="shared" si="86"/>
        <v>0</v>
      </c>
      <c r="R636" s="81">
        <f t="shared" si="84"/>
        <v>0</v>
      </c>
      <c r="S636" s="113" t="str">
        <f>IF(F636="","",IF(H636="",TEXT(_xlfn.MAXIFS($I$1:I636,$F$1:F636,F636,$H$1:H636,"&gt;"&amp;0),"000.000"),F636))</f>
        <v/>
      </c>
      <c r="T636" s="101" t="str">
        <f t="shared" si="87"/>
        <v/>
      </c>
      <c r="U636" s="82"/>
      <c r="V636" s="98"/>
      <c r="W636" s="82"/>
      <c r="X636" s="98"/>
      <c r="Y636" s="82"/>
      <c r="Z636" s="98"/>
      <c r="AA636" s="82"/>
      <c r="AB636" s="98"/>
      <c r="AC636" s="82"/>
      <c r="AD636" s="98"/>
      <c r="AE636" s="82"/>
      <c r="AF636" s="98"/>
      <c r="AG636" s="82"/>
      <c r="AH636" s="98"/>
      <c r="AI636" s="82"/>
      <c r="AJ636" s="98"/>
      <c r="AK636" s="83"/>
      <c r="AL636" s="84" t="str">
        <f>IF(F636&lt;&gt;0,IF(_xlfn.MAXIFS($I$1:I636,$F$1:F636,F636,$H$1:H636,"&gt;"&amp;0)=0,"KM NÃO ENCONTRADO",IF(H636=0,CONCATENATE("SUGESTÃO DE KM PARA PLACA ",F636," *",_xlfn.MAXIFS($I$1:I636,$F$1:F636,F636,$H$1:H636,"&gt;"&amp;0),"*"),"")),"")</f>
        <v/>
      </c>
      <c r="AM636" s="85" t="str" cm="1">
        <f t="array" ref="AM636">IFERROR(IF(M636&lt;&gt;"","",CONCATENATE("https://btx.brasiltrack.com/logistica/trajeto.php?idveiculo=",VLOOKUP(F636,DATAS!$A$221:$B$250,2,FALSE),"&amp;lat=-22.204247","&amp;data_ini=",TEXT(IF(E636&lt;&gt;"",IF(COUNTIF($F$2:$F636,F636)&gt;1,MAX(IF($F$1:$F635=F636,$E$1:$E635)),""),""),"DD/MM/AAAA"),"&amp;data_fim=",TEXT(E636,"DD/MM/AAAA"),"&amp;hora_inicial=",HOUR(IF(E636&lt;&gt;"",IF(COUNTIF($F$2:$F636,F636)&gt;1,MAX(IF($F$1:$F635=F636,$E$1:$E635)),""),"")),"&amp;minuto_inicial=",MINUTE(IF(E636&lt;&gt;"",IF(COUNTIF($F$2:$F636,F636)&gt;1,MAX(IF($F$1:$F635=F636,$E$1:$E635)),""),"")),"&amp;hora_final=",HOUR(E636),"&amp;minuto_final=",MINUTE(E636),"&amp;periodo=6&amp;tipo=por_data&amp;upos=false&amp;outequip=0")),"")</f>
        <v/>
      </c>
      <c r="AN636" s="100" t="str">
        <f t="shared" si="85"/>
        <v xml:space="preserve">               </v>
      </c>
    </row>
    <row r="637" spans="1:40" x14ac:dyDescent="0.25">
      <c r="A637" s="101">
        <f>IFERROR(VLOOKUP(AN637,ROTAS!$A:$B,2,FALSE),0)</f>
        <v>0</v>
      </c>
      <c r="B637" s="101"/>
      <c r="C637" s="101"/>
      <c r="D637" s="101"/>
      <c r="E637" s="76"/>
      <c r="F637" s="6"/>
      <c r="G637" s="5" t="str">
        <f>IFERROR(VLOOKUP(SUMIFS(MSOLICITADA!$I:$I,MSOLICITADA!$B:$B,D637,MSOLICITADA!$F:$F,F637),CODIGOSPLACAS!$A$64:$B$89,2,FALSE),"")</f>
        <v/>
      </c>
      <c r="H637" s="77"/>
      <c r="I637" s="77"/>
      <c r="J637" s="7"/>
      <c r="K637" s="78"/>
      <c r="L637" s="79"/>
      <c r="M637" s="6"/>
      <c r="N637" s="5" t="str">
        <f t="shared" si="81"/>
        <v/>
      </c>
      <c r="O637" s="80" t="str">
        <f t="shared" si="82"/>
        <v/>
      </c>
      <c r="P637" s="8">
        <f t="shared" si="83"/>
        <v>0</v>
      </c>
      <c r="Q637" s="8">
        <f t="shared" si="86"/>
        <v>0</v>
      </c>
      <c r="R637" s="81">
        <f t="shared" si="84"/>
        <v>0</v>
      </c>
      <c r="S637" s="113" t="str">
        <f>IF(F637="","",IF(H637="",TEXT(_xlfn.MAXIFS($I$1:I637,$F$1:F637,F637,$H$1:H637,"&gt;"&amp;0),"000.000"),F637))</f>
        <v/>
      </c>
      <c r="T637" s="101" t="str">
        <f t="shared" si="87"/>
        <v/>
      </c>
      <c r="U637" s="82"/>
      <c r="V637" s="98"/>
      <c r="W637" s="82"/>
      <c r="X637" s="98"/>
      <c r="Y637" s="82"/>
      <c r="Z637" s="98"/>
      <c r="AA637" s="82"/>
      <c r="AB637" s="98"/>
      <c r="AC637" s="82"/>
      <c r="AD637" s="98"/>
      <c r="AE637" s="82"/>
      <c r="AF637" s="98"/>
      <c r="AG637" s="82"/>
      <c r="AH637" s="98"/>
      <c r="AI637" s="82"/>
      <c r="AJ637" s="98"/>
      <c r="AK637" s="83"/>
      <c r="AL637" s="84" t="str">
        <f>IF(F637&lt;&gt;0,IF(_xlfn.MAXIFS($I$1:I637,$F$1:F637,F637,$H$1:H637,"&gt;"&amp;0)=0,"KM NÃO ENCONTRADO",IF(H637=0,CONCATENATE("SUGESTÃO DE KM PARA PLACA ",F637," *",_xlfn.MAXIFS($I$1:I637,$F$1:F637,F637,$H$1:H637,"&gt;"&amp;0),"*"),"")),"")</f>
        <v/>
      </c>
      <c r="AM637" s="85" t="str" cm="1">
        <f t="array" ref="AM637">IFERROR(IF(M637&lt;&gt;"","",CONCATENATE("https://btx.brasiltrack.com/logistica/trajeto.php?idveiculo=",VLOOKUP(F637,DATAS!$A$221:$B$250,2,FALSE),"&amp;lat=-22.204247","&amp;data_ini=",TEXT(IF(E637&lt;&gt;"",IF(COUNTIF($F$2:$F637,F637)&gt;1,MAX(IF($F$1:$F636=F637,$E$1:$E636)),""),""),"DD/MM/AAAA"),"&amp;data_fim=",TEXT(E637,"DD/MM/AAAA"),"&amp;hora_inicial=",HOUR(IF(E637&lt;&gt;"",IF(COUNTIF($F$2:$F637,F637)&gt;1,MAX(IF($F$1:$F636=F637,$E$1:$E636)),""),"")),"&amp;minuto_inicial=",MINUTE(IF(E637&lt;&gt;"",IF(COUNTIF($F$2:$F637,F637)&gt;1,MAX(IF($F$1:$F636=F637,$E$1:$E636)),""),"")),"&amp;hora_final=",HOUR(E637),"&amp;minuto_final=",MINUTE(E637),"&amp;periodo=6&amp;tipo=por_data&amp;upos=false&amp;outequip=0")),"")</f>
        <v/>
      </c>
      <c r="AN637" s="100" t="str">
        <f t="shared" si="85"/>
        <v xml:space="preserve">               </v>
      </c>
    </row>
    <row r="638" spans="1:40" x14ac:dyDescent="0.25">
      <c r="A638" s="101">
        <f>IFERROR(VLOOKUP(AN638,ROTAS!$A:$B,2,FALSE),0)</f>
        <v>0</v>
      </c>
      <c r="B638" s="101"/>
      <c r="C638" s="101"/>
      <c r="D638" s="101"/>
      <c r="E638" s="76"/>
      <c r="F638" s="6"/>
      <c r="G638" s="5" t="str">
        <f>IFERROR(VLOOKUP(SUMIFS(MSOLICITADA!$I:$I,MSOLICITADA!$B:$B,D638,MSOLICITADA!$F:$F,F638),CODIGOSPLACAS!$A$64:$B$89,2,FALSE),"")</f>
        <v/>
      </c>
      <c r="H638" s="77"/>
      <c r="I638" s="77"/>
      <c r="J638" s="7"/>
      <c r="K638" s="78"/>
      <c r="L638" s="79"/>
      <c r="M638" s="6"/>
      <c r="N638" s="5" t="str">
        <f t="shared" si="81"/>
        <v/>
      </c>
      <c r="O638" s="80" t="str">
        <f t="shared" si="82"/>
        <v/>
      </c>
      <c r="P638" s="8">
        <f t="shared" si="83"/>
        <v>0</v>
      </c>
      <c r="Q638" s="8">
        <f t="shared" si="86"/>
        <v>0</v>
      </c>
      <c r="R638" s="81">
        <f t="shared" si="84"/>
        <v>0</v>
      </c>
      <c r="S638" s="113" t="str">
        <f>IF(F638="","",IF(H638="",TEXT(_xlfn.MAXIFS($I$1:I638,$F$1:F638,F638,$H$1:H638,"&gt;"&amp;0),"000.000"),F638))</f>
        <v/>
      </c>
      <c r="T638" s="101" t="str">
        <f t="shared" si="87"/>
        <v/>
      </c>
      <c r="U638" s="82"/>
      <c r="V638" s="98"/>
      <c r="W638" s="82"/>
      <c r="X638" s="98"/>
      <c r="Y638" s="82"/>
      <c r="Z638" s="98"/>
      <c r="AA638" s="82"/>
      <c r="AB638" s="98"/>
      <c r="AC638" s="82"/>
      <c r="AD638" s="98"/>
      <c r="AE638" s="82"/>
      <c r="AF638" s="98"/>
      <c r="AG638" s="82"/>
      <c r="AH638" s="98"/>
      <c r="AI638" s="82"/>
      <c r="AJ638" s="98"/>
      <c r="AK638" s="83"/>
      <c r="AL638" s="84" t="str">
        <f>IF(F638&lt;&gt;0,IF(_xlfn.MAXIFS($I$1:I638,$F$1:F638,F638,$H$1:H638,"&gt;"&amp;0)=0,"KM NÃO ENCONTRADO",IF(H638=0,CONCATENATE("SUGESTÃO DE KM PARA PLACA ",F638," *",_xlfn.MAXIFS($I$1:I638,$F$1:F638,F638,$H$1:H638,"&gt;"&amp;0),"*"),"")),"")</f>
        <v/>
      </c>
      <c r="AM638" s="85" t="str" cm="1">
        <f t="array" ref="AM638">IFERROR(IF(M638&lt;&gt;"","",CONCATENATE("https://btx.brasiltrack.com/logistica/trajeto.php?idveiculo=",VLOOKUP(F638,DATAS!$A$221:$B$250,2,FALSE),"&amp;lat=-22.204247","&amp;data_ini=",TEXT(IF(E638&lt;&gt;"",IF(COUNTIF($F$2:$F638,F638)&gt;1,MAX(IF($F$1:$F637=F638,$E$1:$E637)),""),""),"DD/MM/AAAA"),"&amp;data_fim=",TEXT(E638,"DD/MM/AAAA"),"&amp;hora_inicial=",HOUR(IF(E638&lt;&gt;"",IF(COUNTIF($F$2:$F638,F638)&gt;1,MAX(IF($F$1:$F637=F638,$E$1:$E637)),""),"")),"&amp;minuto_inicial=",MINUTE(IF(E638&lt;&gt;"",IF(COUNTIF($F$2:$F638,F638)&gt;1,MAX(IF($F$1:$F637=F638,$E$1:$E637)),""),"")),"&amp;hora_final=",HOUR(E638),"&amp;minuto_final=",MINUTE(E638),"&amp;periodo=6&amp;tipo=por_data&amp;upos=false&amp;outequip=0")),"")</f>
        <v/>
      </c>
      <c r="AN638" s="100" t="str">
        <f t="shared" si="85"/>
        <v xml:space="preserve">               </v>
      </c>
    </row>
    <row r="639" spans="1:40" x14ac:dyDescent="0.25">
      <c r="A639" s="101">
        <f>IFERROR(VLOOKUP(AN639,ROTAS!$A:$B,2,FALSE),0)</f>
        <v>0</v>
      </c>
      <c r="B639" s="101"/>
      <c r="C639" s="101"/>
      <c r="D639" s="101"/>
      <c r="E639" s="76"/>
      <c r="F639" s="6"/>
      <c r="G639" s="5" t="str">
        <f>IFERROR(VLOOKUP(SUMIFS(MSOLICITADA!$I:$I,MSOLICITADA!$B:$B,D639,MSOLICITADA!$F:$F,F639),CODIGOSPLACAS!$A$64:$B$89,2,FALSE),"")</f>
        <v/>
      </c>
      <c r="H639" s="77"/>
      <c r="I639" s="77"/>
      <c r="J639" s="7"/>
      <c r="K639" s="78"/>
      <c r="L639" s="79"/>
      <c r="M639" s="6"/>
      <c r="N639" s="5" t="str">
        <f t="shared" si="81"/>
        <v/>
      </c>
      <c r="O639" s="80" t="str">
        <f t="shared" si="82"/>
        <v/>
      </c>
      <c r="P639" s="8">
        <f t="shared" si="83"/>
        <v>0</v>
      </c>
      <c r="Q639" s="8">
        <f t="shared" si="86"/>
        <v>0</v>
      </c>
      <c r="R639" s="81">
        <f t="shared" si="84"/>
        <v>0</v>
      </c>
      <c r="S639" s="113" t="str">
        <f>IF(F639="","",IF(H639="",TEXT(_xlfn.MAXIFS($I$1:I639,$F$1:F639,F639,$H$1:H639,"&gt;"&amp;0),"000.000"),F639))</f>
        <v/>
      </c>
      <c r="T639" s="101" t="str">
        <f t="shared" si="87"/>
        <v/>
      </c>
      <c r="U639" s="82"/>
      <c r="V639" s="98"/>
      <c r="W639" s="82"/>
      <c r="X639" s="98"/>
      <c r="Y639" s="82"/>
      <c r="Z639" s="98"/>
      <c r="AA639" s="82"/>
      <c r="AB639" s="98"/>
      <c r="AC639" s="82"/>
      <c r="AD639" s="98"/>
      <c r="AE639" s="82"/>
      <c r="AF639" s="98"/>
      <c r="AG639" s="82"/>
      <c r="AH639" s="98"/>
      <c r="AI639" s="82"/>
      <c r="AJ639" s="98"/>
      <c r="AK639" s="83"/>
      <c r="AL639" s="84" t="str">
        <f>IF(F639&lt;&gt;0,IF(_xlfn.MAXIFS($I$1:I639,$F$1:F639,F639,$H$1:H639,"&gt;"&amp;0)=0,"KM NÃO ENCONTRADO",IF(H639=0,CONCATENATE("SUGESTÃO DE KM PARA PLACA ",F639," *",_xlfn.MAXIFS($I$1:I639,$F$1:F639,F639,$H$1:H639,"&gt;"&amp;0),"*"),"")),"")</f>
        <v/>
      </c>
      <c r="AM639" s="85" t="str" cm="1">
        <f t="array" ref="AM639">IFERROR(IF(M639&lt;&gt;"","",CONCATENATE("https://btx.brasiltrack.com/logistica/trajeto.php?idveiculo=",VLOOKUP(F639,DATAS!$A$221:$B$250,2,FALSE),"&amp;lat=-22.204247","&amp;data_ini=",TEXT(IF(E639&lt;&gt;"",IF(COUNTIF($F$2:$F639,F639)&gt;1,MAX(IF($F$1:$F638=F639,$E$1:$E638)),""),""),"DD/MM/AAAA"),"&amp;data_fim=",TEXT(E639,"DD/MM/AAAA"),"&amp;hora_inicial=",HOUR(IF(E639&lt;&gt;"",IF(COUNTIF($F$2:$F639,F639)&gt;1,MAX(IF($F$1:$F638=F639,$E$1:$E638)),""),"")),"&amp;minuto_inicial=",MINUTE(IF(E639&lt;&gt;"",IF(COUNTIF($F$2:$F639,F639)&gt;1,MAX(IF($F$1:$F638=F639,$E$1:$E638)),""),"")),"&amp;hora_final=",HOUR(E639),"&amp;minuto_final=",MINUTE(E639),"&amp;periodo=6&amp;tipo=por_data&amp;upos=false&amp;outequip=0")),"")</f>
        <v/>
      </c>
      <c r="AN639" s="100" t="str">
        <f t="shared" si="85"/>
        <v xml:space="preserve">               </v>
      </c>
    </row>
    <row r="640" spans="1:40" x14ac:dyDescent="0.25">
      <c r="A640" s="101">
        <f>IFERROR(VLOOKUP(AN640,ROTAS!$A:$B,2,FALSE),0)</f>
        <v>0</v>
      </c>
      <c r="B640" s="101"/>
      <c r="C640" s="101"/>
      <c r="D640" s="101"/>
      <c r="E640" s="76"/>
      <c r="F640" s="6"/>
      <c r="G640" s="5" t="str">
        <f>IFERROR(VLOOKUP(SUMIFS(MSOLICITADA!$I:$I,MSOLICITADA!$B:$B,D640,MSOLICITADA!$F:$F,F640),CODIGOSPLACAS!$A$64:$B$89,2,FALSE),"")</f>
        <v/>
      </c>
      <c r="H640" s="77"/>
      <c r="I640" s="77"/>
      <c r="J640" s="7"/>
      <c r="K640" s="78"/>
      <c r="L640" s="79"/>
      <c r="M640" s="6"/>
      <c r="N640" s="5" t="str">
        <f t="shared" si="81"/>
        <v/>
      </c>
      <c r="O640" s="80" t="str">
        <f t="shared" si="82"/>
        <v/>
      </c>
      <c r="P640" s="8">
        <f t="shared" si="83"/>
        <v>0</v>
      </c>
      <c r="Q640" s="8">
        <f t="shared" si="86"/>
        <v>0</v>
      </c>
      <c r="R640" s="81">
        <f t="shared" si="84"/>
        <v>0</v>
      </c>
      <c r="S640" s="113" t="str">
        <f>IF(F640="","",IF(H640="",TEXT(_xlfn.MAXIFS($I$1:I640,$F$1:F640,F640,$H$1:H640,"&gt;"&amp;0),"000.000"),F640))</f>
        <v/>
      </c>
      <c r="T640" s="101" t="str">
        <f t="shared" si="87"/>
        <v/>
      </c>
      <c r="U640" s="82"/>
      <c r="V640" s="98"/>
      <c r="W640" s="82"/>
      <c r="X640" s="98"/>
      <c r="Y640" s="82"/>
      <c r="Z640" s="98"/>
      <c r="AA640" s="82"/>
      <c r="AB640" s="98"/>
      <c r="AC640" s="82"/>
      <c r="AD640" s="98"/>
      <c r="AE640" s="82"/>
      <c r="AF640" s="98"/>
      <c r="AG640" s="82"/>
      <c r="AH640" s="98"/>
      <c r="AI640" s="82"/>
      <c r="AJ640" s="98"/>
      <c r="AK640" s="83"/>
      <c r="AL640" s="84" t="str">
        <f>IF(F640&lt;&gt;0,IF(_xlfn.MAXIFS($I$1:I640,$F$1:F640,F640,$H$1:H640,"&gt;"&amp;0)=0,"KM NÃO ENCONTRADO",IF(H640=0,CONCATENATE("SUGESTÃO DE KM PARA PLACA ",F640," *",_xlfn.MAXIFS($I$1:I640,$F$1:F640,F640,$H$1:H640,"&gt;"&amp;0),"*"),"")),"")</f>
        <v/>
      </c>
      <c r="AM640" s="85" t="str" cm="1">
        <f t="array" ref="AM640">IFERROR(IF(M640&lt;&gt;"","",CONCATENATE("https://btx.brasiltrack.com/logistica/trajeto.php?idveiculo=",VLOOKUP(F640,DATAS!$A$221:$B$250,2,FALSE),"&amp;lat=-22.204247","&amp;data_ini=",TEXT(IF(E640&lt;&gt;"",IF(COUNTIF($F$2:$F640,F640)&gt;1,MAX(IF($F$1:$F639=F640,$E$1:$E639)),""),""),"DD/MM/AAAA"),"&amp;data_fim=",TEXT(E640,"DD/MM/AAAA"),"&amp;hora_inicial=",HOUR(IF(E640&lt;&gt;"",IF(COUNTIF($F$2:$F640,F640)&gt;1,MAX(IF($F$1:$F639=F640,$E$1:$E639)),""),"")),"&amp;minuto_inicial=",MINUTE(IF(E640&lt;&gt;"",IF(COUNTIF($F$2:$F640,F640)&gt;1,MAX(IF($F$1:$F639=F640,$E$1:$E639)),""),"")),"&amp;hora_final=",HOUR(E640),"&amp;minuto_final=",MINUTE(E640),"&amp;periodo=6&amp;tipo=por_data&amp;upos=false&amp;outequip=0")),"")</f>
        <v/>
      </c>
      <c r="AN640" s="100" t="str">
        <f t="shared" si="85"/>
        <v xml:space="preserve">               </v>
      </c>
    </row>
    <row r="641" spans="1:40" x14ac:dyDescent="0.25">
      <c r="A641" s="101">
        <f>IFERROR(VLOOKUP(AN641,ROTAS!$A:$B,2,FALSE),0)</f>
        <v>0</v>
      </c>
      <c r="B641" s="101"/>
      <c r="C641" s="101"/>
      <c r="D641" s="101"/>
      <c r="E641" s="76"/>
      <c r="F641" s="6"/>
      <c r="G641" s="5" t="str">
        <f>IFERROR(VLOOKUP(SUMIFS(MSOLICITADA!$I:$I,MSOLICITADA!$B:$B,D641,MSOLICITADA!$F:$F,F641),CODIGOSPLACAS!$A$64:$B$89,2,FALSE),"")</f>
        <v/>
      </c>
      <c r="H641" s="77"/>
      <c r="I641" s="77"/>
      <c r="J641" s="7"/>
      <c r="K641" s="78"/>
      <c r="L641" s="79"/>
      <c r="M641" s="6"/>
      <c r="N641" s="5" t="str">
        <f t="shared" si="81"/>
        <v/>
      </c>
      <c r="O641" s="80" t="str">
        <f t="shared" si="82"/>
        <v/>
      </c>
      <c r="P641" s="8">
        <f t="shared" si="83"/>
        <v>0</v>
      </c>
      <c r="Q641" s="8">
        <f t="shared" si="86"/>
        <v>0</v>
      </c>
      <c r="R641" s="81">
        <f t="shared" si="84"/>
        <v>0</v>
      </c>
      <c r="S641" s="113" t="str">
        <f>IF(F641="","",IF(H641="",TEXT(_xlfn.MAXIFS($I$1:I641,$F$1:F641,F641,$H$1:H641,"&gt;"&amp;0),"000.000"),F641))</f>
        <v/>
      </c>
      <c r="T641" s="101" t="str">
        <f t="shared" si="87"/>
        <v/>
      </c>
      <c r="U641" s="82"/>
      <c r="V641" s="98"/>
      <c r="W641" s="82"/>
      <c r="X641" s="98"/>
      <c r="Y641" s="82"/>
      <c r="Z641" s="98"/>
      <c r="AA641" s="82"/>
      <c r="AB641" s="98"/>
      <c r="AC641" s="82"/>
      <c r="AD641" s="98"/>
      <c r="AE641" s="82"/>
      <c r="AF641" s="98"/>
      <c r="AG641" s="82"/>
      <c r="AH641" s="98"/>
      <c r="AI641" s="82"/>
      <c r="AJ641" s="98"/>
      <c r="AK641" s="83"/>
      <c r="AL641" s="84" t="str">
        <f>IF(F641&lt;&gt;0,IF(_xlfn.MAXIFS($I$1:I641,$F$1:F641,F641,$H$1:H641,"&gt;"&amp;0)=0,"KM NÃO ENCONTRADO",IF(H641=0,CONCATENATE("SUGESTÃO DE KM PARA PLACA ",F641," *",_xlfn.MAXIFS($I$1:I641,$F$1:F641,F641,$H$1:H641,"&gt;"&amp;0),"*"),"")),"")</f>
        <v/>
      </c>
      <c r="AM641" s="85" t="str" cm="1">
        <f t="array" ref="AM641">IFERROR(IF(M641&lt;&gt;"","",CONCATENATE("https://btx.brasiltrack.com/logistica/trajeto.php?idveiculo=",VLOOKUP(F641,DATAS!$A$221:$B$250,2,FALSE),"&amp;lat=-22.204247","&amp;data_ini=",TEXT(IF(E641&lt;&gt;"",IF(COUNTIF($F$2:$F641,F641)&gt;1,MAX(IF($F$1:$F640=F641,$E$1:$E640)),""),""),"DD/MM/AAAA"),"&amp;data_fim=",TEXT(E641,"DD/MM/AAAA"),"&amp;hora_inicial=",HOUR(IF(E641&lt;&gt;"",IF(COUNTIF($F$2:$F641,F641)&gt;1,MAX(IF($F$1:$F640=F641,$E$1:$E640)),""),"")),"&amp;minuto_inicial=",MINUTE(IF(E641&lt;&gt;"",IF(COUNTIF($F$2:$F641,F641)&gt;1,MAX(IF($F$1:$F640=F641,$E$1:$E640)),""),"")),"&amp;hora_final=",HOUR(E641),"&amp;minuto_final=",MINUTE(E641),"&amp;periodo=6&amp;tipo=por_data&amp;upos=false&amp;outequip=0")),"")</f>
        <v/>
      </c>
      <c r="AN641" s="100" t="str">
        <f t="shared" si="85"/>
        <v xml:space="preserve">               </v>
      </c>
    </row>
    <row r="642" spans="1:40" x14ac:dyDescent="0.25">
      <c r="A642" s="101">
        <f>IFERROR(VLOOKUP(AN642,ROTAS!$A:$B,2,FALSE),0)</f>
        <v>0</v>
      </c>
      <c r="B642" s="101"/>
      <c r="C642" s="101"/>
      <c r="D642" s="101"/>
      <c r="E642" s="76"/>
      <c r="F642" s="6"/>
      <c r="G642" s="5" t="str">
        <f>IFERROR(VLOOKUP(SUMIFS(MSOLICITADA!$I:$I,MSOLICITADA!$B:$B,D642,MSOLICITADA!$F:$F,F642),CODIGOSPLACAS!$A$64:$B$89,2,FALSE),"")</f>
        <v/>
      </c>
      <c r="H642" s="77"/>
      <c r="I642" s="77"/>
      <c r="J642" s="7"/>
      <c r="K642" s="78"/>
      <c r="L642" s="79"/>
      <c r="M642" s="6"/>
      <c r="N642" s="5" t="str">
        <f t="shared" si="81"/>
        <v/>
      </c>
      <c r="O642" s="80" t="str">
        <f t="shared" si="82"/>
        <v/>
      </c>
      <c r="P642" s="8">
        <f t="shared" si="83"/>
        <v>0</v>
      </c>
      <c r="Q642" s="8">
        <f t="shared" si="86"/>
        <v>0</v>
      </c>
      <c r="R642" s="81">
        <f t="shared" si="84"/>
        <v>0</v>
      </c>
      <c r="S642" s="113" t="str">
        <f>IF(F642="","",IF(H642="",TEXT(_xlfn.MAXIFS($I$1:I642,$F$1:F642,F642,$H$1:H642,"&gt;"&amp;0),"000.000"),F642))</f>
        <v/>
      </c>
      <c r="T642" s="101" t="str">
        <f t="shared" si="87"/>
        <v/>
      </c>
      <c r="U642" s="82"/>
      <c r="V642" s="98"/>
      <c r="W642" s="82"/>
      <c r="X642" s="98"/>
      <c r="Y642" s="82"/>
      <c r="Z642" s="98"/>
      <c r="AA642" s="82"/>
      <c r="AB642" s="98"/>
      <c r="AC642" s="82"/>
      <c r="AD642" s="98"/>
      <c r="AE642" s="82"/>
      <c r="AF642" s="98"/>
      <c r="AG642" s="82"/>
      <c r="AH642" s="98"/>
      <c r="AI642" s="82"/>
      <c r="AJ642" s="98"/>
      <c r="AK642" s="83"/>
      <c r="AL642" s="84" t="str">
        <f>IF(F642&lt;&gt;0,IF(_xlfn.MAXIFS($I$1:I642,$F$1:F642,F642,$H$1:H642,"&gt;"&amp;0)=0,"KM NÃO ENCONTRADO",IF(H642=0,CONCATENATE("SUGESTÃO DE KM PARA PLACA ",F642," *",_xlfn.MAXIFS($I$1:I642,$F$1:F642,F642,$H$1:H642,"&gt;"&amp;0),"*"),"")),"")</f>
        <v/>
      </c>
      <c r="AM642" s="85" t="str" cm="1">
        <f t="array" ref="AM642">IFERROR(IF(M642&lt;&gt;"","",CONCATENATE("https://btx.brasiltrack.com/logistica/trajeto.php?idveiculo=",VLOOKUP(F642,DATAS!$A$221:$B$250,2,FALSE),"&amp;lat=-22.204247","&amp;data_ini=",TEXT(IF(E642&lt;&gt;"",IF(COUNTIF($F$2:$F642,F642)&gt;1,MAX(IF($F$1:$F641=F642,$E$1:$E641)),""),""),"DD/MM/AAAA"),"&amp;data_fim=",TEXT(E642,"DD/MM/AAAA"),"&amp;hora_inicial=",HOUR(IF(E642&lt;&gt;"",IF(COUNTIF($F$2:$F642,F642)&gt;1,MAX(IF($F$1:$F641=F642,$E$1:$E641)),""),"")),"&amp;minuto_inicial=",MINUTE(IF(E642&lt;&gt;"",IF(COUNTIF($F$2:$F642,F642)&gt;1,MAX(IF($F$1:$F641=F642,$E$1:$E641)),""),"")),"&amp;hora_final=",HOUR(E642),"&amp;minuto_final=",MINUTE(E642),"&amp;periodo=6&amp;tipo=por_data&amp;upos=false&amp;outequip=0")),"")</f>
        <v/>
      </c>
      <c r="AN642" s="100" t="str">
        <f t="shared" si="85"/>
        <v xml:space="preserve">               </v>
      </c>
    </row>
    <row r="643" spans="1:40" x14ac:dyDescent="0.25">
      <c r="A643" s="101">
        <f>IFERROR(VLOOKUP(AN643,ROTAS!$A:$B,2,FALSE),0)</f>
        <v>0</v>
      </c>
      <c r="B643" s="101"/>
      <c r="C643" s="101"/>
      <c r="D643" s="101"/>
      <c r="E643" s="76"/>
      <c r="F643" s="6"/>
      <c r="G643" s="5" t="str">
        <f>IFERROR(VLOOKUP(SUMIFS(MSOLICITADA!$I:$I,MSOLICITADA!$B:$B,D643,MSOLICITADA!$F:$F,F643),CODIGOSPLACAS!$A$64:$B$89,2,FALSE),"")</f>
        <v/>
      </c>
      <c r="H643" s="77"/>
      <c r="I643" s="77"/>
      <c r="J643" s="7"/>
      <c r="K643" s="78"/>
      <c r="L643" s="79"/>
      <c r="M643" s="6"/>
      <c r="N643" s="5" t="str">
        <f t="shared" ref="N643:N664" si="88">IF(IF((I643-H643-M643)&lt;0,"ERRO",I643-H643-M643)=0,"",IF((I643-H643-M643)&lt;0,"ERRO",I643-H643-M643))</f>
        <v/>
      </c>
      <c r="O643" s="80" t="str">
        <f t="shared" ref="O643:O664" si="89">IFERROR(K643/J643,"")</f>
        <v/>
      </c>
      <c r="P643" s="8">
        <f t="shared" ref="P643:P664" si="90">IF(F643&lt;&gt;"",(SUM(M643:N643)-AK643)/(J643-(AK643/5)),0)</f>
        <v>0</v>
      </c>
      <c r="Q643" s="8">
        <f t="shared" si="86"/>
        <v>0</v>
      </c>
      <c r="R643" s="81">
        <f t="shared" ref="R643:R664" si="91">IFERROR(IF(M643/(I643-H643)=0,0,M643/(I643-H643)),0)</f>
        <v>0</v>
      </c>
      <c r="S643" s="113" t="str">
        <f>IF(F643="","",IF(H643="",TEXT(_xlfn.MAXIFS($I$1:I643,$F$1:F643,F643,$H$1:H643,"&gt;"&amp;0),"000.000"),F643))</f>
        <v/>
      </c>
      <c r="T643" s="101" t="str">
        <f t="shared" si="87"/>
        <v/>
      </c>
      <c r="U643" s="82"/>
      <c r="V643" s="98"/>
      <c r="W643" s="82"/>
      <c r="X643" s="98"/>
      <c r="Y643" s="82"/>
      <c r="Z643" s="98"/>
      <c r="AA643" s="82"/>
      <c r="AB643" s="98"/>
      <c r="AC643" s="82"/>
      <c r="AD643" s="98"/>
      <c r="AE643" s="82"/>
      <c r="AF643" s="98"/>
      <c r="AG643" s="82"/>
      <c r="AH643" s="98"/>
      <c r="AI643" s="82"/>
      <c r="AJ643" s="98"/>
      <c r="AK643" s="83"/>
      <c r="AL643" s="84" t="str">
        <f>IF(F643&lt;&gt;0,IF(_xlfn.MAXIFS($I$1:I643,$F$1:F643,F643,$H$1:H643,"&gt;"&amp;0)=0,"KM NÃO ENCONTRADO",IF(H643=0,CONCATENATE("SUGESTÃO DE KM PARA PLACA ",F643," *",_xlfn.MAXIFS($I$1:I643,$F$1:F643,F643,$H$1:H643,"&gt;"&amp;0),"*"),"")),"")</f>
        <v/>
      </c>
      <c r="AM643" s="85" t="str" cm="1">
        <f t="array" ref="AM643">IFERROR(IF(M643&lt;&gt;"","",CONCATENATE("https://btx.brasiltrack.com/logistica/trajeto.php?idveiculo=",VLOOKUP(F643,DATAS!$A$221:$B$250,2,FALSE),"&amp;lat=-22.204247","&amp;data_ini=",TEXT(IF(E643&lt;&gt;"",IF(COUNTIF($F$2:$F643,F643)&gt;1,MAX(IF($F$1:$F642=F643,$E$1:$E642)),""),""),"DD/MM/AAAA"),"&amp;data_fim=",TEXT(E643,"DD/MM/AAAA"),"&amp;hora_inicial=",HOUR(IF(E643&lt;&gt;"",IF(COUNTIF($F$2:$F643,F643)&gt;1,MAX(IF($F$1:$F642=F643,$E$1:$E642)),""),"")),"&amp;minuto_inicial=",MINUTE(IF(E643&lt;&gt;"",IF(COUNTIF($F$2:$F643,F643)&gt;1,MAX(IF($F$1:$F642=F643,$E$1:$E642)),""),"")),"&amp;hora_final=",HOUR(E643),"&amp;minuto_final=",MINUTE(E643),"&amp;periodo=6&amp;tipo=por_data&amp;upos=false&amp;outequip=0")),"")</f>
        <v/>
      </c>
      <c r="AN643" s="100" t="str">
        <f t="shared" ref="AN643:AN664" si="92">CONCATENATE(U643," ",V643," ",W643," ",X643," ",Y643," ",Z643," ",AA643," ",AB643," ",AC643," ",AD643," ",AE643," ",AF643," ",AG643," ",AH643," ",AI643," ",AJ643)</f>
        <v xml:space="preserve">               </v>
      </c>
    </row>
    <row r="644" spans="1:40" x14ac:dyDescent="0.25">
      <c r="A644" s="101">
        <f>IFERROR(VLOOKUP(AN644,ROTAS!$A:$B,2,FALSE),0)</f>
        <v>0</v>
      </c>
      <c r="B644" s="101"/>
      <c r="C644" s="101"/>
      <c r="D644" s="101"/>
      <c r="E644" s="76"/>
      <c r="F644" s="6"/>
      <c r="G644" s="5" t="str">
        <f>IFERROR(VLOOKUP(SUMIFS(MSOLICITADA!$I:$I,MSOLICITADA!$B:$B,D644,MSOLICITADA!$F:$F,F644),CODIGOSPLACAS!$A$64:$B$89,2,FALSE),"")</f>
        <v/>
      </c>
      <c r="H644" s="77"/>
      <c r="I644" s="77"/>
      <c r="J644" s="7"/>
      <c r="K644" s="78"/>
      <c r="L644" s="79"/>
      <c r="M644" s="6"/>
      <c r="N644" s="5" t="str">
        <f t="shared" si="88"/>
        <v/>
      </c>
      <c r="O644" s="80" t="str">
        <f t="shared" si="89"/>
        <v/>
      </c>
      <c r="P644" s="8">
        <f t="shared" si="90"/>
        <v>0</v>
      </c>
      <c r="Q644" s="8">
        <f t="shared" si="86"/>
        <v>0</v>
      </c>
      <c r="R644" s="81">
        <f t="shared" si="91"/>
        <v>0</v>
      </c>
      <c r="S644" s="113" t="str">
        <f>IF(F644="","",IF(H644="",TEXT(_xlfn.MAXIFS($I$1:I644,$F$1:F644,F644,$H$1:H644,"&gt;"&amp;0),"000.000"),F644))</f>
        <v/>
      </c>
      <c r="T644" s="101" t="str">
        <f t="shared" si="87"/>
        <v/>
      </c>
      <c r="U644" s="82"/>
      <c r="V644" s="98"/>
      <c r="W644" s="82"/>
      <c r="X644" s="98"/>
      <c r="Y644" s="82"/>
      <c r="Z644" s="98"/>
      <c r="AA644" s="82"/>
      <c r="AB644" s="98"/>
      <c r="AC644" s="82"/>
      <c r="AD644" s="98"/>
      <c r="AE644" s="82"/>
      <c r="AF644" s="98"/>
      <c r="AG644" s="82"/>
      <c r="AH644" s="98"/>
      <c r="AI644" s="82"/>
      <c r="AJ644" s="98"/>
      <c r="AK644" s="83"/>
      <c r="AL644" s="84" t="str">
        <f>IF(F644&lt;&gt;0,IF(_xlfn.MAXIFS($I$1:I644,$F$1:F644,F644,$H$1:H644,"&gt;"&amp;0)=0,"KM NÃO ENCONTRADO",IF(H644=0,CONCATENATE("SUGESTÃO DE KM PARA PLACA ",F644," *",_xlfn.MAXIFS($I$1:I644,$F$1:F644,F644,$H$1:H644,"&gt;"&amp;0),"*"),"")),"")</f>
        <v/>
      </c>
      <c r="AM644" s="85" t="str" cm="1">
        <f t="array" ref="AM644">IFERROR(IF(M644&lt;&gt;"","",CONCATENATE("https://btx.brasiltrack.com/logistica/trajeto.php?idveiculo=",VLOOKUP(F644,DATAS!$A$221:$B$250,2,FALSE),"&amp;lat=-22.204247","&amp;data_ini=",TEXT(IF(E644&lt;&gt;"",IF(COUNTIF($F$2:$F644,F644)&gt;1,MAX(IF($F$1:$F643=F644,$E$1:$E643)),""),""),"DD/MM/AAAA"),"&amp;data_fim=",TEXT(E644,"DD/MM/AAAA"),"&amp;hora_inicial=",HOUR(IF(E644&lt;&gt;"",IF(COUNTIF($F$2:$F644,F644)&gt;1,MAX(IF($F$1:$F643=F644,$E$1:$E643)),""),"")),"&amp;minuto_inicial=",MINUTE(IF(E644&lt;&gt;"",IF(COUNTIF($F$2:$F644,F644)&gt;1,MAX(IF($F$1:$F643=F644,$E$1:$E643)),""),"")),"&amp;hora_final=",HOUR(E644),"&amp;minuto_final=",MINUTE(E644),"&amp;periodo=6&amp;tipo=por_data&amp;upos=false&amp;outequip=0")),"")</f>
        <v/>
      </c>
      <c r="AN644" s="100" t="str">
        <f t="shared" si="92"/>
        <v xml:space="preserve">               </v>
      </c>
    </row>
    <row r="645" spans="1:40" x14ac:dyDescent="0.25">
      <c r="A645" s="101">
        <f>IFERROR(VLOOKUP(AN645,ROTAS!$A:$B,2,FALSE),0)</f>
        <v>0</v>
      </c>
      <c r="B645" s="101"/>
      <c r="C645" s="101"/>
      <c r="D645" s="101"/>
      <c r="E645" s="76"/>
      <c r="F645" s="6"/>
      <c r="G645" s="5" t="str">
        <f>IFERROR(VLOOKUP(SUMIFS(MSOLICITADA!$I:$I,MSOLICITADA!$B:$B,D645,MSOLICITADA!$F:$F,F645),CODIGOSPLACAS!$A$64:$B$89,2,FALSE),"")</f>
        <v/>
      </c>
      <c r="H645" s="77"/>
      <c r="I645" s="77"/>
      <c r="J645" s="7"/>
      <c r="K645" s="78"/>
      <c r="L645" s="79"/>
      <c r="M645" s="6"/>
      <c r="N645" s="5" t="str">
        <f t="shared" si="88"/>
        <v/>
      </c>
      <c r="O645" s="80" t="str">
        <f t="shared" si="89"/>
        <v/>
      </c>
      <c r="P645" s="8">
        <f t="shared" si="90"/>
        <v>0</v>
      </c>
      <c r="Q645" s="8">
        <f t="shared" si="86"/>
        <v>0</v>
      </c>
      <c r="R645" s="81">
        <f t="shared" si="91"/>
        <v>0</v>
      </c>
      <c r="S645" s="113" t="str">
        <f>IF(F645="","",IF(H645="",TEXT(_xlfn.MAXIFS($I$1:I645,$F$1:F645,F645,$H$1:H645,"&gt;"&amp;0),"000.000"),F645))</f>
        <v/>
      </c>
      <c r="T645" s="101" t="str">
        <f t="shared" si="87"/>
        <v/>
      </c>
      <c r="U645" s="82"/>
      <c r="V645" s="98"/>
      <c r="W645" s="82"/>
      <c r="X645" s="98"/>
      <c r="Y645" s="82"/>
      <c r="Z645" s="98"/>
      <c r="AA645" s="82"/>
      <c r="AB645" s="98"/>
      <c r="AC645" s="82"/>
      <c r="AD645" s="98"/>
      <c r="AE645" s="82"/>
      <c r="AF645" s="98"/>
      <c r="AG645" s="82"/>
      <c r="AH645" s="98"/>
      <c r="AI645" s="82"/>
      <c r="AJ645" s="98"/>
      <c r="AK645" s="83"/>
      <c r="AL645" s="84" t="str">
        <f>IF(F645&lt;&gt;0,IF(_xlfn.MAXIFS($I$1:I645,$F$1:F645,F645,$H$1:H645,"&gt;"&amp;0)=0,"KM NÃO ENCONTRADO",IF(H645=0,CONCATENATE("SUGESTÃO DE KM PARA PLACA ",F645," *",_xlfn.MAXIFS($I$1:I645,$F$1:F645,F645,$H$1:H645,"&gt;"&amp;0),"*"),"")),"")</f>
        <v/>
      </c>
      <c r="AM645" s="85" t="str" cm="1">
        <f t="array" ref="AM645">IFERROR(IF(M645&lt;&gt;"","",CONCATENATE("https://btx.brasiltrack.com/logistica/trajeto.php?idveiculo=",VLOOKUP(F645,DATAS!$A$221:$B$250,2,FALSE),"&amp;lat=-22.204247","&amp;data_ini=",TEXT(IF(E645&lt;&gt;"",IF(COUNTIF($F$2:$F645,F645)&gt;1,MAX(IF($F$1:$F644=F645,$E$1:$E644)),""),""),"DD/MM/AAAA"),"&amp;data_fim=",TEXT(E645,"DD/MM/AAAA"),"&amp;hora_inicial=",HOUR(IF(E645&lt;&gt;"",IF(COUNTIF($F$2:$F645,F645)&gt;1,MAX(IF($F$1:$F644=F645,$E$1:$E644)),""),"")),"&amp;minuto_inicial=",MINUTE(IF(E645&lt;&gt;"",IF(COUNTIF($F$2:$F645,F645)&gt;1,MAX(IF($F$1:$F644=F645,$E$1:$E644)),""),"")),"&amp;hora_final=",HOUR(E645),"&amp;minuto_final=",MINUTE(E645),"&amp;periodo=6&amp;tipo=por_data&amp;upos=false&amp;outequip=0")),"")</f>
        <v/>
      </c>
      <c r="AN645" s="100" t="str">
        <f t="shared" si="92"/>
        <v xml:space="preserve">               </v>
      </c>
    </row>
    <row r="646" spans="1:40" x14ac:dyDescent="0.25">
      <c r="A646" s="101">
        <f>IFERROR(VLOOKUP(AN646,ROTAS!$A:$B,2,FALSE),0)</f>
        <v>0</v>
      </c>
      <c r="B646" s="101"/>
      <c r="C646" s="101"/>
      <c r="D646" s="101"/>
      <c r="E646" s="76"/>
      <c r="F646" s="6"/>
      <c r="G646" s="5" t="str">
        <f>IFERROR(VLOOKUP(SUMIFS(MSOLICITADA!$I:$I,MSOLICITADA!$B:$B,D646,MSOLICITADA!$F:$F,F646),CODIGOSPLACAS!$A$64:$B$89,2,FALSE),"")</f>
        <v/>
      </c>
      <c r="H646" s="77"/>
      <c r="I646" s="77"/>
      <c r="J646" s="7"/>
      <c r="K646" s="78"/>
      <c r="L646" s="79"/>
      <c r="M646" s="6"/>
      <c r="N646" s="5" t="str">
        <f t="shared" si="88"/>
        <v/>
      </c>
      <c r="O646" s="80" t="str">
        <f t="shared" si="89"/>
        <v/>
      </c>
      <c r="P646" s="8">
        <f t="shared" si="90"/>
        <v>0</v>
      </c>
      <c r="Q646" s="8">
        <f t="shared" si="86"/>
        <v>0</v>
      </c>
      <c r="R646" s="81">
        <f t="shared" si="91"/>
        <v>0</v>
      </c>
      <c r="S646" s="113" t="str">
        <f>IF(F646="","",IF(H646="",TEXT(_xlfn.MAXIFS($I$1:I646,$F$1:F646,F646,$H$1:H646,"&gt;"&amp;0),"000.000"),F646))</f>
        <v/>
      </c>
      <c r="T646" s="101" t="str">
        <f t="shared" si="87"/>
        <v/>
      </c>
      <c r="U646" s="82"/>
      <c r="V646" s="98"/>
      <c r="W646" s="82"/>
      <c r="X646" s="98"/>
      <c r="Y646" s="82"/>
      <c r="Z646" s="98"/>
      <c r="AA646" s="82"/>
      <c r="AB646" s="98"/>
      <c r="AC646" s="82"/>
      <c r="AD646" s="98"/>
      <c r="AE646" s="82"/>
      <c r="AF646" s="98"/>
      <c r="AG646" s="82"/>
      <c r="AH646" s="98"/>
      <c r="AI646" s="82"/>
      <c r="AJ646" s="98"/>
      <c r="AK646" s="83"/>
      <c r="AL646" s="84" t="str">
        <f>IF(F646&lt;&gt;0,IF(_xlfn.MAXIFS($I$1:I646,$F$1:F646,F646,$H$1:H646,"&gt;"&amp;0)=0,"KM NÃO ENCONTRADO",IF(H646=0,CONCATENATE("SUGESTÃO DE KM PARA PLACA ",F646," *",_xlfn.MAXIFS($I$1:I646,$F$1:F646,F646,$H$1:H646,"&gt;"&amp;0),"*"),"")),"")</f>
        <v/>
      </c>
      <c r="AM646" s="85" t="str" cm="1">
        <f t="array" ref="AM646">IFERROR(IF(M646&lt;&gt;"","",CONCATENATE("https://btx.brasiltrack.com/logistica/trajeto.php?idveiculo=",VLOOKUP(F646,DATAS!$A$221:$B$250,2,FALSE),"&amp;lat=-22.204247","&amp;data_ini=",TEXT(IF(E646&lt;&gt;"",IF(COUNTIF($F$2:$F646,F646)&gt;1,MAX(IF($F$1:$F645=F646,$E$1:$E645)),""),""),"DD/MM/AAAA"),"&amp;data_fim=",TEXT(E646,"DD/MM/AAAA"),"&amp;hora_inicial=",HOUR(IF(E646&lt;&gt;"",IF(COUNTIF($F$2:$F646,F646)&gt;1,MAX(IF($F$1:$F645=F646,$E$1:$E645)),""),"")),"&amp;minuto_inicial=",MINUTE(IF(E646&lt;&gt;"",IF(COUNTIF($F$2:$F646,F646)&gt;1,MAX(IF($F$1:$F645=F646,$E$1:$E645)),""),"")),"&amp;hora_final=",HOUR(E646),"&amp;minuto_final=",MINUTE(E646),"&amp;periodo=6&amp;tipo=por_data&amp;upos=false&amp;outequip=0")),"")</f>
        <v/>
      </c>
      <c r="AN646" s="100" t="str">
        <f t="shared" si="92"/>
        <v xml:space="preserve">               </v>
      </c>
    </row>
    <row r="647" spans="1:40" x14ac:dyDescent="0.25">
      <c r="A647" s="101">
        <f>IFERROR(VLOOKUP(AN647,ROTAS!$A:$B,2,FALSE),0)</f>
        <v>0</v>
      </c>
      <c r="B647" s="101"/>
      <c r="C647" s="101"/>
      <c r="D647" s="101"/>
      <c r="E647" s="76"/>
      <c r="F647" s="6"/>
      <c r="G647" s="5" t="str">
        <f>IFERROR(VLOOKUP(SUMIFS(MSOLICITADA!$I:$I,MSOLICITADA!$B:$B,D647,MSOLICITADA!$F:$F,F647),CODIGOSPLACAS!$A$64:$B$89,2,FALSE),"")</f>
        <v/>
      </c>
      <c r="H647" s="77"/>
      <c r="I647" s="77"/>
      <c r="J647" s="7"/>
      <c r="K647" s="78"/>
      <c r="L647" s="79"/>
      <c r="M647" s="6"/>
      <c r="N647" s="5" t="str">
        <f t="shared" si="88"/>
        <v/>
      </c>
      <c r="O647" s="80" t="str">
        <f t="shared" si="89"/>
        <v/>
      </c>
      <c r="P647" s="8">
        <f t="shared" si="90"/>
        <v>0</v>
      </c>
      <c r="Q647" s="8">
        <f t="shared" si="86"/>
        <v>0</v>
      </c>
      <c r="R647" s="81">
        <f t="shared" si="91"/>
        <v>0</v>
      </c>
      <c r="S647" s="113" t="str">
        <f>IF(F647="","",IF(H647="",TEXT(_xlfn.MAXIFS($I$1:I647,$F$1:F647,F647,$H$1:H647,"&gt;"&amp;0),"000.000"),F647))</f>
        <v/>
      </c>
      <c r="T647" s="101" t="str">
        <f t="shared" si="87"/>
        <v/>
      </c>
      <c r="U647" s="82"/>
      <c r="V647" s="98"/>
      <c r="W647" s="82"/>
      <c r="X647" s="98"/>
      <c r="Y647" s="82"/>
      <c r="Z647" s="98"/>
      <c r="AA647" s="82"/>
      <c r="AB647" s="98"/>
      <c r="AC647" s="82"/>
      <c r="AD647" s="98"/>
      <c r="AE647" s="82"/>
      <c r="AF647" s="98"/>
      <c r="AG647" s="82"/>
      <c r="AH647" s="98"/>
      <c r="AI647" s="82"/>
      <c r="AJ647" s="98"/>
      <c r="AK647" s="83"/>
      <c r="AL647" s="84" t="str">
        <f>IF(F647&lt;&gt;0,IF(_xlfn.MAXIFS($I$1:I647,$F$1:F647,F647,$H$1:H647,"&gt;"&amp;0)=0,"KM NÃO ENCONTRADO",IF(H647=0,CONCATENATE("SUGESTÃO DE KM PARA PLACA ",F647," *",_xlfn.MAXIFS($I$1:I647,$F$1:F647,F647,$H$1:H647,"&gt;"&amp;0),"*"),"")),"")</f>
        <v/>
      </c>
      <c r="AM647" s="85" t="str" cm="1">
        <f t="array" ref="AM647">IFERROR(IF(M647&lt;&gt;"","",CONCATENATE("https://btx.brasiltrack.com/logistica/trajeto.php?idveiculo=",VLOOKUP(F647,DATAS!$A$221:$B$250,2,FALSE),"&amp;lat=-22.204247","&amp;data_ini=",TEXT(IF(E647&lt;&gt;"",IF(COUNTIF($F$2:$F647,F647)&gt;1,MAX(IF($F$1:$F646=F647,$E$1:$E646)),""),""),"DD/MM/AAAA"),"&amp;data_fim=",TEXT(E647,"DD/MM/AAAA"),"&amp;hora_inicial=",HOUR(IF(E647&lt;&gt;"",IF(COUNTIF($F$2:$F647,F647)&gt;1,MAX(IF($F$1:$F646=F647,$E$1:$E646)),""),"")),"&amp;minuto_inicial=",MINUTE(IF(E647&lt;&gt;"",IF(COUNTIF($F$2:$F647,F647)&gt;1,MAX(IF($F$1:$F646=F647,$E$1:$E646)),""),"")),"&amp;hora_final=",HOUR(E647),"&amp;minuto_final=",MINUTE(E647),"&amp;periodo=6&amp;tipo=por_data&amp;upos=false&amp;outequip=0")),"")</f>
        <v/>
      </c>
      <c r="AN647" s="100" t="str">
        <f t="shared" si="92"/>
        <v xml:space="preserve">               </v>
      </c>
    </row>
    <row r="648" spans="1:40" x14ac:dyDescent="0.25">
      <c r="A648" s="101">
        <f>IFERROR(VLOOKUP(AN648,ROTAS!$A:$B,2,FALSE),0)</f>
        <v>0</v>
      </c>
      <c r="B648" s="101"/>
      <c r="C648" s="101"/>
      <c r="D648" s="101"/>
      <c r="E648" s="76"/>
      <c r="F648" s="6"/>
      <c r="G648" s="5" t="str">
        <f>IFERROR(VLOOKUP(SUMIFS(MSOLICITADA!$I:$I,MSOLICITADA!$B:$B,D648,MSOLICITADA!$F:$F,F648),CODIGOSPLACAS!$A$64:$B$89,2,FALSE),"")</f>
        <v/>
      </c>
      <c r="H648" s="77"/>
      <c r="I648" s="77"/>
      <c r="J648" s="7"/>
      <c r="K648" s="78"/>
      <c r="L648" s="79"/>
      <c r="M648" s="6"/>
      <c r="N648" s="5" t="str">
        <f t="shared" si="88"/>
        <v/>
      </c>
      <c r="O648" s="80" t="str">
        <f t="shared" si="89"/>
        <v/>
      </c>
      <c r="P648" s="8">
        <f t="shared" si="90"/>
        <v>0</v>
      </c>
      <c r="Q648" s="8">
        <f t="shared" si="86"/>
        <v>0</v>
      </c>
      <c r="R648" s="81">
        <f t="shared" si="91"/>
        <v>0</v>
      </c>
      <c r="S648" s="113" t="str">
        <f>IF(F648="","",IF(H648="",TEXT(_xlfn.MAXIFS($I$1:I648,$F$1:F648,F648,$H$1:H648,"&gt;"&amp;0),"000.000"),F648))</f>
        <v/>
      </c>
      <c r="T648" s="101" t="str">
        <f t="shared" si="87"/>
        <v/>
      </c>
      <c r="U648" s="82"/>
      <c r="V648" s="98"/>
      <c r="W648" s="82"/>
      <c r="X648" s="98"/>
      <c r="Y648" s="82"/>
      <c r="Z648" s="98"/>
      <c r="AA648" s="82"/>
      <c r="AB648" s="98"/>
      <c r="AC648" s="82"/>
      <c r="AD648" s="98"/>
      <c r="AE648" s="82"/>
      <c r="AF648" s="98"/>
      <c r="AG648" s="82"/>
      <c r="AH648" s="98"/>
      <c r="AI648" s="82"/>
      <c r="AJ648" s="98"/>
      <c r="AK648" s="83"/>
      <c r="AL648" s="84" t="str">
        <f>IF(F648&lt;&gt;0,IF(_xlfn.MAXIFS($I$1:I648,$F$1:F648,F648,$H$1:H648,"&gt;"&amp;0)=0,"KM NÃO ENCONTRADO",IF(H648=0,CONCATENATE("SUGESTÃO DE KM PARA PLACA ",F648," *",_xlfn.MAXIFS($I$1:I648,$F$1:F648,F648,$H$1:H648,"&gt;"&amp;0),"*"),"")),"")</f>
        <v/>
      </c>
      <c r="AM648" s="85" t="str" cm="1">
        <f t="array" ref="AM648">IFERROR(IF(M648&lt;&gt;"","",CONCATENATE("https://btx.brasiltrack.com/logistica/trajeto.php?idveiculo=",VLOOKUP(F648,DATAS!$A$221:$B$250,2,FALSE),"&amp;lat=-22.204247","&amp;data_ini=",TEXT(IF(E648&lt;&gt;"",IF(COUNTIF($F$2:$F648,F648)&gt;1,MAX(IF($F$1:$F647=F648,$E$1:$E647)),""),""),"DD/MM/AAAA"),"&amp;data_fim=",TEXT(E648,"DD/MM/AAAA"),"&amp;hora_inicial=",HOUR(IF(E648&lt;&gt;"",IF(COUNTIF($F$2:$F648,F648)&gt;1,MAX(IF($F$1:$F647=F648,$E$1:$E647)),""),"")),"&amp;minuto_inicial=",MINUTE(IF(E648&lt;&gt;"",IF(COUNTIF($F$2:$F648,F648)&gt;1,MAX(IF($F$1:$F647=F648,$E$1:$E647)),""),"")),"&amp;hora_final=",HOUR(E648),"&amp;minuto_final=",MINUTE(E648),"&amp;periodo=6&amp;tipo=por_data&amp;upos=false&amp;outequip=0")),"")</f>
        <v/>
      </c>
      <c r="AN648" s="100" t="str">
        <f t="shared" si="92"/>
        <v xml:space="preserve">               </v>
      </c>
    </row>
    <row r="649" spans="1:40" x14ac:dyDescent="0.25">
      <c r="A649" s="101">
        <f>IFERROR(VLOOKUP(AN649,ROTAS!$A:$B,2,FALSE),0)</f>
        <v>0</v>
      </c>
      <c r="B649" s="101"/>
      <c r="C649" s="101"/>
      <c r="D649" s="101"/>
      <c r="E649" s="76"/>
      <c r="F649" s="6"/>
      <c r="G649" s="5" t="str">
        <f>IFERROR(VLOOKUP(SUMIFS(MSOLICITADA!$I:$I,MSOLICITADA!$B:$B,D649,MSOLICITADA!$F:$F,F649),CODIGOSPLACAS!$A$64:$B$89,2,FALSE),"")</f>
        <v/>
      </c>
      <c r="H649" s="77"/>
      <c r="I649" s="77"/>
      <c r="J649" s="7"/>
      <c r="K649" s="78"/>
      <c r="L649" s="79"/>
      <c r="M649" s="6"/>
      <c r="N649" s="5" t="str">
        <f t="shared" si="88"/>
        <v/>
      </c>
      <c r="O649" s="80" t="str">
        <f t="shared" si="89"/>
        <v/>
      </c>
      <c r="P649" s="8">
        <f t="shared" si="90"/>
        <v>0</v>
      </c>
      <c r="Q649" s="8">
        <f t="shared" si="86"/>
        <v>0</v>
      </c>
      <c r="R649" s="81">
        <f t="shared" si="91"/>
        <v>0</v>
      </c>
      <c r="S649" s="113" t="str">
        <f>IF(F649="","",IF(H649="",TEXT(_xlfn.MAXIFS($I$1:I649,$F$1:F649,F649,$H$1:H649,"&gt;"&amp;0),"000.000"),F649))</f>
        <v/>
      </c>
      <c r="T649" s="101" t="str">
        <f t="shared" si="87"/>
        <v/>
      </c>
      <c r="U649" s="82"/>
      <c r="V649" s="98"/>
      <c r="W649" s="82"/>
      <c r="X649" s="98"/>
      <c r="Y649" s="82"/>
      <c r="Z649" s="98"/>
      <c r="AA649" s="82"/>
      <c r="AB649" s="98"/>
      <c r="AC649" s="82"/>
      <c r="AD649" s="98"/>
      <c r="AE649" s="82"/>
      <c r="AF649" s="98"/>
      <c r="AG649" s="82"/>
      <c r="AH649" s="98"/>
      <c r="AI649" s="82"/>
      <c r="AJ649" s="98"/>
      <c r="AK649" s="83"/>
      <c r="AL649" s="84" t="str">
        <f>IF(F649&lt;&gt;0,IF(_xlfn.MAXIFS($I$1:I649,$F$1:F649,F649,$H$1:H649,"&gt;"&amp;0)=0,"KM NÃO ENCONTRADO",IF(H649=0,CONCATENATE("SUGESTÃO DE KM PARA PLACA ",F649," *",_xlfn.MAXIFS($I$1:I649,$F$1:F649,F649,$H$1:H649,"&gt;"&amp;0),"*"),"")),"")</f>
        <v/>
      </c>
      <c r="AM649" s="85" t="str" cm="1">
        <f t="array" ref="AM649">IFERROR(IF(M649&lt;&gt;"","",CONCATENATE("https://btx.brasiltrack.com/logistica/trajeto.php?idveiculo=",VLOOKUP(F649,DATAS!$A$221:$B$250,2,FALSE),"&amp;lat=-22.204247","&amp;data_ini=",TEXT(IF(E649&lt;&gt;"",IF(COUNTIF($F$2:$F649,F649)&gt;1,MAX(IF($F$1:$F648=F649,$E$1:$E648)),""),""),"DD/MM/AAAA"),"&amp;data_fim=",TEXT(E649,"DD/MM/AAAA"),"&amp;hora_inicial=",HOUR(IF(E649&lt;&gt;"",IF(COUNTIF($F$2:$F649,F649)&gt;1,MAX(IF($F$1:$F648=F649,$E$1:$E648)),""),"")),"&amp;minuto_inicial=",MINUTE(IF(E649&lt;&gt;"",IF(COUNTIF($F$2:$F649,F649)&gt;1,MAX(IF($F$1:$F648=F649,$E$1:$E648)),""),"")),"&amp;hora_final=",HOUR(E649),"&amp;minuto_final=",MINUTE(E649),"&amp;periodo=6&amp;tipo=por_data&amp;upos=false&amp;outequip=0")),"")</f>
        <v/>
      </c>
      <c r="AN649" s="100" t="str">
        <f t="shared" si="92"/>
        <v xml:space="preserve">               </v>
      </c>
    </row>
    <row r="650" spans="1:40" x14ac:dyDescent="0.25">
      <c r="A650" s="101">
        <f>IFERROR(VLOOKUP(AN650,ROTAS!$A:$B,2,FALSE),0)</f>
        <v>0</v>
      </c>
      <c r="B650" s="101"/>
      <c r="C650" s="101"/>
      <c r="D650" s="101"/>
      <c r="E650" s="76"/>
      <c r="F650" s="6"/>
      <c r="G650" s="5" t="str">
        <f>IFERROR(VLOOKUP(SUMIFS(MSOLICITADA!$I:$I,MSOLICITADA!$B:$B,D650,MSOLICITADA!$F:$F,F650),CODIGOSPLACAS!$A$64:$B$89,2,FALSE),"")</f>
        <v/>
      </c>
      <c r="H650" s="77"/>
      <c r="I650" s="77"/>
      <c r="J650" s="7"/>
      <c r="K650" s="78"/>
      <c r="L650" s="79"/>
      <c r="M650" s="6"/>
      <c r="N650" s="5" t="str">
        <f t="shared" si="88"/>
        <v/>
      </c>
      <c r="O650" s="80" t="str">
        <f t="shared" si="89"/>
        <v/>
      </c>
      <c r="P650" s="8">
        <f t="shared" si="90"/>
        <v>0</v>
      </c>
      <c r="Q650" s="8">
        <f t="shared" si="86"/>
        <v>0</v>
      </c>
      <c r="R650" s="81">
        <f t="shared" si="91"/>
        <v>0</v>
      </c>
      <c r="S650" s="113" t="str">
        <f>IF(F650="","",IF(H650="",TEXT(_xlfn.MAXIFS($I$1:I650,$F$1:F650,F650,$H$1:H650,"&gt;"&amp;0),"000.000"),F650))</f>
        <v/>
      </c>
      <c r="T650" s="101" t="str">
        <f t="shared" si="87"/>
        <v/>
      </c>
      <c r="U650" s="82"/>
      <c r="V650" s="98"/>
      <c r="W650" s="82"/>
      <c r="X650" s="98"/>
      <c r="Y650" s="82"/>
      <c r="Z650" s="98"/>
      <c r="AA650" s="82"/>
      <c r="AB650" s="98"/>
      <c r="AC650" s="82"/>
      <c r="AD650" s="98"/>
      <c r="AE650" s="82"/>
      <c r="AF650" s="98"/>
      <c r="AG650" s="82"/>
      <c r="AH650" s="98"/>
      <c r="AI650" s="82"/>
      <c r="AJ650" s="98"/>
      <c r="AK650" s="83"/>
      <c r="AL650" s="84" t="str">
        <f>IF(F650&lt;&gt;0,IF(_xlfn.MAXIFS($I$1:I650,$F$1:F650,F650,$H$1:H650,"&gt;"&amp;0)=0,"KM NÃO ENCONTRADO",IF(H650=0,CONCATENATE("SUGESTÃO DE KM PARA PLACA ",F650," *",_xlfn.MAXIFS($I$1:I650,$F$1:F650,F650,$H$1:H650,"&gt;"&amp;0),"*"),"")),"")</f>
        <v/>
      </c>
      <c r="AM650" s="85" t="str" cm="1">
        <f t="array" ref="AM650">IFERROR(IF(M650&lt;&gt;"","",CONCATENATE("https://btx.brasiltrack.com/logistica/trajeto.php?idveiculo=",VLOOKUP(F650,DATAS!$A$221:$B$250,2,FALSE),"&amp;lat=-22.204247","&amp;data_ini=",TEXT(IF(E650&lt;&gt;"",IF(COUNTIF($F$2:$F650,F650)&gt;1,MAX(IF($F$1:$F649=F650,$E$1:$E649)),""),""),"DD/MM/AAAA"),"&amp;data_fim=",TEXT(E650,"DD/MM/AAAA"),"&amp;hora_inicial=",HOUR(IF(E650&lt;&gt;"",IF(COUNTIF($F$2:$F650,F650)&gt;1,MAX(IF($F$1:$F649=F650,$E$1:$E649)),""),"")),"&amp;minuto_inicial=",MINUTE(IF(E650&lt;&gt;"",IF(COUNTIF($F$2:$F650,F650)&gt;1,MAX(IF($F$1:$F649=F650,$E$1:$E649)),""),"")),"&amp;hora_final=",HOUR(E650),"&amp;minuto_final=",MINUTE(E650),"&amp;periodo=6&amp;tipo=por_data&amp;upos=false&amp;outequip=0")),"")</f>
        <v/>
      </c>
      <c r="AN650" s="100" t="str">
        <f t="shared" si="92"/>
        <v xml:space="preserve">               </v>
      </c>
    </row>
    <row r="651" spans="1:40" x14ac:dyDescent="0.25">
      <c r="A651" s="101">
        <f>IFERROR(VLOOKUP(AN651,ROTAS!$A:$B,2,FALSE),0)</f>
        <v>0</v>
      </c>
      <c r="B651" s="101"/>
      <c r="C651" s="101"/>
      <c r="D651" s="101"/>
      <c r="E651" s="76"/>
      <c r="F651" s="6"/>
      <c r="G651" s="5" t="str">
        <f>IFERROR(VLOOKUP(SUMIFS(MSOLICITADA!$I:$I,MSOLICITADA!$B:$B,D651,MSOLICITADA!$F:$F,F651),CODIGOSPLACAS!$A$64:$B$89,2,FALSE),"")</f>
        <v/>
      </c>
      <c r="H651" s="77"/>
      <c r="I651" s="77"/>
      <c r="J651" s="7"/>
      <c r="K651" s="78"/>
      <c r="L651" s="79"/>
      <c r="M651" s="6"/>
      <c r="N651" s="5" t="str">
        <f t="shared" si="88"/>
        <v/>
      </c>
      <c r="O651" s="80" t="str">
        <f t="shared" si="89"/>
        <v/>
      </c>
      <c r="P651" s="8">
        <f t="shared" si="90"/>
        <v>0</v>
      </c>
      <c r="Q651" s="8">
        <f t="shared" si="86"/>
        <v>0</v>
      </c>
      <c r="R651" s="81">
        <f t="shared" si="91"/>
        <v>0</v>
      </c>
      <c r="S651" s="113" t="str">
        <f>IF(F651="","",IF(H651="",TEXT(_xlfn.MAXIFS($I$1:I651,$F$1:F651,F651,$H$1:H651,"&gt;"&amp;0),"000.000"),F651))</f>
        <v/>
      </c>
      <c r="T651" s="101" t="str">
        <f t="shared" si="87"/>
        <v/>
      </c>
      <c r="U651" s="82"/>
      <c r="V651" s="98"/>
      <c r="W651" s="82"/>
      <c r="X651" s="98"/>
      <c r="Y651" s="82"/>
      <c r="Z651" s="98"/>
      <c r="AA651" s="82"/>
      <c r="AB651" s="98"/>
      <c r="AC651" s="82"/>
      <c r="AD651" s="98"/>
      <c r="AE651" s="82"/>
      <c r="AF651" s="98"/>
      <c r="AG651" s="82"/>
      <c r="AH651" s="98"/>
      <c r="AI651" s="82"/>
      <c r="AJ651" s="98"/>
      <c r="AK651" s="83"/>
      <c r="AL651" s="84" t="str">
        <f>IF(F651&lt;&gt;0,IF(_xlfn.MAXIFS($I$1:I651,$F$1:F651,F651,$H$1:H651,"&gt;"&amp;0)=0,"KM NÃO ENCONTRADO",IF(H651=0,CONCATENATE("SUGESTÃO DE KM PARA PLACA ",F651," *",_xlfn.MAXIFS($I$1:I651,$F$1:F651,F651,$H$1:H651,"&gt;"&amp;0),"*"),"")),"")</f>
        <v/>
      </c>
      <c r="AM651" s="85" t="str" cm="1">
        <f t="array" ref="AM651">IFERROR(IF(M651&lt;&gt;"","",CONCATENATE("https://btx.brasiltrack.com/logistica/trajeto.php?idveiculo=",VLOOKUP(F651,DATAS!$A$221:$B$250,2,FALSE),"&amp;lat=-22.204247","&amp;data_ini=",TEXT(IF(E651&lt;&gt;"",IF(COUNTIF($F$2:$F651,F651)&gt;1,MAX(IF($F$1:$F650=F651,$E$1:$E650)),""),""),"DD/MM/AAAA"),"&amp;data_fim=",TEXT(E651,"DD/MM/AAAA"),"&amp;hora_inicial=",HOUR(IF(E651&lt;&gt;"",IF(COUNTIF($F$2:$F651,F651)&gt;1,MAX(IF($F$1:$F650=F651,$E$1:$E650)),""),"")),"&amp;minuto_inicial=",MINUTE(IF(E651&lt;&gt;"",IF(COUNTIF($F$2:$F651,F651)&gt;1,MAX(IF($F$1:$F650=F651,$E$1:$E650)),""),"")),"&amp;hora_final=",HOUR(E651),"&amp;minuto_final=",MINUTE(E651),"&amp;periodo=6&amp;tipo=por_data&amp;upos=false&amp;outequip=0")),"")</f>
        <v/>
      </c>
      <c r="AN651" s="100" t="str">
        <f t="shared" si="92"/>
        <v xml:space="preserve">               </v>
      </c>
    </row>
    <row r="652" spans="1:40" x14ac:dyDescent="0.25">
      <c r="A652" s="101">
        <f>IFERROR(VLOOKUP(AN652,ROTAS!$A:$B,2,FALSE),0)</f>
        <v>0</v>
      </c>
      <c r="B652" s="101"/>
      <c r="C652" s="101"/>
      <c r="D652" s="101"/>
      <c r="E652" s="76"/>
      <c r="F652" s="6"/>
      <c r="G652" s="5" t="str">
        <f>IFERROR(VLOOKUP(SUMIFS(MSOLICITADA!$I:$I,MSOLICITADA!$B:$B,D652,MSOLICITADA!$F:$F,F652),CODIGOSPLACAS!$A$64:$B$89,2,FALSE),"")</f>
        <v/>
      </c>
      <c r="H652" s="77"/>
      <c r="I652" s="77"/>
      <c r="J652" s="7"/>
      <c r="K652" s="78"/>
      <c r="L652" s="79"/>
      <c r="M652" s="6"/>
      <c r="N652" s="5" t="str">
        <f t="shared" si="88"/>
        <v/>
      </c>
      <c r="O652" s="80" t="str">
        <f t="shared" si="89"/>
        <v/>
      </c>
      <c r="P652" s="8">
        <f t="shared" si="90"/>
        <v>0</v>
      </c>
      <c r="Q652" s="8">
        <f t="shared" si="86"/>
        <v>0</v>
      </c>
      <c r="R652" s="81">
        <f t="shared" si="91"/>
        <v>0</v>
      </c>
      <c r="S652" s="113" t="str">
        <f>IF(F652="","",IF(H652="",TEXT(_xlfn.MAXIFS($I$1:I652,$F$1:F652,F652,$H$1:H652,"&gt;"&amp;0),"000.000"),F652))</f>
        <v/>
      </c>
      <c r="T652" s="101" t="str">
        <f t="shared" si="87"/>
        <v/>
      </c>
      <c r="U652" s="82"/>
      <c r="V652" s="98"/>
      <c r="W652" s="82"/>
      <c r="X652" s="98"/>
      <c r="Y652" s="82"/>
      <c r="Z652" s="98"/>
      <c r="AA652" s="82"/>
      <c r="AB652" s="98"/>
      <c r="AC652" s="82"/>
      <c r="AD652" s="98"/>
      <c r="AE652" s="82"/>
      <c r="AF652" s="98"/>
      <c r="AG652" s="82"/>
      <c r="AH652" s="98"/>
      <c r="AI652" s="82"/>
      <c r="AJ652" s="98"/>
      <c r="AK652" s="83"/>
      <c r="AL652" s="84" t="str">
        <f>IF(F652&lt;&gt;0,IF(_xlfn.MAXIFS($I$1:I652,$F$1:F652,F652,$H$1:H652,"&gt;"&amp;0)=0,"KM NÃO ENCONTRADO",IF(H652=0,CONCATENATE("SUGESTÃO DE KM PARA PLACA ",F652," *",_xlfn.MAXIFS($I$1:I652,$F$1:F652,F652,$H$1:H652,"&gt;"&amp;0),"*"),"")),"")</f>
        <v/>
      </c>
      <c r="AM652" s="85" t="str" cm="1">
        <f t="array" ref="AM652">IFERROR(IF(M652&lt;&gt;"","",CONCATENATE("https://btx.brasiltrack.com/logistica/trajeto.php?idveiculo=",VLOOKUP(F652,DATAS!$A$221:$B$250,2,FALSE),"&amp;lat=-22.204247","&amp;data_ini=",TEXT(IF(E652&lt;&gt;"",IF(COUNTIF($F$2:$F652,F652)&gt;1,MAX(IF($F$1:$F651=F652,$E$1:$E651)),""),""),"DD/MM/AAAA"),"&amp;data_fim=",TEXT(E652,"DD/MM/AAAA"),"&amp;hora_inicial=",HOUR(IF(E652&lt;&gt;"",IF(COUNTIF($F$2:$F652,F652)&gt;1,MAX(IF($F$1:$F651=F652,$E$1:$E651)),""),"")),"&amp;minuto_inicial=",MINUTE(IF(E652&lt;&gt;"",IF(COUNTIF($F$2:$F652,F652)&gt;1,MAX(IF($F$1:$F651=F652,$E$1:$E651)),""),"")),"&amp;hora_final=",HOUR(E652),"&amp;minuto_final=",MINUTE(E652),"&amp;periodo=6&amp;tipo=por_data&amp;upos=false&amp;outequip=0")),"")</f>
        <v/>
      </c>
      <c r="AN652" s="100" t="str">
        <f t="shared" si="92"/>
        <v xml:space="preserve">               </v>
      </c>
    </row>
    <row r="653" spans="1:40" x14ac:dyDescent="0.25">
      <c r="A653" s="101">
        <f>IFERROR(VLOOKUP(AN653,ROTAS!$A:$B,2,FALSE),0)</f>
        <v>0</v>
      </c>
      <c r="B653" s="101"/>
      <c r="C653" s="101"/>
      <c r="D653" s="101"/>
      <c r="E653" s="76"/>
      <c r="F653" s="6"/>
      <c r="G653" s="5" t="str">
        <f>IFERROR(VLOOKUP(SUMIFS(MSOLICITADA!$I:$I,MSOLICITADA!$B:$B,D653,MSOLICITADA!$F:$F,F653),CODIGOSPLACAS!$A$64:$B$89,2,FALSE),"")</f>
        <v/>
      </c>
      <c r="H653" s="77"/>
      <c r="I653" s="77"/>
      <c r="J653" s="7"/>
      <c r="K653" s="78"/>
      <c r="L653" s="79"/>
      <c r="M653" s="6"/>
      <c r="N653" s="5" t="str">
        <f t="shared" si="88"/>
        <v/>
      </c>
      <c r="O653" s="80" t="str">
        <f t="shared" si="89"/>
        <v/>
      </c>
      <c r="P653" s="8">
        <f t="shared" si="90"/>
        <v>0</v>
      </c>
      <c r="Q653" s="8">
        <f t="shared" si="86"/>
        <v>0</v>
      </c>
      <c r="R653" s="81">
        <f t="shared" si="91"/>
        <v>0</v>
      </c>
      <c r="S653" s="113" t="str">
        <f>IF(F653="","",IF(H653="",TEXT(_xlfn.MAXIFS($I$1:I653,$F$1:F653,F653,$H$1:H653,"&gt;"&amp;0),"000.000"),F653))</f>
        <v/>
      </c>
      <c r="T653" s="101" t="str">
        <f t="shared" si="87"/>
        <v/>
      </c>
      <c r="U653" s="82"/>
      <c r="V653" s="98"/>
      <c r="W653" s="82"/>
      <c r="X653" s="98"/>
      <c r="Y653" s="82"/>
      <c r="Z653" s="98"/>
      <c r="AA653" s="82"/>
      <c r="AB653" s="98"/>
      <c r="AC653" s="82"/>
      <c r="AD653" s="98"/>
      <c r="AE653" s="82"/>
      <c r="AF653" s="98"/>
      <c r="AG653" s="82"/>
      <c r="AH653" s="98"/>
      <c r="AI653" s="82"/>
      <c r="AJ653" s="98"/>
      <c r="AK653" s="83"/>
      <c r="AL653" s="84" t="str">
        <f>IF(F653&lt;&gt;0,IF(_xlfn.MAXIFS($I$1:I653,$F$1:F653,F653,$H$1:H653,"&gt;"&amp;0)=0,"KM NÃO ENCONTRADO",IF(H653=0,CONCATENATE("SUGESTÃO DE KM PARA PLACA ",F653," *",_xlfn.MAXIFS($I$1:I653,$F$1:F653,F653,$H$1:H653,"&gt;"&amp;0),"*"),"")),"")</f>
        <v/>
      </c>
      <c r="AM653" s="85" t="str" cm="1">
        <f t="array" ref="AM653">IFERROR(IF(M653&lt;&gt;"","",CONCATENATE("https://btx.brasiltrack.com/logistica/trajeto.php?idveiculo=",VLOOKUP(F653,DATAS!$A$221:$B$250,2,FALSE),"&amp;lat=-22.204247","&amp;data_ini=",TEXT(IF(E653&lt;&gt;"",IF(COUNTIF($F$2:$F653,F653)&gt;1,MAX(IF($F$1:$F652=F653,$E$1:$E652)),""),""),"DD/MM/AAAA"),"&amp;data_fim=",TEXT(E653,"DD/MM/AAAA"),"&amp;hora_inicial=",HOUR(IF(E653&lt;&gt;"",IF(COUNTIF($F$2:$F653,F653)&gt;1,MAX(IF($F$1:$F652=F653,$E$1:$E652)),""),"")),"&amp;minuto_inicial=",MINUTE(IF(E653&lt;&gt;"",IF(COUNTIF($F$2:$F653,F653)&gt;1,MAX(IF($F$1:$F652=F653,$E$1:$E652)),""),"")),"&amp;hora_final=",HOUR(E653),"&amp;minuto_final=",MINUTE(E653),"&amp;periodo=6&amp;tipo=por_data&amp;upos=false&amp;outequip=0")),"")</f>
        <v/>
      </c>
      <c r="AN653" s="100" t="str">
        <f t="shared" si="92"/>
        <v xml:space="preserve">               </v>
      </c>
    </row>
    <row r="654" spans="1:40" x14ac:dyDescent="0.25">
      <c r="A654" s="101">
        <f>IFERROR(VLOOKUP(AN654,ROTAS!$A:$B,2,FALSE),0)</f>
        <v>0</v>
      </c>
      <c r="B654" s="101"/>
      <c r="C654" s="101"/>
      <c r="D654" s="101"/>
      <c r="E654" s="76"/>
      <c r="F654" s="6"/>
      <c r="G654" s="5" t="str">
        <f>IFERROR(VLOOKUP(SUMIFS(MSOLICITADA!$I:$I,MSOLICITADA!$B:$B,D654,MSOLICITADA!$F:$F,F654),CODIGOSPLACAS!$A$64:$B$89,2,FALSE),"")</f>
        <v/>
      </c>
      <c r="H654" s="77"/>
      <c r="I654" s="77"/>
      <c r="J654" s="7"/>
      <c r="K654" s="78"/>
      <c r="L654" s="79"/>
      <c r="M654" s="6"/>
      <c r="N654" s="5" t="str">
        <f t="shared" si="88"/>
        <v/>
      </c>
      <c r="O654" s="80" t="str">
        <f t="shared" si="89"/>
        <v/>
      </c>
      <c r="P654" s="8">
        <f t="shared" si="90"/>
        <v>0</v>
      </c>
      <c r="Q654" s="8">
        <f t="shared" si="86"/>
        <v>0</v>
      </c>
      <c r="R654" s="81">
        <f t="shared" si="91"/>
        <v>0</v>
      </c>
      <c r="S654" s="113" t="str">
        <f>IF(F654="","",IF(H654="",TEXT(_xlfn.MAXIFS($I$1:I654,$F$1:F654,F654,$H$1:H654,"&gt;"&amp;0),"000.000"),F654))</f>
        <v/>
      </c>
      <c r="T654" s="101" t="str">
        <f t="shared" si="87"/>
        <v/>
      </c>
      <c r="U654" s="82"/>
      <c r="V654" s="98"/>
      <c r="W654" s="82"/>
      <c r="X654" s="98"/>
      <c r="Y654" s="82"/>
      <c r="Z654" s="98"/>
      <c r="AA654" s="82"/>
      <c r="AB654" s="98"/>
      <c r="AC654" s="82"/>
      <c r="AD654" s="98"/>
      <c r="AE654" s="82"/>
      <c r="AF654" s="98"/>
      <c r="AG654" s="82"/>
      <c r="AH654" s="98"/>
      <c r="AI654" s="82"/>
      <c r="AJ654" s="98"/>
      <c r="AK654" s="83"/>
      <c r="AL654" s="84" t="str">
        <f>IF(F654&lt;&gt;0,IF(_xlfn.MAXIFS($I$1:I654,$F$1:F654,F654,$H$1:H654,"&gt;"&amp;0)=0,"KM NÃO ENCONTRADO",IF(H654=0,CONCATENATE("SUGESTÃO DE KM PARA PLACA ",F654," *",_xlfn.MAXIFS($I$1:I654,$F$1:F654,F654,$H$1:H654,"&gt;"&amp;0),"*"),"")),"")</f>
        <v/>
      </c>
      <c r="AM654" s="85" t="str" cm="1">
        <f t="array" ref="AM654">IFERROR(IF(M654&lt;&gt;"","",CONCATENATE("https://btx.brasiltrack.com/logistica/trajeto.php?idveiculo=",VLOOKUP(F654,DATAS!$A$221:$B$250,2,FALSE),"&amp;lat=-22.204247","&amp;data_ini=",TEXT(IF(E654&lt;&gt;"",IF(COUNTIF($F$2:$F654,F654)&gt;1,MAX(IF($F$1:$F653=F654,$E$1:$E653)),""),""),"DD/MM/AAAA"),"&amp;data_fim=",TEXT(E654,"DD/MM/AAAA"),"&amp;hora_inicial=",HOUR(IF(E654&lt;&gt;"",IF(COUNTIF($F$2:$F654,F654)&gt;1,MAX(IF($F$1:$F653=F654,$E$1:$E653)),""),"")),"&amp;minuto_inicial=",MINUTE(IF(E654&lt;&gt;"",IF(COUNTIF($F$2:$F654,F654)&gt;1,MAX(IF($F$1:$F653=F654,$E$1:$E653)),""),"")),"&amp;hora_final=",HOUR(E654),"&amp;minuto_final=",MINUTE(E654),"&amp;periodo=6&amp;tipo=por_data&amp;upos=false&amp;outequip=0")),"")</f>
        <v/>
      </c>
      <c r="AN654" s="100" t="str">
        <f t="shared" si="92"/>
        <v xml:space="preserve">               </v>
      </c>
    </row>
    <row r="655" spans="1:40" x14ac:dyDescent="0.25">
      <c r="A655" s="101">
        <f>IFERROR(VLOOKUP(AN655,ROTAS!$A:$B,2,FALSE),0)</f>
        <v>0</v>
      </c>
      <c r="B655" s="101"/>
      <c r="C655" s="101"/>
      <c r="D655" s="101"/>
      <c r="E655" s="76"/>
      <c r="F655" s="6"/>
      <c r="G655" s="5" t="str">
        <f>IFERROR(VLOOKUP(SUMIFS(MSOLICITADA!$I:$I,MSOLICITADA!$B:$B,D655,MSOLICITADA!$F:$F,F655),CODIGOSPLACAS!$A$64:$B$89,2,FALSE),"")</f>
        <v/>
      </c>
      <c r="H655" s="77"/>
      <c r="I655" s="77"/>
      <c r="J655" s="7"/>
      <c r="K655" s="78"/>
      <c r="L655" s="79"/>
      <c r="M655" s="6"/>
      <c r="N655" s="5" t="str">
        <f t="shared" si="88"/>
        <v/>
      </c>
      <c r="O655" s="80" t="str">
        <f t="shared" si="89"/>
        <v/>
      </c>
      <c r="P655" s="8">
        <f t="shared" si="90"/>
        <v>0</v>
      </c>
      <c r="Q655" s="8">
        <f t="shared" si="86"/>
        <v>0</v>
      </c>
      <c r="R655" s="81">
        <f t="shared" si="91"/>
        <v>0</v>
      </c>
      <c r="S655" s="113" t="str">
        <f>IF(F655="","",IF(H655="",TEXT(_xlfn.MAXIFS($I$1:I655,$F$1:F655,F655,$H$1:H655,"&gt;"&amp;0),"000.000"),F655))</f>
        <v/>
      </c>
      <c r="T655" s="101" t="str">
        <f t="shared" si="87"/>
        <v/>
      </c>
      <c r="U655" s="82"/>
      <c r="V655" s="98"/>
      <c r="W655" s="82"/>
      <c r="X655" s="98"/>
      <c r="Y655" s="82"/>
      <c r="Z655" s="98"/>
      <c r="AA655" s="82"/>
      <c r="AB655" s="98"/>
      <c r="AC655" s="82"/>
      <c r="AD655" s="98"/>
      <c r="AE655" s="82"/>
      <c r="AF655" s="98"/>
      <c r="AG655" s="82"/>
      <c r="AH655" s="98"/>
      <c r="AI655" s="82"/>
      <c r="AJ655" s="98"/>
      <c r="AK655" s="83"/>
      <c r="AL655" s="84" t="str">
        <f>IF(F655&lt;&gt;0,IF(_xlfn.MAXIFS($I$1:I655,$F$1:F655,F655,$H$1:H655,"&gt;"&amp;0)=0,"KM NÃO ENCONTRADO",IF(H655=0,CONCATENATE("SUGESTÃO DE KM PARA PLACA ",F655," *",_xlfn.MAXIFS($I$1:I655,$F$1:F655,F655,$H$1:H655,"&gt;"&amp;0),"*"),"")),"")</f>
        <v/>
      </c>
      <c r="AM655" s="85" t="str" cm="1">
        <f t="array" ref="AM655">IFERROR(IF(M655&lt;&gt;"","",CONCATENATE("https://btx.brasiltrack.com/logistica/trajeto.php?idveiculo=",VLOOKUP(F655,DATAS!$A$221:$B$250,2,FALSE),"&amp;lat=-22.204247","&amp;data_ini=",TEXT(IF(E655&lt;&gt;"",IF(COUNTIF($F$2:$F655,F655)&gt;1,MAX(IF($F$1:$F654=F655,$E$1:$E654)),""),""),"DD/MM/AAAA"),"&amp;data_fim=",TEXT(E655,"DD/MM/AAAA"),"&amp;hora_inicial=",HOUR(IF(E655&lt;&gt;"",IF(COUNTIF($F$2:$F655,F655)&gt;1,MAX(IF($F$1:$F654=F655,$E$1:$E654)),""),"")),"&amp;minuto_inicial=",MINUTE(IF(E655&lt;&gt;"",IF(COUNTIF($F$2:$F655,F655)&gt;1,MAX(IF($F$1:$F654=F655,$E$1:$E654)),""),"")),"&amp;hora_final=",HOUR(E655),"&amp;minuto_final=",MINUTE(E655),"&amp;periodo=6&amp;tipo=por_data&amp;upos=false&amp;outequip=0")),"")</f>
        <v/>
      </c>
      <c r="AN655" s="100" t="str">
        <f t="shared" si="92"/>
        <v xml:space="preserve">               </v>
      </c>
    </row>
    <row r="656" spans="1:40" x14ac:dyDescent="0.25">
      <c r="A656" s="101">
        <f>IFERROR(VLOOKUP(AN656,ROTAS!$A:$B,2,FALSE),0)</f>
        <v>0</v>
      </c>
      <c r="B656" s="101"/>
      <c r="C656" s="101"/>
      <c r="D656" s="101"/>
      <c r="E656" s="76"/>
      <c r="F656" s="6"/>
      <c r="G656" s="5" t="str">
        <f>IFERROR(VLOOKUP(SUMIFS(MSOLICITADA!$I:$I,MSOLICITADA!$B:$B,D656,MSOLICITADA!$F:$F,F656),CODIGOSPLACAS!$A$64:$B$89,2,FALSE),"")</f>
        <v/>
      </c>
      <c r="H656" s="77"/>
      <c r="I656" s="77"/>
      <c r="J656" s="7"/>
      <c r="K656" s="78"/>
      <c r="L656" s="79"/>
      <c r="M656" s="6"/>
      <c r="N656" s="5" t="str">
        <f t="shared" si="88"/>
        <v/>
      </c>
      <c r="O656" s="80" t="str">
        <f t="shared" si="89"/>
        <v/>
      </c>
      <c r="P656" s="8">
        <f t="shared" si="90"/>
        <v>0</v>
      </c>
      <c r="Q656" s="8">
        <f t="shared" si="86"/>
        <v>0</v>
      </c>
      <c r="R656" s="81">
        <f t="shared" si="91"/>
        <v>0</v>
      </c>
      <c r="S656" s="113" t="str">
        <f>IF(F656="","",IF(H656="",TEXT(_xlfn.MAXIFS($I$1:I656,$F$1:F656,F656,$H$1:H656,"&gt;"&amp;0),"000.000"),F656))</f>
        <v/>
      </c>
      <c r="T656" s="101" t="str">
        <f t="shared" si="87"/>
        <v/>
      </c>
      <c r="U656" s="82"/>
      <c r="V656" s="98"/>
      <c r="W656" s="82"/>
      <c r="X656" s="98"/>
      <c r="Y656" s="82"/>
      <c r="Z656" s="98"/>
      <c r="AA656" s="82"/>
      <c r="AB656" s="98"/>
      <c r="AC656" s="82"/>
      <c r="AD656" s="98"/>
      <c r="AE656" s="82"/>
      <c r="AF656" s="98"/>
      <c r="AG656" s="82"/>
      <c r="AH656" s="98"/>
      <c r="AI656" s="82"/>
      <c r="AJ656" s="98"/>
      <c r="AK656" s="83"/>
      <c r="AL656" s="84" t="str">
        <f>IF(F656&lt;&gt;0,IF(_xlfn.MAXIFS($I$1:I656,$F$1:F656,F656,$H$1:H656,"&gt;"&amp;0)=0,"KM NÃO ENCONTRADO",IF(H656=0,CONCATENATE("SUGESTÃO DE KM PARA PLACA ",F656," *",_xlfn.MAXIFS($I$1:I656,$F$1:F656,F656,$H$1:H656,"&gt;"&amp;0),"*"),"")),"")</f>
        <v/>
      </c>
      <c r="AM656" s="85" t="str" cm="1">
        <f t="array" ref="AM656">IFERROR(IF(M656&lt;&gt;"","",CONCATENATE("https://btx.brasiltrack.com/logistica/trajeto.php?idveiculo=",VLOOKUP(F656,DATAS!$A$221:$B$250,2,FALSE),"&amp;lat=-22.204247","&amp;data_ini=",TEXT(IF(E656&lt;&gt;"",IF(COUNTIF($F$2:$F656,F656)&gt;1,MAX(IF($F$1:$F655=F656,$E$1:$E655)),""),""),"DD/MM/AAAA"),"&amp;data_fim=",TEXT(E656,"DD/MM/AAAA"),"&amp;hora_inicial=",HOUR(IF(E656&lt;&gt;"",IF(COUNTIF($F$2:$F656,F656)&gt;1,MAX(IF($F$1:$F655=F656,$E$1:$E655)),""),"")),"&amp;minuto_inicial=",MINUTE(IF(E656&lt;&gt;"",IF(COUNTIF($F$2:$F656,F656)&gt;1,MAX(IF($F$1:$F655=F656,$E$1:$E655)),""),"")),"&amp;hora_final=",HOUR(E656),"&amp;minuto_final=",MINUTE(E656),"&amp;periodo=6&amp;tipo=por_data&amp;upos=false&amp;outequip=0")),"")</f>
        <v/>
      </c>
      <c r="AN656" s="100" t="str">
        <f t="shared" si="92"/>
        <v xml:space="preserve">               </v>
      </c>
    </row>
    <row r="657" spans="1:40" x14ac:dyDescent="0.25">
      <c r="A657" s="101">
        <f>IFERROR(VLOOKUP(AN657,ROTAS!$A:$B,2,FALSE),0)</f>
        <v>0</v>
      </c>
      <c r="B657" s="101"/>
      <c r="C657" s="101"/>
      <c r="D657" s="101"/>
      <c r="E657" s="76"/>
      <c r="F657" s="6"/>
      <c r="G657" s="5" t="str">
        <f>IFERROR(VLOOKUP(SUMIFS(MSOLICITADA!$I:$I,MSOLICITADA!$B:$B,D657,MSOLICITADA!$F:$F,F657),CODIGOSPLACAS!$A$64:$B$89,2,FALSE),"")</f>
        <v/>
      </c>
      <c r="H657" s="77"/>
      <c r="I657" s="77"/>
      <c r="J657" s="7"/>
      <c r="K657" s="78"/>
      <c r="L657" s="79"/>
      <c r="M657" s="6"/>
      <c r="N657" s="5" t="str">
        <f t="shared" si="88"/>
        <v/>
      </c>
      <c r="O657" s="80" t="str">
        <f t="shared" si="89"/>
        <v/>
      </c>
      <c r="P657" s="8">
        <f t="shared" si="90"/>
        <v>0</v>
      </c>
      <c r="Q657" s="8">
        <f t="shared" si="86"/>
        <v>0</v>
      </c>
      <c r="R657" s="81">
        <f t="shared" si="91"/>
        <v>0</v>
      </c>
      <c r="S657" s="113" t="str">
        <f>IF(F657="","",IF(H657="",TEXT(_xlfn.MAXIFS($I$1:I657,$F$1:F657,F657,$H$1:H657,"&gt;"&amp;0),"000.000"),F657))</f>
        <v/>
      </c>
      <c r="T657" s="101" t="str">
        <f t="shared" si="87"/>
        <v/>
      </c>
      <c r="U657" s="82"/>
      <c r="V657" s="98"/>
      <c r="W657" s="82"/>
      <c r="X657" s="98"/>
      <c r="Y657" s="82"/>
      <c r="Z657" s="98"/>
      <c r="AA657" s="82"/>
      <c r="AB657" s="98"/>
      <c r="AC657" s="82"/>
      <c r="AD657" s="98"/>
      <c r="AE657" s="82"/>
      <c r="AF657" s="98"/>
      <c r="AG657" s="82"/>
      <c r="AH657" s="98"/>
      <c r="AI657" s="82"/>
      <c r="AJ657" s="98"/>
      <c r="AK657" s="83"/>
      <c r="AL657" s="84" t="str">
        <f>IF(F657&lt;&gt;0,IF(_xlfn.MAXIFS($I$1:I657,$F$1:F657,F657,$H$1:H657,"&gt;"&amp;0)=0,"KM NÃO ENCONTRADO",IF(H657=0,CONCATENATE("SUGESTÃO DE KM PARA PLACA ",F657," *",_xlfn.MAXIFS($I$1:I657,$F$1:F657,F657,$H$1:H657,"&gt;"&amp;0),"*"),"")),"")</f>
        <v/>
      </c>
      <c r="AM657" s="85" t="str" cm="1">
        <f t="array" ref="AM657">IFERROR(IF(M657&lt;&gt;"","",CONCATENATE("https://btx.brasiltrack.com/logistica/trajeto.php?idveiculo=",VLOOKUP(F657,DATAS!$A$221:$B$250,2,FALSE),"&amp;lat=-22.204247","&amp;data_ini=",TEXT(IF(E657&lt;&gt;"",IF(COUNTIF($F$2:$F657,F657)&gt;1,MAX(IF($F$1:$F656=F657,$E$1:$E656)),""),""),"DD/MM/AAAA"),"&amp;data_fim=",TEXT(E657,"DD/MM/AAAA"),"&amp;hora_inicial=",HOUR(IF(E657&lt;&gt;"",IF(COUNTIF($F$2:$F657,F657)&gt;1,MAX(IF($F$1:$F656=F657,$E$1:$E656)),""),"")),"&amp;minuto_inicial=",MINUTE(IF(E657&lt;&gt;"",IF(COUNTIF($F$2:$F657,F657)&gt;1,MAX(IF($F$1:$F656=F657,$E$1:$E656)),""),"")),"&amp;hora_final=",HOUR(E657),"&amp;minuto_final=",MINUTE(E657),"&amp;periodo=6&amp;tipo=por_data&amp;upos=false&amp;outequip=0")),"")</f>
        <v/>
      </c>
      <c r="AN657" s="100" t="str">
        <f t="shared" si="92"/>
        <v xml:space="preserve">               </v>
      </c>
    </row>
    <row r="658" spans="1:40" x14ac:dyDescent="0.25">
      <c r="A658" s="101">
        <f>IFERROR(VLOOKUP(AN658,ROTAS!$A:$B,2,FALSE),0)</f>
        <v>0</v>
      </c>
      <c r="B658" s="101"/>
      <c r="C658" s="101"/>
      <c r="D658" s="101"/>
      <c r="E658" s="76"/>
      <c r="F658" s="6"/>
      <c r="G658" s="5" t="str">
        <f>IFERROR(VLOOKUP(SUMIFS(MSOLICITADA!$I:$I,MSOLICITADA!$B:$B,D658,MSOLICITADA!$F:$F,F658),CODIGOSPLACAS!$A$64:$B$89,2,FALSE),"")</f>
        <v/>
      </c>
      <c r="H658" s="77"/>
      <c r="I658" s="77"/>
      <c r="J658" s="7"/>
      <c r="K658" s="78"/>
      <c r="L658" s="79"/>
      <c r="M658" s="6"/>
      <c r="N658" s="5" t="str">
        <f t="shared" si="88"/>
        <v/>
      </c>
      <c r="O658" s="80" t="str">
        <f t="shared" si="89"/>
        <v/>
      </c>
      <c r="P658" s="8">
        <f t="shared" si="90"/>
        <v>0</v>
      </c>
      <c r="Q658" s="8">
        <f t="shared" si="86"/>
        <v>0</v>
      </c>
      <c r="R658" s="81">
        <f t="shared" si="91"/>
        <v>0</v>
      </c>
      <c r="S658" s="113" t="str">
        <f>IF(F658="","",IF(H658="",TEXT(_xlfn.MAXIFS($I$1:I658,$F$1:F658,F658,$H$1:H658,"&gt;"&amp;0),"000.000"),F658))</f>
        <v/>
      </c>
      <c r="T658" s="101" t="str">
        <f t="shared" si="87"/>
        <v/>
      </c>
      <c r="U658" s="82"/>
      <c r="V658" s="98"/>
      <c r="W658" s="82"/>
      <c r="X658" s="98"/>
      <c r="Y658" s="82"/>
      <c r="Z658" s="98"/>
      <c r="AA658" s="82"/>
      <c r="AB658" s="98"/>
      <c r="AC658" s="82"/>
      <c r="AD658" s="98"/>
      <c r="AE658" s="82"/>
      <c r="AF658" s="98"/>
      <c r="AG658" s="82"/>
      <c r="AH658" s="98"/>
      <c r="AI658" s="82"/>
      <c r="AJ658" s="98"/>
      <c r="AK658" s="83"/>
      <c r="AL658" s="84" t="str">
        <f>IF(F658&lt;&gt;0,IF(_xlfn.MAXIFS($I$1:I658,$F$1:F658,F658,$H$1:H658,"&gt;"&amp;0)=0,"KM NÃO ENCONTRADO",IF(H658=0,CONCATENATE("SUGESTÃO DE KM PARA PLACA ",F658," *",_xlfn.MAXIFS($I$1:I658,$F$1:F658,F658,$H$1:H658,"&gt;"&amp;0),"*"),"")),"")</f>
        <v/>
      </c>
      <c r="AM658" s="85" t="str" cm="1">
        <f t="array" ref="AM658">IFERROR(IF(M658&lt;&gt;"","",CONCATENATE("https://btx.brasiltrack.com/logistica/trajeto.php?idveiculo=",VLOOKUP(F658,DATAS!$A$221:$B$250,2,FALSE),"&amp;lat=-22.204247","&amp;data_ini=",TEXT(IF(E658&lt;&gt;"",IF(COUNTIF($F$2:$F658,F658)&gt;1,MAX(IF($F$1:$F657=F658,$E$1:$E657)),""),""),"DD/MM/AAAA"),"&amp;data_fim=",TEXT(E658,"DD/MM/AAAA"),"&amp;hora_inicial=",HOUR(IF(E658&lt;&gt;"",IF(COUNTIF($F$2:$F658,F658)&gt;1,MAX(IF($F$1:$F657=F658,$E$1:$E657)),""),"")),"&amp;minuto_inicial=",MINUTE(IF(E658&lt;&gt;"",IF(COUNTIF($F$2:$F658,F658)&gt;1,MAX(IF($F$1:$F657=F658,$E$1:$E657)),""),"")),"&amp;hora_final=",HOUR(E658),"&amp;minuto_final=",MINUTE(E658),"&amp;periodo=6&amp;tipo=por_data&amp;upos=false&amp;outequip=0")),"")</f>
        <v/>
      </c>
      <c r="AN658" s="100" t="str">
        <f t="shared" si="92"/>
        <v xml:space="preserve">               </v>
      </c>
    </row>
    <row r="659" spans="1:40" x14ac:dyDescent="0.25">
      <c r="A659" s="101">
        <f>IFERROR(VLOOKUP(AN659,ROTAS!$A:$B,2,FALSE),0)</f>
        <v>0</v>
      </c>
      <c r="B659" s="101"/>
      <c r="C659" s="101"/>
      <c r="D659" s="101"/>
      <c r="E659" s="76"/>
      <c r="F659" s="6"/>
      <c r="G659" s="5" t="str">
        <f>IFERROR(VLOOKUP(SUMIFS(MSOLICITADA!$I:$I,MSOLICITADA!$B:$B,D659,MSOLICITADA!$F:$F,F659),CODIGOSPLACAS!$A$64:$B$89,2,FALSE),"")</f>
        <v/>
      </c>
      <c r="H659" s="77"/>
      <c r="I659" s="77"/>
      <c r="J659" s="7"/>
      <c r="K659" s="78"/>
      <c r="L659" s="79"/>
      <c r="M659" s="6"/>
      <c r="N659" s="5" t="str">
        <f t="shared" si="88"/>
        <v/>
      </c>
      <c r="O659" s="80" t="str">
        <f t="shared" si="89"/>
        <v/>
      </c>
      <c r="P659" s="8">
        <f t="shared" si="90"/>
        <v>0</v>
      </c>
      <c r="Q659" s="8">
        <f t="shared" si="86"/>
        <v>0</v>
      </c>
      <c r="R659" s="81">
        <f t="shared" si="91"/>
        <v>0</v>
      </c>
      <c r="S659" s="113" t="str">
        <f>IF(F659="","",IF(H659="",TEXT(_xlfn.MAXIFS($I$1:I659,$F$1:F659,F659,$H$1:H659,"&gt;"&amp;0),"000.000"),F659))</f>
        <v/>
      </c>
      <c r="T659" s="101" t="str">
        <f t="shared" si="87"/>
        <v/>
      </c>
      <c r="U659" s="82"/>
      <c r="V659" s="98"/>
      <c r="W659" s="82"/>
      <c r="X659" s="98"/>
      <c r="Y659" s="82"/>
      <c r="Z659" s="98"/>
      <c r="AA659" s="82"/>
      <c r="AB659" s="98"/>
      <c r="AC659" s="82"/>
      <c r="AD659" s="98"/>
      <c r="AE659" s="82"/>
      <c r="AF659" s="98"/>
      <c r="AG659" s="82"/>
      <c r="AH659" s="98"/>
      <c r="AI659" s="82"/>
      <c r="AJ659" s="98"/>
      <c r="AK659" s="83"/>
      <c r="AL659" s="84" t="str">
        <f>IF(F659&lt;&gt;0,IF(_xlfn.MAXIFS($I$1:I659,$F$1:F659,F659,$H$1:H659,"&gt;"&amp;0)=0,"KM NÃO ENCONTRADO",IF(H659=0,CONCATENATE("SUGESTÃO DE KM PARA PLACA ",F659," *",_xlfn.MAXIFS($I$1:I659,$F$1:F659,F659,$H$1:H659,"&gt;"&amp;0),"*"),"")),"")</f>
        <v/>
      </c>
      <c r="AM659" s="85" t="str" cm="1">
        <f t="array" ref="AM659">IFERROR(IF(M659&lt;&gt;"","",CONCATENATE("https://btx.brasiltrack.com/logistica/trajeto.php?idveiculo=",VLOOKUP(F659,DATAS!$A$221:$B$250,2,FALSE),"&amp;lat=-22.204247","&amp;data_ini=",TEXT(IF(E659&lt;&gt;"",IF(COUNTIF($F$2:$F659,F659)&gt;1,MAX(IF($F$1:$F658=F659,$E$1:$E658)),""),""),"DD/MM/AAAA"),"&amp;data_fim=",TEXT(E659,"DD/MM/AAAA"),"&amp;hora_inicial=",HOUR(IF(E659&lt;&gt;"",IF(COUNTIF($F$2:$F659,F659)&gt;1,MAX(IF($F$1:$F658=F659,$E$1:$E658)),""),"")),"&amp;minuto_inicial=",MINUTE(IF(E659&lt;&gt;"",IF(COUNTIF($F$2:$F659,F659)&gt;1,MAX(IF($F$1:$F658=F659,$E$1:$E658)),""),"")),"&amp;hora_final=",HOUR(E659),"&amp;minuto_final=",MINUTE(E659),"&amp;periodo=6&amp;tipo=por_data&amp;upos=false&amp;outequip=0")),"")</f>
        <v/>
      </c>
      <c r="AN659" s="100" t="str">
        <f t="shared" si="92"/>
        <v xml:space="preserve">               </v>
      </c>
    </row>
    <row r="660" spans="1:40" x14ac:dyDescent="0.25">
      <c r="A660" s="101">
        <f>IFERROR(VLOOKUP(AN660,ROTAS!$A:$B,2,FALSE),0)</f>
        <v>0</v>
      </c>
      <c r="B660" s="101"/>
      <c r="C660" s="101"/>
      <c r="D660" s="101"/>
      <c r="E660" s="76"/>
      <c r="F660" s="6"/>
      <c r="G660" s="5" t="str">
        <f>IFERROR(VLOOKUP(SUMIFS(MSOLICITADA!$I:$I,MSOLICITADA!$B:$B,D660,MSOLICITADA!$F:$F,F660),CODIGOSPLACAS!$A$64:$B$89,2,FALSE),"")</f>
        <v/>
      </c>
      <c r="H660" s="77"/>
      <c r="I660" s="77"/>
      <c r="J660" s="7"/>
      <c r="K660" s="78"/>
      <c r="L660" s="79"/>
      <c r="M660" s="6"/>
      <c r="N660" s="5" t="str">
        <f t="shared" si="88"/>
        <v/>
      </c>
      <c r="O660" s="80" t="str">
        <f t="shared" si="89"/>
        <v/>
      </c>
      <c r="P660" s="8">
        <f t="shared" si="90"/>
        <v>0</v>
      </c>
      <c r="Q660" s="8">
        <f t="shared" si="86"/>
        <v>0</v>
      </c>
      <c r="R660" s="81">
        <f t="shared" si="91"/>
        <v>0</v>
      </c>
      <c r="S660" s="113" t="str">
        <f>IF(F660="","",IF(H660="",TEXT(_xlfn.MAXIFS($I$1:I660,$F$1:F660,F660,$H$1:H660,"&gt;"&amp;0),"000.000"),F660))</f>
        <v/>
      </c>
      <c r="T660" s="101" t="str">
        <f t="shared" si="87"/>
        <v/>
      </c>
      <c r="U660" s="82"/>
      <c r="V660" s="98"/>
      <c r="W660" s="82"/>
      <c r="X660" s="98"/>
      <c r="Y660" s="82"/>
      <c r="Z660" s="98"/>
      <c r="AA660" s="82"/>
      <c r="AB660" s="98"/>
      <c r="AC660" s="82"/>
      <c r="AD660" s="98"/>
      <c r="AE660" s="82"/>
      <c r="AF660" s="98"/>
      <c r="AG660" s="82"/>
      <c r="AH660" s="98"/>
      <c r="AI660" s="82"/>
      <c r="AJ660" s="98"/>
      <c r="AK660" s="83"/>
      <c r="AL660" s="84" t="str">
        <f>IF(F660&lt;&gt;0,IF(_xlfn.MAXIFS($I$1:I660,$F$1:F660,F660,$H$1:H660,"&gt;"&amp;0)=0,"KM NÃO ENCONTRADO",IF(H660=0,CONCATENATE("SUGESTÃO DE KM PARA PLACA ",F660," *",_xlfn.MAXIFS($I$1:I660,$F$1:F660,F660,$H$1:H660,"&gt;"&amp;0),"*"),"")),"")</f>
        <v/>
      </c>
      <c r="AM660" s="85" t="str" cm="1">
        <f t="array" ref="AM660">IFERROR(IF(M660&lt;&gt;"","",CONCATENATE("https://btx.brasiltrack.com/logistica/trajeto.php?idveiculo=",VLOOKUP(F660,DATAS!$A$221:$B$250,2,FALSE),"&amp;lat=-22.204247","&amp;data_ini=",TEXT(IF(E660&lt;&gt;"",IF(COUNTIF($F$2:$F660,F660)&gt;1,MAX(IF($F$1:$F659=F660,$E$1:$E659)),""),""),"DD/MM/AAAA"),"&amp;data_fim=",TEXT(E660,"DD/MM/AAAA"),"&amp;hora_inicial=",HOUR(IF(E660&lt;&gt;"",IF(COUNTIF($F$2:$F660,F660)&gt;1,MAX(IF($F$1:$F659=F660,$E$1:$E659)),""),"")),"&amp;minuto_inicial=",MINUTE(IF(E660&lt;&gt;"",IF(COUNTIF($F$2:$F660,F660)&gt;1,MAX(IF($F$1:$F659=F660,$E$1:$E659)),""),"")),"&amp;hora_final=",HOUR(E660),"&amp;minuto_final=",MINUTE(E660),"&amp;periodo=6&amp;tipo=por_data&amp;upos=false&amp;outequip=0")),"")</f>
        <v/>
      </c>
      <c r="AN660" s="100" t="str">
        <f t="shared" si="92"/>
        <v xml:space="preserve">               </v>
      </c>
    </row>
    <row r="661" spans="1:40" x14ac:dyDescent="0.25">
      <c r="A661" s="101">
        <f>IFERROR(VLOOKUP(AN661,ROTAS!$A:$B,2,FALSE),0)</f>
        <v>0</v>
      </c>
      <c r="B661" s="101"/>
      <c r="C661" s="101"/>
      <c r="D661" s="101"/>
      <c r="E661" s="76"/>
      <c r="F661" s="6"/>
      <c r="G661" s="5" t="str">
        <f>IFERROR(VLOOKUP(SUMIFS(MSOLICITADA!$I:$I,MSOLICITADA!$B:$B,D661,MSOLICITADA!$F:$F,F661),CODIGOSPLACAS!$A$64:$B$89,2,FALSE),"")</f>
        <v/>
      </c>
      <c r="H661" s="77"/>
      <c r="I661" s="77"/>
      <c r="J661" s="7"/>
      <c r="K661" s="78"/>
      <c r="L661" s="79"/>
      <c r="M661" s="6"/>
      <c r="N661" s="5" t="str">
        <f t="shared" si="88"/>
        <v/>
      </c>
      <c r="O661" s="80" t="str">
        <f t="shared" si="89"/>
        <v/>
      </c>
      <c r="P661" s="8">
        <f t="shared" si="90"/>
        <v>0</v>
      </c>
      <c r="Q661" s="8">
        <f t="shared" si="86"/>
        <v>0</v>
      </c>
      <c r="R661" s="81">
        <f t="shared" si="91"/>
        <v>0</v>
      </c>
      <c r="S661" s="113" t="str">
        <f>IF(F661="","",IF(H661="",TEXT(_xlfn.MAXIFS($I$1:I661,$F$1:F661,F661,$H$1:H661,"&gt;"&amp;0),"000.000"),F661))</f>
        <v/>
      </c>
      <c r="T661" s="101" t="str">
        <f t="shared" si="87"/>
        <v/>
      </c>
      <c r="U661" s="82"/>
      <c r="V661" s="98"/>
      <c r="W661" s="82"/>
      <c r="X661" s="98"/>
      <c r="Y661" s="82"/>
      <c r="Z661" s="98"/>
      <c r="AA661" s="82"/>
      <c r="AB661" s="98"/>
      <c r="AC661" s="82"/>
      <c r="AD661" s="98"/>
      <c r="AE661" s="82"/>
      <c r="AF661" s="98"/>
      <c r="AG661" s="82"/>
      <c r="AH661" s="98"/>
      <c r="AI661" s="82"/>
      <c r="AJ661" s="98"/>
      <c r="AK661" s="83"/>
      <c r="AL661" s="84" t="str">
        <f>IF(F661&lt;&gt;0,IF(_xlfn.MAXIFS($I$1:I661,$F$1:F661,F661,$H$1:H661,"&gt;"&amp;0)=0,"KM NÃO ENCONTRADO",IF(H661=0,CONCATENATE("SUGESTÃO DE KM PARA PLACA ",F661," *",_xlfn.MAXIFS($I$1:I661,$F$1:F661,F661,$H$1:H661,"&gt;"&amp;0),"*"),"")),"")</f>
        <v/>
      </c>
      <c r="AM661" s="85" t="str" cm="1">
        <f t="array" ref="AM661">IFERROR(IF(M661&lt;&gt;"","",CONCATENATE("https://btx.brasiltrack.com/logistica/trajeto.php?idveiculo=",VLOOKUP(F661,DATAS!$A$221:$B$250,2,FALSE),"&amp;lat=-22.204247","&amp;data_ini=",TEXT(IF(E661&lt;&gt;"",IF(COUNTIF($F$2:$F661,F661)&gt;1,MAX(IF($F$1:$F660=F661,$E$1:$E660)),""),""),"DD/MM/AAAA"),"&amp;data_fim=",TEXT(E661,"DD/MM/AAAA"),"&amp;hora_inicial=",HOUR(IF(E661&lt;&gt;"",IF(COUNTIF($F$2:$F661,F661)&gt;1,MAX(IF($F$1:$F660=F661,$E$1:$E660)),""),"")),"&amp;minuto_inicial=",MINUTE(IF(E661&lt;&gt;"",IF(COUNTIF($F$2:$F661,F661)&gt;1,MAX(IF($F$1:$F660=F661,$E$1:$E660)),""),"")),"&amp;hora_final=",HOUR(E661),"&amp;minuto_final=",MINUTE(E661),"&amp;periodo=6&amp;tipo=por_data&amp;upos=false&amp;outequip=0")),"")</f>
        <v/>
      </c>
      <c r="AN661" s="100" t="str">
        <f t="shared" si="92"/>
        <v xml:space="preserve">               </v>
      </c>
    </row>
    <row r="662" spans="1:40" x14ac:dyDescent="0.25">
      <c r="A662" s="101">
        <f>IFERROR(VLOOKUP(AN662,ROTAS!$A:$B,2,FALSE),0)</f>
        <v>0</v>
      </c>
      <c r="B662" s="101"/>
      <c r="C662" s="101"/>
      <c r="D662" s="101"/>
      <c r="E662" s="76"/>
      <c r="F662" s="6"/>
      <c r="G662" s="5" t="str">
        <f>IFERROR(VLOOKUP(SUMIFS(MSOLICITADA!$I:$I,MSOLICITADA!$B:$B,D662,MSOLICITADA!$F:$F,F662),CODIGOSPLACAS!$A$64:$B$89,2,FALSE),"")</f>
        <v/>
      </c>
      <c r="H662" s="77"/>
      <c r="I662" s="77"/>
      <c r="J662" s="7"/>
      <c r="K662" s="78"/>
      <c r="L662" s="79"/>
      <c r="M662" s="6"/>
      <c r="N662" s="5" t="str">
        <f t="shared" si="88"/>
        <v/>
      </c>
      <c r="O662" s="80" t="str">
        <f t="shared" si="89"/>
        <v/>
      </c>
      <c r="P662" s="8">
        <f t="shared" si="90"/>
        <v>0</v>
      </c>
      <c r="Q662" s="8">
        <f t="shared" si="86"/>
        <v>0</v>
      </c>
      <c r="R662" s="81">
        <f t="shared" si="91"/>
        <v>0</v>
      </c>
      <c r="S662" s="113" t="str">
        <f>IF(F662="","",IF(H662="",TEXT(_xlfn.MAXIFS($I$1:I662,$F$1:F662,F662,$H$1:H662,"&gt;"&amp;0),"000.000"),F662))</f>
        <v/>
      </c>
      <c r="T662" s="101" t="str">
        <f t="shared" si="87"/>
        <v/>
      </c>
      <c r="U662" s="82"/>
      <c r="V662" s="98"/>
      <c r="W662" s="82"/>
      <c r="X662" s="98"/>
      <c r="Y662" s="82"/>
      <c r="Z662" s="98"/>
      <c r="AA662" s="82"/>
      <c r="AB662" s="98"/>
      <c r="AC662" s="82"/>
      <c r="AD662" s="98"/>
      <c r="AE662" s="82"/>
      <c r="AF662" s="98"/>
      <c r="AG662" s="82"/>
      <c r="AH662" s="98"/>
      <c r="AI662" s="82"/>
      <c r="AJ662" s="98"/>
      <c r="AK662" s="83"/>
      <c r="AL662" s="84" t="str">
        <f>IF(F662&lt;&gt;0,IF(_xlfn.MAXIFS($I$1:I662,$F$1:F662,F662,$H$1:H662,"&gt;"&amp;0)=0,"KM NÃO ENCONTRADO",IF(H662=0,CONCATENATE("SUGESTÃO DE KM PARA PLACA ",F662," *",_xlfn.MAXIFS($I$1:I662,$F$1:F662,F662,$H$1:H662,"&gt;"&amp;0),"*"),"")),"")</f>
        <v/>
      </c>
      <c r="AM662" s="85" t="str" cm="1">
        <f t="array" ref="AM662">IFERROR(IF(M662&lt;&gt;"","",CONCATENATE("https://btx.brasiltrack.com/logistica/trajeto.php?idveiculo=",VLOOKUP(F662,DATAS!$A$221:$B$250,2,FALSE),"&amp;lat=-22.204247","&amp;data_ini=",TEXT(IF(E662&lt;&gt;"",IF(COUNTIF($F$2:$F662,F662)&gt;1,MAX(IF($F$1:$F661=F662,$E$1:$E661)),""),""),"DD/MM/AAAA"),"&amp;data_fim=",TEXT(E662,"DD/MM/AAAA"),"&amp;hora_inicial=",HOUR(IF(E662&lt;&gt;"",IF(COUNTIF($F$2:$F662,F662)&gt;1,MAX(IF($F$1:$F661=F662,$E$1:$E661)),""),"")),"&amp;minuto_inicial=",MINUTE(IF(E662&lt;&gt;"",IF(COUNTIF($F$2:$F662,F662)&gt;1,MAX(IF($F$1:$F661=F662,$E$1:$E661)),""),"")),"&amp;hora_final=",HOUR(E662),"&amp;minuto_final=",MINUTE(E662),"&amp;periodo=6&amp;tipo=por_data&amp;upos=false&amp;outequip=0")),"")</f>
        <v/>
      </c>
      <c r="AN662" s="100" t="str">
        <f t="shared" si="92"/>
        <v xml:space="preserve">               </v>
      </c>
    </row>
    <row r="663" spans="1:40" x14ac:dyDescent="0.25">
      <c r="A663" s="101">
        <f>IFERROR(VLOOKUP(AN663,ROTAS!$A:$B,2,FALSE),0)</f>
        <v>0</v>
      </c>
      <c r="B663" s="101"/>
      <c r="C663" s="101"/>
      <c r="D663" s="101"/>
      <c r="E663" s="76"/>
      <c r="F663" s="6"/>
      <c r="G663" s="5" t="str">
        <f>IFERROR(VLOOKUP(SUMIFS(MSOLICITADA!$I:$I,MSOLICITADA!$B:$B,D663,MSOLICITADA!$F:$F,F663),CODIGOSPLACAS!$A$64:$B$89,2,FALSE),"")</f>
        <v/>
      </c>
      <c r="H663" s="77"/>
      <c r="I663" s="77"/>
      <c r="J663" s="7"/>
      <c r="K663" s="78"/>
      <c r="L663" s="79"/>
      <c r="M663" s="6"/>
      <c r="N663" s="5" t="str">
        <f t="shared" si="88"/>
        <v/>
      </c>
      <c r="O663" s="80" t="str">
        <f t="shared" si="89"/>
        <v/>
      </c>
      <c r="P663" s="8">
        <f t="shared" si="90"/>
        <v>0</v>
      </c>
      <c r="Q663" s="8">
        <f t="shared" si="86"/>
        <v>0</v>
      </c>
      <c r="R663" s="81">
        <f t="shared" si="91"/>
        <v>0</v>
      </c>
      <c r="S663" s="113" t="str">
        <f>IF(F663="","",IF(H663="",TEXT(_xlfn.MAXIFS($I$1:I663,$F$1:F663,F663,$H$1:H663,"&gt;"&amp;0),"000.000"),F663))</f>
        <v/>
      </c>
      <c r="T663" s="101" t="str">
        <f t="shared" si="87"/>
        <v/>
      </c>
      <c r="U663" s="82"/>
      <c r="V663" s="98"/>
      <c r="W663" s="82"/>
      <c r="X663" s="98"/>
      <c r="Y663" s="82"/>
      <c r="Z663" s="98"/>
      <c r="AA663" s="82"/>
      <c r="AB663" s="98"/>
      <c r="AC663" s="82"/>
      <c r="AD663" s="98"/>
      <c r="AE663" s="82"/>
      <c r="AF663" s="98"/>
      <c r="AG663" s="82"/>
      <c r="AH663" s="98"/>
      <c r="AI663" s="82"/>
      <c r="AJ663" s="98"/>
      <c r="AK663" s="83"/>
      <c r="AL663" s="84" t="str">
        <f>IF(F663&lt;&gt;0,IF(_xlfn.MAXIFS($I$1:I663,$F$1:F663,F663,$H$1:H663,"&gt;"&amp;0)=0,"KM NÃO ENCONTRADO",IF(H663=0,CONCATENATE("SUGESTÃO DE KM PARA PLACA ",F663," *",_xlfn.MAXIFS($I$1:I663,$F$1:F663,F663,$H$1:H663,"&gt;"&amp;0),"*"),"")),"")</f>
        <v/>
      </c>
      <c r="AM663" s="85" t="str" cm="1">
        <f t="array" ref="AM663">IFERROR(IF(M663&lt;&gt;"","",CONCATENATE("https://btx.brasiltrack.com/logistica/trajeto.php?idveiculo=",VLOOKUP(F663,DATAS!$A$221:$B$250,2,FALSE),"&amp;lat=-22.204247","&amp;data_ini=",TEXT(IF(E663&lt;&gt;"",IF(COUNTIF($F$2:$F663,F663)&gt;1,MAX(IF($F$1:$F662=F663,$E$1:$E662)),""),""),"DD/MM/AAAA"),"&amp;data_fim=",TEXT(E663,"DD/MM/AAAA"),"&amp;hora_inicial=",HOUR(IF(E663&lt;&gt;"",IF(COUNTIF($F$2:$F663,F663)&gt;1,MAX(IF($F$1:$F662=F663,$E$1:$E662)),""),"")),"&amp;minuto_inicial=",MINUTE(IF(E663&lt;&gt;"",IF(COUNTIF($F$2:$F663,F663)&gt;1,MAX(IF($F$1:$F662=F663,$E$1:$E662)),""),"")),"&amp;hora_final=",HOUR(E663),"&amp;minuto_final=",MINUTE(E663),"&amp;periodo=6&amp;tipo=por_data&amp;upos=false&amp;outequip=0")),"")</f>
        <v/>
      </c>
      <c r="AN663" s="100" t="str">
        <f t="shared" si="92"/>
        <v xml:space="preserve">               </v>
      </c>
    </row>
    <row r="664" spans="1:40" x14ac:dyDescent="0.25">
      <c r="A664" s="101">
        <f>IFERROR(VLOOKUP(AN664,ROTAS!$A:$B,2,FALSE),0)</f>
        <v>0</v>
      </c>
      <c r="B664" s="101"/>
      <c r="C664" s="101"/>
      <c r="D664" s="101"/>
      <c r="E664" s="76"/>
      <c r="F664" s="6"/>
      <c r="G664" s="5" t="str">
        <f>IFERROR(VLOOKUP(SUMIFS(MSOLICITADA!$I:$I,MSOLICITADA!$B:$B,D664,MSOLICITADA!$F:$F,F664),CODIGOSPLACAS!$A$64:$B$89,2,FALSE),"")</f>
        <v/>
      </c>
      <c r="H664" s="77"/>
      <c r="I664" s="77"/>
      <c r="J664" s="7"/>
      <c r="K664" s="78"/>
      <c r="L664" s="79"/>
      <c r="M664" s="6"/>
      <c r="N664" s="5" t="str">
        <f t="shared" si="88"/>
        <v/>
      </c>
      <c r="O664" s="80" t="str">
        <f t="shared" si="89"/>
        <v/>
      </c>
      <c r="P664" s="8">
        <f t="shared" si="90"/>
        <v>0</v>
      </c>
      <c r="Q664" s="8">
        <f t="shared" si="86"/>
        <v>0</v>
      </c>
      <c r="R664" s="81">
        <f t="shared" si="91"/>
        <v>0</v>
      </c>
      <c r="S664" s="113" t="str">
        <f>IF(F664="","",IF(H664="",TEXT(_xlfn.MAXIFS($I$1:I664,$F$1:F664,F664,$H$1:H664,"&gt;"&amp;0),"000.000"),F664))</f>
        <v/>
      </c>
      <c r="T664" s="101" t="str">
        <f t="shared" si="87"/>
        <v/>
      </c>
      <c r="U664" s="82"/>
      <c r="V664" s="98"/>
      <c r="W664" s="82"/>
      <c r="X664" s="98"/>
      <c r="Y664" s="82"/>
      <c r="Z664" s="98"/>
      <c r="AA664" s="82"/>
      <c r="AB664" s="98"/>
      <c r="AC664" s="82"/>
      <c r="AD664" s="98"/>
      <c r="AE664" s="82"/>
      <c r="AF664" s="98"/>
      <c r="AG664" s="82"/>
      <c r="AH664" s="98"/>
      <c r="AI664" s="82"/>
      <c r="AJ664" s="98"/>
      <c r="AK664" s="83"/>
      <c r="AL664" s="84" t="str">
        <f>IF(F664&lt;&gt;0,IF(_xlfn.MAXIFS($I$1:I664,$F$1:F664,F664,$H$1:H664,"&gt;"&amp;0)=0,"KM NÃO ENCONTRADO",IF(H664=0,CONCATENATE("SUGESTÃO DE KM PARA PLACA ",F664," *",_xlfn.MAXIFS($I$1:I664,$F$1:F664,F664,$H$1:H664,"&gt;"&amp;0),"*"),"")),"")</f>
        <v/>
      </c>
      <c r="AM664" s="85" t="str" cm="1">
        <f t="array" ref="AM664">IFERROR(IF(M664&lt;&gt;"","",CONCATENATE("https://btx.brasiltrack.com/logistica/trajeto.php?idveiculo=",VLOOKUP(F664,DATAS!$A$221:$B$250,2,FALSE),"&amp;lat=-22.204247","&amp;data_ini=",TEXT(IF(E664&lt;&gt;"",IF(COUNTIF($F$2:$F664,F664)&gt;1,MAX(IF($F$1:$F663=F664,$E$1:$E663)),""),""),"DD/MM/AAAA"),"&amp;data_fim=",TEXT(E664,"DD/MM/AAAA"),"&amp;hora_inicial=",HOUR(IF(E664&lt;&gt;"",IF(COUNTIF($F$2:$F664,F664)&gt;1,MAX(IF($F$1:$F663=F664,$E$1:$E663)),""),"")),"&amp;minuto_inicial=",MINUTE(IF(E664&lt;&gt;"",IF(COUNTIF($F$2:$F664,F664)&gt;1,MAX(IF($F$1:$F663=F664,$E$1:$E663)),""),"")),"&amp;hora_final=",HOUR(E664),"&amp;minuto_final=",MINUTE(E664),"&amp;periodo=6&amp;tipo=por_data&amp;upos=false&amp;outequip=0")),"")</f>
        <v/>
      </c>
      <c r="AN664" s="100" t="str">
        <f t="shared" si="92"/>
        <v xml:space="preserve">               </v>
      </c>
    </row>
  </sheetData>
  <autoFilter ref="A2:AN664" xr:uid="{5D0938C5-0C08-433E-9A7B-4A4526089492}">
    <sortState xmlns:xlrd2="http://schemas.microsoft.com/office/spreadsheetml/2017/richdata2" ref="A3:AN664">
      <sortCondition ref="E2:E664"/>
    </sortState>
  </autoFilter>
  <phoneticPr fontId="4" type="noConversion"/>
  <conditionalFormatting sqref="A2:D1048576 R2:AJ1048576">
    <cfRule type="cellIs" dxfId="33" priority="32" operator="equal">
      <formula>0</formula>
    </cfRule>
  </conditionalFormatting>
  <conditionalFormatting sqref="H2:H1048576">
    <cfRule type="duplicateValues" dxfId="32" priority="140"/>
  </conditionalFormatting>
  <conditionalFormatting sqref="I2:I1048576">
    <cfRule type="duplicateValues" dxfId="31" priority="143"/>
    <cfRule type="duplicateValues" dxfId="30" priority="144"/>
  </conditionalFormatting>
  <conditionalFormatting sqref="L2:L1048576">
    <cfRule type="cellIs" dxfId="29" priority="20" operator="equal">
      <formula>22</formula>
    </cfRule>
    <cfRule type="cellIs" dxfId="28" priority="21" operator="equal">
      <formula>"DP"</formula>
    </cfRule>
    <cfRule type="cellIs" dxfId="27" priority="22" operator="equal">
      <formula>"I"</formula>
    </cfRule>
  </conditionalFormatting>
  <conditionalFormatting sqref="AK3:AK71085">
    <cfRule type="cellIs" dxfId="26" priority="35" operator="greaterThan">
      <formula>0</formula>
    </cfRule>
  </conditionalFormatting>
  <conditionalFormatting sqref="AL3:AL664">
    <cfRule type="containsText" dxfId="25" priority="42" operator="containsText" text="KM">
      <formula>NOT(ISERROR(SEARCH("KM",AL3)))</formula>
    </cfRule>
  </conditionalFormatting>
  <conditionalFormatting sqref="T1:T1048576">
    <cfRule type="cellIs" dxfId="24" priority="8" operator="equal">
      <formula>"ERRO"</formula>
    </cfRule>
  </conditionalFormatting>
  <conditionalFormatting sqref="S3:S664">
    <cfRule type="expression" dxfId="23" priority="7">
      <formula>IF(H3="",1,0)</formula>
    </cfRule>
  </conditionalFormatting>
  <conditionalFormatting sqref="P1:Q664">
    <cfRule type="cellIs" dxfId="22" priority="2" operator="equal">
      <formula>0</formula>
    </cfRule>
  </conditionalFormatting>
  <conditionalFormatting sqref="N1:N1048576">
    <cfRule type="cellIs" dxfId="21" priority="1" operator="equal">
      <formula>"erro"</formula>
    </cfRule>
  </conditionalFormatting>
  <pageMargins left="0.25" right="0.25" top="0.75" bottom="0.75" header="0.3" footer="0.3"/>
  <pageSetup paperSize="9" scale="10" orientation="landscape" r:id="rId1"/>
  <ignoredErrors>
    <ignoredError sqref="D563:D568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EF942BCA-4B52-4F9D-8B85-D4741398B3FD}">
            <xm:f>IF(P3&gt;SUMIFS(MSOLICITADA!$H:$H,MSOLICITADA!$F:$F,F3,MSOLICITADA!$C:$C,MONTH(E3),MSOLICITADA!$D:$D,YEAR(E3)),1,0)</xm:f>
            <x14:dxf>
              <font>
                <color rgb="FF095B1E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34" id="{D6CF1529-32C6-4581-8CCB-41388148C961}">
            <xm:f>IF(P3&lt;SUMIFS(MSOLICITADA!$H:$H,MSOLICITADA!$F:$F,F3,MSOLICITADA!$C:$C,MONTH(E3),MSOLICITADA!$D:$D,YEAR(E3)),1,0)</xm:f>
            <x14:dxf>
              <font>
                <color rgb="FF680000"/>
              </font>
              <fill>
                <patternFill>
                  <fgColor rgb="FFFF9999"/>
                  <bgColor rgb="FFFFCCCC"/>
                </patternFill>
              </fill>
            </x14:dxf>
          </x14:cfRule>
          <xm:sqref>P3:P664</xm:sqref>
        </x14:conditionalFormatting>
        <x14:conditionalFormatting xmlns:xm="http://schemas.microsoft.com/office/excel/2006/main">
          <x14:cfRule type="expression" priority="3" id="{56DE451F-3D16-4DE0-986B-96795D7780AF}">
            <xm:f>IF(Q3&lt;SUMIFS(MSOLICITADA!$H:$H,MSOLICITADA!$F:$F,F3,MSOLICITADA!$C:$C,MONTH(E3),MSOLICITADA!$D:$D,YEAR(E3)),1,0)</xm:f>
            <x14:dxf>
              <font>
                <color rgb="FF680000"/>
              </font>
              <fill>
                <patternFill>
                  <fgColor rgb="FFFF9999"/>
                  <bgColor rgb="FFFFCCCC"/>
                </patternFill>
              </fill>
            </x14:dxf>
          </x14:cfRule>
          <x14:cfRule type="expression" priority="4" id="{2B1ED59B-14DC-4F0F-A91C-5E50F13A7A28}">
            <xm:f>IF(Q3&gt;SUMIFS(MSOLICITADA!$H:$H,MSOLICITADA!$F:$F,F3,MSOLICITADA!$C:$C,MONTH(E3),MSOLICITADA!$D:$D,YEAR(E3)),1,0)</xm:f>
            <x14:dxf>
              <font>
                <color rgb="FF095B1E"/>
              </font>
              <fill>
                <patternFill>
                  <bgColor theme="9" tint="0.59996337778862885"/>
                </patternFill>
              </fill>
            </x14:dxf>
          </x14:cfRule>
          <xm:sqref>Q3:Q664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48C6D1-01AC-487F-B92A-EAE0015D3218}">
          <x14:formula1>
            <xm:f>CIDADES!$D$2:$D$5</xm:f>
          </x14:formula1>
          <xm:sqref>AE458 AE309:AE312 AE324:AE327 AE332:AE337 AE330 AE339:AE340 AE342:AE344 AE346:AE347 AE349 AE390:AE400 AE402:AE409 AE435:AE436 AE440 AE472 AE381:AE388 AA212:AA282 AE3:AE306 AG459:AG471 AA284:AA454 AE411:AE430 AG214:AG457 AC212:AC485 AI15:AI499 AI501 AE488 AC487:AC506 AE492:AE493 AE490 U212:U664 Y212:Y664 W212:W664 AA456:AA664 AC508:AC664 AE497:AE664 AG473:AG664 AI504:AI664</xm:sqref>
        </x14:dataValidation>
        <x14:dataValidation type="list" allowBlank="1" showInputMessage="1" showErrorMessage="1" xr:uid="{87957473-21A2-460F-AD2B-935E071DAC86}">
          <x14:formula1>
            <xm:f>CIDADES!$A$2:$A$83</xm:f>
          </x14:formula1>
          <xm:sqref>AE307:AE308 AE489 AE313:AE323 AC507:AD507 AJ501 AI502:AJ503 AJ15:AJ499 AH473:AH499 AF458:AH458 AH500:AJ500 AD440:AD485 AC486:AD486 AD437:AF439 AF440 AD433:AF433 AH459:AH471 AF434:AF436 AA455 AE434 AE431:AE432 Z283:AA283 AD434:AD436 AG212:AG213 AE348 AE328:AE329 AE331 AE338 AE341 AE345 AE350:AE380 AE389 AE401 AE410 Z212:Z282 AD212:AD432 AF212:AF432 AF472:AH472 AE441:AF457 AE459:AF471 AH212:AH457 AD487:AD506 AE494:AE496 AE491 AE473:AE487 V212:V664 Z284:Z664 X212:X664 AB212:AB664 AD508:AD664 AF473:AF664 AH501:AH664 AJ504:AJ664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E9B2-A089-4062-B2EC-850DF3CFC34F}">
  <sheetPr>
    <tabColor rgb="FFFF0000"/>
  </sheetPr>
  <dimension ref="A1:A2"/>
  <sheetViews>
    <sheetView workbookViewId="0">
      <selection activeCell="A6" sqref="A6"/>
    </sheetView>
  </sheetViews>
  <sheetFormatPr defaultRowHeight="15" x14ac:dyDescent="0.25"/>
  <cols>
    <col min="1" max="1" width="147.5703125" bestFit="1" customWidth="1"/>
  </cols>
  <sheetData>
    <row r="1" spans="1:1" x14ac:dyDescent="0.25">
      <c r="A1" t="s">
        <v>2415</v>
      </c>
    </row>
    <row r="2" spans="1:1" x14ac:dyDescent="0.25">
      <c r="A2" t="s">
        <v>2416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762F-4F49-431A-8473-480A5FE84C33}">
  <sheetPr codeName="Planilha10"/>
  <dimension ref="A1:K200"/>
  <sheetViews>
    <sheetView topLeftCell="A155" zoomScaleNormal="100" workbookViewId="0">
      <selection activeCell="A181" sqref="A181"/>
    </sheetView>
  </sheetViews>
  <sheetFormatPr defaultRowHeight="11.25" x14ac:dyDescent="0.2"/>
  <cols>
    <col min="1" max="1" width="149.5703125" style="56" bestFit="1" customWidth="1"/>
    <col min="2" max="2" width="11.140625" style="130" bestFit="1" customWidth="1"/>
    <col min="3" max="3" width="12.5703125" style="130" bestFit="1" customWidth="1"/>
    <col min="4" max="4" width="6.140625" style="133" bestFit="1" customWidth="1"/>
    <col min="5" max="5" width="8.140625" style="135" bestFit="1" customWidth="1"/>
    <col min="6" max="6" width="4" style="56" customWidth="1"/>
    <col min="7" max="7" width="10.28515625" style="56" bestFit="1" customWidth="1"/>
    <col min="8" max="8" width="5.42578125" style="56" bestFit="1" customWidth="1"/>
    <col min="9" max="9" width="9.140625" style="56"/>
    <col min="10" max="10" width="135.140625" style="56" bestFit="1" customWidth="1"/>
    <col min="11" max="11" width="3.5703125" style="56" bestFit="1" customWidth="1"/>
    <col min="12" max="16384" width="9.140625" style="56"/>
  </cols>
  <sheetData>
    <row r="1" spans="1:11" s="125" customFormat="1" ht="33.75" customHeight="1" x14ac:dyDescent="0.25">
      <c r="A1" s="127" t="s">
        <v>235</v>
      </c>
      <c r="B1" s="128" t="s">
        <v>243</v>
      </c>
      <c r="C1" s="128" t="s">
        <v>244</v>
      </c>
      <c r="D1" s="131" t="s">
        <v>245</v>
      </c>
      <c r="E1" s="131" t="s">
        <v>246</v>
      </c>
      <c r="J1" s="125" t="s">
        <v>235</v>
      </c>
      <c r="K1" s="125" t="s">
        <v>280</v>
      </c>
    </row>
    <row r="2" spans="1:11" x14ac:dyDescent="0.2">
      <c r="A2" s="126" t="s">
        <v>293</v>
      </c>
      <c r="B2" s="126">
        <v>0</v>
      </c>
      <c r="C2" s="129">
        <f>IF(B2&lt;&gt;"",COUNTIFS(DIESEL!A:A,ROTAS!B2),"")</f>
        <v>80</v>
      </c>
      <c r="D2" s="132" t="str">
        <f>IFERROR(IF(A2&lt;&gt;0,AVERAGEIFS(DIESEL!J:J,DIESEL!A:A,ROTAS!B2),""),"")</f>
        <v/>
      </c>
      <c r="E2" s="136">
        <f>IF(B2&lt;&gt;"",IFERROR(AVERAGEIFS(DIESEL!M:M,DIESEL!A:A,ROTAS!B2),0)+IFERROR(AVERAGEIFS(DIESEL!N:N,DIESEL!A:A,ROTAS!B2),0),"")</f>
        <v>0</v>
      </c>
      <c r="F2" s="137" t="str">
        <f>IFERROR(E2/D2,"")</f>
        <v/>
      </c>
    </row>
    <row r="3" spans="1:11" x14ac:dyDescent="0.2">
      <c r="A3" s="55" t="s">
        <v>294</v>
      </c>
      <c r="B3" s="55">
        <f>IF(A3&lt;&gt;"",B2+1,"")</f>
        <v>1</v>
      </c>
      <c r="C3" s="129">
        <f>IF(B3&lt;&gt;"",COUNTIFS(DIESEL!A:A,ROTAS!B3),"")</f>
        <v>2</v>
      </c>
      <c r="D3" s="132">
        <f>IFERROR(IF(A3&lt;&gt;0,AVERAGEIFS(DIESEL!J:J,DIESEL!A:A,ROTAS!B3),""),"")</f>
        <v>262.54500000000002</v>
      </c>
      <c r="E3" s="136">
        <f>IF(B3&lt;&gt;"",IFERROR(AVERAGEIFS(DIESEL!M:M,DIESEL!A:A,ROTAS!B3),0)+IFERROR(AVERAGEIFS(DIESEL!N:N,DIESEL!A:A,ROTAS!B3),0),"")</f>
        <v>390.5</v>
      </c>
      <c r="F3" s="137">
        <f t="shared" ref="F3:F37" si="0">IFERROR(E3/D3,"")</f>
        <v>1.4873640709211753</v>
      </c>
      <c r="J3" s="56" t="str" cm="1">
        <f t="array" ref="J3:K200">_xlfn._xlws.SORT(A3:B200,1,1,FALSE)</f>
        <v xml:space="preserve">ABASTECEU no 22 NORTE ABASTECEU no CANDEIAS-MG            </v>
      </c>
      <c r="K3" s="56">
        <v>56</v>
      </c>
    </row>
    <row r="4" spans="1:11" x14ac:dyDescent="0.2">
      <c r="A4" s="55" t="s">
        <v>295</v>
      </c>
      <c r="B4" s="55">
        <f t="shared" ref="B4:B67" si="1">IF(A4&lt;&gt;"",B3+1,"")</f>
        <v>2</v>
      </c>
      <c r="C4" s="129">
        <f>IF(B4&lt;&gt;"",COUNTIFS(DIESEL!A:A,ROTAS!B4),"")</f>
        <v>11</v>
      </c>
      <c r="D4" s="132">
        <f>IFERROR(IF(A4&lt;&gt;0,AVERAGEIFS(DIESEL!J:J,DIESEL!A:A,ROTAS!B4),""),"")</f>
        <v>487.20563636363642</v>
      </c>
      <c r="E4" s="136">
        <f>IF(B4&lt;&gt;"",IFERROR(AVERAGEIFS(DIESEL!M:M,DIESEL!A:A,ROTAS!B4),0)+IFERROR(AVERAGEIFS(DIESEL!N:N,DIESEL!A:A,ROTAS!B4),0),"")</f>
        <v>865.72727272727275</v>
      </c>
      <c r="F4" s="137">
        <f t="shared" si="0"/>
        <v>1.7769237630106531</v>
      </c>
      <c r="J4" s="56" t="str">
        <v xml:space="preserve">ABASTECEU no 22 NORTE DESCARREGOU em ALFENAS-MG ABASTECEU no 22 SUL          </v>
      </c>
      <c r="K4" s="56">
        <v>114</v>
      </c>
    </row>
    <row r="5" spans="1:11" x14ac:dyDescent="0.2">
      <c r="A5" s="55" t="s">
        <v>296</v>
      </c>
      <c r="B5" s="55">
        <f t="shared" si="1"/>
        <v>3</v>
      </c>
      <c r="C5" s="129">
        <f>IF(B5&lt;&gt;"",COUNTIFS(DIESEL!A:A,ROTAS!B5),"")</f>
        <v>6</v>
      </c>
      <c r="D5" s="132">
        <f>IFERROR(IF(A5&lt;&gt;0,AVERAGEIFS(DIESEL!J:J,DIESEL!A:A,ROTAS!B5),""),"")</f>
        <v>498.36533333333335</v>
      </c>
      <c r="E5" s="136">
        <f>IF(B5&lt;&gt;"",IFERROR(AVERAGEIFS(DIESEL!M:M,DIESEL!A:A,ROTAS!B5),0)+IFERROR(AVERAGEIFS(DIESEL!N:N,DIESEL!A:A,ROTAS!B5),0),"")</f>
        <v>826.16666666666674</v>
      </c>
      <c r="F5" s="137">
        <f t="shared" si="0"/>
        <v>1.6577530807386283</v>
      </c>
      <c r="J5" s="56" t="str">
        <v xml:space="preserve">ABASTECEU no 22 NORTE DESCARREGOU em ALFENAS-MG ABASTECEU no CANDEIAS-MG          </v>
      </c>
      <c r="K5" s="56">
        <v>124</v>
      </c>
    </row>
    <row r="6" spans="1:11" x14ac:dyDescent="0.2">
      <c r="A6" s="55" t="s">
        <v>297</v>
      </c>
      <c r="B6" s="55">
        <f t="shared" si="1"/>
        <v>4</v>
      </c>
      <c r="C6" s="129">
        <f>IF(B6&lt;&gt;"",COUNTIFS(DIESEL!A:A,ROTAS!B6),"")</f>
        <v>1</v>
      </c>
      <c r="D6" s="132">
        <f>IFERROR(IF(A6&lt;&gt;0,AVERAGEIFS(DIESEL!J:J,DIESEL!A:A,ROTAS!B6),""),"")</f>
        <v>369.00099999999998</v>
      </c>
      <c r="E6" s="136">
        <f>IF(B6&lt;&gt;"",IFERROR(AVERAGEIFS(DIESEL!M:M,DIESEL!A:A,ROTAS!B6),0)+IFERROR(AVERAGEIFS(DIESEL!N:N,DIESEL!A:A,ROTAS!B6),0),"")</f>
        <v>613</v>
      </c>
      <c r="F6" s="137">
        <f t="shared" si="0"/>
        <v>1.6612421104549853</v>
      </c>
      <c r="J6" s="56" t="str">
        <v>ABASTECEU no 22 NORTE DESCARREGOU em ALFENAS-MG CARREGOU em CONGONHAL-MG DESCARREGOU em ALFENAS-MG PASSOU em SÃO PAULO-SP CARREGOU em CUBATAO-SP PASSOU em SÃO PAULO-SP ABASTECEU no 22 NORTE</v>
      </c>
      <c r="K6" s="56">
        <v>140</v>
      </c>
    </row>
    <row r="7" spans="1:11" x14ac:dyDescent="0.2">
      <c r="A7" s="55" t="s">
        <v>298</v>
      </c>
      <c r="B7" s="55">
        <f t="shared" si="1"/>
        <v>5</v>
      </c>
      <c r="C7" s="129">
        <f>IF(B7&lt;&gt;"",COUNTIFS(DIESEL!A:A,ROTAS!B7),"")</f>
        <v>1</v>
      </c>
      <c r="D7" s="132">
        <f>IFERROR(IF(A7&lt;&gt;0,AVERAGEIFS(DIESEL!J:J,DIESEL!A:A,ROTAS!B7),""),"")</f>
        <v>237</v>
      </c>
      <c r="E7" s="136">
        <f>IF(B7&lt;&gt;"",IFERROR(AVERAGEIFS(DIESEL!M:M,DIESEL!A:A,ROTAS!B7),0)+IFERROR(AVERAGEIFS(DIESEL!N:N,DIESEL!A:A,ROTAS!B7),0),"")</f>
        <v>300</v>
      </c>
      <c r="F7" s="137">
        <f t="shared" si="0"/>
        <v>1.2658227848101267</v>
      </c>
      <c r="J7" s="56" t="str">
        <v xml:space="preserve">ABASTECEU no 22 NORTE DESCARREGOU em ALFENAS-MG CARREGOU em CONGONHAL-MG DESCARREGOU em ALFENAS-MG PASSOU em SÃO PAULO-SP CARREGOU em SANTOS-SP ABASTECEU no 22 NORTE  </v>
      </c>
      <c r="K7" s="56">
        <v>10</v>
      </c>
    </row>
    <row r="8" spans="1:11" x14ac:dyDescent="0.2">
      <c r="A8" s="55" t="s">
        <v>299</v>
      </c>
      <c r="B8" s="55">
        <f t="shared" si="1"/>
        <v>6</v>
      </c>
      <c r="C8" s="129">
        <f>IF(B8&lt;&gt;"",COUNTIFS(DIESEL!A:A,ROTAS!B8),"")</f>
        <v>3</v>
      </c>
      <c r="D8" s="132">
        <f>IFERROR(IF(A8&lt;&gt;0,AVERAGEIFS(DIESEL!J:J,DIESEL!A:A,ROTAS!B8),""),"")</f>
        <v>624.67666666666662</v>
      </c>
      <c r="E8" s="136">
        <f>IF(B8&lt;&gt;"",IFERROR(AVERAGEIFS(DIESEL!M:M,DIESEL!A:A,ROTAS!B8),0)+IFERROR(AVERAGEIFS(DIESEL!N:N,DIESEL!A:A,ROTAS!B8),0),"")</f>
        <v>1039</v>
      </c>
      <c r="F8" s="137">
        <f t="shared" si="0"/>
        <v>1.6632604600780139</v>
      </c>
      <c r="J8" s="56" t="str">
        <v>ABASTECEU no 22 NORTE DESCARREGOU em ALFENAS-MG CARREGOU em CONGONHAL-MG DESCARREGOU em ALFENAS-MG PASSOU em SÃO PAULO-SP CARREGOU em SANTOS-SP PASSOU em ARUJÁ-SP ABASTECEU no 22 NORTE</v>
      </c>
      <c r="K8" s="56">
        <v>138</v>
      </c>
    </row>
    <row r="9" spans="1:11" x14ac:dyDescent="0.2">
      <c r="A9" s="134" t="s">
        <v>300</v>
      </c>
      <c r="B9" s="55">
        <f t="shared" si="1"/>
        <v>7</v>
      </c>
      <c r="C9" s="129">
        <f>IF(B9&lt;&gt;"",COUNTIFS(DIESEL!A:A,ROTAS!B9),"")</f>
        <v>1</v>
      </c>
      <c r="D9" s="132">
        <f>IFERROR(IF(A9&lt;&gt;0,AVERAGEIFS(DIESEL!J:J,DIESEL!A:A,ROTAS!B9),""),"")</f>
        <v>426.01</v>
      </c>
      <c r="E9" s="136">
        <f>IF(B9&lt;&gt;"",IFERROR(AVERAGEIFS(DIESEL!M:M,DIESEL!A:A,ROTAS!B9),0)+IFERROR(AVERAGEIFS(DIESEL!N:N,DIESEL!A:A,ROTAS!B9),0),"")</f>
        <v>753</v>
      </c>
      <c r="F9" s="137">
        <f t="shared" si="0"/>
        <v>1.7675641416868149</v>
      </c>
      <c r="J9" s="56" t="str">
        <v xml:space="preserve">ABASTECEU no 22 NORTE DESCARREGOU em ALFENAS-MG PASSOU em ARUJÁ-SP CARREGOU em CUBATAO-SP PASSOU em ARUJÁ-SP ABASTECEU no 22 NORTE    </v>
      </c>
      <c r="K9" s="56">
        <v>2</v>
      </c>
    </row>
    <row r="10" spans="1:11" x14ac:dyDescent="0.2">
      <c r="A10" s="55" t="s">
        <v>301</v>
      </c>
      <c r="B10" s="55">
        <f t="shared" si="1"/>
        <v>8</v>
      </c>
      <c r="C10" s="129">
        <f>IF(B10&lt;&gt;"",COUNTIFS(DIESEL!A:A,ROTAS!B10),"")</f>
        <v>1</v>
      </c>
      <c r="D10" s="132">
        <f>IFERROR(IF(A10&lt;&gt;0,AVERAGEIFS(DIESEL!J:J,DIESEL!A:A,ROTAS!B10),""),"")</f>
        <v>538.36</v>
      </c>
      <c r="E10" s="136">
        <f>IF(B10&lt;&gt;"",IFERROR(AVERAGEIFS(DIESEL!M:M,DIESEL!A:A,ROTAS!B10),0)+IFERROR(AVERAGEIFS(DIESEL!N:N,DIESEL!A:A,ROTAS!B10),0),"")</f>
        <v>950</v>
      </c>
      <c r="F10" s="137">
        <f t="shared" si="0"/>
        <v>1.7646184709116577</v>
      </c>
      <c r="J10" s="56" t="str">
        <v xml:space="preserve">ABASTECEU no 22 NORTE DESCARREGOU em ALFENAS-MG PASSOU em ARUJÁ-SP CARREGOU em CUBATAO-SP PASSOU em SÃO PAULO-SP ABASTECEU no 22 NORTE    </v>
      </c>
      <c r="K10" s="56">
        <v>3</v>
      </c>
    </row>
    <row r="11" spans="1:11" x14ac:dyDescent="0.2">
      <c r="A11" s="55" t="s">
        <v>302</v>
      </c>
      <c r="B11" s="55">
        <f t="shared" si="1"/>
        <v>9</v>
      </c>
      <c r="C11" s="129">
        <f>IF(B11&lt;&gt;"",COUNTIFS(DIESEL!A:A,ROTAS!B11),"")</f>
        <v>2</v>
      </c>
      <c r="D11" s="132">
        <f>IFERROR(IF(A11&lt;&gt;0,AVERAGEIFS(DIESEL!J:J,DIESEL!A:A,ROTAS!B11),""),"")</f>
        <v>374.00099999999998</v>
      </c>
      <c r="E11" s="136">
        <f>IF(B11&lt;&gt;"",IFERROR(AVERAGEIFS(DIESEL!M:M,DIESEL!A:A,ROTAS!B11),0)+IFERROR(AVERAGEIFS(DIESEL!N:N,DIESEL!A:A,ROTAS!B11),0),"")</f>
        <v>343.5</v>
      </c>
      <c r="F11" s="137">
        <f t="shared" si="0"/>
        <v>0.91844674212101041</v>
      </c>
      <c r="J11" s="56" t="str">
        <v xml:space="preserve">ABASTECEU no 22 NORTE DESCARREGOU em ALFENAS-MG PASSOU em ARUJÁ-SP CARREGOU em SANTOS-SP PASSOU em OSASCO-SP ABASTECEU no PICA PAU NORTE    </v>
      </c>
      <c r="K11" s="56">
        <v>6</v>
      </c>
    </row>
    <row r="12" spans="1:11" x14ac:dyDescent="0.2">
      <c r="A12" s="55" t="s">
        <v>432</v>
      </c>
      <c r="B12" s="55">
        <f t="shared" si="1"/>
        <v>10</v>
      </c>
      <c r="C12" s="129">
        <f>IF(B12&lt;&gt;"",COUNTIFS(DIESEL!A:A,ROTAS!B12),"")</f>
        <v>0</v>
      </c>
      <c r="D12" s="132" t="str">
        <f>IFERROR(IF(A12&lt;&gt;0,AVERAGEIFS(DIESEL!J:J,DIESEL!A:A,ROTAS!B12),""),"")</f>
        <v/>
      </c>
      <c r="E12" s="136">
        <f>IF(B12&lt;&gt;"",IFERROR(AVERAGEIFS(DIESEL!M:M,DIESEL!A:A,ROTAS!B12),0)+IFERROR(AVERAGEIFS(DIESEL!N:N,DIESEL!A:A,ROTAS!B12),0),"")</f>
        <v>0</v>
      </c>
      <c r="F12" s="137" t="str">
        <f t="shared" si="0"/>
        <v/>
      </c>
      <c r="J12" s="56" t="str">
        <v xml:space="preserve">ABASTECEU no 22 NORTE DESCARREGOU em ALFENAS-MG PASSOU em ARUJÁ-SP CARREGOU em SANTOS-SP PASSOU em SÃO PAULO-SP ABASTECEU no 22 NORTE    </v>
      </c>
      <c r="K12" s="56">
        <v>135</v>
      </c>
    </row>
    <row r="13" spans="1:11" x14ac:dyDescent="0.2">
      <c r="A13" s="55" t="s">
        <v>304</v>
      </c>
      <c r="B13" s="55">
        <f t="shared" si="1"/>
        <v>11</v>
      </c>
      <c r="C13" s="129">
        <f>IF(B13&lt;&gt;"",COUNTIFS(DIESEL!A:A,ROTAS!B13),"")</f>
        <v>1</v>
      </c>
      <c r="D13" s="132">
        <f>IFERROR(IF(A13&lt;&gt;0,AVERAGEIFS(DIESEL!J:J,DIESEL!A:A,ROTAS!B13),""),"")</f>
        <v>441.67</v>
      </c>
      <c r="E13" s="136">
        <f>IF(B13&lt;&gt;"",IFERROR(AVERAGEIFS(DIESEL!M:M,DIESEL!A:A,ROTAS!B13),0)+IFERROR(AVERAGEIFS(DIESEL!N:N,DIESEL!A:A,ROTAS!B13),0),"")</f>
        <v>521</v>
      </c>
      <c r="F13" s="137">
        <f t="shared" si="0"/>
        <v>1.1796137387642358</v>
      </c>
      <c r="J13" s="56" t="str">
        <v xml:space="preserve">ABASTECEU no 22 NORTE DESCARREGOU em ALFENAS-MG PASSOU em CANDEIAS-MG PASSOU em SÃO PAULO-SP CARREGOU em CUBATAO-SP PASSOU em ARUJÁ-SP ABASTECEU no 22 NORTE  </v>
      </c>
      <c r="K13" s="56">
        <v>129</v>
      </c>
    </row>
    <row r="14" spans="1:11" x14ac:dyDescent="0.2">
      <c r="A14" s="55" t="s">
        <v>305</v>
      </c>
      <c r="B14" s="55">
        <f t="shared" si="1"/>
        <v>12</v>
      </c>
      <c r="C14" s="129">
        <f>IF(B14&lt;&gt;"",COUNTIFS(DIESEL!A:A,ROTAS!B14),"")</f>
        <v>5</v>
      </c>
      <c r="D14" s="132">
        <f>IFERROR(IF(A14&lt;&gt;0,AVERAGEIFS(DIESEL!J:J,DIESEL!A:A,ROTAS!B14),""),"")</f>
        <v>415.9366</v>
      </c>
      <c r="E14" s="136">
        <f>IF(B14&lt;&gt;"",IFERROR(AVERAGEIFS(DIESEL!M:M,DIESEL!A:A,ROTAS!B14),0)+IFERROR(AVERAGEIFS(DIESEL!N:N,DIESEL!A:A,ROTAS!B14),0),"")</f>
        <v>655.4</v>
      </c>
      <c r="F14" s="137">
        <f t="shared" si="0"/>
        <v>1.5757209151587044</v>
      </c>
      <c r="J14" s="56" t="str">
        <v xml:space="preserve">ABASTECEU no 22 NORTE DESCARREGOU em ALFENAS-MG PASSOU em SÃO PAULO-SP CARREGOU em CUBATAO-SP PASSOU em ARUJÁ-SP ABASTECEU no 22 NORTE    </v>
      </c>
      <c r="K14" s="56">
        <v>125</v>
      </c>
    </row>
    <row r="15" spans="1:11" x14ac:dyDescent="0.2">
      <c r="A15" s="55" t="s">
        <v>306</v>
      </c>
      <c r="B15" s="55">
        <f t="shared" si="1"/>
        <v>13</v>
      </c>
      <c r="C15" s="129">
        <f>IF(B15&lt;&gt;"",COUNTIFS(DIESEL!A:A,ROTAS!B15),"")</f>
        <v>16</v>
      </c>
      <c r="D15" s="132">
        <f>IFERROR(IF(A15&lt;&gt;0,AVERAGEIFS(DIESEL!J:J,DIESEL!A:A,ROTAS!B15),""),"")</f>
        <v>182.36250000000001</v>
      </c>
      <c r="E15" s="136">
        <f>IF(B15&lt;&gt;"",IFERROR(AVERAGEIFS(DIESEL!M:M,DIESEL!A:A,ROTAS!B15),0)+IFERROR(AVERAGEIFS(DIESEL!N:N,DIESEL!A:A,ROTAS!B15),0),"")</f>
        <v>386.5625</v>
      </c>
      <c r="F15" s="137">
        <f t="shared" si="0"/>
        <v>2.1197477551579955</v>
      </c>
      <c r="J15" s="56" t="str">
        <v xml:space="preserve">ABASTECEU no 22 NORTE DESCARREGOU em ALFENAS-MG PASSOU em SÃO PAULO-SP CARREGOU em CUBATAO-SP PASSOU em SÃO PAULO-SP ABASTECEU no 22 NORTE    </v>
      </c>
      <c r="K15" s="56">
        <v>115</v>
      </c>
    </row>
    <row r="16" spans="1:11" x14ac:dyDescent="0.2">
      <c r="A16" s="55" t="s">
        <v>307</v>
      </c>
      <c r="B16" s="55">
        <f t="shared" si="1"/>
        <v>14</v>
      </c>
      <c r="C16" s="129">
        <f>IF(B16&lt;&gt;"",COUNTIFS(DIESEL!A:A,ROTAS!B16),"")</f>
        <v>1</v>
      </c>
      <c r="D16" s="132">
        <f>IFERROR(IF(A16&lt;&gt;0,AVERAGEIFS(DIESEL!J:J,DIESEL!A:A,ROTAS!B16),""),"")</f>
        <v>296</v>
      </c>
      <c r="E16" s="136">
        <f>IF(B16&lt;&gt;"",IFERROR(AVERAGEIFS(DIESEL!M:M,DIESEL!A:A,ROTAS!B16),0)+IFERROR(AVERAGEIFS(DIESEL!N:N,DIESEL!A:A,ROTAS!B16),0),"")</f>
        <v>473</v>
      </c>
      <c r="F16" s="137">
        <f t="shared" si="0"/>
        <v>1.597972972972973</v>
      </c>
      <c r="J16" s="56" t="str">
        <v>ABASTECEU no 22 NORTE DESCARREGOU em CONGONHAL-MG CARREGOU em CONGONHAL-MG DESCARREGOU em ALFENAS-MG PASSOU em ARUJÁ-SP CARREGOU em CUBATAO-SP PASSOU em ARUJÁ-SP ABASTECEU no 22 NORTE</v>
      </c>
      <c r="K16" s="56">
        <v>175</v>
      </c>
    </row>
    <row r="17" spans="1:11" x14ac:dyDescent="0.2">
      <c r="A17" s="55" t="s">
        <v>308</v>
      </c>
      <c r="B17" s="55">
        <f t="shared" si="1"/>
        <v>15</v>
      </c>
      <c r="C17" s="129">
        <f>IF(B17&lt;&gt;"",COUNTIFS(DIESEL!A:A,ROTAS!B17),"")</f>
        <v>1</v>
      </c>
      <c r="D17" s="132">
        <f>IFERROR(IF(A17&lt;&gt;0,AVERAGEIFS(DIESEL!J:J,DIESEL!A:A,ROTAS!B17),""),"")</f>
        <v>732</v>
      </c>
      <c r="E17" s="136">
        <f>IF(B17&lt;&gt;"",IFERROR(AVERAGEIFS(DIESEL!M:M,DIESEL!A:A,ROTAS!B17),0)+IFERROR(AVERAGEIFS(DIESEL!N:N,DIESEL!A:A,ROTAS!B17),0),"")</f>
        <v>992</v>
      </c>
      <c r="F17" s="137">
        <f t="shared" si="0"/>
        <v>1.355191256830601</v>
      </c>
      <c r="J17" s="56" t="str">
        <v>ABASTECEU no 22 NORTE DESCARREGOU em CONGONHAL-MG CARREGOU em CONGONHAL-MG DESCARREGOU em ALFENAS-MG PASSOU em ARUJÁ-SP CARREGOU em SANTOS-SP PASSOU em ARUJÁ-SP ABASTECEU no 22 NORTE</v>
      </c>
      <c r="K17" s="56">
        <v>141</v>
      </c>
    </row>
    <row r="18" spans="1:11" x14ac:dyDescent="0.2">
      <c r="A18" s="55" t="s">
        <v>309</v>
      </c>
      <c r="B18" s="55">
        <f t="shared" si="1"/>
        <v>16</v>
      </c>
      <c r="C18" s="129">
        <f>IF(B18&lt;&gt;"",COUNTIFS(DIESEL!A:A,ROTAS!B18),"")</f>
        <v>1</v>
      </c>
      <c r="D18" s="132">
        <f>IFERROR(IF(A18&lt;&gt;0,AVERAGEIFS(DIESEL!J:J,DIESEL!A:A,ROTAS!B18),""),"")</f>
        <v>100</v>
      </c>
      <c r="E18" s="136">
        <f>IF(B18&lt;&gt;"",IFERROR(AVERAGEIFS(DIESEL!M:M,DIESEL!A:A,ROTAS!B18),0)+IFERROR(AVERAGEIFS(DIESEL!N:N,DIESEL!A:A,ROTAS!B18),0),"")</f>
        <v>963</v>
      </c>
      <c r="F18" s="137">
        <f t="shared" si="0"/>
        <v>9.6300000000000008</v>
      </c>
      <c r="J18" s="56" t="str">
        <v xml:space="preserve">ABASTECEU no 22 NORTE DESCARREGOU em CONGONHAL-MG CARREGOU em CONGONHAL-MG DESCARREGOU em CANDEIAS-MG ABASTECEU no 22 SUL      </v>
      </c>
      <c r="K18" s="56">
        <v>143</v>
      </c>
    </row>
    <row r="19" spans="1:11" x14ac:dyDescent="0.2">
      <c r="A19" s="55" t="s">
        <v>310</v>
      </c>
      <c r="B19" s="55">
        <f t="shared" si="1"/>
        <v>17</v>
      </c>
      <c r="C19" s="129">
        <f>IF(B19&lt;&gt;"",COUNTIFS(DIESEL!A:A,ROTAS!B19),"")</f>
        <v>1</v>
      </c>
      <c r="D19" s="132">
        <f>IFERROR(IF(A19&lt;&gt;0,AVERAGEIFS(DIESEL!J:J,DIESEL!A:A,ROTAS!B19),""),"")</f>
        <v>200</v>
      </c>
      <c r="E19" s="136">
        <f>IF(B19&lt;&gt;"",IFERROR(AVERAGEIFS(DIESEL!M:M,DIESEL!A:A,ROTAS!B19),0)+IFERROR(AVERAGEIFS(DIESEL!N:N,DIESEL!A:A,ROTAS!B19),0),"")</f>
        <v>229</v>
      </c>
      <c r="F19" s="137">
        <f t="shared" si="0"/>
        <v>1.145</v>
      </c>
      <c r="J19" s="56" t="str">
        <v xml:space="preserve">ABASTECEU no 22 NORTE DESCARREGOU em CONGONHAL-MG CARREGOU em CORREGO FUNDO-MG ABASTECEU no CANDEIAS-MG        </v>
      </c>
      <c r="K19" s="56">
        <v>34</v>
      </c>
    </row>
    <row r="20" spans="1:11" x14ac:dyDescent="0.2">
      <c r="A20" s="55" t="s">
        <v>311</v>
      </c>
      <c r="B20" s="55">
        <f t="shared" si="1"/>
        <v>18</v>
      </c>
      <c r="C20" s="129">
        <f>IF(B20&lt;&gt;"",COUNTIFS(DIESEL!A:A,ROTAS!B20),"")</f>
        <v>1</v>
      </c>
      <c r="D20" s="132">
        <f>IFERROR(IF(A20&lt;&gt;0,AVERAGEIFS(DIESEL!J:J,DIESEL!A:A,ROTAS!B20),""),"")</f>
        <v>100</v>
      </c>
      <c r="E20" s="136">
        <f>IF(B20&lt;&gt;"",IFERROR(AVERAGEIFS(DIESEL!M:M,DIESEL!A:A,ROTAS!B20),0)+IFERROR(AVERAGEIFS(DIESEL!N:N,DIESEL!A:A,ROTAS!B20),0),"")</f>
        <v>764</v>
      </c>
      <c r="F20" s="137">
        <f t="shared" si="0"/>
        <v>7.64</v>
      </c>
      <c r="J20" s="56" t="str">
        <v xml:space="preserve">ABASTECEU no 22 NORTE DESCARREGOU em CONGONHAL-MG CARREGOU em IGUATAMA-MG ABASTECEU no CANDEIAS-MG        </v>
      </c>
      <c r="K20" s="56">
        <v>126</v>
      </c>
    </row>
    <row r="21" spans="1:11" x14ac:dyDescent="0.2">
      <c r="A21" s="55" t="s">
        <v>312</v>
      </c>
      <c r="B21" s="55">
        <f t="shared" si="1"/>
        <v>19</v>
      </c>
      <c r="C21" s="129">
        <f>IF(B21&lt;&gt;"",COUNTIFS(DIESEL!A:A,ROTAS!B21),"")</f>
        <v>1</v>
      </c>
      <c r="D21" s="132">
        <f>IFERROR(IF(A21&lt;&gt;0,AVERAGEIFS(DIESEL!J:J,DIESEL!A:A,ROTAS!B21),""),"")</f>
        <v>250</v>
      </c>
      <c r="E21" s="136">
        <f>IF(B21&lt;&gt;"",IFERROR(AVERAGEIFS(DIESEL!M:M,DIESEL!A:A,ROTAS!B21),0)+IFERROR(AVERAGEIFS(DIESEL!N:N,DIESEL!A:A,ROTAS!B21),0),"")</f>
        <v>118</v>
      </c>
      <c r="F21" s="137">
        <f t="shared" si="0"/>
        <v>0.47199999999999998</v>
      </c>
      <c r="J21" s="56" t="str">
        <v xml:space="preserve">ABASTECEU no 22 NORTE DESCARREGOU em CONGONHAL-MG CARREGOU em SÃO GOTARDO-MG ABASTECEU no CANDEIAS-MG        </v>
      </c>
      <c r="K21" s="56">
        <v>103</v>
      </c>
    </row>
    <row r="22" spans="1:11" x14ac:dyDescent="0.2">
      <c r="A22" s="55" t="s">
        <v>313</v>
      </c>
      <c r="B22" s="55">
        <f t="shared" si="1"/>
        <v>20</v>
      </c>
      <c r="C22" s="129">
        <f>IF(B22&lt;&gt;"",COUNTIFS(DIESEL!A:A,ROTAS!B22),"")</f>
        <v>1</v>
      </c>
      <c r="D22" s="132">
        <f>IFERROR(IF(A22&lt;&gt;0,AVERAGEIFS(DIESEL!J:J,DIESEL!A:A,ROTAS!B22),""),"")</f>
        <v>680</v>
      </c>
      <c r="E22" s="136">
        <f>IF(B22&lt;&gt;"",IFERROR(AVERAGEIFS(DIESEL!M:M,DIESEL!A:A,ROTAS!B22),0)+IFERROR(AVERAGEIFS(DIESEL!N:N,DIESEL!A:A,ROTAS!B22),0),"")</f>
        <v>964</v>
      </c>
      <c r="F22" s="137">
        <f t="shared" si="0"/>
        <v>1.4176470588235295</v>
      </c>
      <c r="J22" s="56" t="str">
        <v xml:space="preserve">ABASTECEU no 22 NORTE DESCARREGOU em CONGONHAL-MG PASSOU em ARUJÁ-SP CARREGOU em CUBATAO-SP PASSOU em ARUJÁ-SP ABASTECEU no 22 NORTE    </v>
      </c>
      <c r="K22" s="56">
        <v>121</v>
      </c>
    </row>
    <row r="23" spans="1:11" x14ac:dyDescent="0.2">
      <c r="A23" s="55" t="s">
        <v>314</v>
      </c>
      <c r="B23" s="55">
        <f t="shared" si="1"/>
        <v>21</v>
      </c>
      <c r="C23" s="129">
        <f>IF(B23&lt;&gt;"",COUNTIFS(DIESEL!A:A,ROTAS!B23),"")</f>
        <v>2</v>
      </c>
      <c r="D23" s="132">
        <f>IFERROR(IF(A23&lt;&gt;0,AVERAGEIFS(DIESEL!J:J,DIESEL!A:A,ROTAS!B23),""),"")</f>
        <v>634.59500000000003</v>
      </c>
      <c r="E23" s="136">
        <f>IF(B23&lt;&gt;"",IFERROR(AVERAGEIFS(DIESEL!M:M,DIESEL!A:A,ROTAS!B23),0)+IFERROR(AVERAGEIFS(DIESEL!N:N,DIESEL!A:A,ROTAS!B23),0),"")</f>
        <v>171.5</v>
      </c>
      <c r="F23" s="137">
        <f t="shared" si="0"/>
        <v>0.27025110503549504</v>
      </c>
      <c r="J23" s="56" t="str">
        <v xml:space="preserve">ABASTECEU no 22 NORTE DESCARREGOU em CONGONHAL-MG PASSOU em ARUJÁ-SP CARREGOU em CUBATAO-SP PASSOU em ARUJÁ-SP ABASTECEU no DP ATIBAIA NORTE    </v>
      </c>
      <c r="K23" s="56">
        <v>166</v>
      </c>
    </row>
    <row r="24" spans="1:11" x14ac:dyDescent="0.2">
      <c r="A24" s="55" t="s">
        <v>315</v>
      </c>
      <c r="B24" s="55">
        <f t="shared" si="1"/>
        <v>22</v>
      </c>
      <c r="C24" s="129">
        <f>IF(B24&lt;&gt;"",COUNTIFS(DIESEL!A:A,ROTAS!B24),"")</f>
        <v>1</v>
      </c>
      <c r="D24" s="132">
        <f>IFERROR(IF(A24&lt;&gt;0,AVERAGEIFS(DIESEL!J:J,DIESEL!A:A,ROTAS!B24),""),"")</f>
        <v>480.51</v>
      </c>
      <c r="E24" s="136">
        <f>IF(B24&lt;&gt;"",IFERROR(AVERAGEIFS(DIESEL!M:M,DIESEL!A:A,ROTAS!B24),0)+IFERROR(AVERAGEIFS(DIESEL!N:N,DIESEL!A:A,ROTAS!B24),0),"")</f>
        <v>310</v>
      </c>
      <c r="F24" s="137">
        <f t="shared" si="0"/>
        <v>0.64514786372812216</v>
      </c>
      <c r="J24" s="56" t="str">
        <v xml:space="preserve">ABASTECEU no 22 NORTE DESCARREGOU em CONGONHAL-MG PASSOU em ARUJÁ-SP CARREGOU em CUBATAO-SP PASSOU em SÃO PAULO-SP ABASTECEU no 22 NORTE    </v>
      </c>
      <c r="K24" s="56">
        <v>111</v>
      </c>
    </row>
    <row r="25" spans="1:11" x14ac:dyDescent="0.2">
      <c r="A25" s="55" t="s">
        <v>316</v>
      </c>
      <c r="B25" s="55">
        <f t="shared" si="1"/>
        <v>23</v>
      </c>
      <c r="C25" s="129">
        <f>IF(B25&lt;&gt;"",COUNTIFS(DIESEL!A:A,ROTAS!B25),"")</f>
        <v>1</v>
      </c>
      <c r="D25" s="132">
        <f>IFERROR(IF(A25&lt;&gt;0,AVERAGEIFS(DIESEL!J:J,DIESEL!A:A,ROTAS!B25),""),"")</f>
        <v>384.00099999999998</v>
      </c>
      <c r="E25" s="136">
        <f>IF(B25&lt;&gt;"",IFERROR(AVERAGEIFS(DIESEL!M:M,DIESEL!A:A,ROTAS!B25),0)+IFERROR(AVERAGEIFS(DIESEL!N:N,DIESEL!A:A,ROTAS!B25),0),"")</f>
        <v>528</v>
      </c>
      <c r="F25" s="137">
        <f t="shared" si="0"/>
        <v>1.3749964192801583</v>
      </c>
      <c r="J25" s="56" t="str">
        <v xml:space="preserve">ABASTECEU no 22 NORTE DESCARREGOU em CONGONHAL-MG PASSOU em ARUJÁ-SP CARREGOU em SANTOS-SP PASSOU em ARUJÁ-SP ABASTECEU no 22 NORTE    </v>
      </c>
      <c r="K25" s="56">
        <v>29</v>
      </c>
    </row>
    <row r="26" spans="1:11" x14ac:dyDescent="0.2">
      <c r="A26" s="55" t="s">
        <v>317</v>
      </c>
      <c r="B26" s="55">
        <f t="shared" si="1"/>
        <v>24</v>
      </c>
      <c r="C26" s="129">
        <f>IF(B26&lt;&gt;"",COUNTIFS(DIESEL!A:A,ROTAS!B26),"")</f>
        <v>2</v>
      </c>
      <c r="D26" s="132">
        <f>IFERROR(IF(A26&lt;&gt;0,AVERAGEIFS(DIESEL!J:J,DIESEL!A:A,ROTAS!B26),""),"")</f>
        <v>248.8</v>
      </c>
      <c r="E26" s="136">
        <f>IF(B26&lt;&gt;"",IFERROR(AVERAGEIFS(DIESEL!M:M,DIESEL!A:A,ROTAS!B26),0)+IFERROR(AVERAGEIFS(DIESEL!N:N,DIESEL!A:A,ROTAS!B26),0),"")</f>
        <v>654.5</v>
      </c>
      <c r="F26" s="137">
        <f t="shared" si="0"/>
        <v>2.630627009646302</v>
      </c>
      <c r="J26" s="56" t="str">
        <v xml:space="preserve">ABASTECEU no 22 NORTE DESCARREGOU em CONGONHAL-MG PASSOU em CANDEIAS-MG PASSOU em SÃO PAULO-SP CARREGOU em CUBATAO-SP PASSOU em ARUJÁ-SP ABASTECEU no 22 NORTE  </v>
      </c>
      <c r="K26" s="56">
        <v>127</v>
      </c>
    </row>
    <row r="27" spans="1:11" x14ac:dyDescent="0.2">
      <c r="A27" s="55" t="s">
        <v>318</v>
      </c>
      <c r="B27" s="55">
        <f t="shared" si="1"/>
        <v>25</v>
      </c>
      <c r="C27" s="129">
        <f>IF(B27&lt;&gt;"",COUNTIFS(DIESEL!A:A,ROTAS!B27),"")</f>
        <v>1</v>
      </c>
      <c r="D27" s="132">
        <f>IFERROR(IF(A27&lt;&gt;0,AVERAGEIFS(DIESEL!J:J,DIESEL!A:A,ROTAS!B27),""),"")</f>
        <v>404.48</v>
      </c>
      <c r="E27" s="136">
        <f>IF(B27&lt;&gt;"",IFERROR(AVERAGEIFS(DIESEL!M:M,DIESEL!A:A,ROTAS!B27),0)+IFERROR(AVERAGEIFS(DIESEL!N:N,DIESEL!A:A,ROTAS!B27),0),"")</f>
        <v>766</v>
      </c>
      <c r="F27" s="137">
        <f t="shared" si="0"/>
        <v>1.8937895569620253</v>
      </c>
      <c r="J27" s="56" t="str">
        <v xml:space="preserve">ABASTECEU no 22 NORTE DESCARREGOU em CONGONHAL-MG PASSOU em CANDEIAS-MG PASSOU em SÃO PAULO-SP CARREGOU em SANTOS-SP PASSOU em ARUJÁ-SP ABASTECEU no 22 NORTE  </v>
      </c>
      <c r="K27" s="56">
        <v>144</v>
      </c>
    </row>
    <row r="28" spans="1:11" x14ac:dyDescent="0.2">
      <c r="A28" s="55" t="s">
        <v>319</v>
      </c>
      <c r="B28" s="55">
        <f t="shared" si="1"/>
        <v>26</v>
      </c>
      <c r="C28" s="129">
        <f>IF(B28&lt;&gt;"",COUNTIFS(DIESEL!A:A,ROTAS!B28),"")</f>
        <v>1</v>
      </c>
      <c r="D28" s="132">
        <f>IFERROR(IF(A28&lt;&gt;0,AVERAGEIFS(DIESEL!J:J,DIESEL!A:A,ROTAS!B28),""),"")</f>
        <v>540</v>
      </c>
      <c r="E28" s="136">
        <f>IF(B28&lt;&gt;"",IFERROR(AVERAGEIFS(DIESEL!M:M,DIESEL!A:A,ROTAS!B28),0)+IFERROR(AVERAGEIFS(DIESEL!N:N,DIESEL!A:A,ROTAS!B28),0),"")</f>
        <v>1086</v>
      </c>
      <c r="F28" s="137">
        <f t="shared" si="0"/>
        <v>2.0111111111111111</v>
      </c>
      <c r="J28" s="56" t="str">
        <v xml:space="preserve">ABASTECEU no 22 NORTE DESCARREGOU em CONGONHAL-MG PASSOU em JACAREI-SP CARREGOU em SANTOS-SP PASSOU em SÃO PAULO-SP ABASTECEU no 22 NORTE    </v>
      </c>
      <c r="K28" s="56">
        <v>146</v>
      </c>
    </row>
    <row r="29" spans="1:11" x14ac:dyDescent="0.2">
      <c r="A29" s="55" t="s">
        <v>320</v>
      </c>
      <c r="B29" s="55">
        <f t="shared" si="1"/>
        <v>27</v>
      </c>
      <c r="C29" s="129">
        <f>IF(B29&lt;&gt;"",COUNTIFS(DIESEL!A:A,ROTAS!B29),"")</f>
        <v>2</v>
      </c>
      <c r="D29" s="132">
        <f>IFERROR(IF(A29&lt;&gt;0,AVERAGEIFS(DIESEL!J:J,DIESEL!A:A,ROTAS!B29),""),"")</f>
        <v>426.75</v>
      </c>
      <c r="E29" s="136">
        <f>IF(B29&lt;&gt;"",IFERROR(AVERAGEIFS(DIESEL!M:M,DIESEL!A:A,ROTAS!B29),0)+IFERROR(AVERAGEIFS(DIESEL!N:N,DIESEL!A:A,ROTAS!B29),0),"")</f>
        <v>614</v>
      </c>
      <c r="F29" s="137">
        <f t="shared" si="0"/>
        <v>1.4387814879906269</v>
      </c>
      <c r="J29" s="56" t="str">
        <v xml:space="preserve">ABASTECEU no 22 NORTE DESCARREGOU em CONGONHAL-MG PASSOU em SÃO PAULO-SP CARREGOU em CUBATAO-SP PASSOU em ARUJÁ-SP ABASTECEU no 22 NORTE    </v>
      </c>
      <c r="K29" s="56">
        <v>113</v>
      </c>
    </row>
    <row r="30" spans="1:11" x14ac:dyDescent="0.2">
      <c r="A30" s="55" t="s">
        <v>321</v>
      </c>
      <c r="B30" s="55">
        <f t="shared" si="1"/>
        <v>28</v>
      </c>
      <c r="C30" s="129">
        <f>IF(B30&lt;&gt;"",COUNTIFS(DIESEL!A:A,ROTAS!B30),"")</f>
        <v>1</v>
      </c>
      <c r="D30" s="132">
        <f>IFERROR(IF(A30&lt;&gt;0,AVERAGEIFS(DIESEL!J:J,DIESEL!A:A,ROTAS!B30),""),"")</f>
        <v>625</v>
      </c>
      <c r="E30" s="136">
        <f>IF(B30&lt;&gt;"",IFERROR(AVERAGEIFS(DIESEL!M:M,DIESEL!A:A,ROTAS!B30),0)+IFERROR(AVERAGEIFS(DIESEL!N:N,DIESEL!A:A,ROTAS!B30),0),"")</f>
        <v>949</v>
      </c>
      <c r="F30" s="137">
        <f t="shared" si="0"/>
        <v>1.5184</v>
      </c>
      <c r="J30" s="56" t="str">
        <v xml:space="preserve">ABASTECEU no 22 NORTE DESCARREGOU em CONGONHAL-MG PASSOU em SÃO PAULO-SP CARREGOU em CUBATAO-SP PASSOU em SÃO PAULO-SP ABASTECEU no 22 NORTE    </v>
      </c>
      <c r="K30" s="56">
        <v>112</v>
      </c>
    </row>
    <row r="31" spans="1:11" x14ac:dyDescent="0.2">
      <c r="A31" s="55" t="s">
        <v>322</v>
      </c>
      <c r="B31" s="55">
        <f t="shared" si="1"/>
        <v>29</v>
      </c>
      <c r="C31" s="129">
        <f>IF(B31&lt;&gt;"",COUNTIFS(DIESEL!A:A,ROTAS!B31),"")</f>
        <v>1</v>
      </c>
      <c r="D31" s="132">
        <f>IFERROR(IF(A31&lt;&gt;0,AVERAGEIFS(DIESEL!J:J,DIESEL!A:A,ROTAS!B31),""),"")</f>
        <v>478.27100000000002</v>
      </c>
      <c r="E31" s="136">
        <f>IF(B31&lt;&gt;"",IFERROR(AVERAGEIFS(DIESEL!M:M,DIESEL!A:A,ROTAS!B31),0)+IFERROR(AVERAGEIFS(DIESEL!N:N,DIESEL!A:A,ROTAS!B31),0),"")</f>
        <v>737</v>
      </c>
      <c r="F31" s="137">
        <f t="shared" si="0"/>
        <v>1.5409673595095668</v>
      </c>
      <c r="J31" s="56" t="str">
        <v xml:space="preserve">ABASTECEU no 22 NORTE DESCARREGOU em CONGONHAL-MG PASSOU em SÃO PAULO-SP CARREGOU em CUBATAO-SP PASSOU em SÃO PAULO-SP DESCARREGOU em CONGONHAL-MG ABASTECEU no 22 SUL  </v>
      </c>
      <c r="K31" s="56">
        <v>147</v>
      </c>
    </row>
    <row r="32" spans="1:11" x14ac:dyDescent="0.2">
      <c r="A32" s="55" t="s">
        <v>323</v>
      </c>
      <c r="B32" s="55">
        <f t="shared" si="1"/>
        <v>30</v>
      </c>
      <c r="C32" s="129">
        <f>IF(B32&lt;&gt;"",COUNTIFS(DIESEL!A:A,ROTAS!B32),"")</f>
        <v>2</v>
      </c>
      <c r="D32" s="132">
        <f>IFERROR(IF(A32&lt;&gt;0,AVERAGEIFS(DIESEL!J:J,DIESEL!A:A,ROTAS!B32),""),"")</f>
        <v>474.07549999999998</v>
      </c>
      <c r="E32" s="136">
        <f>IF(B32&lt;&gt;"",IFERROR(AVERAGEIFS(DIESEL!M:M,DIESEL!A:A,ROTAS!B32),0)+IFERROR(AVERAGEIFS(DIESEL!N:N,DIESEL!A:A,ROTAS!B32),0),"")</f>
        <v>871.5</v>
      </c>
      <c r="F32" s="137">
        <f t="shared" si="0"/>
        <v>1.8383147831938162</v>
      </c>
      <c r="J32" s="56" t="str">
        <v xml:space="preserve">ABASTECEU no 22 NORTE DESCARREGOU em CONGONHAL-MG PASSOU em SÃO PAULO-SP CARREGOU em GUARUJA-SP PASSOU em SÃO PAULO-SP ABASTECEU no 22 NORTE    </v>
      </c>
      <c r="K32" s="56">
        <v>122</v>
      </c>
    </row>
    <row r="33" spans="1:11" x14ac:dyDescent="0.2">
      <c r="A33" s="55" t="s">
        <v>324</v>
      </c>
      <c r="B33" s="55">
        <f t="shared" si="1"/>
        <v>31</v>
      </c>
      <c r="C33" s="129">
        <f>IF(B33&lt;&gt;"",COUNTIFS(DIESEL!A:A,ROTAS!B33),"")</f>
        <v>4</v>
      </c>
      <c r="D33" s="132">
        <f>IFERROR(IF(A33&lt;&gt;0,AVERAGEIFS(DIESEL!J:J,DIESEL!A:A,ROTAS!B33),""),"")</f>
        <v>298.01349999999996</v>
      </c>
      <c r="E33" s="136">
        <f>IF(B33&lt;&gt;"",IFERROR(AVERAGEIFS(DIESEL!M:M,DIESEL!A:A,ROTAS!B33),0)+IFERROR(AVERAGEIFS(DIESEL!N:N,DIESEL!A:A,ROTAS!B33),0),"")</f>
        <v>413.25</v>
      </c>
      <c r="F33" s="137">
        <f t="shared" si="0"/>
        <v>1.3866821469497188</v>
      </c>
      <c r="J33" s="56" t="str">
        <v xml:space="preserve">ABASTECEU no 22 NORTE DESCARREGOU em CONGONHAL-MG PASSOU em SÃO PAULO-SP CARREGOU em SANTOS-SP PASSOU em ARUJÁ-SP ABASTECEU no 22 NORTE    </v>
      </c>
      <c r="K33" s="56">
        <v>12</v>
      </c>
    </row>
    <row r="34" spans="1:11" x14ac:dyDescent="0.2">
      <c r="A34" s="55" t="s">
        <v>325</v>
      </c>
      <c r="B34" s="55">
        <f t="shared" si="1"/>
        <v>32</v>
      </c>
      <c r="C34" s="129">
        <f>IF(B34&lt;&gt;"",COUNTIFS(DIESEL!A:A,ROTAS!B34),"")</f>
        <v>1</v>
      </c>
      <c r="D34" s="132">
        <f>IFERROR(IF(A34&lt;&gt;0,AVERAGEIFS(DIESEL!J:J,DIESEL!A:A,ROTAS!B34),""),"")</f>
        <v>447.7</v>
      </c>
      <c r="E34" s="136">
        <f>IF(B34&lt;&gt;"",IFERROR(AVERAGEIFS(DIESEL!M:M,DIESEL!A:A,ROTAS!B34),0)+IFERROR(AVERAGEIFS(DIESEL!N:N,DIESEL!A:A,ROTAS!B34),0),"")</f>
        <v>625</v>
      </c>
      <c r="F34" s="137">
        <f t="shared" si="0"/>
        <v>1.3960241232968507</v>
      </c>
      <c r="J34" s="56" t="str">
        <v xml:space="preserve">ABASTECEU no 22 NORTE DESCARREGOU em CONGONHAL-MG PASSOU em SÃO PAULO-SP CARREGOU em SANTOS-SP PASSOU em SÃO PAULO-SP ABASTECEU no 22 NORTE    </v>
      </c>
      <c r="K34" s="56">
        <v>4</v>
      </c>
    </row>
    <row r="35" spans="1:11" x14ac:dyDescent="0.2">
      <c r="A35" s="55" t="s">
        <v>326</v>
      </c>
      <c r="B35" s="55">
        <f t="shared" si="1"/>
        <v>33</v>
      </c>
      <c r="C35" s="129">
        <f>IF(B35&lt;&gt;"",COUNTIFS(DIESEL!A:A,ROTAS!B35),"")</f>
        <v>1</v>
      </c>
      <c r="D35" s="132">
        <f>IFERROR(IF(A35&lt;&gt;0,AVERAGEIFS(DIESEL!J:J,DIESEL!A:A,ROTAS!B35),""),"")</f>
        <v>415.5</v>
      </c>
      <c r="E35" s="136">
        <f>IF(B35&lt;&gt;"",IFERROR(AVERAGEIFS(DIESEL!M:M,DIESEL!A:A,ROTAS!B35),0)+IFERROR(AVERAGEIFS(DIESEL!N:N,DIESEL!A:A,ROTAS!B35),0),"")</f>
        <v>832</v>
      </c>
      <c r="F35" s="137">
        <f t="shared" si="0"/>
        <v>2.0024067388688329</v>
      </c>
      <c r="J35" s="56" t="str">
        <v xml:space="preserve">ABASTECEU no 22 NORTE DESCARREGOU em CONGONHAL-MG PASSOU em TRES CORACOES-MG PASSOU em SÃO PAULO-SP CARREGOU em CUBATAO-SP PASSOU em SÃO PAULO-SP ABASTECEU no 22 NORTE  </v>
      </c>
      <c r="K35" s="56">
        <v>118</v>
      </c>
    </row>
    <row r="36" spans="1:11" x14ac:dyDescent="0.2">
      <c r="A36" s="134" t="s">
        <v>327</v>
      </c>
      <c r="B36" s="55">
        <f t="shared" si="1"/>
        <v>34</v>
      </c>
      <c r="C36" s="129">
        <f>IF(B36&lt;&gt;"",COUNTIFS(DIESEL!A:A,ROTAS!B36),"")</f>
        <v>1</v>
      </c>
      <c r="D36" s="132">
        <f>IFERROR(IF(A36&lt;&gt;0,AVERAGEIFS(DIESEL!J:J,DIESEL!A:A,ROTAS!B36),""),"")</f>
        <v>343.5</v>
      </c>
      <c r="E36" s="136">
        <f>IF(B36&lt;&gt;"",IFERROR(AVERAGEIFS(DIESEL!M:M,DIESEL!A:A,ROTAS!B36),0)+IFERROR(AVERAGEIFS(DIESEL!N:N,DIESEL!A:A,ROTAS!B36),0),"")</f>
        <v>631</v>
      </c>
      <c r="F36" s="137">
        <f t="shared" si="0"/>
        <v>1.8369723435225618</v>
      </c>
      <c r="J36" s="56" t="str">
        <v xml:space="preserve">ABASTECEU no 22 NORTE DESCARREGOU em IGUATAMA-MG ABASTECEU no 22 SUL          </v>
      </c>
      <c r="K36" s="56">
        <v>150</v>
      </c>
    </row>
    <row r="37" spans="1:11" x14ac:dyDescent="0.2">
      <c r="A37" s="55" t="s">
        <v>328</v>
      </c>
      <c r="B37" s="55">
        <f t="shared" si="1"/>
        <v>35</v>
      </c>
      <c r="C37" s="129">
        <f>IF(B37&lt;&gt;"",COUNTIFS(DIESEL!A:A,ROTAS!B37),"")</f>
        <v>8</v>
      </c>
      <c r="D37" s="132">
        <f>IFERROR(IF(A37&lt;&gt;0,AVERAGEIFS(DIESEL!J:J,DIESEL!A:A,ROTAS!B37),""),"")</f>
        <v>447.40624999999994</v>
      </c>
      <c r="E37" s="136">
        <f>IF(B37&lt;&gt;"",IFERROR(AVERAGEIFS(DIESEL!M:M,DIESEL!A:A,ROTAS!B37),0)+IFERROR(AVERAGEIFS(DIESEL!N:N,DIESEL!A:A,ROTAS!B37),0),"")</f>
        <v>825.75</v>
      </c>
      <c r="F37" s="137">
        <f t="shared" si="0"/>
        <v>1.8456380526646645</v>
      </c>
      <c r="J37" s="56" t="str">
        <v xml:space="preserve">ABASTECEU no 22 NORTE DESCARREGOU em IGUATAMA-MG ABASTECEU no PMG ARCOS          </v>
      </c>
      <c r="K37" s="56">
        <v>164</v>
      </c>
    </row>
    <row r="38" spans="1:11" x14ac:dyDescent="0.2">
      <c r="A38" s="55" t="s">
        <v>329</v>
      </c>
      <c r="B38" s="55">
        <f t="shared" si="1"/>
        <v>36</v>
      </c>
      <c r="C38" s="129">
        <f>IF(B38&lt;&gt;"",COUNTIFS(DIESEL!A:A,ROTAS!B38),"")</f>
        <v>1</v>
      </c>
      <c r="D38" s="132">
        <f>IFERROR(IF(A38&lt;&gt;0,AVERAGEIFS(DIESEL!J:J,DIESEL!A:A,ROTAS!B38),""),"")</f>
        <v>520</v>
      </c>
      <c r="E38" s="136">
        <f>IF(B38&lt;&gt;"",IFERROR(AVERAGEIFS(DIESEL!M:M,DIESEL!A:A,ROTAS!B38),0)+IFERROR(AVERAGEIFS(DIESEL!N:N,DIESEL!A:A,ROTAS!B38),0),"")</f>
        <v>684</v>
      </c>
      <c r="F38" s="137">
        <f t="shared" ref="F38:F100" si="2">IFERROR(E38/D38,"")</f>
        <v>1.3153846153846154</v>
      </c>
      <c r="J38" s="56" t="str">
        <v xml:space="preserve">ABASTECEU no 22 NORTE DESCARREGOU em IGUATAMA-MG CARREGOU em CORREGO FUNDO-MG ABASTECEU no CANDEIAS-MG        </v>
      </c>
      <c r="K38" s="56">
        <v>32</v>
      </c>
    </row>
    <row r="39" spans="1:11" x14ac:dyDescent="0.2">
      <c r="A39" s="55" t="s">
        <v>330</v>
      </c>
      <c r="B39" s="55">
        <f t="shared" si="1"/>
        <v>37</v>
      </c>
      <c r="C39" s="129">
        <f>IF(B39&lt;&gt;"",COUNTIFS(DIESEL!A:A,ROTAS!B39),"")</f>
        <v>1</v>
      </c>
      <c r="D39" s="132">
        <f>IFERROR(IF(A39&lt;&gt;0,AVERAGEIFS(DIESEL!J:J,DIESEL!A:A,ROTAS!B39),""),"")</f>
        <v>207.001</v>
      </c>
      <c r="E39" s="136">
        <f>IF(B39&lt;&gt;"",IFERROR(AVERAGEIFS(DIESEL!M:M,DIESEL!A:A,ROTAS!B39),0)+IFERROR(AVERAGEIFS(DIESEL!N:N,DIESEL!A:A,ROTAS!B39),0),"")</f>
        <v>321</v>
      </c>
      <c r="F39" s="137">
        <f t="shared" si="2"/>
        <v>1.5507171462939793</v>
      </c>
      <c r="J39" s="56" t="str">
        <v xml:space="preserve">ABASTECEU no 22 NORTE DESCARREGOU em IGUATAMA-MG CARREGOU em FORMIGA-MG ABASTECEU no CANDEIAS-MG        </v>
      </c>
      <c r="K39" s="56">
        <v>24</v>
      </c>
    </row>
    <row r="40" spans="1:11" x14ac:dyDescent="0.2">
      <c r="A40" s="55" t="s">
        <v>331</v>
      </c>
      <c r="B40" s="55">
        <f t="shared" si="1"/>
        <v>38</v>
      </c>
      <c r="C40" s="129">
        <f>IF(B40&lt;&gt;"",COUNTIFS(DIESEL!A:A,ROTAS!B40),"")</f>
        <v>1</v>
      </c>
      <c r="D40" s="132">
        <f>IFERROR(IF(A40&lt;&gt;0,AVERAGEIFS(DIESEL!J:J,DIESEL!A:A,ROTAS!B40),""),"")</f>
        <v>440.01</v>
      </c>
      <c r="E40" s="136">
        <f>IF(B40&lt;&gt;"",IFERROR(AVERAGEIFS(DIESEL!M:M,DIESEL!A:A,ROTAS!B40),0)+IFERROR(AVERAGEIFS(DIESEL!N:N,DIESEL!A:A,ROTAS!B40),0),"")</f>
        <v>570</v>
      </c>
      <c r="F40" s="137">
        <f t="shared" si="2"/>
        <v>1.2954251039749096</v>
      </c>
      <c r="J40" s="56" t="str">
        <v xml:space="preserve">ABASTECEU no 22 NORTE DESCARREGOU em IGUATAMA-MG CARREGOU em LUZ-MG ABASTECEU no CANDEIAS-MG        </v>
      </c>
      <c r="K40" s="56">
        <v>157</v>
      </c>
    </row>
    <row r="41" spans="1:11" x14ac:dyDescent="0.2">
      <c r="A41" s="55" t="s">
        <v>332</v>
      </c>
      <c r="B41" s="55">
        <f t="shared" si="1"/>
        <v>39</v>
      </c>
      <c r="C41" s="129">
        <f>IF(B41&lt;&gt;"",COUNTIFS(DIESEL!A:A,ROTAS!B41),"")</f>
        <v>2</v>
      </c>
      <c r="D41" s="132">
        <f>IFERROR(IF(A41&lt;&gt;0,AVERAGEIFS(DIESEL!J:J,DIESEL!A:A,ROTAS!B41),""),"")</f>
        <v>467.20600000000002</v>
      </c>
      <c r="E41" s="136">
        <f>IF(B41&lt;&gt;"",IFERROR(AVERAGEIFS(DIESEL!M:M,DIESEL!A:A,ROTAS!B41),0)+IFERROR(AVERAGEIFS(DIESEL!N:N,DIESEL!A:A,ROTAS!B41),0),"")</f>
        <v>743.5</v>
      </c>
      <c r="F41" s="137">
        <f t="shared" si="2"/>
        <v>1.5913751107648446</v>
      </c>
      <c r="J41" s="56" t="str">
        <v xml:space="preserve">ABASTECEU no 22 NORTE DESCARREGOU em IGUATAMA-MG PASSOU em FORMIGA-MG CARREGOU em LUZ-MG ABASTECEU no CANDEIAS-MG      </v>
      </c>
      <c r="K41" s="56">
        <v>161</v>
      </c>
    </row>
    <row r="42" spans="1:11" x14ac:dyDescent="0.2">
      <c r="A42" s="55" t="s">
        <v>333</v>
      </c>
      <c r="B42" s="55">
        <f t="shared" si="1"/>
        <v>40</v>
      </c>
      <c r="C42" s="129">
        <f>IF(B42&lt;&gt;"",COUNTIFS(DIESEL!A:A,ROTAS!B42),"")</f>
        <v>3</v>
      </c>
      <c r="D42" s="132">
        <f>IFERROR(IF(A42&lt;&gt;0,AVERAGEIFS(DIESEL!J:J,DIESEL!A:A,ROTAS!B42),""),"")</f>
        <v>594.03666666666675</v>
      </c>
      <c r="E42" s="136">
        <f>IF(B42&lt;&gt;"",IFERROR(AVERAGEIFS(DIESEL!M:M,DIESEL!A:A,ROTAS!B42),0)+IFERROR(AVERAGEIFS(DIESEL!N:N,DIESEL!A:A,ROTAS!B42),0),"")</f>
        <v>770</v>
      </c>
      <c r="F42" s="137">
        <f t="shared" si="2"/>
        <v>1.2962162829454971</v>
      </c>
      <c r="J42" s="56" t="str">
        <v xml:space="preserve">ABASTECEU no 22 NORTE DESCARREGOU em TRES CORACOES-MG CARREGOU em ALFENAS-MG DESCARREGOU em CATANDUVA-SP ABASTECEU no PRODOESTE UBA      </v>
      </c>
      <c r="K42" s="56">
        <v>64</v>
      </c>
    </row>
    <row r="43" spans="1:11" x14ac:dyDescent="0.2">
      <c r="A43" s="55" t="s">
        <v>334</v>
      </c>
      <c r="B43" s="55">
        <f t="shared" si="1"/>
        <v>41</v>
      </c>
      <c r="C43" s="129">
        <f>IF(B43&lt;&gt;"",COUNTIFS(DIESEL!A:A,ROTAS!B43),"")</f>
        <v>1</v>
      </c>
      <c r="D43" s="132">
        <f>IFERROR(IF(A43&lt;&gt;0,AVERAGEIFS(DIESEL!J:J,DIESEL!A:A,ROTAS!B43),""),"")</f>
        <v>540</v>
      </c>
      <c r="E43" s="136">
        <f>IF(B43&lt;&gt;"",IFERROR(AVERAGEIFS(DIESEL!M:M,DIESEL!A:A,ROTAS!B43),0)+IFERROR(AVERAGEIFS(DIESEL!N:N,DIESEL!A:A,ROTAS!B43),0),"")</f>
        <v>732</v>
      </c>
      <c r="F43" s="137">
        <f t="shared" si="2"/>
        <v>1.3555555555555556</v>
      </c>
      <c r="J43" s="56" t="str">
        <v xml:space="preserve">ABASTECEU no 22 NORTE DESCARREGOU em TRES CORACOES-MG CARREGOU em CORREGO FUNDO-MG ABASTECEU no CANDEIAS-MG        </v>
      </c>
      <c r="K43" s="56">
        <v>62</v>
      </c>
    </row>
    <row r="44" spans="1:11" x14ac:dyDescent="0.2">
      <c r="A44" s="55" t="s">
        <v>335</v>
      </c>
      <c r="B44" s="55">
        <f t="shared" si="1"/>
        <v>42</v>
      </c>
      <c r="C44" s="129">
        <f>IF(B44&lt;&gt;"",COUNTIFS(DIESEL!A:A,ROTAS!B44),"")</f>
        <v>2</v>
      </c>
      <c r="D44" s="132">
        <f>IFERROR(IF(A44&lt;&gt;0,AVERAGEIFS(DIESEL!J:J,DIESEL!A:A,ROTAS!B44),""),"")</f>
        <v>360.5</v>
      </c>
      <c r="E44" s="136">
        <f>IF(B44&lt;&gt;"",IFERROR(AVERAGEIFS(DIESEL!M:M,DIESEL!A:A,ROTAS!B44),0)+IFERROR(AVERAGEIFS(DIESEL!N:N,DIESEL!A:A,ROTAS!B44),0),"")</f>
        <v>633</v>
      </c>
      <c r="F44" s="137">
        <f t="shared" si="2"/>
        <v>1.7558945908460473</v>
      </c>
      <c r="J44" s="56" t="str">
        <v xml:space="preserve">ABASTECEU no 22 NORTE DESCARREGOU em TRES CORACOES-MG CARREGOU em CORREGO FUNDO-MG DESCARREGOU em VARGINHA-MG ABASTECEU no DP ESTIVA      </v>
      </c>
      <c r="K44" s="56">
        <v>33</v>
      </c>
    </row>
    <row r="45" spans="1:11" x14ac:dyDescent="0.2">
      <c r="A45" s="55" t="s">
        <v>336</v>
      </c>
      <c r="B45" s="55">
        <f t="shared" si="1"/>
        <v>43</v>
      </c>
      <c r="C45" s="129">
        <f>IF(B45&lt;&gt;"",COUNTIFS(DIESEL!A:A,ROTAS!B45),"")</f>
        <v>1</v>
      </c>
      <c r="D45" s="132">
        <f>IFERROR(IF(A45&lt;&gt;0,AVERAGEIFS(DIESEL!J:J,DIESEL!A:A,ROTAS!B45),""),"")</f>
        <v>446.00099999999998</v>
      </c>
      <c r="E45" s="136">
        <f>IF(B45&lt;&gt;"",IFERROR(AVERAGEIFS(DIESEL!M:M,DIESEL!A:A,ROTAS!B45),0)+IFERROR(AVERAGEIFS(DIESEL!N:N,DIESEL!A:A,ROTAS!B45),0),"")</f>
        <v>583</v>
      </c>
      <c r="F45" s="137">
        <f t="shared" si="2"/>
        <v>1.3071719570135494</v>
      </c>
      <c r="J45" s="56" t="str">
        <v xml:space="preserve">ABASTECEU no 22 NORTE DESCARREGOU em TRES CORACOES-MG CARREGOU em FORMIGA-MG ABASTECEU no CANDEIAS-MG        </v>
      </c>
      <c r="K45" s="56">
        <v>163</v>
      </c>
    </row>
    <row r="46" spans="1:11" x14ac:dyDescent="0.2">
      <c r="A46" s="55" t="s">
        <v>337</v>
      </c>
      <c r="B46" s="55">
        <f t="shared" si="1"/>
        <v>44</v>
      </c>
      <c r="C46" s="129">
        <f>IF(B46&lt;&gt;"",COUNTIFS(DIESEL!A:A,ROTAS!B46),"")</f>
        <v>1</v>
      </c>
      <c r="D46" s="132">
        <f>IFERROR(IF(A46&lt;&gt;0,AVERAGEIFS(DIESEL!J:J,DIESEL!A:A,ROTAS!B46),""),"")</f>
        <v>620</v>
      </c>
      <c r="E46" s="136">
        <f>IF(B46&lt;&gt;"",IFERROR(AVERAGEIFS(DIESEL!M:M,DIESEL!A:A,ROTAS!B46),0)+IFERROR(AVERAGEIFS(DIESEL!N:N,DIESEL!A:A,ROTAS!B46),0),"")</f>
        <v>857</v>
      </c>
      <c r="F46" s="137">
        <f t="shared" si="2"/>
        <v>1.3822580645161291</v>
      </c>
      <c r="J46" s="56" t="str">
        <v xml:space="preserve">ABASTECEU no 22 NORTE DESCARREGOU em TRES CORACOES-MG CARREGOU em FORMIGA-MG ABASTECEU no DP ESTIVA        </v>
      </c>
      <c r="K46" s="56">
        <v>177</v>
      </c>
    </row>
    <row r="47" spans="1:11" x14ac:dyDescent="0.2">
      <c r="A47" s="134" t="s">
        <v>338</v>
      </c>
      <c r="B47" s="55">
        <f t="shared" si="1"/>
        <v>45</v>
      </c>
      <c r="C47" s="129">
        <f>IF(B47&lt;&gt;"",COUNTIFS(DIESEL!A:A,ROTAS!B47),"")</f>
        <v>1</v>
      </c>
      <c r="D47" s="132">
        <f>IFERROR(IF(A47&lt;&gt;0,AVERAGEIFS(DIESEL!J:J,DIESEL!A:A,ROTAS!B47),""),"")</f>
        <v>295.01100000000002</v>
      </c>
      <c r="E47" s="136">
        <f>IF(B47&lt;&gt;"",IFERROR(AVERAGEIFS(DIESEL!M:M,DIESEL!A:A,ROTAS!B47),0)+IFERROR(AVERAGEIFS(DIESEL!N:N,DIESEL!A:A,ROTAS!B47),0),"")</f>
        <v>510</v>
      </c>
      <c r="F47" s="137">
        <f t="shared" si="2"/>
        <v>1.7287490974912798</v>
      </c>
      <c r="J47" s="56" t="str">
        <v xml:space="preserve">ABASTECEU no 22 NORTE DESCARREGOU em TRES CORACOES-MG PASSOU em ARUJÁ-SP CARREGOU em CUBATAO-SP PASSOU em ARUJÁ-SP ABASTECEU no 22 NORTE    </v>
      </c>
      <c r="K47" s="56">
        <v>123</v>
      </c>
    </row>
    <row r="48" spans="1:11" x14ac:dyDescent="0.2">
      <c r="A48" s="55" t="s">
        <v>339</v>
      </c>
      <c r="B48" s="55">
        <f t="shared" si="1"/>
        <v>46</v>
      </c>
      <c r="C48" s="129">
        <f>IF(B48&lt;&gt;"",COUNTIFS(DIESEL!A:A,ROTAS!B48),"")</f>
        <v>3</v>
      </c>
      <c r="D48" s="132">
        <f>IFERROR(IF(A48&lt;&gt;0,AVERAGEIFS(DIESEL!J:J,DIESEL!A:A,ROTAS!B48),""),"")</f>
        <v>479.66666666666669</v>
      </c>
      <c r="E48" s="136">
        <f>IF(B48&lt;&gt;"",IFERROR(AVERAGEIFS(DIESEL!M:M,DIESEL!A:A,ROTAS!B48),0)+IFERROR(AVERAGEIFS(DIESEL!N:N,DIESEL!A:A,ROTAS!B48),0),"")</f>
        <v>811.66666666666674</v>
      </c>
      <c r="F48" s="137">
        <f t="shared" si="2"/>
        <v>1.6921473245309244</v>
      </c>
      <c r="J48" s="56" t="str">
        <v xml:space="preserve">ABASTECEU no 22 NORTE DESCARREGOU em TRES CORACOES-MG PASSOU em ARUJÁ-SP CARREGOU em CUBATAO-SP PASSOU em SÃO PAULO-SP ABASTECEU no 22 NORTE    </v>
      </c>
      <c r="K48" s="56">
        <v>59</v>
      </c>
    </row>
    <row r="49" spans="1:11" x14ac:dyDescent="0.2">
      <c r="A49" s="55" t="s">
        <v>340</v>
      </c>
      <c r="B49" s="55">
        <f t="shared" si="1"/>
        <v>47</v>
      </c>
      <c r="C49" s="129">
        <f>IF(B49&lt;&gt;"",COUNTIFS(DIESEL!A:A,ROTAS!B49),"")</f>
        <v>1</v>
      </c>
      <c r="D49" s="132">
        <f>IFERROR(IF(A49&lt;&gt;0,AVERAGEIFS(DIESEL!J:J,DIESEL!A:A,ROTAS!B49),""),"")</f>
        <v>402</v>
      </c>
      <c r="E49" s="136">
        <f>IF(B49&lt;&gt;"",IFERROR(AVERAGEIFS(DIESEL!M:M,DIESEL!A:A,ROTAS!B49),0)+IFERROR(AVERAGEIFS(DIESEL!N:N,DIESEL!A:A,ROTAS!B49),0),"")</f>
        <v>811</v>
      </c>
      <c r="F49" s="137">
        <f t="shared" si="2"/>
        <v>2.0174129353233829</v>
      </c>
      <c r="J49" s="56" t="str">
        <v xml:space="preserve">ABASTECEU no 22 NORTE DESCARREGOU em TRES CORACOES-MG PASSOU em ARUJÁ-SP CARREGOU em CUBATAO-SP PASSOU em SÃO PAULO-SP ABASTECEU no DP ALIANCA PA    </v>
      </c>
      <c r="K49" s="56">
        <v>72</v>
      </c>
    </row>
    <row r="50" spans="1:11" x14ac:dyDescent="0.2">
      <c r="A50" s="55" t="s">
        <v>341</v>
      </c>
      <c r="B50" s="55">
        <f t="shared" si="1"/>
        <v>48</v>
      </c>
      <c r="C50" s="129">
        <f>IF(B50&lt;&gt;"",COUNTIFS(DIESEL!A:A,ROTAS!B50),"")</f>
        <v>4</v>
      </c>
      <c r="D50" s="132">
        <f>IFERROR(IF(A50&lt;&gt;0,AVERAGEIFS(DIESEL!J:J,DIESEL!A:A,ROTAS!B50),""),"")</f>
        <v>442.86525000000006</v>
      </c>
      <c r="E50" s="136">
        <f>IF(B50&lt;&gt;"",IFERROR(AVERAGEIFS(DIESEL!M:M,DIESEL!A:A,ROTAS!B50),0)+IFERROR(AVERAGEIFS(DIESEL!N:N,DIESEL!A:A,ROTAS!B50),0),"")</f>
        <v>828.75</v>
      </c>
      <c r="F50" s="137">
        <f t="shared" si="2"/>
        <v>1.8713367102069984</v>
      </c>
      <c r="J50" s="56" t="str">
        <v xml:space="preserve">ABASTECEU no 22 NORTE DESCARREGOU em TRES CORACOES-MG PASSOU em ARUJÁ-SP CARREGOU em CUBATAO-SP PASSOU em SÃO PAULO-SP ABASTECEU no DP PA NORTE    </v>
      </c>
      <c r="K50" s="56">
        <v>60</v>
      </c>
    </row>
    <row r="51" spans="1:11" x14ac:dyDescent="0.2">
      <c r="A51" s="134" t="s">
        <v>342</v>
      </c>
      <c r="B51" s="55">
        <f t="shared" si="1"/>
        <v>49</v>
      </c>
      <c r="C51" s="129">
        <f>IF(B51&lt;&gt;"",COUNTIFS(DIESEL!A:A,ROTAS!B51),"")</f>
        <v>4</v>
      </c>
      <c r="D51" s="132">
        <f>IFERROR(IF(A51&lt;&gt;0,AVERAGEIFS(DIESEL!J:J,DIESEL!A:A,ROTAS!B51),""),"")</f>
        <v>431.30624999999998</v>
      </c>
      <c r="E51" s="136">
        <f>IF(B51&lt;&gt;"",IFERROR(AVERAGEIFS(DIESEL!M:M,DIESEL!A:A,ROTAS!B51),0)+IFERROR(AVERAGEIFS(DIESEL!N:N,DIESEL!A:A,ROTAS!B51),0),"")</f>
        <v>759.5</v>
      </c>
      <c r="F51" s="137">
        <f t="shared" si="2"/>
        <v>1.7609297338028373</v>
      </c>
      <c r="J51" s="56" t="str">
        <v xml:space="preserve">ABASTECEU no 22 NORTE DESCARREGOU em TRES CORACOES-MG PASSOU em ARUJÁ-SP CARREGOU em SANTOS-SP PASSOU em ARUJÁ-SP ABASTECEU no 22 NORTE    </v>
      </c>
      <c r="K51" s="56">
        <v>30</v>
      </c>
    </row>
    <row r="52" spans="1:11" x14ac:dyDescent="0.2">
      <c r="A52" s="55" t="s">
        <v>343</v>
      </c>
      <c r="B52" s="55">
        <f t="shared" si="1"/>
        <v>50</v>
      </c>
      <c r="C52" s="129">
        <f>IF(B52&lt;&gt;"",COUNTIFS(DIESEL!A:A,ROTAS!B52),"")</f>
        <v>2</v>
      </c>
      <c r="D52" s="132">
        <f>IFERROR(IF(A52&lt;&gt;0,AVERAGEIFS(DIESEL!J:J,DIESEL!A:A,ROTAS!B52),""),"")</f>
        <v>233.57599999999999</v>
      </c>
      <c r="E52" s="136">
        <f>IF(B52&lt;&gt;"",IFERROR(AVERAGEIFS(DIESEL!M:M,DIESEL!A:A,ROTAS!B52),0)+IFERROR(AVERAGEIFS(DIESEL!N:N,DIESEL!A:A,ROTAS!B52),0),"")</f>
        <v>244.5</v>
      </c>
      <c r="F52" s="137">
        <f t="shared" si="2"/>
        <v>1.0467685036133849</v>
      </c>
      <c r="J52" s="56" t="str">
        <v xml:space="preserve">ABASTECEU no 22 NORTE DESCARREGOU em TRES CORACOES-MG PASSOU em ARUJÁ-SP CARREGOU em SANTOS-SP PASSOU em SÃO PAULO-SP ABASTECEU no 22 NORTE    </v>
      </c>
      <c r="K52" s="56">
        <v>35</v>
      </c>
    </row>
    <row r="53" spans="1:11" x14ac:dyDescent="0.2">
      <c r="A53" s="55" t="s">
        <v>344</v>
      </c>
      <c r="B53" s="55">
        <f t="shared" si="1"/>
        <v>51</v>
      </c>
      <c r="C53" s="129">
        <f>IF(B53&lt;&gt;"",COUNTIFS(DIESEL!A:A,ROTAS!B53),"")</f>
        <v>1</v>
      </c>
      <c r="D53" s="132">
        <f>IFERROR(IF(A53&lt;&gt;0,AVERAGEIFS(DIESEL!J:J,DIESEL!A:A,ROTAS!B53),""),"")</f>
        <v>100</v>
      </c>
      <c r="E53" s="136">
        <f>IF(B53&lt;&gt;"",IFERROR(AVERAGEIFS(DIESEL!M:M,DIESEL!A:A,ROTAS!B53),0)+IFERROR(AVERAGEIFS(DIESEL!N:N,DIESEL!A:A,ROTAS!B53),0),"")</f>
        <v>929</v>
      </c>
      <c r="F53" s="137">
        <f t="shared" si="2"/>
        <v>9.2899999999999991</v>
      </c>
      <c r="J53" s="56" t="str">
        <v xml:space="preserve">ABASTECEU no 22 NORTE DESCARREGOU em TRES CORACOES-MG PASSOU em CANDEIAS-MG ABASTECEU no 22 SUL        </v>
      </c>
      <c r="K53" s="56">
        <v>25</v>
      </c>
    </row>
    <row r="54" spans="1:11" x14ac:dyDescent="0.2">
      <c r="A54" s="55" t="s">
        <v>345</v>
      </c>
      <c r="B54" s="55">
        <f t="shared" si="1"/>
        <v>52</v>
      </c>
      <c r="C54" s="129">
        <f>IF(B54&lt;&gt;"",COUNTIFS(DIESEL!A:A,ROTAS!B54),"")</f>
        <v>3</v>
      </c>
      <c r="D54" s="132">
        <f>IFERROR(IF(A54&lt;&gt;0,AVERAGEIFS(DIESEL!J:J,DIESEL!A:A,ROTAS!B54),""),"")</f>
        <v>628.91</v>
      </c>
      <c r="E54" s="136">
        <f>IF(B54&lt;&gt;"",IFERROR(AVERAGEIFS(DIESEL!M:M,DIESEL!A:A,ROTAS!B54),0)+IFERROR(AVERAGEIFS(DIESEL!N:N,DIESEL!A:A,ROTAS!B54),0),"")</f>
        <v>1067.3333333333333</v>
      </c>
      <c r="F54" s="137">
        <f t="shared" si="2"/>
        <v>1.6971161745453773</v>
      </c>
      <c r="J54" s="56" t="str">
        <v xml:space="preserve">ABASTECEU no 22 NORTE DESCARREGOU em TRES CORACOES-MG PASSOU em CANDEIAS-MG PASSOU em SÃO PAULO-SP CARREGOU em CUBATAO-SP PASSOU em SÃO PAULO-SP ABASTECEU no 22 NORTE  </v>
      </c>
      <c r="K54" s="56">
        <v>119</v>
      </c>
    </row>
    <row r="55" spans="1:11" x14ac:dyDescent="0.2">
      <c r="A55" s="55" t="s">
        <v>346</v>
      </c>
      <c r="B55" s="55">
        <f t="shared" si="1"/>
        <v>53</v>
      </c>
      <c r="C55" s="129">
        <f>IF(B55&lt;&gt;"",COUNTIFS(DIESEL!A:A,ROTAS!B55),"")</f>
        <v>4</v>
      </c>
      <c r="D55" s="132">
        <f>IFERROR(IF(A55&lt;&gt;0,AVERAGEIFS(DIESEL!J:J,DIESEL!A:A,ROTAS!B55),""),"")</f>
        <v>427.50074999999998</v>
      </c>
      <c r="E55" s="136">
        <f>IF(B55&lt;&gt;"",IFERROR(AVERAGEIFS(DIESEL!M:M,DIESEL!A:A,ROTAS!B55),0)+IFERROR(AVERAGEIFS(DIESEL!N:N,DIESEL!A:A,ROTAS!B55),0),"")</f>
        <v>747.75</v>
      </c>
      <c r="F55" s="137">
        <f t="shared" si="2"/>
        <v>1.7491197383864239</v>
      </c>
      <c r="J55" s="56" t="str">
        <v xml:space="preserve">ABASTECEU no 22 NORTE DESCARREGOU em TRES CORACOES-MG PASSOU em CANDEIAS-MG PASSOU em SÃO PAULO-SP CARREGOU em SANTOS-SP PASSOU em SÃO PAULO-SP ABASTECEU no 22 NORTE  </v>
      </c>
      <c r="K55" s="56">
        <v>142</v>
      </c>
    </row>
    <row r="56" spans="1:11" x14ac:dyDescent="0.2">
      <c r="A56" s="55" t="s">
        <v>347</v>
      </c>
      <c r="B56" s="55">
        <f t="shared" si="1"/>
        <v>54</v>
      </c>
      <c r="C56" s="129">
        <f>IF(B56&lt;&gt;"",COUNTIFS(DIESEL!A:A,ROTAS!B56),"")</f>
        <v>2</v>
      </c>
      <c r="D56" s="132">
        <f>IFERROR(IF(A56&lt;&gt;0,AVERAGEIFS(DIESEL!J:J,DIESEL!A:A,ROTAS!B56),""),"")</f>
        <v>237</v>
      </c>
      <c r="E56" s="136">
        <f>IF(B56&lt;&gt;"",IFERROR(AVERAGEIFS(DIESEL!M:M,DIESEL!A:A,ROTAS!B56),0)+IFERROR(AVERAGEIFS(DIESEL!N:N,DIESEL!A:A,ROTAS!B56),0),"")</f>
        <v>559.5</v>
      </c>
      <c r="F56" s="137">
        <f t="shared" si="2"/>
        <v>2.3607594936708862</v>
      </c>
      <c r="J56" s="56" t="str">
        <v xml:space="preserve">ABASTECEU no 22 NORTE DESCARREGOU em TRES CORACOES-MG PASSOU em JACAREI-SP CARREGOU em SANTOS-SP PASSOU em ARUJÁ-SP ABASTECEU no 22 NORTE    </v>
      </c>
      <c r="K56" s="56">
        <v>148</v>
      </c>
    </row>
    <row r="57" spans="1:11" x14ac:dyDescent="0.2">
      <c r="A57" s="122" t="s">
        <v>348</v>
      </c>
      <c r="B57" s="55">
        <f t="shared" si="1"/>
        <v>55</v>
      </c>
      <c r="C57" s="129">
        <f>IF(B57&lt;&gt;"",COUNTIFS(DIESEL!A:A,ROTAS!B57),"")</f>
        <v>3</v>
      </c>
      <c r="D57" s="132">
        <f>IFERROR(IF(A57&lt;&gt;0,AVERAGEIFS(DIESEL!J:J,DIESEL!A:A,ROTAS!B57),""),"")</f>
        <v>372.00766666666664</v>
      </c>
      <c r="E57" s="136">
        <f>IF(B57&lt;&gt;"",IFERROR(AVERAGEIFS(DIESEL!M:M,DIESEL!A:A,ROTAS!B57),0)+IFERROR(AVERAGEIFS(DIESEL!N:N,DIESEL!A:A,ROTAS!B57),0),"")</f>
        <v>480</v>
      </c>
      <c r="F57" s="137">
        <f t="shared" si="2"/>
        <v>1.2902959885235341</v>
      </c>
      <c r="J57" s="56" t="str">
        <v xml:space="preserve">ABASTECEU no 22 NORTE DESCARREGOU em TRES CORACOES-MG PASSOU em SÃO PAULO-SP CARREGOU em CUBATAO-SP PASSOU em ARUJÁ-SP ABASTECEU no 22 NORTE    </v>
      </c>
      <c r="K57" s="56">
        <v>79</v>
      </c>
    </row>
    <row r="58" spans="1:11" x14ac:dyDescent="0.2">
      <c r="A58" s="55" t="s">
        <v>349</v>
      </c>
      <c r="B58" s="55">
        <f t="shared" si="1"/>
        <v>56</v>
      </c>
      <c r="C58" s="129">
        <f>IF(B58&lt;&gt;"",COUNTIFS(DIESEL!A:A,ROTAS!B58),"")</f>
        <v>7</v>
      </c>
      <c r="D58" s="132">
        <f>IFERROR(IF(A58&lt;&gt;0,AVERAGEIFS(DIESEL!J:J,DIESEL!A:A,ROTAS!B58),""),"")</f>
        <v>252.97142857142853</v>
      </c>
      <c r="E58" s="136">
        <f>IF(B58&lt;&gt;"",IFERROR(AVERAGEIFS(DIESEL!M:M,DIESEL!A:A,ROTAS!B58),0)+IFERROR(AVERAGEIFS(DIESEL!N:N,DIESEL!A:A,ROTAS!B58),0),"")</f>
        <v>701.57142857142856</v>
      </c>
      <c r="F58" s="137">
        <f t="shared" si="2"/>
        <v>2.7733227919584373</v>
      </c>
      <c r="J58" s="56" t="str">
        <v xml:space="preserve">ABASTECEU no 22 NORTE DESCARREGOU em TRES CORACOES-MG PASSOU em SÃO PAULO-SP CARREGOU em CUBATAO-SP PASSOU em ARUJÁ-SP ABASTECEU no DP PAULINHO    </v>
      </c>
      <c r="K58" s="56">
        <v>66</v>
      </c>
    </row>
    <row r="59" spans="1:11" x14ac:dyDescent="0.2">
      <c r="A59" s="55" t="s">
        <v>350</v>
      </c>
      <c r="B59" s="55">
        <f t="shared" si="1"/>
        <v>57</v>
      </c>
      <c r="C59" s="129">
        <f>IF(B59&lt;&gt;"",COUNTIFS(DIESEL!A:A,ROTAS!B59),"")</f>
        <v>1</v>
      </c>
      <c r="D59" s="132">
        <f>IFERROR(IF(A59&lt;&gt;0,AVERAGEIFS(DIESEL!J:J,DIESEL!A:A,ROTAS!B59),""),"")</f>
        <v>504.09</v>
      </c>
      <c r="E59" s="136">
        <f>IF(B59&lt;&gt;"",IFERROR(AVERAGEIFS(DIESEL!M:M,DIESEL!A:A,ROTAS!B59),0)+IFERROR(AVERAGEIFS(DIESEL!N:N,DIESEL!A:A,ROTAS!B59),0),"")</f>
        <v>363</v>
      </c>
      <c r="F59" s="137">
        <f t="shared" si="2"/>
        <v>0.7201095042551926</v>
      </c>
      <c r="J59" s="56" t="str">
        <v xml:space="preserve">ABASTECEU no 22 NORTE DESCARREGOU em TRES CORACOES-MG PASSOU em SÃO PAULO-SP CARREGOU em CUBATAO-SP PASSOU em SÃO PAULO-SP ABASTECEU no 22 NORTE    </v>
      </c>
      <c r="K59" s="56">
        <v>71</v>
      </c>
    </row>
    <row r="60" spans="1:11" x14ac:dyDescent="0.2">
      <c r="A60" s="55" t="s">
        <v>351</v>
      </c>
      <c r="B60" s="55">
        <f t="shared" si="1"/>
        <v>58</v>
      </c>
      <c r="C60" s="129">
        <f>IF(B60&lt;&gt;"",COUNTIFS(DIESEL!A:A,ROTAS!B60),"")</f>
        <v>1</v>
      </c>
      <c r="D60" s="132">
        <f>IFERROR(IF(A60&lt;&gt;0,AVERAGEIFS(DIESEL!J:J,DIESEL!A:A,ROTAS!B60),""),"")</f>
        <v>468.43</v>
      </c>
      <c r="E60" s="136">
        <f>IF(B60&lt;&gt;"",IFERROR(AVERAGEIFS(DIESEL!M:M,DIESEL!A:A,ROTAS!B60),0)+IFERROR(AVERAGEIFS(DIESEL!N:N,DIESEL!A:A,ROTAS!B60),0),"")</f>
        <v>871</v>
      </c>
      <c r="F60" s="137">
        <f t="shared" si="2"/>
        <v>1.8594026855666801</v>
      </c>
      <c r="J60" s="56" t="str">
        <v xml:space="preserve">ABASTECEU no 22 NORTE DESCARREGOU em TRES CORACOES-MG PASSOU em SÃO PAULO-SP CARREGOU em CUBATAO-SP PASSOU em SÃO PAULO-SP ABASTECEU no DP PAULINHO    </v>
      </c>
      <c r="K60" s="56">
        <v>65</v>
      </c>
    </row>
    <row r="61" spans="1:11" x14ac:dyDescent="0.2">
      <c r="A61" s="134" t="s">
        <v>352</v>
      </c>
      <c r="B61" s="55">
        <f t="shared" si="1"/>
        <v>59</v>
      </c>
      <c r="C61" s="129">
        <f>IF(B61&lt;&gt;"",COUNTIFS(DIESEL!A:A,ROTAS!B61),"")</f>
        <v>6</v>
      </c>
      <c r="D61" s="132">
        <f>IFERROR(IF(A61&lt;&gt;0,AVERAGEIFS(DIESEL!J:J,DIESEL!A:A,ROTAS!B61),""),"")</f>
        <v>462.10716666666667</v>
      </c>
      <c r="E61" s="136">
        <f>IF(B61&lt;&gt;"",IFERROR(AVERAGEIFS(DIESEL!M:M,DIESEL!A:A,ROTAS!B61),0)+IFERROR(AVERAGEIFS(DIESEL!N:N,DIESEL!A:A,ROTAS!B61),0),"")</f>
        <v>783.16666666666674</v>
      </c>
      <c r="F61" s="137">
        <f t="shared" si="2"/>
        <v>1.6947728214559179</v>
      </c>
      <c r="J61" s="56" t="str">
        <v xml:space="preserve">ABASTECEU no 22 NORTE DESCARREGOU em TRES CORACOES-MG PASSOU em SÃO PAULO-SP CARREGOU em SANTOS-SP PASSOU em ARUJÁ-SP ABASTECEU no 22 NORTE    </v>
      </c>
      <c r="K61" s="56">
        <v>152</v>
      </c>
    </row>
    <row r="62" spans="1:11" x14ac:dyDescent="0.2">
      <c r="A62" s="55" t="s">
        <v>353</v>
      </c>
      <c r="B62" s="55">
        <f t="shared" si="1"/>
        <v>60</v>
      </c>
      <c r="C62" s="129">
        <f>IF(B62&lt;&gt;"",COUNTIFS(DIESEL!A:A,ROTAS!B62),"")</f>
        <v>1</v>
      </c>
      <c r="D62" s="132">
        <f>IFERROR(IF(A62&lt;&gt;0,AVERAGEIFS(DIESEL!J:J,DIESEL!A:A,ROTAS!B62),""),"")</f>
        <v>540</v>
      </c>
      <c r="E62" s="136">
        <f>IF(B62&lt;&gt;"",IFERROR(AVERAGEIFS(DIESEL!M:M,DIESEL!A:A,ROTAS!B62),0)+IFERROR(AVERAGEIFS(DIESEL!N:N,DIESEL!A:A,ROTAS!B62),0),"")</f>
        <v>937</v>
      </c>
      <c r="F62" s="137">
        <f t="shared" si="2"/>
        <v>1.7351851851851852</v>
      </c>
      <c r="J62" s="56" t="str">
        <v xml:space="preserve">ABASTECEU no 22 NORTE DESCARREGOU em TRES CORACOES-MG PASSOU em SÃO PAULO-SP CARREGOU em SANTOS-SP PASSOU em SÃO PAULO-SP ABASTECEU no 22 NORTE    </v>
      </c>
      <c r="K62" s="56">
        <v>53</v>
      </c>
    </row>
    <row r="63" spans="1:11" x14ac:dyDescent="0.2">
      <c r="A63" s="55" t="s">
        <v>354</v>
      </c>
      <c r="B63" s="55">
        <f t="shared" si="1"/>
        <v>61</v>
      </c>
      <c r="C63" s="129">
        <f>IF(B63&lt;&gt;"",COUNTIFS(DIESEL!A:A,ROTAS!B63),"")</f>
        <v>1</v>
      </c>
      <c r="D63" s="132">
        <f>IFERROR(IF(A63&lt;&gt;0,AVERAGEIFS(DIESEL!J:J,DIESEL!A:A,ROTAS!B63),""),"")</f>
        <v>708.01099999999997</v>
      </c>
      <c r="E63" s="136">
        <f>IF(B63&lt;&gt;"",IFERROR(AVERAGEIFS(DIESEL!M:M,DIESEL!A:A,ROTAS!B63),0)+IFERROR(AVERAGEIFS(DIESEL!N:N,DIESEL!A:A,ROTAS!B63),0),"")</f>
        <v>708</v>
      </c>
      <c r="F63" s="137">
        <f t="shared" si="2"/>
        <v>0.99998446351822223</v>
      </c>
      <c r="J63" s="56" t="str">
        <v xml:space="preserve">ABASTECEU no 22 NORTE DESCARREGOU em VARGINHA-MG ABASTECEU no 22 SUL          </v>
      </c>
      <c r="K63" s="56">
        <v>101</v>
      </c>
    </row>
    <row r="64" spans="1:11" x14ac:dyDescent="0.2">
      <c r="A64" s="134" t="s">
        <v>355</v>
      </c>
      <c r="B64" s="55">
        <f t="shared" si="1"/>
        <v>62</v>
      </c>
      <c r="C64" s="129">
        <f>IF(B64&lt;&gt;"",COUNTIFS(DIESEL!A:A,ROTAS!B64),"")</f>
        <v>1</v>
      </c>
      <c r="D64" s="132">
        <f>IFERROR(IF(A64&lt;&gt;0,AVERAGEIFS(DIESEL!J:J,DIESEL!A:A,ROTAS!B64),""),"")</f>
        <v>351.9</v>
      </c>
      <c r="E64" s="136">
        <f>IF(B64&lt;&gt;"",IFERROR(AVERAGEIFS(DIESEL!M:M,DIESEL!A:A,ROTAS!B64),0)+IFERROR(AVERAGEIFS(DIESEL!N:N,DIESEL!A:A,ROTAS!B64),0),"")</f>
        <v>532</v>
      </c>
      <c r="F64" s="137">
        <f t="shared" si="2"/>
        <v>1.51179312304632</v>
      </c>
      <c r="J64" s="56" t="str">
        <v xml:space="preserve">ABASTECEU no 22 NORTE DESCARREGOU em VARGINHA-MG ABASTECEU no CANDEIAS-MG          </v>
      </c>
      <c r="K64" s="56">
        <v>97</v>
      </c>
    </row>
    <row r="65" spans="1:11" x14ac:dyDescent="0.2">
      <c r="A65" s="55" t="s">
        <v>356</v>
      </c>
      <c r="B65" s="55">
        <f t="shared" si="1"/>
        <v>63</v>
      </c>
      <c r="C65" s="129">
        <f>IF(B65&lt;&gt;"",COUNTIFS(DIESEL!A:A,ROTAS!B65),"")</f>
        <v>1</v>
      </c>
      <c r="D65" s="132">
        <f>IFERROR(IF(A65&lt;&gt;0,AVERAGEIFS(DIESEL!J:J,DIESEL!A:A,ROTAS!B65),""),"")</f>
        <v>505.02</v>
      </c>
      <c r="E65" s="136">
        <f>IF(B65&lt;&gt;"",IFERROR(AVERAGEIFS(DIESEL!M:M,DIESEL!A:A,ROTAS!B65),0)+IFERROR(AVERAGEIFS(DIESEL!N:N,DIESEL!A:A,ROTAS!B65),0),"")</f>
        <v>893</v>
      </c>
      <c r="F65" s="137">
        <f t="shared" si="2"/>
        <v>1.7682468021068474</v>
      </c>
      <c r="J65" s="56" t="str">
        <v xml:space="preserve">ABASTECEU no 22 NORTE DESCARREGOU em VARGINHA-MG ABASTECEU no DP JK SUL          </v>
      </c>
      <c r="K65" s="56">
        <v>89</v>
      </c>
    </row>
    <row r="66" spans="1:11" x14ac:dyDescent="0.2">
      <c r="A66" s="55" t="s">
        <v>357</v>
      </c>
      <c r="B66" s="55">
        <f t="shared" si="1"/>
        <v>64</v>
      </c>
      <c r="C66" s="129">
        <f>IF(B66&lt;&gt;"",COUNTIFS(DIESEL!A:A,ROTAS!B66),"")</f>
        <v>2</v>
      </c>
      <c r="D66" s="132">
        <f>IFERROR(IF(A66&lt;&gt;0,AVERAGEIFS(DIESEL!J:J,DIESEL!A:A,ROTAS!B66),""),"")</f>
        <v>668.5</v>
      </c>
      <c r="E66" s="136">
        <f>IF(B66&lt;&gt;"",IFERROR(AVERAGEIFS(DIESEL!M:M,DIESEL!A:A,ROTAS!B66),0)+IFERROR(AVERAGEIFS(DIESEL!N:N,DIESEL!A:A,ROTAS!B66),0),"")</f>
        <v>994.5</v>
      </c>
      <c r="F66" s="137">
        <f t="shared" si="2"/>
        <v>1.4876589379207181</v>
      </c>
      <c r="J66" s="56" t="str">
        <v xml:space="preserve">ABASTECEU no 22 NORTE DESCARREGOU em VARGINHA-MG CARREGOU em ALFENAS-MG DESCARREGOU em UBERABA-MG ABASTECEU no PRODOESTE UBA      </v>
      </c>
      <c r="K66" s="56">
        <v>40</v>
      </c>
    </row>
    <row r="67" spans="1:11" x14ac:dyDescent="0.2">
      <c r="A67" s="55" t="s">
        <v>358</v>
      </c>
      <c r="B67" s="55">
        <f t="shared" si="1"/>
        <v>65</v>
      </c>
      <c r="C67" s="129">
        <f>IF(B67&lt;&gt;"",COUNTIFS(DIESEL!A:A,ROTAS!B67),"")</f>
        <v>1</v>
      </c>
      <c r="D67" s="132">
        <f>IFERROR(IF(A67&lt;&gt;0,AVERAGEIFS(DIESEL!J:J,DIESEL!A:A,ROTAS!B67),""),"")</f>
        <v>400</v>
      </c>
      <c r="E67" s="136">
        <f>IF(B67&lt;&gt;"",IFERROR(AVERAGEIFS(DIESEL!M:M,DIESEL!A:A,ROTAS!B67),0)+IFERROR(AVERAGEIFS(DIESEL!N:N,DIESEL!A:A,ROTAS!B67),0),"")</f>
        <v>828</v>
      </c>
      <c r="F67" s="137">
        <f t="shared" si="2"/>
        <v>2.0699999999999998</v>
      </c>
      <c r="J67" s="56" t="str">
        <v xml:space="preserve">ABASTECEU no 22 NORTE DESCARREGOU em VARGINHA-MG CARREGOU em CORREGO FUNDO-MG ABASTECEU no CANDEIAS-MG        </v>
      </c>
      <c r="K67" s="56">
        <v>54</v>
      </c>
    </row>
    <row r="68" spans="1:11" x14ac:dyDescent="0.2">
      <c r="A68" s="55" t="s">
        <v>359</v>
      </c>
      <c r="B68" s="55">
        <f t="shared" ref="B68:B131" si="3">IF(A68&lt;&gt;"",B67+1,"")</f>
        <v>66</v>
      </c>
      <c r="C68" s="129">
        <f>IF(B68&lt;&gt;"",COUNTIFS(DIESEL!A:A,ROTAS!B68),"")</f>
        <v>1</v>
      </c>
      <c r="D68" s="132">
        <f>IFERROR(IF(A68&lt;&gt;0,AVERAGEIFS(DIESEL!J:J,DIESEL!A:A,ROTAS!B68),""),"")</f>
        <v>453.87</v>
      </c>
      <c r="E68" s="136">
        <f>IF(B68&lt;&gt;"",IFERROR(AVERAGEIFS(DIESEL!M:M,DIESEL!A:A,ROTAS!B68),0)+IFERROR(AVERAGEIFS(DIESEL!N:N,DIESEL!A:A,ROTAS!B68),0),"")</f>
        <v>848</v>
      </c>
      <c r="F68" s="137">
        <f t="shared" si="2"/>
        <v>1.8683764073413092</v>
      </c>
      <c r="J68" s="56" t="str">
        <v xml:space="preserve">ABASTECEU no 22 NORTE DESCARREGOU em VARGINHA-MG CARREGOU em FORMIGA-MG DESCARREGOU em CONTAGEM-MG ABASTECEU no CANDEIAS-MG      </v>
      </c>
      <c r="K68" s="56">
        <v>95</v>
      </c>
    </row>
    <row r="69" spans="1:11" x14ac:dyDescent="0.2">
      <c r="A69" s="55" t="s">
        <v>360</v>
      </c>
      <c r="B69" s="55">
        <f t="shared" si="3"/>
        <v>67</v>
      </c>
      <c r="C69" s="129">
        <f>IF(B69&lt;&gt;"",COUNTIFS(DIESEL!A:A,ROTAS!B69),"")</f>
        <v>1</v>
      </c>
      <c r="D69" s="132">
        <f>IFERROR(IF(A69&lt;&gt;0,AVERAGEIFS(DIESEL!J:J,DIESEL!A:A,ROTAS!B69),""),"")</f>
        <v>509.44443999999999</v>
      </c>
      <c r="E69" s="136">
        <f>IF(B69&lt;&gt;"",IFERROR(AVERAGEIFS(DIESEL!M:M,DIESEL!A:A,ROTAS!B69),0)+IFERROR(AVERAGEIFS(DIESEL!N:N,DIESEL!A:A,ROTAS!B69),0),"")</f>
        <v>777</v>
      </c>
      <c r="F69" s="137">
        <f t="shared" si="2"/>
        <v>1.5251908530005744</v>
      </c>
      <c r="J69" s="56" t="str">
        <v xml:space="preserve">ABASTECEU no 22 NORTE DESCARREGOU em VARGINHA-MG CARREGOU em LAGOA DA PRATA-MG ABASTECEU no CANDEIAS-MG        </v>
      </c>
      <c r="K69" s="56">
        <v>80</v>
      </c>
    </row>
    <row r="70" spans="1:11" x14ac:dyDescent="0.2">
      <c r="A70" s="55" t="s">
        <v>361</v>
      </c>
      <c r="B70" s="55">
        <f t="shared" si="3"/>
        <v>68</v>
      </c>
      <c r="C70" s="129">
        <f>IF(B70&lt;&gt;"",COUNTIFS(DIESEL!A:A,ROTAS!B70),"")</f>
        <v>1</v>
      </c>
      <c r="D70" s="132">
        <f>IFERROR(IF(A70&lt;&gt;0,AVERAGEIFS(DIESEL!J:J,DIESEL!A:A,ROTAS!B70),""),"")</f>
        <v>557</v>
      </c>
      <c r="E70" s="136">
        <f>IF(B70&lt;&gt;"",IFERROR(AVERAGEIFS(DIESEL!M:M,DIESEL!A:A,ROTAS!B70),0)+IFERROR(AVERAGEIFS(DIESEL!N:N,DIESEL!A:A,ROTAS!B70),0),"")</f>
        <v>705</v>
      </c>
      <c r="F70" s="137">
        <f t="shared" si="2"/>
        <v>1.2657091561938958</v>
      </c>
      <c r="J70" s="56" t="str">
        <v xml:space="preserve">ABASTECEU no 22 NORTE DESCARREGOU em VARGINHA-MG CARREGOU em SÃO GOTARDO-MG ABASTECEU no CANDEIAS-MG        </v>
      </c>
      <c r="K70" s="56">
        <v>99</v>
      </c>
    </row>
    <row r="71" spans="1:11" x14ac:dyDescent="0.2">
      <c r="A71" s="55" t="s">
        <v>362</v>
      </c>
      <c r="B71" s="55">
        <f t="shared" si="3"/>
        <v>69</v>
      </c>
      <c r="C71" s="129">
        <f>IF(B71&lt;&gt;"",COUNTIFS(DIESEL!A:A,ROTAS!B71),"")</f>
        <v>1</v>
      </c>
      <c r="D71" s="132">
        <f>IFERROR(IF(A71&lt;&gt;0,AVERAGEIFS(DIESEL!J:J,DIESEL!A:A,ROTAS!B71),""),"")</f>
        <v>173</v>
      </c>
      <c r="E71" s="136">
        <f>IF(B71&lt;&gt;"",IFERROR(AVERAGEIFS(DIESEL!M:M,DIESEL!A:A,ROTAS!B71),0)+IFERROR(AVERAGEIFS(DIESEL!N:N,DIESEL!A:A,ROTAS!B71),0),"")</f>
        <v>292</v>
      </c>
      <c r="F71" s="137">
        <f t="shared" si="2"/>
        <v>1.6878612716763006</v>
      </c>
      <c r="J71" s="56" t="str">
        <v xml:space="preserve">ABASTECEU no 22 NORTE DESCARREGOU em VARGINHA-MG PASSOU em ARUJÁ-SP CARREGOU em CUBATAO-SP PASSOU em ARUJÁ-SP ABASTECEU no 22 NORTE    </v>
      </c>
      <c r="K71" s="56">
        <v>58</v>
      </c>
    </row>
    <row r="72" spans="1:11" x14ac:dyDescent="0.2">
      <c r="A72" s="55" t="s">
        <v>363</v>
      </c>
      <c r="B72" s="55">
        <f t="shared" si="3"/>
        <v>70</v>
      </c>
      <c r="C72" s="129">
        <f>IF(B72&lt;&gt;"",COUNTIFS(DIESEL!A:A,ROTAS!B72),"")</f>
        <v>1</v>
      </c>
      <c r="D72" s="132">
        <f>IFERROR(IF(A72&lt;&gt;0,AVERAGEIFS(DIESEL!J:J,DIESEL!A:A,ROTAS!B72),""),"")</f>
        <v>361.64</v>
      </c>
      <c r="E72" s="136">
        <f>IF(B72&lt;&gt;"",IFERROR(AVERAGEIFS(DIESEL!M:M,DIESEL!A:A,ROTAS!B72),0)+IFERROR(AVERAGEIFS(DIESEL!N:N,DIESEL!A:A,ROTAS!B72),0),"")</f>
        <v>622</v>
      </c>
      <c r="F72" s="137">
        <f t="shared" si="2"/>
        <v>1.7199424842384692</v>
      </c>
      <c r="J72" s="56" t="str">
        <v xml:space="preserve">ABASTECEU no 22 NORTE DESCARREGOU em VARGINHA-MG PASSOU em ARUJÁ-SP CARREGOU em CUBATAO-SP PASSOU em SÃO PAULO-SP ABASTECEU no 22 NORTE    </v>
      </c>
      <c r="K72" s="56">
        <v>46</v>
      </c>
    </row>
    <row r="73" spans="1:11" x14ac:dyDescent="0.2">
      <c r="A73" s="55" t="s">
        <v>364</v>
      </c>
      <c r="B73" s="55">
        <f t="shared" si="3"/>
        <v>71</v>
      </c>
      <c r="C73" s="129">
        <f>IF(B73&lt;&gt;"",COUNTIFS(DIESEL!A:A,ROTAS!B73),"")</f>
        <v>5</v>
      </c>
      <c r="D73" s="132">
        <f>IFERROR(IF(A73&lt;&gt;0,AVERAGEIFS(DIESEL!J:J,DIESEL!A:A,ROTAS!B73),""),"")</f>
        <v>459.00020000000006</v>
      </c>
      <c r="E73" s="136">
        <f>IF(B73&lt;&gt;"",IFERROR(AVERAGEIFS(DIESEL!M:M,DIESEL!A:A,ROTAS!B73),0)+IFERROR(AVERAGEIFS(DIESEL!N:N,DIESEL!A:A,ROTAS!B73),0),"")</f>
        <v>737.6</v>
      </c>
      <c r="F73" s="137">
        <f t="shared" si="2"/>
        <v>1.6069709773546939</v>
      </c>
      <c r="J73" s="56" t="str">
        <v xml:space="preserve">ABASTECEU no 22 NORTE DESCARREGOU em VARGINHA-MG PASSOU em ARUJÁ-SP CARREGOU em SANTOS-SP PASSOU em SÃO PAULO-SP ABASTECEU no 22 NORTE    </v>
      </c>
      <c r="K73" s="56">
        <v>156</v>
      </c>
    </row>
    <row r="74" spans="1:11" x14ac:dyDescent="0.2">
      <c r="A74" s="55" t="s">
        <v>365</v>
      </c>
      <c r="B74" s="55">
        <f t="shared" si="3"/>
        <v>72</v>
      </c>
      <c r="C74" s="129">
        <f>IF(B74&lt;&gt;"",COUNTIFS(DIESEL!A:A,ROTAS!B74),"")</f>
        <v>1</v>
      </c>
      <c r="D74" s="132">
        <f>IFERROR(IF(A74&lt;&gt;0,AVERAGEIFS(DIESEL!J:J,DIESEL!A:A,ROTAS!B74),""),"")</f>
        <v>527</v>
      </c>
      <c r="E74" s="136">
        <f>IF(B74&lt;&gt;"",IFERROR(AVERAGEIFS(DIESEL!M:M,DIESEL!A:A,ROTAS!B74),0)+IFERROR(AVERAGEIFS(DIESEL!N:N,DIESEL!A:A,ROTAS!B74),0),"")</f>
        <v>959</v>
      </c>
      <c r="F74" s="137">
        <f t="shared" si="2"/>
        <v>1.8197343453510437</v>
      </c>
      <c r="J74" s="56" t="str">
        <v xml:space="preserve">ABASTECEU no 22 NORTE DESCARREGOU em VARGINHA-MG PASSOU em CANDEIAS-MG ABASTECEU no DP JK SUL        </v>
      </c>
      <c r="K74" s="56">
        <v>76</v>
      </c>
    </row>
    <row r="75" spans="1:11" x14ac:dyDescent="0.2">
      <c r="A75" s="55" t="s">
        <v>366</v>
      </c>
      <c r="B75" s="55">
        <f t="shared" si="3"/>
        <v>73</v>
      </c>
      <c r="C75" s="129">
        <f>IF(B75&lt;&gt;"",COUNTIFS(DIESEL!A:A,ROTAS!B75),"")</f>
        <v>2</v>
      </c>
      <c r="D75" s="132">
        <f>IFERROR(IF(A75&lt;&gt;0,AVERAGEIFS(DIESEL!J:J,DIESEL!A:A,ROTAS!B75),""),"")</f>
        <v>249.005</v>
      </c>
      <c r="E75" s="136">
        <f>IF(B75&lt;&gt;"",IFERROR(AVERAGEIFS(DIESEL!M:M,DIESEL!A:A,ROTAS!B75),0)+IFERROR(AVERAGEIFS(DIESEL!N:N,DIESEL!A:A,ROTAS!B75),0),"")</f>
        <v>416.5</v>
      </c>
      <c r="F75" s="137">
        <f t="shared" si="2"/>
        <v>1.6726571755587238</v>
      </c>
      <c r="J75" s="56" t="str">
        <v xml:space="preserve">ABASTECEU no 22 NORTE DESCARREGOU em VARGINHA-MG PASSOU em FORMIGA-MG ABASTECEU no CANDEIAS-MG        </v>
      </c>
      <c r="K75" s="56">
        <v>98</v>
      </c>
    </row>
    <row r="76" spans="1:11" x14ac:dyDescent="0.2">
      <c r="A76" s="134" t="s">
        <v>367</v>
      </c>
      <c r="B76" s="55">
        <f t="shared" si="3"/>
        <v>74</v>
      </c>
      <c r="C76" s="129">
        <f>IF(B76&lt;&gt;"",COUNTIFS(DIESEL!A:A,ROTAS!B76),"")</f>
        <v>3</v>
      </c>
      <c r="D76" s="132">
        <f>IFERROR(IF(A76&lt;&gt;0,AVERAGEIFS(DIESEL!J:J,DIESEL!A:A,ROTAS!B76),""),"")</f>
        <v>463</v>
      </c>
      <c r="E76" s="136">
        <f>IF(B76&lt;&gt;"",IFERROR(AVERAGEIFS(DIESEL!M:M,DIESEL!A:A,ROTAS!B76),0)+IFERROR(AVERAGEIFS(DIESEL!N:N,DIESEL!A:A,ROTAS!B76),0),"")</f>
        <v>1212.6666666666665</v>
      </c>
      <c r="F76" s="137">
        <f t="shared" si="2"/>
        <v>2.6191504679625628</v>
      </c>
      <c r="J76" s="56" t="str">
        <v xml:space="preserve">ABASTECEU no 22 NORTE DESCARREGOU em VARGINHA-MG PASSOU em FORMIGA-MG ABASTECEU no DP JK SUL        </v>
      </c>
      <c r="K76" s="56">
        <v>77</v>
      </c>
    </row>
    <row r="77" spans="1:11" x14ac:dyDescent="0.2">
      <c r="A77" s="55" t="s">
        <v>368</v>
      </c>
      <c r="B77" s="55">
        <f t="shared" si="3"/>
        <v>75</v>
      </c>
      <c r="C77" s="129">
        <f>IF(B77&lt;&gt;"",COUNTIFS(DIESEL!A:A,ROTAS!B77),"")</f>
        <v>3</v>
      </c>
      <c r="D77" s="132">
        <f>IFERROR(IF(A77&lt;&gt;0,AVERAGEIFS(DIESEL!J:J,DIESEL!A:A,ROTAS!B77),""),"")</f>
        <v>524.13066666666668</v>
      </c>
      <c r="E77" s="136">
        <f>IF(B77&lt;&gt;"",IFERROR(AVERAGEIFS(DIESEL!M:M,DIESEL!A:A,ROTAS!B77),0)+IFERROR(AVERAGEIFS(DIESEL!N:N,DIESEL!A:A,ROTAS!B77),0),"")</f>
        <v>452.66666666666669</v>
      </c>
      <c r="F77" s="137">
        <f t="shared" si="2"/>
        <v>0.86365232079532328</v>
      </c>
      <c r="J77" s="56" t="str">
        <v xml:space="preserve">ABASTECEU no 22 NORTE DESCARREGOU em VARGINHA-MG PASSOU em SÃO PAULO-SP CARREGOU em CUBATAO-SP PASSOU em ARUJÁ-SP ABASTECEU no 22 NORTE    </v>
      </c>
      <c r="K77" s="56">
        <v>48</v>
      </c>
    </row>
    <row r="78" spans="1:11" x14ac:dyDescent="0.2">
      <c r="A78" s="55" t="s">
        <v>369</v>
      </c>
      <c r="B78" s="55">
        <f t="shared" si="3"/>
        <v>76</v>
      </c>
      <c r="C78" s="129">
        <f>IF(B78&lt;&gt;"",COUNTIFS(DIESEL!A:A,ROTAS!B78),"")</f>
        <v>1</v>
      </c>
      <c r="D78" s="132">
        <f>IFERROR(IF(A78&lt;&gt;0,AVERAGEIFS(DIESEL!J:J,DIESEL!A:A,ROTAS!B78),""),"")</f>
        <v>328</v>
      </c>
      <c r="E78" s="136">
        <f>IF(B78&lt;&gt;"",IFERROR(AVERAGEIFS(DIESEL!M:M,DIESEL!A:A,ROTAS!B78),0)+IFERROR(AVERAGEIFS(DIESEL!N:N,DIESEL!A:A,ROTAS!B78),0),"")</f>
        <v>715</v>
      </c>
      <c r="F78" s="137">
        <f t="shared" si="2"/>
        <v>2.1798780487804876</v>
      </c>
      <c r="J78" s="56" t="str">
        <v xml:space="preserve">ABASTECEU no 22 NORTE DESCARREGOU em VARGINHA-MG PASSOU em SÃO PAULO-SP CARREGOU em CUBATAO-SP PASSOU em ARUJÁ-SP ABASTECEU no DP PA NORTE    </v>
      </c>
      <c r="K78" s="56">
        <v>85</v>
      </c>
    </row>
    <row r="79" spans="1:11" x14ac:dyDescent="0.2">
      <c r="A79" s="55" t="s">
        <v>370</v>
      </c>
      <c r="B79" s="55">
        <f t="shared" si="3"/>
        <v>77</v>
      </c>
      <c r="C79" s="129">
        <f>IF(B79&lt;&gt;"",COUNTIFS(DIESEL!A:A,ROTAS!B79),"")</f>
        <v>1</v>
      </c>
      <c r="D79" s="132">
        <f>IFERROR(IF(A79&lt;&gt;0,AVERAGEIFS(DIESEL!J:J,DIESEL!A:A,ROTAS!B79),""),"")</f>
        <v>361.06</v>
      </c>
      <c r="E79" s="136">
        <f>IF(B79&lt;&gt;"",IFERROR(AVERAGEIFS(DIESEL!M:M,DIESEL!A:A,ROTAS!B79),0)+IFERROR(AVERAGEIFS(DIESEL!N:N,DIESEL!A:A,ROTAS!B79),0),"")</f>
        <v>845</v>
      </c>
      <c r="F79" s="137">
        <f t="shared" si="2"/>
        <v>2.3403312468841744</v>
      </c>
      <c r="J79" s="56" t="str">
        <v xml:space="preserve">ABASTECEU no 22 NORTE DESCARREGOU em VARGINHA-MG PASSOU em SÃO PAULO-SP CARREGOU em CUBATAO-SP PASSOU em ARUJÁ-SP ABASTECEU no DP PAULINHO    </v>
      </c>
      <c r="K79" s="56">
        <v>82</v>
      </c>
    </row>
    <row r="80" spans="1:11" x14ac:dyDescent="0.2">
      <c r="A80" s="55" t="s">
        <v>371</v>
      </c>
      <c r="B80" s="55">
        <f t="shared" si="3"/>
        <v>78</v>
      </c>
      <c r="C80" s="129">
        <f>IF(B80&lt;&gt;"",COUNTIFS(DIESEL!A:A,ROTAS!B80),"")</f>
        <v>3</v>
      </c>
      <c r="D80" s="132">
        <f>IFERROR(IF(A80&lt;&gt;0,AVERAGEIFS(DIESEL!J:J,DIESEL!A:A,ROTAS!B80),""),"")</f>
        <v>359.1466666666667</v>
      </c>
      <c r="E80" s="136">
        <f>IF(B80&lt;&gt;"",IFERROR(AVERAGEIFS(DIESEL!M:M,DIESEL!A:A,ROTAS!B80),0)+IFERROR(AVERAGEIFS(DIESEL!N:N,DIESEL!A:A,ROTAS!B80),0),"")</f>
        <v>477.66666666666669</v>
      </c>
      <c r="F80" s="137">
        <f t="shared" si="2"/>
        <v>1.330004455004455</v>
      </c>
      <c r="J80" s="56" t="str">
        <v xml:space="preserve">ABASTECEU no 22 NORTE DESCARREGOU em VARGINHA-MG PASSOU em SÃO PAULO-SP CARREGOU em CUBATAO-SP PASSOU em SÃO PAULO-SP ABASTECEU no 22 NORTE    </v>
      </c>
      <c r="K80" s="56">
        <v>49</v>
      </c>
    </row>
    <row r="81" spans="1:11" x14ac:dyDescent="0.2">
      <c r="A81" s="55" t="s">
        <v>372</v>
      </c>
      <c r="B81" s="55">
        <f t="shared" si="3"/>
        <v>79</v>
      </c>
      <c r="C81" s="129">
        <f>IF(B81&lt;&gt;"",COUNTIFS(DIESEL!A:A,ROTAS!B81),"")</f>
        <v>5</v>
      </c>
      <c r="D81" s="132">
        <f>IFERROR(IF(A81&lt;&gt;0,AVERAGEIFS(DIESEL!J:J,DIESEL!A:A,ROTAS!B81),""),"")</f>
        <v>474.65419999999995</v>
      </c>
      <c r="E81" s="136">
        <f>IF(B81&lt;&gt;"",IFERROR(AVERAGEIFS(DIESEL!M:M,DIESEL!A:A,ROTAS!B81),0)+IFERROR(AVERAGEIFS(DIESEL!N:N,DIESEL!A:A,ROTAS!B81),0),"")</f>
        <v>807</v>
      </c>
      <c r="F81" s="137">
        <f t="shared" si="2"/>
        <v>1.700185103176165</v>
      </c>
      <c r="J81" s="56" t="str">
        <v xml:space="preserve">ABASTECEU no 22 NORTE DESCARREGOU em VARGINHA-MG PASSOU em SÃO PAULO-SP CARREGOU em GUARUJA-SP PASSOU em SÃO PAULO-SP ABASTECEU no 22 NORTE    </v>
      </c>
      <c r="K81" s="56">
        <v>116</v>
      </c>
    </row>
    <row r="82" spans="1:11" x14ac:dyDescent="0.2">
      <c r="A82" s="55" t="s">
        <v>373</v>
      </c>
      <c r="B82" s="55">
        <f t="shared" si="3"/>
        <v>80</v>
      </c>
      <c r="C82" s="129">
        <f>IF(B82&lt;&gt;"",COUNTIFS(DIESEL!A:A,ROTAS!B82),"")</f>
        <v>1</v>
      </c>
      <c r="D82" s="132">
        <f>IFERROR(IF(A82&lt;&gt;0,AVERAGEIFS(DIESEL!J:J,DIESEL!A:A,ROTAS!B82),""),"")</f>
        <v>418.3</v>
      </c>
      <c r="E82" s="136">
        <f>IF(B82&lt;&gt;"",IFERROR(AVERAGEIFS(DIESEL!M:M,DIESEL!A:A,ROTAS!B82),0)+IFERROR(AVERAGEIFS(DIESEL!N:N,DIESEL!A:A,ROTAS!B82),0),"")</f>
        <v>622</v>
      </c>
      <c r="F82" s="137">
        <f t="shared" si="2"/>
        <v>1.4869710733923021</v>
      </c>
      <c r="J82" s="56" t="str">
        <v xml:space="preserve">ABASTECEU no 22 NORTE DESCARREGOU em VARGINHA-MG PASSOU em SÃO PAULO-SP CARREGOU em SANTOS-SP PASSOU em ARUJÁ-SP ABASTECEU no 22 NORTE    </v>
      </c>
      <c r="K82" s="56">
        <v>155</v>
      </c>
    </row>
    <row r="83" spans="1:11" x14ac:dyDescent="0.2">
      <c r="A83" s="55" t="s">
        <v>374</v>
      </c>
      <c r="B83" s="55">
        <f t="shared" si="3"/>
        <v>81</v>
      </c>
      <c r="C83" s="129">
        <f>IF(B83&lt;&gt;"",COUNTIFS(DIESEL!A:A,ROTAS!B83),"")</f>
        <v>1</v>
      </c>
      <c r="D83" s="132">
        <f>IFERROR(IF(A83&lt;&gt;0,AVERAGEIFS(DIESEL!J:J,DIESEL!A:A,ROTAS!B83),""),"")</f>
        <v>367.2</v>
      </c>
      <c r="E83" s="136">
        <f>IF(B83&lt;&gt;"",IFERROR(AVERAGEIFS(DIESEL!M:M,DIESEL!A:A,ROTAS!B83),0)+IFERROR(AVERAGEIFS(DIESEL!N:N,DIESEL!A:A,ROTAS!B83),0),"")</f>
        <v>554</v>
      </c>
      <c r="F83" s="137">
        <f t="shared" si="2"/>
        <v>1.5087145969498912</v>
      </c>
      <c r="J83" s="56" t="str">
        <v xml:space="preserve">ABASTECEU no 22 SUL CARREGOU em SANTOS-SP PASSOU em JACAREI-SP DESCARREGOU em CONGONHAL-MG ABASTECEU no 22 SUL      </v>
      </c>
      <c r="K83" s="56">
        <v>149</v>
      </c>
    </row>
    <row r="84" spans="1:11" x14ac:dyDescent="0.2">
      <c r="A84" s="55" t="s">
        <v>375</v>
      </c>
      <c r="B84" s="55">
        <f t="shared" si="3"/>
        <v>82</v>
      </c>
      <c r="C84" s="129">
        <f>IF(B84&lt;&gt;"",COUNTIFS(DIESEL!A:A,ROTAS!B84),"")</f>
        <v>1</v>
      </c>
      <c r="D84" s="132">
        <f>IFERROR(IF(A84&lt;&gt;0,AVERAGEIFS(DIESEL!J:J,DIESEL!A:A,ROTAS!B84),""),"")</f>
        <v>550.22</v>
      </c>
      <c r="E84" s="136">
        <f>IF(B84&lt;&gt;"",IFERROR(AVERAGEIFS(DIESEL!M:M,DIESEL!A:A,ROTAS!B84),0)+IFERROR(AVERAGEIFS(DIESEL!N:N,DIESEL!A:A,ROTAS!B84),0),"")</f>
        <v>895</v>
      </c>
      <c r="F84" s="137">
        <f t="shared" si="2"/>
        <v>1.6266220784413508</v>
      </c>
      <c r="J84" s="56" t="str">
        <v xml:space="preserve">ABASTECEU no 22 SUL PASSOU em ARUJÁ-SP CARREGOU em CUBATAO-SP PASSOU em ARUJÁ-SP ABASTECEU no 22 NORTE      </v>
      </c>
      <c r="K84" s="56">
        <v>110</v>
      </c>
    </row>
    <row r="85" spans="1:11" x14ac:dyDescent="0.2">
      <c r="A85" s="55" t="s">
        <v>376</v>
      </c>
      <c r="B85" s="55">
        <f t="shared" si="3"/>
        <v>83</v>
      </c>
      <c r="C85" s="129">
        <f>IF(B85&lt;&gt;"",COUNTIFS(DIESEL!A:A,ROTAS!B85),"")</f>
        <v>2</v>
      </c>
      <c r="D85" s="132">
        <f>IFERROR(IF(A85&lt;&gt;0,AVERAGEIFS(DIESEL!J:J,DIESEL!A:A,ROTAS!B85),""),"")</f>
        <v>499.505</v>
      </c>
      <c r="E85" s="136">
        <f>IF(B85&lt;&gt;"",IFERROR(AVERAGEIFS(DIESEL!M:M,DIESEL!A:A,ROTAS!B85),0)+IFERROR(AVERAGEIFS(DIESEL!N:N,DIESEL!A:A,ROTAS!B85),0),"")</f>
        <v>816</v>
      </c>
      <c r="F85" s="137">
        <f t="shared" si="2"/>
        <v>1.6336172811082972</v>
      </c>
      <c r="J85" s="56" t="str">
        <v xml:space="preserve">ABASTECEU no 22 SUL PASSOU em ARUJÁ-SP CARREGOU em SANTOS-SP PASSOU em ARUJÁ-SP ABASTECEU no 22 NORTE      </v>
      </c>
      <c r="K85" s="56">
        <v>31</v>
      </c>
    </row>
    <row r="86" spans="1:11" x14ac:dyDescent="0.2">
      <c r="A86" s="55" t="s">
        <v>377</v>
      </c>
      <c r="B86" s="55">
        <f t="shared" si="3"/>
        <v>84</v>
      </c>
      <c r="C86" s="129">
        <f>IF(B86&lt;&gt;"",COUNTIFS(DIESEL!A:A,ROTAS!B86),"")</f>
        <v>1</v>
      </c>
      <c r="D86" s="132">
        <f>IFERROR(IF(A86&lt;&gt;0,AVERAGEIFS(DIESEL!J:J,DIESEL!A:A,ROTAS!B86),""),"")</f>
        <v>549.01</v>
      </c>
      <c r="E86" s="136">
        <f>IF(B86&lt;&gt;"",IFERROR(AVERAGEIFS(DIESEL!M:M,DIESEL!A:A,ROTAS!B86),0)+IFERROR(AVERAGEIFS(DIESEL!N:N,DIESEL!A:A,ROTAS!B86),0),"")</f>
        <v>880</v>
      </c>
      <c r="F86" s="137">
        <f t="shared" si="2"/>
        <v>1.6028851933480264</v>
      </c>
      <c r="J86" s="56" t="str">
        <v xml:space="preserve">ABASTECEU no 22 SUL PASSOU em ARUJÁ-SP CARREGOU em SANTOS-SP PASSOU em SÃO PAULO-SP ABASTECEU no 22 NORTE      </v>
      </c>
      <c r="K86" s="56">
        <v>37</v>
      </c>
    </row>
    <row r="87" spans="1:11" x14ac:dyDescent="0.2">
      <c r="A87" s="55" t="s">
        <v>378</v>
      </c>
      <c r="B87" s="55">
        <f t="shared" si="3"/>
        <v>85</v>
      </c>
      <c r="C87" s="129">
        <f>IF(B87&lt;&gt;"",COUNTIFS(DIESEL!A:A,ROTAS!B87),"")</f>
        <v>1</v>
      </c>
      <c r="D87" s="132">
        <f>IFERROR(IF(A87&lt;&gt;0,AVERAGEIFS(DIESEL!J:J,DIESEL!A:A,ROTAS!B87),""),"")</f>
        <v>555</v>
      </c>
      <c r="E87" s="136">
        <f>IF(B87&lt;&gt;"",IFERROR(AVERAGEIFS(DIESEL!M:M,DIESEL!A:A,ROTAS!B87),0)+IFERROR(AVERAGEIFS(DIESEL!N:N,DIESEL!A:A,ROTAS!B87),0),"")</f>
        <v>967</v>
      </c>
      <c r="F87" s="137">
        <f t="shared" si="2"/>
        <v>1.7423423423423423</v>
      </c>
      <c r="J87" s="56" t="str">
        <v xml:space="preserve">ABASTECEU no 22 SUL PASSOU em ARUJÁ-SP DESCARREGOU em GUARUJA-SP CARREGOU em CUBATAO-SP PASSOU em SÃO PAULO-SP ABASTECEU no 22 NORTE    </v>
      </c>
      <c r="K87" s="56">
        <v>178</v>
      </c>
    </row>
    <row r="88" spans="1:11" x14ac:dyDescent="0.2">
      <c r="A88" s="55" t="s">
        <v>379</v>
      </c>
      <c r="B88" s="55">
        <f t="shared" si="3"/>
        <v>86</v>
      </c>
      <c r="C88" s="129">
        <f>IF(B88&lt;&gt;"",COUNTIFS(DIESEL!A:A,ROTAS!B88),"")</f>
        <v>1</v>
      </c>
      <c r="D88" s="132">
        <f>IFERROR(IF(A88&lt;&gt;0,AVERAGEIFS(DIESEL!J:J,DIESEL!A:A,ROTAS!B88),""),"")</f>
        <v>454</v>
      </c>
      <c r="E88" s="136">
        <f>IF(B88&lt;&gt;"",IFERROR(AVERAGEIFS(DIESEL!M:M,DIESEL!A:A,ROTAS!B88),0)+IFERROR(AVERAGEIFS(DIESEL!N:N,DIESEL!A:A,ROTAS!B88),0),"")</f>
        <v>825</v>
      </c>
      <c r="F88" s="137">
        <f t="shared" si="2"/>
        <v>1.8171806167400881</v>
      </c>
      <c r="J88" s="56" t="str">
        <v xml:space="preserve">ABASTECEU no 22 SUL PASSOU em ARUJÁ-SP DESCARREGOU em SANTOS-SP CARREGOU em CUBATAO-SP PASSOU em SÃO PAULO-SP ABASTECEU no 22 NORTE    </v>
      </c>
      <c r="K88" s="56">
        <v>107</v>
      </c>
    </row>
    <row r="89" spans="1:11" x14ac:dyDescent="0.2">
      <c r="A89" s="55" t="s">
        <v>380</v>
      </c>
      <c r="B89" s="55">
        <f t="shared" si="3"/>
        <v>87</v>
      </c>
      <c r="C89" s="129">
        <f>IF(B89&lt;&gt;"",COUNTIFS(DIESEL!A:A,ROTAS!B89),"")</f>
        <v>1</v>
      </c>
      <c r="D89" s="132">
        <f>IFERROR(IF(A89&lt;&gt;0,AVERAGEIFS(DIESEL!J:J,DIESEL!A:A,ROTAS!B89),""),"")</f>
        <v>506</v>
      </c>
      <c r="E89" s="136">
        <f>IF(B89&lt;&gt;"",IFERROR(AVERAGEIFS(DIESEL!M:M,DIESEL!A:A,ROTAS!B89),0)+IFERROR(AVERAGEIFS(DIESEL!N:N,DIESEL!A:A,ROTAS!B89),0),"")</f>
        <v>821</v>
      </c>
      <c r="F89" s="137">
        <f t="shared" si="2"/>
        <v>1.6225296442687747</v>
      </c>
      <c r="J89" s="56" t="str">
        <v xml:space="preserve">ABASTECEU no 22 SUL PASSOU em JACAREI-SP CARREGOU em SANTOS-SP PASSOU em SÃO PAULO-SP ABASTECEU no 22 NORTE      </v>
      </c>
      <c r="K89" s="56">
        <v>145</v>
      </c>
    </row>
    <row r="90" spans="1:11" x14ac:dyDescent="0.2">
      <c r="A90" s="55" t="s">
        <v>381</v>
      </c>
      <c r="B90" s="55">
        <f t="shared" si="3"/>
        <v>88</v>
      </c>
      <c r="C90" s="129">
        <f>IF(B90&lt;&gt;"",COUNTIFS(DIESEL!A:A,ROTAS!B90),"")</f>
        <v>1</v>
      </c>
      <c r="D90" s="132">
        <f>IFERROR(IF(A90&lt;&gt;0,AVERAGEIFS(DIESEL!J:J,DIESEL!A:A,ROTAS!B90),""),"")</f>
        <v>383</v>
      </c>
      <c r="E90" s="136">
        <f>IF(B90&lt;&gt;"",IFERROR(AVERAGEIFS(DIESEL!M:M,DIESEL!A:A,ROTAS!B90),0)+IFERROR(AVERAGEIFS(DIESEL!N:N,DIESEL!A:A,ROTAS!B90),0),"")</f>
        <v>782</v>
      </c>
      <c r="F90" s="137">
        <f t="shared" si="2"/>
        <v>2.0417754569190603</v>
      </c>
      <c r="J90" s="56" t="str">
        <v xml:space="preserve">ABASTECEU no 22 SUL PASSOU em SÃO PAULO-SP CARREGOU em CUBATAO-SP PASSOU em SÃO PAULO-SP ABASTECEU no 22 NORTE      </v>
      </c>
      <c r="K90" s="56">
        <v>50</v>
      </c>
    </row>
    <row r="91" spans="1:11" x14ac:dyDescent="0.2">
      <c r="A91" s="55" t="s">
        <v>382</v>
      </c>
      <c r="B91" s="55">
        <f t="shared" si="3"/>
        <v>89</v>
      </c>
      <c r="C91" s="129">
        <f>IF(B91&lt;&gt;"",COUNTIFS(DIESEL!A:A,ROTAS!B91),"")</f>
        <v>1</v>
      </c>
      <c r="D91" s="132">
        <f>IFERROR(IF(A91&lt;&gt;0,AVERAGEIFS(DIESEL!J:J,DIESEL!A:A,ROTAS!B91),""),"")</f>
        <v>245</v>
      </c>
      <c r="E91" s="136">
        <f>IF(B91&lt;&gt;"",IFERROR(AVERAGEIFS(DIESEL!M:M,DIESEL!A:A,ROTAS!B91),0)+IFERROR(AVERAGEIFS(DIESEL!N:N,DIESEL!A:A,ROTAS!B91),0),"")</f>
        <v>405</v>
      </c>
      <c r="F91" s="137">
        <f t="shared" si="2"/>
        <v>1.653061224489796</v>
      </c>
      <c r="J91" s="56" t="str">
        <v xml:space="preserve">ABASTECEU no 22 SUL PASSOU em SÃO PAULO-SP CARREGOU em SANTOS-SP PASSOU em ARUJÁ-SP ABASTECEU no 22 NORTE      </v>
      </c>
      <c r="K91" s="56">
        <v>151</v>
      </c>
    </row>
    <row r="92" spans="1:11" x14ac:dyDescent="0.2">
      <c r="A92" s="134" t="s">
        <v>383</v>
      </c>
      <c r="B92" s="55">
        <f t="shared" si="3"/>
        <v>90</v>
      </c>
      <c r="C92" s="129">
        <f>IF(B92&lt;&gt;"",COUNTIFS(DIESEL!A:A,ROTAS!B92),"")</f>
        <v>1</v>
      </c>
      <c r="D92" s="132">
        <f>IFERROR(IF(A92&lt;&gt;0,AVERAGEIFS(DIESEL!J:J,DIESEL!A:A,ROTAS!B92),""),"")</f>
        <v>540</v>
      </c>
      <c r="E92" s="136">
        <f>IF(B92&lt;&gt;"",IFERROR(AVERAGEIFS(DIESEL!M:M,DIESEL!A:A,ROTAS!B92),0)+IFERROR(AVERAGEIFS(DIESEL!N:N,DIESEL!A:A,ROTAS!B92),0),"")</f>
        <v>847</v>
      </c>
      <c r="F92" s="137">
        <f t="shared" si="2"/>
        <v>1.5685185185185184</v>
      </c>
      <c r="J92" s="56" t="str">
        <v xml:space="preserve">ABASTECEU no 22 SUL PASSOU em SÃO PAULO-SP CARREGOU em SANTOS-SP PASSOU em SÃO PAULO-SP ABASTECEU no 22 NORTE      </v>
      </c>
      <c r="K92" s="56">
        <v>105</v>
      </c>
    </row>
    <row r="93" spans="1:11" x14ac:dyDescent="0.2">
      <c r="A93" s="55" t="s">
        <v>384</v>
      </c>
      <c r="B93" s="55">
        <f t="shared" si="3"/>
        <v>91</v>
      </c>
      <c r="C93" s="129">
        <f>IF(B93&lt;&gt;"",COUNTIFS(DIESEL!A:A,ROTAS!B93),"")</f>
        <v>1</v>
      </c>
      <c r="D93" s="132">
        <f>IFERROR(IF(A93&lt;&gt;0,AVERAGEIFS(DIESEL!J:J,DIESEL!A:A,ROTAS!B93),""),"")</f>
        <v>519.98</v>
      </c>
      <c r="E93" s="136">
        <f>IF(B93&lt;&gt;"",IFERROR(AVERAGEIFS(DIESEL!M:M,DIESEL!A:A,ROTAS!B93),0)+IFERROR(AVERAGEIFS(DIESEL!N:N,DIESEL!A:A,ROTAS!B93),0),"")</f>
        <v>797</v>
      </c>
      <c r="F93" s="137">
        <f t="shared" si="2"/>
        <v>1.5327512596638331</v>
      </c>
      <c r="J93" s="56" t="str">
        <v xml:space="preserve">ABASTECEU no 22 SUL PASSOU em SÃO PAULO-SP DESCARREGOU em SANTOS-SP CARREGOU em CUBATAO-SP PASSOU em ARUJÁ-SP ABASTECEU no 22 NORTE    </v>
      </c>
      <c r="K93" s="56">
        <v>109</v>
      </c>
    </row>
    <row r="94" spans="1:11" x14ac:dyDescent="0.2">
      <c r="A94" s="55" t="s">
        <v>385</v>
      </c>
      <c r="B94" s="55">
        <f t="shared" si="3"/>
        <v>92</v>
      </c>
      <c r="C94" s="129">
        <f>IF(B94&lt;&gt;"",COUNTIFS(DIESEL!A:A,ROTAS!B94),"")</f>
        <v>1</v>
      </c>
      <c r="D94" s="132">
        <f>IFERROR(IF(A94&lt;&gt;0,AVERAGEIFS(DIESEL!J:J,DIESEL!A:A,ROTAS!B94),""),"")</f>
        <v>379.01</v>
      </c>
      <c r="E94" s="136">
        <f>IF(B94&lt;&gt;"",IFERROR(AVERAGEIFS(DIESEL!M:M,DIESEL!A:A,ROTAS!B94),0)+IFERROR(AVERAGEIFS(DIESEL!N:N,DIESEL!A:A,ROTAS!B94),0),"")</f>
        <v>710</v>
      </c>
      <c r="F94" s="137">
        <f t="shared" si="2"/>
        <v>1.8733014960027441</v>
      </c>
      <c r="J94" s="56" t="str">
        <v xml:space="preserve">ABASTECEU no 22 SUL PASSOU em SÃO PAULO-SP DESCARREGOU em SANTOS-SP CARREGOU em CUBATAO-SP PASSOU em SÃO PAULO-SP ABASTECEU no 22 NORTE    </v>
      </c>
      <c r="K94" s="56">
        <v>106</v>
      </c>
    </row>
    <row r="95" spans="1:11" x14ac:dyDescent="0.2">
      <c r="A95" s="55" t="s">
        <v>386</v>
      </c>
      <c r="B95" s="55">
        <f t="shared" si="3"/>
        <v>93</v>
      </c>
      <c r="C95" s="129">
        <f>IF(B95&lt;&gt;"",COUNTIFS(DIESEL!A:A,ROTAS!B95),"")</f>
        <v>1</v>
      </c>
      <c r="D95" s="132">
        <f>IFERROR(IF(A95&lt;&gt;0,AVERAGEIFS(DIESEL!J:J,DIESEL!A:A,ROTAS!B95),""),"")</f>
        <v>249.99</v>
      </c>
      <c r="E95" s="136">
        <f>IF(B95&lt;&gt;"",IFERROR(AVERAGEIFS(DIESEL!M:M,DIESEL!A:A,ROTAS!B95),0)+IFERROR(AVERAGEIFS(DIESEL!N:N,DIESEL!A:A,ROTAS!B95),0),"")</f>
        <v>404</v>
      </c>
      <c r="F95" s="137">
        <f t="shared" si="2"/>
        <v>1.6160646425857033</v>
      </c>
      <c r="J95" s="56" t="str">
        <v xml:space="preserve">ABASTECEU no 22 SUL PASSOU em SÃO PAULO-SP DESCARREGOU em SANTOS-SP CARREGOU em CUBATAO-SP PASSOU em SÃO PAULO-SP DESCARREGOU em CONGONHAL-MG ABASTECEU no 22 SUL  </v>
      </c>
      <c r="K95" s="56">
        <v>108</v>
      </c>
    </row>
    <row r="96" spans="1:11" x14ac:dyDescent="0.2">
      <c r="A96" s="55" t="s">
        <v>387</v>
      </c>
      <c r="B96" s="55">
        <f t="shared" si="3"/>
        <v>94</v>
      </c>
      <c r="C96" s="129">
        <f>IF(B96&lt;&gt;"",COUNTIFS(DIESEL!A:A,ROTAS!B96),"")</f>
        <v>2</v>
      </c>
      <c r="D96" s="132">
        <f>IFERROR(IF(A96&lt;&gt;0,AVERAGEIFS(DIESEL!J:J,DIESEL!A:A,ROTAS!B96),""),"")</f>
        <v>631.92000000000007</v>
      </c>
      <c r="E96" s="136">
        <f>IF(B96&lt;&gt;"",IFERROR(AVERAGEIFS(DIESEL!M:M,DIESEL!A:A,ROTAS!B96),0)+IFERROR(AVERAGEIFS(DIESEL!N:N,DIESEL!A:A,ROTAS!B96),0),"")</f>
        <v>773.5</v>
      </c>
      <c r="F96" s="137">
        <f t="shared" si="2"/>
        <v>1.2240473477655398</v>
      </c>
      <c r="J96" s="56" t="str">
        <v xml:space="preserve">ABASTECEU no 22 SUL PASSOU em SÃO PAULO-SP DESCARREGOU em SANTOS-SP CARREGOU em SANTOS-SP PASSOU em SÃO PAULO-SP ABASTECEU no 22 NORTE    </v>
      </c>
      <c r="K96" s="56">
        <v>9</v>
      </c>
    </row>
    <row r="97" spans="1:11" x14ac:dyDescent="0.2">
      <c r="A97" s="55" t="s">
        <v>388</v>
      </c>
      <c r="B97" s="55">
        <f t="shared" si="3"/>
        <v>95</v>
      </c>
      <c r="C97" s="129">
        <f>IF(B97&lt;&gt;"",COUNTIFS(DIESEL!A:A,ROTAS!B97),"")</f>
        <v>1</v>
      </c>
      <c r="D97" s="132">
        <f>IFERROR(IF(A97&lt;&gt;0,AVERAGEIFS(DIESEL!J:J,DIESEL!A:A,ROTAS!B97),""),"")</f>
        <v>288.8</v>
      </c>
      <c r="E97" s="136">
        <f>IF(B97&lt;&gt;"",IFERROR(AVERAGEIFS(DIESEL!M:M,DIESEL!A:A,ROTAS!B97),0)+IFERROR(AVERAGEIFS(DIESEL!N:N,DIESEL!A:A,ROTAS!B97),0),"")</f>
        <v>999</v>
      </c>
      <c r="F97" s="137">
        <f t="shared" si="2"/>
        <v>3.459141274238227</v>
      </c>
      <c r="J97" s="56" t="str">
        <v xml:space="preserve">ABASTECEU no BRASILEIRAO ARAGUARI ABASTECEU no DP LEME SUL            </v>
      </c>
      <c r="K97" s="56">
        <v>75</v>
      </c>
    </row>
    <row r="98" spans="1:11" x14ac:dyDescent="0.2">
      <c r="A98" s="55" t="s">
        <v>389</v>
      </c>
      <c r="B98" s="55">
        <f t="shared" si="3"/>
        <v>96</v>
      </c>
      <c r="C98" s="129">
        <f>IF(B98&lt;&gt;"",COUNTIFS(DIESEL!A:A,ROTAS!B98),"")</f>
        <v>1</v>
      </c>
      <c r="D98" s="132">
        <f>IFERROR(IF(A98&lt;&gt;0,AVERAGEIFS(DIESEL!J:J,DIESEL!A:A,ROTAS!B98),""),"")</f>
        <v>469.4</v>
      </c>
      <c r="E98" s="136">
        <f>IF(B98&lt;&gt;"",IFERROR(AVERAGEIFS(DIESEL!M:M,DIESEL!A:A,ROTAS!B98),0)+IFERROR(AVERAGEIFS(DIESEL!N:N,DIESEL!A:A,ROTAS!B98),0),"")</f>
        <v>828</v>
      </c>
      <c r="F98" s="137">
        <f t="shared" si="2"/>
        <v>1.7639539838091181</v>
      </c>
      <c r="J98" s="56" t="str">
        <v xml:space="preserve">ABASTECEU no CANDEIAS-MG ABASTECEU no 22 SUL            </v>
      </c>
      <c r="K98" s="56">
        <v>104</v>
      </c>
    </row>
    <row r="99" spans="1:11" x14ac:dyDescent="0.2">
      <c r="A99" s="55" t="s">
        <v>390</v>
      </c>
      <c r="B99" s="55">
        <f t="shared" si="3"/>
        <v>97</v>
      </c>
      <c r="C99" s="129">
        <f>IF(B99&lt;&gt;"",COUNTIFS(DIESEL!A:A,ROTAS!B99),"")</f>
        <v>4</v>
      </c>
      <c r="D99" s="132">
        <f>IFERROR(IF(A99&lt;&gt;0,AVERAGEIFS(DIESEL!J:J,DIESEL!A:A,ROTAS!B99),""),"")</f>
        <v>221.32499999999999</v>
      </c>
      <c r="E99" s="136">
        <f>IF(B99&lt;&gt;"",IFERROR(AVERAGEIFS(DIESEL!M:M,DIESEL!A:A,ROTAS!B99),0)+IFERROR(AVERAGEIFS(DIESEL!N:N,DIESEL!A:A,ROTAS!B99),0),"")</f>
        <v>389.5</v>
      </c>
      <c r="F99" s="137">
        <f t="shared" si="2"/>
        <v>1.7598554162430815</v>
      </c>
      <c r="J99" s="56" t="str">
        <v xml:space="preserve">ABASTECEU no CANDEIAS-MG ABASTECEU no CANDEIAS-MG            </v>
      </c>
      <c r="K99" s="56">
        <v>13</v>
      </c>
    </row>
    <row r="100" spans="1:11" x14ac:dyDescent="0.2">
      <c r="A100" s="55" t="s">
        <v>391</v>
      </c>
      <c r="B100" s="55">
        <f t="shared" si="3"/>
        <v>98</v>
      </c>
      <c r="C100" s="129">
        <f>IF(B100&lt;&gt;"",COUNTIFS(DIESEL!A:A,ROTAS!B100),"")</f>
        <v>1</v>
      </c>
      <c r="D100" s="132">
        <f>IFERROR(IF(A100&lt;&gt;0,AVERAGEIFS(DIESEL!J:J,DIESEL!A:A,ROTAS!B100),""),"")</f>
        <v>239.1</v>
      </c>
      <c r="E100" s="136">
        <f>IF(B100&lt;&gt;"",IFERROR(AVERAGEIFS(DIESEL!M:M,DIESEL!A:A,ROTAS!B100),0)+IFERROR(AVERAGEIFS(DIESEL!N:N,DIESEL!A:A,ROTAS!B100),0),"")</f>
        <v>561</v>
      </c>
      <c r="F100" s="137">
        <f t="shared" si="2"/>
        <v>2.3462986198243412</v>
      </c>
      <c r="J100" s="56" t="str">
        <v xml:space="preserve">ABASTECEU no CANDEIAS-MG ABASTECEU no DP ESTIVA            </v>
      </c>
      <c r="K100" s="56">
        <v>176</v>
      </c>
    </row>
    <row r="101" spans="1:11" x14ac:dyDescent="0.2">
      <c r="A101" s="55" t="s">
        <v>392</v>
      </c>
      <c r="B101" s="55">
        <f t="shared" si="3"/>
        <v>99</v>
      </c>
      <c r="C101" s="129">
        <f>IF(B101&lt;&gt;"",COUNTIFS(DIESEL!A:A,ROTAS!B101),"")</f>
        <v>7</v>
      </c>
      <c r="D101" s="132">
        <f>IFERROR(IF(A101&lt;&gt;0,AVERAGEIFS(DIESEL!J:J,DIESEL!A:A,ROTAS!B101),""),"")</f>
        <v>250.5</v>
      </c>
      <c r="E101" s="136">
        <f>IF(B101&lt;&gt;"",IFERROR(AVERAGEIFS(DIESEL!M:M,DIESEL!A:A,ROTAS!B101),0)+IFERROR(AVERAGEIFS(DIESEL!N:N,DIESEL!A:A,ROTAS!B101),0),"")</f>
        <v>840.42857142857144</v>
      </c>
      <c r="F101" s="137">
        <f t="shared" ref="F101:F140" si="4">IFERROR(E101/D101,"")</f>
        <v>3.3550042771599657</v>
      </c>
      <c r="J101" s="56" t="str">
        <v xml:space="preserve">ABASTECEU no CANDEIAS-MG CARREGOU em FORMIGA-MG ABASTECEU no 22 SUL          </v>
      </c>
      <c r="K101" s="56">
        <v>1</v>
      </c>
    </row>
    <row r="102" spans="1:11" x14ac:dyDescent="0.2">
      <c r="A102" s="55" t="s">
        <v>393</v>
      </c>
      <c r="B102" s="55">
        <f t="shared" si="3"/>
        <v>100</v>
      </c>
      <c r="C102" s="129">
        <f>IF(B102&lt;&gt;"",COUNTIFS(DIESEL!A:A,ROTAS!B102),"")</f>
        <v>3</v>
      </c>
      <c r="D102" s="132">
        <f>IFERROR(IF(A102&lt;&gt;0,AVERAGEIFS(DIESEL!J:J,DIESEL!A:A,ROTAS!B102),""),"")</f>
        <v>357.23333333333335</v>
      </c>
      <c r="E102" s="136">
        <f>IF(B102&lt;&gt;"",IFERROR(AVERAGEIFS(DIESEL!M:M,DIESEL!A:A,ROTAS!B102),0)+IFERROR(AVERAGEIFS(DIESEL!N:N,DIESEL!A:A,ROTAS!B102),0),"")</f>
        <v>472.66666666666669</v>
      </c>
      <c r="F102" s="137">
        <f t="shared" si="4"/>
        <v>1.3231314733600821</v>
      </c>
      <c r="J102" s="56" t="str">
        <v xml:space="preserve">ABASTECEU no CANDEIAS-MG CARREGOU em FORMIGA-MG ABASTECEU no CANDEIAS-MG          </v>
      </c>
      <c r="K102" s="56">
        <v>172</v>
      </c>
    </row>
    <row r="103" spans="1:11" x14ac:dyDescent="0.2">
      <c r="A103" s="55" t="s">
        <v>394</v>
      </c>
      <c r="B103" s="55">
        <f t="shared" si="3"/>
        <v>101</v>
      </c>
      <c r="C103" s="129">
        <f>IF(B103&lt;&gt;"",COUNTIFS(DIESEL!A:A,ROTAS!B103),"")</f>
        <v>1</v>
      </c>
      <c r="D103" s="132">
        <f>IFERROR(IF(A103&lt;&gt;0,AVERAGEIFS(DIESEL!J:J,DIESEL!A:A,ROTAS!B103),""),"")</f>
        <v>360</v>
      </c>
      <c r="E103" s="136">
        <f>IF(B103&lt;&gt;"",IFERROR(AVERAGEIFS(DIESEL!M:M,DIESEL!A:A,ROTAS!B103),0)+IFERROR(AVERAGEIFS(DIESEL!N:N,DIESEL!A:A,ROTAS!B103),0),"")</f>
        <v>652</v>
      </c>
      <c r="F103" s="137">
        <f t="shared" si="4"/>
        <v>1.8111111111111111</v>
      </c>
      <c r="J103" s="56" t="str">
        <v xml:space="preserve">ABASTECEU no CANDEIAS-MG CARREGOU em FORMIGA-MG PASSOU em SÃO PAULO-SP DESCARREGOU em SANTOS-SP CARREGOU em CUBATAO-SP PASSOU em ARUJÁ-SP ABASTECEU no 22 NORTE  </v>
      </c>
      <c r="K103" s="56">
        <v>174</v>
      </c>
    </row>
    <row r="104" spans="1:11" x14ac:dyDescent="0.2">
      <c r="A104" s="55" t="s">
        <v>395</v>
      </c>
      <c r="B104" s="55">
        <f t="shared" si="3"/>
        <v>102</v>
      </c>
      <c r="C104" s="129">
        <f>IF(B104&lt;&gt;"",COUNTIFS(DIESEL!A:A,ROTAS!B104),"")</f>
        <v>2</v>
      </c>
      <c r="D104" s="132">
        <f>IFERROR(IF(A104&lt;&gt;0,AVERAGEIFS(DIESEL!J:J,DIESEL!A:A,ROTAS!B104),""),"")</f>
        <v>517.75</v>
      </c>
      <c r="E104" s="136">
        <f>IF(B104&lt;&gt;"",IFERROR(AVERAGEIFS(DIESEL!M:M,DIESEL!A:A,ROTAS!B104),0)+IFERROR(AVERAGEIFS(DIESEL!N:N,DIESEL!A:A,ROTAS!B104),0),"")</f>
        <v>838.5</v>
      </c>
      <c r="F104" s="137">
        <f t="shared" si="4"/>
        <v>1.619507484307098</v>
      </c>
      <c r="J104" s="56" t="str">
        <v xml:space="preserve">ABASTECEU no CANDEIAS-MG CARREGOU em IGUATAMA-MG DESCARREGOU em TRES CORACOES-MG CARREGOU em CUBATAO-SP PASSOU em SÃO PAULO-SP ABASTECEU no 22 NORTE    </v>
      </c>
      <c r="K104" s="56">
        <v>128</v>
      </c>
    </row>
    <row r="105" spans="1:11" x14ac:dyDescent="0.2">
      <c r="A105" s="55" t="s">
        <v>396</v>
      </c>
      <c r="B105" s="55">
        <f t="shared" si="3"/>
        <v>103</v>
      </c>
      <c r="C105" s="129">
        <f>IF(B105&lt;&gt;"",COUNTIFS(DIESEL!A:A,ROTAS!B105),"")</f>
        <v>1</v>
      </c>
      <c r="D105" s="132">
        <f>IFERROR(IF(A105&lt;&gt;0,AVERAGEIFS(DIESEL!J:J,DIESEL!A:A,ROTAS!B105),""),"")</f>
        <v>201.1</v>
      </c>
      <c r="E105" s="136">
        <f>IF(B105&lt;&gt;"",IFERROR(AVERAGEIFS(DIESEL!M:M,DIESEL!A:A,ROTAS!B105),0)+IFERROR(AVERAGEIFS(DIESEL!N:N,DIESEL!A:A,ROTAS!B105),0),"")</f>
        <v>890</v>
      </c>
      <c r="F105" s="137">
        <f t="shared" si="4"/>
        <v>4.4256588761810045</v>
      </c>
      <c r="J105" s="56" t="str">
        <v xml:space="preserve">ABASTECEU no CANDEIAS-MG CARREGOU em IGUATAMA-MG DESCARREGOU em TRES CORACOES-MG PASSOU em SÃO PAULO-SP CARREGOU em SANTOS-SP PASSOU em SÃO PAULO-SP ABASTECEU no 22 NORTE  </v>
      </c>
      <c r="K105" s="56">
        <v>159</v>
      </c>
    </row>
    <row r="106" spans="1:11" x14ac:dyDescent="0.2">
      <c r="A106" s="55" t="s">
        <v>397</v>
      </c>
      <c r="B106" s="55">
        <f t="shared" si="3"/>
        <v>104</v>
      </c>
      <c r="C106" s="129">
        <f>IF(B106&lt;&gt;"",COUNTIFS(DIESEL!A:A,ROTAS!B106),"")</f>
        <v>10</v>
      </c>
      <c r="D106" s="132">
        <f>IFERROR(IF(A106&lt;&gt;0,AVERAGEIFS(DIESEL!J:J,DIESEL!A:A,ROTAS!B106),""),"")</f>
        <v>451.71800000000002</v>
      </c>
      <c r="E106" s="136">
        <f>IF(B106&lt;&gt;"",IFERROR(AVERAGEIFS(DIESEL!M:M,DIESEL!A:A,ROTAS!B106),0)+IFERROR(AVERAGEIFS(DIESEL!N:N,DIESEL!A:A,ROTAS!B106),0),"")</f>
        <v>375.7</v>
      </c>
      <c r="F106" s="137">
        <f t="shared" si="4"/>
        <v>0.8317135912228425</v>
      </c>
      <c r="J106" s="56" t="str">
        <v xml:space="preserve">ABASTECEU no CANDEIAS-MG CARREGOU em SÃO GOTARDO-MG ABASTECEU no 22 SUL          </v>
      </c>
      <c r="K106" s="56">
        <v>102</v>
      </c>
    </row>
    <row r="107" spans="1:11" x14ac:dyDescent="0.2">
      <c r="A107" s="55" t="s">
        <v>398</v>
      </c>
      <c r="B107" s="55">
        <f t="shared" si="3"/>
        <v>105</v>
      </c>
      <c r="C107" s="129">
        <f>IF(B107&lt;&gt;"",COUNTIFS(DIESEL!A:A,ROTAS!B107),"")</f>
        <v>1</v>
      </c>
      <c r="D107" s="132">
        <f>IFERROR(IF(A107&lt;&gt;0,AVERAGEIFS(DIESEL!J:J,DIESEL!A:A,ROTAS!B107),""),"")</f>
        <v>642.00099999999998</v>
      </c>
      <c r="E107" s="136">
        <f>IF(B107&lt;&gt;"",IFERROR(AVERAGEIFS(DIESEL!M:M,DIESEL!A:A,ROTAS!B107),0)+IFERROR(AVERAGEIFS(DIESEL!N:N,DIESEL!A:A,ROTAS!B107),0),"")</f>
        <v>899</v>
      </c>
      <c r="F107" s="137">
        <f t="shared" si="4"/>
        <v>1.4003093453125464</v>
      </c>
      <c r="J107" s="56" t="str">
        <v xml:space="preserve">ABASTECEU no CANDEIAS-MG CARREGOU em SÃO GOTARDO-MG ABASTECEU no CANDEIAS-MG          </v>
      </c>
      <c r="K107" s="56">
        <v>100</v>
      </c>
    </row>
    <row r="108" spans="1:11" x14ac:dyDescent="0.2">
      <c r="A108" s="55" t="s">
        <v>399</v>
      </c>
      <c r="B108" s="55">
        <f t="shared" si="3"/>
        <v>106</v>
      </c>
      <c r="C108" s="129">
        <f>IF(B108&lt;&gt;"",COUNTIFS(DIESEL!A:A,ROTAS!B108),"")</f>
        <v>3</v>
      </c>
      <c r="D108" s="132">
        <f>IFERROR(IF(A108&lt;&gt;0,AVERAGEIFS(DIESEL!J:J,DIESEL!A:A,ROTAS!B108),""),"")</f>
        <v>265.00099999999998</v>
      </c>
      <c r="E108" s="136">
        <f>IF(B108&lt;&gt;"",IFERROR(AVERAGEIFS(DIESEL!M:M,DIESEL!A:A,ROTAS!B108),0)+IFERROR(AVERAGEIFS(DIESEL!N:N,DIESEL!A:A,ROTAS!B108),0),"")</f>
        <v>300.33333333333337</v>
      </c>
      <c r="F108" s="137">
        <f t="shared" si="4"/>
        <v>1.1333290566199123</v>
      </c>
      <c r="J108" s="56" t="str">
        <v xml:space="preserve">ABASTECEU no CANDEIAS-MG DESCARREGOU em IGUATAMA-MG CARREGOU em LUZ-MG ABASTECEU no CANDEIAS-MG        </v>
      </c>
      <c r="K108" s="56">
        <v>162</v>
      </c>
    </row>
    <row r="109" spans="1:11" x14ac:dyDescent="0.2">
      <c r="A109" s="55" t="s">
        <v>400</v>
      </c>
      <c r="B109" s="55">
        <f t="shared" si="3"/>
        <v>107</v>
      </c>
      <c r="C109" s="129">
        <f>IF(B109&lt;&gt;"",COUNTIFS(DIESEL!A:A,ROTAS!B109),"")</f>
        <v>2</v>
      </c>
      <c r="D109" s="132">
        <f>IFERROR(IF(A109&lt;&gt;0,AVERAGEIFS(DIESEL!J:J,DIESEL!A:A,ROTAS!B109),""),"")</f>
        <v>299.9905</v>
      </c>
      <c r="E109" s="136">
        <f>IF(B109&lt;&gt;"",IFERROR(AVERAGEIFS(DIESEL!M:M,DIESEL!A:A,ROTAS!B109),0)+IFERROR(AVERAGEIFS(DIESEL!N:N,DIESEL!A:A,ROTAS!B109),0),"")</f>
        <v>373.5</v>
      </c>
      <c r="F109" s="137">
        <f t="shared" si="4"/>
        <v>1.2450394262484978</v>
      </c>
      <c r="J109" s="56" t="str">
        <v xml:space="preserve">ABASTECEU no CANDEIAS-MG DESCARREGOU em IGUATAMA-MG CARREGOU em PASSOS-MG ABASTECEU no 22 SUL        </v>
      </c>
      <c r="K109" s="56">
        <v>168</v>
      </c>
    </row>
    <row r="110" spans="1:11" x14ac:dyDescent="0.2">
      <c r="A110" s="55" t="s">
        <v>401</v>
      </c>
      <c r="B110" s="55">
        <f t="shared" si="3"/>
        <v>108</v>
      </c>
      <c r="C110" s="129">
        <f>IF(B110&lt;&gt;"",COUNTIFS(DIESEL!A:A,ROTAS!B110),"")</f>
        <v>1</v>
      </c>
      <c r="D110" s="132">
        <f>IFERROR(IF(A110&lt;&gt;0,AVERAGEIFS(DIESEL!J:J,DIESEL!A:A,ROTAS!B110),""),"")</f>
        <v>441.73</v>
      </c>
      <c r="E110" s="136">
        <f>IF(B110&lt;&gt;"",IFERROR(AVERAGEIFS(DIESEL!M:M,DIESEL!A:A,ROTAS!B110),0)+IFERROR(AVERAGEIFS(DIESEL!N:N,DIESEL!A:A,ROTAS!B110),0),"")</f>
        <v>642</v>
      </c>
      <c r="F110" s="137">
        <f t="shared" si="4"/>
        <v>1.4533764969551535</v>
      </c>
      <c r="J110" s="56" t="str">
        <v xml:space="preserve">ABASTECEU no CANDEIAS-MG DESCARREGOU em IGUATAMA-MG PASSOU em SÃO PAULO-SP CARREGOU em SANTOS-SP PASSOU em ARUJÁ-SP ABASTECEU no 22 NORTE    </v>
      </c>
      <c r="K110" s="56">
        <v>154</v>
      </c>
    </row>
    <row r="111" spans="1:11" x14ac:dyDescent="0.2">
      <c r="A111" s="55" t="s">
        <v>402</v>
      </c>
      <c r="B111" s="55">
        <f t="shared" si="3"/>
        <v>109</v>
      </c>
      <c r="C111" s="129">
        <f>IF(B111&lt;&gt;"",COUNTIFS(DIESEL!A:A,ROTAS!B111),"")</f>
        <v>2</v>
      </c>
      <c r="D111" s="132">
        <f>IFERROR(IF(A111&lt;&gt;0,AVERAGEIFS(DIESEL!J:J,DIESEL!A:A,ROTAS!B111),""),"")</f>
        <v>288.5</v>
      </c>
      <c r="E111" s="136">
        <f>IF(B111&lt;&gt;"",IFERROR(AVERAGEIFS(DIESEL!M:M,DIESEL!A:A,ROTAS!B111),0)+IFERROR(AVERAGEIFS(DIESEL!N:N,DIESEL!A:A,ROTAS!B111),0),"")</f>
        <v>356.5</v>
      </c>
      <c r="F111" s="137">
        <f t="shared" si="4"/>
        <v>1.2357019064124783</v>
      </c>
      <c r="J111" s="56" t="str">
        <v xml:space="preserve">ABASTECEU no CANDEIAS-MG DESCARREGOU em PATOS DE MINAS-MG CARREGOU em COROMANDEL-MG ABASTECEU no CANDEIAS-MG        </v>
      </c>
      <c r="K111" s="56">
        <v>131</v>
      </c>
    </row>
    <row r="112" spans="1:11" x14ac:dyDescent="0.2">
      <c r="A112" s="55" t="s">
        <v>403</v>
      </c>
      <c r="B112" s="55">
        <f t="shared" si="3"/>
        <v>110</v>
      </c>
      <c r="C112" s="129">
        <f>IF(B112&lt;&gt;"",COUNTIFS(DIESEL!A:A,ROTAS!B112),"")</f>
        <v>1</v>
      </c>
      <c r="D112" s="132">
        <f>IFERROR(IF(A112&lt;&gt;0,AVERAGEIFS(DIESEL!J:J,DIESEL!A:A,ROTAS!B112),""),"")</f>
        <v>236.72</v>
      </c>
      <c r="E112" s="136">
        <f>IF(B112&lt;&gt;"",IFERROR(AVERAGEIFS(DIESEL!M:M,DIESEL!A:A,ROTAS!B112),0)+IFERROR(AVERAGEIFS(DIESEL!N:N,DIESEL!A:A,ROTAS!B112),0),"")</f>
        <v>334</v>
      </c>
      <c r="F112" s="137">
        <f t="shared" si="4"/>
        <v>1.4109496451503887</v>
      </c>
      <c r="J112" s="56" t="str">
        <v xml:space="preserve">ABASTECEU no CANDEIAS-MG DESCARREGOU em PATOS DE MINAS-MG CARREGOU em COROMANDEL-MG ABASTECEU no PMG CORR. DANTA        </v>
      </c>
      <c r="K112" s="56">
        <v>130</v>
      </c>
    </row>
    <row r="113" spans="1:11" x14ac:dyDescent="0.2">
      <c r="A113" s="55" t="s">
        <v>404</v>
      </c>
      <c r="B113" s="55">
        <f t="shared" si="3"/>
        <v>111</v>
      </c>
      <c r="C113" s="129">
        <f>IF(B113&lt;&gt;"",COUNTIFS(DIESEL!A:A,ROTAS!B113),"")</f>
        <v>12</v>
      </c>
      <c r="D113" s="132">
        <f>IFERROR(IF(A113&lt;&gt;0,AVERAGEIFS(DIESEL!J:J,DIESEL!A:A,ROTAS!B113),""),"")</f>
        <v>380.37674999999996</v>
      </c>
      <c r="E113" s="136">
        <f>IF(B113&lt;&gt;"",IFERROR(AVERAGEIFS(DIESEL!M:M,DIESEL!A:A,ROTAS!B113),0)+IFERROR(AVERAGEIFS(DIESEL!N:N,DIESEL!A:A,ROTAS!B113),0),"")</f>
        <v>633.83333333333337</v>
      </c>
      <c r="F113" s="137">
        <f t="shared" si="4"/>
        <v>1.6663303772728839</v>
      </c>
      <c r="J113" s="56" t="str">
        <v xml:space="preserve">ABASTECEU no CANDEIAS-MG DESCARREGOU em PATOS DE MINAS-MG CARREGOU em UNAÍ-MG ABASTECEU no POSTO W3 UNAÍ        </v>
      </c>
      <c r="K113" s="56">
        <v>133</v>
      </c>
    </row>
    <row r="114" spans="1:11" x14ac:dyDescent="0.2">
      <c r="A114" s="55" t="s">
        <v>405</v>
      </c>
      <c r="B114" s="55">
        <f t="shared" si="3"/>
        <v>112</v>
      </c>
      <c r="C114" s="129">
        <f>IF(B114&lt;&gt;"",COUNTIFS(DIESEL!A:A,ROTAS!B114),"")</f>
        <v>14</v>
      </c>
      <c r="D114" s="132">
        <f>IFERROR(IF(A114&lt;&gt;0,AVERAGEIFS(DIESEL!J:J,DIESEL!A:A,ROTAS!B114),""),"")</f>
        <v>363.68428571428569</v>
      </c>
      <c r="E114" s="136">
        <f>IF(B114&lt;&gt;"",IFERROR(AVERAGEIFS(DIESEL!M:M,DIESEL!A:A,ROTAS!B114),0)+IFERROR(AVERAGEIFS(DIESEL!N:N,DIESEL!A:A,ROTAS!B114),0),"")</f>
        <v>586.42857142857144</v>
      </c>
      <c r="F114" s="137">
        <f t="shared" si="4"/>
        <v>1.6124660714355858</v>
      </c>
      <c r="J114" s="56" t="str">
        <v xml:space="preserve">ABASTECEU no CANDEIAS-MG DESCARREGOU em TRES CORACOES-MG CARREGOU em ALFENAS-MG DESCARREGOU em CATANDUVA-SP ABASTECEU no PRODOESTE UBA      </v>
      </c>
      <c r="K114" s="56">
        <v>63</v>
      </c>
    </row>
    <row r="115" spans="1:11" x14ac:dyDescent="0.2">
      <c r="A115" s="55" t="s">
        <v>406</v>
      </c>
      <c r="B115" s="55">
        <f t="shared" si="3"/>
        <v>113</v>
      </c>
      <c r="C115" s="129">
        <f>IF(B115&lt;&gt;"",COUNTIFS(DIESEL!A:A,ROTAS!B115),"")</f>
        <v>14</v>
      </c>
      <c r="D115" s="132">
        <f>IFERROR(IF(A115&lt;&gt;0,AVERAGEIFS(DIESEL!J:J,DIESEL!A:A,ROTAS!B115),""),"")</f>
        <v>397.38721428571426</v>
      </c>
      <c r="E115" s="136">
        <f>IF(B115&lt;&gt;"",IFERROR(AVERAGEIFS(DIESEL!M:M,DIESEL!A:A,ROTAS!B115),0)+IFERROR(AVERAGEIFS(DIESEL!N:N,DIESEL!A:A,ROTAS!B115),0),"")</f>
        <v>633.64285714285711</v>
      </c>
      <c r="F115" s="137">
        <f t="shared" si="4"/>
        <v>1.5945225069251454</v>
      </c>
      <c r="J115" s="56" t="str">
        <v xml:space="preserve">ABASTECEU no CANDEIAS-MG DESCARREGOU em VARGINHA-MG ABASTECEU no DP JK SUL          </v>
      </c>
      <c r="K115" s="56">
        <v>69</v>
      </c>
    </row>
    <row r="116" spans="1:11" x14ac:dyDescent="0.2">
      <c r="A116" s="55" t="s">
        <v>407</v>
      </c>
      <c r="B116" s="55">
        <f t="shared" si="3"/>
        <v>114</v>
      </c>
      <c r="C116" s="129">
        <f>IF(B116&lt;&gt;"",COUNTIFS(DIESEL!A:A,ROTAS!B116),"")</f>
        <v>1</v>
      </c>
      <c r="D116" s="132">
        <f>IFERROR(IF(A116&lt;&gt;0,AVERAGEIFS(DIESEL!J:J,DIESEL!A:A,ROTAS!B116),""),"")</f>
        <v>200</v>
      </c>
      <c r="E116" s="136">
        <f>IF(B116&lt;&gt;"",IFERROR(AVERAGEIFS(DIESEL!M:M,DIESEL!A:A,ROTAS!B116),0)+IFERROR(AVERAGEIFS(DIESEL!N:N,DIESEL!A:A,ROTAS!B116),0),"")</f>
        <v>537</v>
      </c>
      <c r="F116" s="137">
        <f t="shared" si="4"/>
        <v>2.6850000000000001</v>
      </c>
      <c r="J116" s="56" t="str">
        <v xml:space="preserve">ABASTECEU no CANDEIAS-MG DESCARREGOU em VARGINHA-MG CARREGOU em ALFENAS-MG DESCARREGOU em UBERABA-MG ABASTECEU no PRODOESTE UBA      </v>
      </c>
      <c r="K116" s="56">
        <v>42</v>
      </c>
    </row>
    <row r="117" spans="1:11" x14ac:dyDescent="0.2">
      <c r="A117" s="55" t="s">
        <v>408</v>
      </c>
      <c r="B117" s="55">
        <f t="shared" si="3"/>
        <v>115</v>
      </c>
      <c r="C117" s="129">
        <f>IF(B117&lt;&gt;"",COUNTIFS(DIESEL!A:A,ROTAS!B117),"")</f>
        <v>2</v>
      </c>
      <c r="D117" s="132">
        <f>IFERROR(IF(A117&lt;&gt;0,AVERAGEIFS(DIESEL!J:J,DIESEL!A:A,ROTAS!B117),""),"")</f>
        <v>493.19499999999999</v>
      </c>
      <c r="E117" s="136">
        <f>IF(B117&lt;&gt;"",IFERROR(AVERAGEIFS(DIESEL!M:M,DIESEL!A:A,ROTAS!B117),0)+IFERROR(AVERAGEIFS(DIESEL!N:N,DIESEL!A:A,ROTAS!B117),0),"")</f>
        <v>783</v>
      </c>
      <c r="F117" s="137">
        <f t="shared" si="4"/>
        <v>1.5876073358407932</v>
      </c>
      <c r="J117" s="56" t="str">
        <v xml:space="preserve">ABASTECEU no CANDEIAS-MG DESCARREGOU em VARGINHA-MG PASSOU em ARUJÁ-SP CARREGOU em CUBATAO-SP PASSOU em SÃO PAULO-SP ABASTECEU no 22 NORTE    </v>
      </c>
      <c r="K117" s="56">
        <v>61</v>
      </c>
    </row>
    <row r="118" spans="1:11" x14ac:dyDescent="0.2">
      <c r="A118" s="55" t="s">
        <v>409</v>
      </c>
      <c r="B118" s="55">
        <f t="shared" si="3"/>
        <v>116</v>
      </c>
      <c r="C118" s="129">
        <f>IF(B118&lt;&gt;"",COUNTIFS(DIESEL!A:A,ROTAS!B118),"")</f>
        <v>1</v>
      </c>
      <c r="D118" s="132">
        <f>IFERROR(IF(A118&lt;&gt;0,AVERAGEIFS(DIESEL!J:J,DIESEL!A:A,ROTAS!B118),""),"")</f>
        <v>487</v>
      </c>
      <c r="E118" s="136">
        <f>IF(B118&lt;&gt;"",IFERROR(AVERAGEIFS(DIESEL!M:M,DIESEL!A:A,ROTAS!B118),0)+IFERROR(AVERAGEIFS(DIESEL!N:N,DIESEL!A:A,ROTAS!B118),0),"")</f>
        <v>810</v>
      </c>
      <c r="F118" s="137">
        <f t="shared" si="4"/>
        <v>1.6632443531827514</v>
      </c>
      <c r="J118" s="56" t="str">
        <v xml:space="preserve">ABASTECEU no CANDEIAS-MG DESCARREGOU em VARGINHA-MG PASSOU em ARUJÁ-SP CARREGOU em SANTOS-SP PASSOU em SÃO PAULO-SP ABASTECEU no 22 NORTE    </v>
      </c>
      <c r="K118" s="56">
        <v>41</v>
      </c>
    </row>
    <row r="119" spans="1:11" x14ac:dyDescent="0.2">
      <c r="A119" s="55" t="s">
        <v>410</v>
      </c>
      <c r="B119" s="55">
        <f t="shared" si="3"/>
        <v>117</v>
      </c>
      <c r="C119" s="129">
        <f>IF(B119&lt;&gt;"",COUNTIFS(DIESEL!A:A,ROTAS!B119),"")</f>
        <v>1</v>
      </c>
      <c r="D119" s="132">
        <f>IFERROR(IF(A119&lt;&gt;0,AVERAGEIFS(DIESEL!J:J,DIESEL!A:A,ROTAS!B119),""),"")</f>
        <v>588</v>
      </c>
      <c r="E119" s="136">
        <f>IF(B119&lt;&gt;"",IFERROR(AVERAGEIFS(DIESEL!M:M,DIESEL!A:A,ROTAS!B119),0)+IFERROR(AVERAGEIFS(DIESEL!N:N,DIESEL!A:A,ROTAS!B119),0),"")</f>
        <v>1159</v>
      </c>
      <c r="F119" s="137">
        <f t="shared" si="4"/>
        <v>1.9710884353741496</v>
      </c>
      <c r="J119" s="56" t="str">
        <v xml:space="preserve">ABASTECEU no CANDEIAS-MG DESCARREGOU em VARGINHA-MG PASSOU em SÃO PAULO-SP CARREGOU em CUBATAO-SP PASSOU em ARUJÁ-SP ABASTECEU no DP PAULINHO    </v>
      </c>
      <c r="K119" s="56">
        <v>67</v>
      </c>
    </row>
    <row r="120" spans="1:11" x14ac:dyDescent="0.2">
      <c r="A120" s="55" t="s">
        <v>411</v>
      </c>
      <c r="B120" s="55">
        <f t="shared" si="3"/>
        <v>118</v>
      </c>
      <c r="C120" s="129">
        <f>IF(B120&lt;&gt;"",COUNTIFS(DIESEL!A:A,ROTAS!B120),"")</f>
        <v>1</v>
      </c>
      <c r="D120" s="132">
        <f>IFERROR(IF(A120&lt;&gt;0,AVERAGEIFS(DIESEL!J:J,DIESEL!A:A,ROTAS!B120),""),"")</f>
        <v>442</v>
      </c>
      <c r="E120" s="136">
        <f>IF(B120&lt;&gt;"",IFERROR(AVERAGEIFS(DIESEL!M:M,DIESEL!A:A,ROTAS!B120),0)+IFERROR(AVERAGEIFS(DIESEL!N:N,DIESEL!A:A,ROTAS!B120),0),"")</f>
        <v>795</v>
      </c>
      <c r="F120" s="137">
        <f t="shared" si="4"/>
        <v>1.7986425339366516</v>
      </c>
      <c r="J120" s="56" t="str">
        <v xml:space="preserve">ABASTECEU no CANDEIAS-MG DESCARREGOU em VARGINHA-MG PASSOU em SÃO PAULO-SP CARREGOU em SANTOS-SP PASSOU em ARUJÁ-SP ABASTECEU no 22 NORTE    </v>
      </c>
      <c r="K120" s="56">
        <v>39</v>
      </c>
    </row>
    <row r="121" spans="1:11" x14ac:dyDescent="0.2">
      <c r="A121" s="55" t="s">
        <v>412</v>
      </c>
      <c r="B121" s="55">
        <f t="shared" si="3"/>
        <v>119</v>
      </c>
      <c r="C121" s="129">
        <f>IF(B121&lt;&gt;"",COUNTIFS(DIESEL!A:A,ROTAS!B121),"")</f>
        <v>2</v>
      </c>
      <c r="D121" s="132">
        <f>IFERROR(IF(A121&lt;&gt;0,AVERAGEIFS(DIESEL!J:J,DIESEL!A:A,ROTAS!B121),""),"")</f>
        <v>478.40499999999997</v>
      </c>
      <c r="E121" s="136">
        <f>IF(B121&lt;&gt;"",IFERROR(AVERAGEIFS(DIESEL!M:M,DIESEL!A:A,ROTAS!B121),0)+IFERROR(AVERAGEIFS(DIESEL!N:N,DIESEL!A:A,ROTAS!B121),0),"")</f>
        <v>989</v>
      </c>
      <c r="F121" s="137">
        <f t="shared" si="4"/>
        <v>2.067286086056793</v>
      </c>
      <c r="J121" s="56" t="str">
        <v xml:space="preserve">ABASTECEU no CANDEIAS-MG DESCARREGOU em VARGINHA-MG PASSOU em SÃO PAULO-SP CARREGOU em SANTOS-SP PASSOU em ARUJÁ-SP ABASTECEU no PICA PAU NORTE    </v>
      </c>
      <c r="K121" s="56">
        <v>7</v>
      </c>
    </row>
    <row r="122" spans="1:11" x14ac:dyDescent="0.2">
      <c r="A122" s="55" t="s">
        <v>413</v>
      </c>
      <c r="B122" s="55">
        <f t="shared" si="3"/>
        <v>120</v>
      </c>
      <c r="C122" s="129">
        <f>IF(B122&lt;&gt;"",COUNTIFS(DIESEL!A:A,ROTAS!B122),"")</f>
        <v>1</v>
      </c>
      <c r="D122" s="132">
        <f>IFERROR(IF(A122&lt;&gt;0,AVERAGEIFS(DIESEL!J:J,DIESEL!A:A,ROTAS!B122),""),"")</f>
        <v>331</v>
      </c>
      <c r="E122" s="136">
        <f>IF(B122&lt;&gt;"",IFERROR(AVERAGEIFS(DIESEL!M:M,DIESEL!A:A,ROTAS!B122),0)+IFERROR(AVERAGEIFS(DIESEL!N:N,DIESEL!A:A,ROTAS!B122),0),"")</f>
        <v>834</v>
      </c>
      <c r="F122" s="137">
        <f t="shared" si="4"/>
        <v>2.5196374622356497</v>
      </c>
      <c r="J122" s="56" t="str">
        <v xml:space="preserve">ABASTECEU no CANDEIAS-MG PASSOU em ARCOS-MG PASSOU em SÃO PAULO-SP CARREGOU em CUBATAO-SP PASSOU em ARUJÁ-SP ABASTECEU no 22 NORTE    </v>
      </c>
      <c r="K122" s="56">
        <v>120</v>
      </c>
    </row>
    <row r="123" spans="1:11" x14ac:dyDescent="0.2">
      <c r="A123" s="55" t="s">
        <v>414</v>
      </c>
      <c r="B123" s="55">
        <f t="shared" si="3"/>
        <v>121</v>
      </c>
      <c r="C123" s="129">
        <f>IF(B123&lt;&gt;"",COUNTIFS(DIESEL!A:A,ROTAS!B123),"")</f>
        <v>6</v>
      </c>
      <c r="D123" s="132">
        <f>IFERROR(IF(A123&lt;&gt;0,AVERAGEIFS(DIESEL!J:J,DIESEL!A:A,ROTAS!B123),""),"")</f>
        <v>398.40683333333328</v>
      </c>
      <c r="E123" s="136">
        <f>IF(B123&lt;&gt;"",IFERROR(AVERAGEIFS(DIESEL!M:M,DIESEL!A:A,ROTAS!B123),0)+IFERROR(AVERAGEIFS(DIESEL!N:N,DIESEL!A:A,ROTAS!B123),0),"")</f>
        <v>679.83333333333326</v>
      </c>
      <c r="F123" s="137">
        <f t="shared" si="4"/>
        <v>1.7063797014860438</v>
      </c>
      <c r="J123" s="56" t="str">
        <v xml:space="preserve">ABASTECEU no CANDEIAS-MG PASSOU em ARUJÁ-SP CARREGOU em SANTOS-SP PASSOU em SÃO PAULO-SP ABASTECEU no 22 NORTE      </v>
      </c>
      <c r="K123" s="56">
        <v>136</v>
      </c>
    </row>
    <row r="124" spans="1:11" x14ac:dyDescent="0.2">
      <c r="A124" s="55" t="s">
        <v>415</v>
      </c>
      <c r="B124" s="55">
        <f t="shared" si="3"/>
        <v>122</v>
      </c>
      <c r="C124" s="129">
        <f>IF(B124&lt;&gt;"",COUNTIFS(DIESEL!A:A,ROTAS!B124),"")</f>
        <v>1</v>
      </c>
      <c r="D124" s="132">
        <f>IFERROR(IF(A124&lt;&gt;0,AVERAGEIFS(DIESEL!J:J,DIESEL!A:A,ROTAS!B124),""),"")</f>
        <v>454</v>
      </c>
      <c r="E124" s="136">
        <f>IF(B124&lt;&gt;"",IFERROR(AVERAGEIFS(DIESEL!M:M,DIESEL!A:A,ROTAS!B124),0)+IFERROR(AVERAGEIFS(DIESEL!N:N,DIESEL!A:A,ROTAS!B124),0),"")</f>
        <v>709</v>
      </c>
      <c r="F124" s="137">
        <f t="shared" si="4"/>
        <v>1.5616740088105727</v>
      </c>
      <c r="J124" s="56" t="str">
        <v xml:space="preserve">ABASTECEU no CANDEIAS-MG PASSOU em ARUJÁ-SP DESCARREGOU em SANTOS-SP CARREGOU em CUBATAO-SP PASSOU em ARUJÁ-SP ABASTECEU no 22 NORTE    </v>
      </c>
      <c r="K124" s="56">
        <v>165</v>
      </c>
    </row>
    <row r="125" spans="1:11" x14ac:dyDescent="0.2">
      <c r="A125" s="55" t="s">
        <v>416</v>
      </c>
      <c r="B125" s="55">
        <f t="shared" si="3"/>
        <v>123</v>
      </c>
      <c r="C125" s="129">
        <f>IF(B125&lt;&gt;"",COUNTIFS(DIESEL!A:A,ROTAS!B125),"")</f>
        <v>2</v>
      </c>
      <c r="D125" s="132">
        <f>IFERROR(IF(A125&lt;&gt;0,AVERAGEIFS(DIESEL!J:J,DIESEL!A:A,ROTAS!B125),""),"")</f>
        <v>472.5</v>
      </c>
      <c r="E125" s="136">
        <f>IF(B125&lt;&gt;"",IFERROR(AVERAGEIFS(DIESEL!M:M,DIESEL!A:A,ROTAS!B125),0)+IFERROR(AVERAGEIFS(DIESEL!N:N,DIESEL!A:A,ROTAS!B125),0),"")</f>
        <v>835</v>
      </c>
      <c r="F125" s="137">
        <f t="shared" si="4"/>
        <v>1.7671957671957672</v>
      </c>
      <c r="J125" s="56" t="str">
        <v xml:space="preserve">ABASTECEU no CANDEIAS-MG PASSOU em ARUJÁ-SP DESCARREGOU em SANTOS-SP CARREGOU em CUBATAO-SP PASSOU em SÃO PAULO-SP ABASTECEU no 22 NORTE    </v>
      </c>
      <c r="K125" s="56">
        <v>167</v>
      </c>
    </row>
    <row r="126" spans="1:11" x14ac:dyDescent="0.2">
      <c r="A126" s="55" t="s">
        <v>417</v>
      </c>
      <c r="B126" s="55">
        <f t="shared" si="3"/>
        <v>124</v>
      </c>
      <c r="C126" s="129">
        <f>IF(B126&lt;&gt;"",COUNTIFS(DIESEL!A:A,ROTAS!B126),"")</f>
        <v>2</v>
      </c>
      <c r="D126" s="132">
        <f>IFERROR(IF(A126&lt;&gt;0,AVERAGEIFS(DIESEL!J:J,DIESEL!A:A,ROTAS!B126),""),"")</f>
        <v>278.8</v>
      </c>
      <c r="E126" s="136">
        <f>IF(B126&lt;&gt;"",IFERROR(AVERAGEIFS(DIESEL!M:M,DIESEL!A:A,ROTAS!B126),0)+IFERROR(AVERAGEIFS(DIESEL!N:N,DIESEL!A:A,ROTAS!B126),0),"")</f>
        <v>421</v>
      </c>
      <c r="F126" s="137">
        <f t="shared" si="4"/>
        <v>1.5100430416068866</v>
      </c>
      <c r="J126" s="56" t="str">
        <v xml:space="preserve">ABASTECEU no CANDEIAS-MG PASSOU em SÃO PAULO-SP DESCARREGOU em SANTOS-SP CARREGOU em CUBATAO-SP PASSOU em ARUJÁ-SP ABASTECEU no 22 NORTE    </v>
      </c>
      <c r="K126" s="56">
        <v>160</v>
      </c>
    </row>
    <row r="127" spans="1:11" x14ac:dyDescent="0.2">
      <c r="A127" s="134" t="s">
        <v>418</v>
      </c>
      <c r="B127" s="55">
        <f t="shared" si="3"/>
        <v>125</v>
      </c>
      <c r="C127" s="129">
        <f>IF(B127&lt;&gt;"",COUNTIFS(DIESEL!A:A,ROTAS!B127),"")</f>
        <v>2</v>
      </c>
      <c r="D127" s="132">
        <f>IFERROR(IF(A127&lt;&gt;0,AVERAGEIFS(DIESEL!J:J,DIESEL!A:A,ROTAS!B127),""),"")</f>
        <v>497.36500000000001</v>
      </c>
      <c r="E127" s="136">
        <f>IF(B127&lt;&gt;"",IFERROR(AVERAGEIFS(DIESEL!M:M,DIESEL!A:A,ROTAS!B127),0)+IFERROR(AVERAGEIFS(DIESEL!N:N,DIESEL!A:A,ROTAS!B127),0),"")</f>
        <v>818.5</v>
      </c>
      <c r="F127" s="137">
        <f t="shared" si="4"/>
        <v>1.6456726951031937</v>
      </c>
      <c r="J127" s="56" t="str">
        <v xml:space="preserve">ABASTECEU no CANDEIAS-MG PASSOU em SÃO PAULO-SP DESCARREGOU em SANTOS-SP CARREGOU em CUBATAO-SP PASSOU em JACAREI-SP DESCARREGOU em CONGONHAL-MG ABASTECEU no DP JK SUL  </v>
      </c>
      <c r="K127" s="56">
        <v>153</v>
      </c>
    </row>
    <row r="128" spans="1:11" x14ac:dyDescent="0.2">
      <c r="A128" s="55" t="s">
        <v>419</v>
      </c>
      <c r="B128" s="55">
        <f t="shared" si="3"/>
        <v>126</v>
      </c>
      <c r="C128" s="129">
        <f>IF(B128&lt;&gt;"",COUNTIFS(DIESEL!A:A,ROTAS!B128),"")</f>
        <v>1</v>
      </c>
      <c r="D128" s="132">
        <f>IFERROR(IF(A128&lt;&gt;0,AVERAGEIFS(DIESEL!J:J,DIESEL!A:A,ROTAS!B128),""),"")</f>
        <v>416.1</v>
      </c>
      <c r="E128" s="136">
        <f>IF(B128&lt;&gt;"",IFERROR(AVERAGEIFS(DIESEL!M:M,DIESEL!A:A,ROTAS!B128),0)+IFERROR(AVERAGEIFS(DIESEL!N:N,DIESEL!A:A,ROTAS!B128),0),"")</f>
        <v>702</v>
      </c>
      <c r="F128" s="137">
        <f t="shared" si="4"/>
        <v>1.6870944484498918</v>
      </c>
      <c r="J128" s="56" t="str">
        <v xml:space="preserve">ABASTECEU no CANDEIAS-MG PASSOU em SÃO PAULO-SP DESCARREGOU em SANTOS-SP CARREGOU em CUBATAO-SP PASSOU em SÃO PAULO-SP ABASTECEU no 22 NORTE    </v>
      </c>
      <c r="K128" s="56">
        <v>139</v>
      </c>
    </row>
    <row r="129" spans="1:11" x14ac:dyDescent="0.2">
      <c r="A129" s="55" t="s">
        <v>420</v>
      </c>
      <c r="B129" s="55">
        <f t="shared" si="3"/>
        <v>127</v>
      </c>
      <c r="C129" s="129">
        <f>IF(B129&lt;&gt;"",COUNTIFS(DIESEL!A:A,ROTAS!B129),"")</f>
        <v>1</v>
      </c>
      <c r="D129" s="132">
        <f>IFERROR(IF(A129&lt;&gt;0,AVERAGEIFS(DIESEL!J:J,DIESEL!A:A,ROTAS!B129),""),"")</f>
        <v>599.20000000000005</v>
      </c>
      <c r="E129" s="136">
        <f>IF(B129&lt;&gt;"",IFERROR(AVERAGEIFS(DIESEL!M:M,DIESEL!A:A,ROTAS!B129),0)+IFERROR(AVERAGEIFS(DIESEL!N:N,DIESEL!A:A,ROTAS!B129),0),"")</f>
        <v>1137</v>
      </c>
      <c r="F129" s="137">
        <f t="shared" si="4"/>
        <v>1.8975300400534043</v>
      </c>
      <c r="J129" s="56" t="str">
        <v xml:space="preserve">ABASTECEU no CANDEIAS-MG PASSOU em SÃO PAULO-SP DESCARREGOU em SANTOS-SP CARREGOU em SANTOS-SP PASSOU em SÃO PAULO-SP ABASTECEU no 22 NORTE    </v>
      </c>
      <c r="K129" s="56">
        <v>137</v>
      </c>
    </row>
    <row r="130" spans="1:11" x14ac:dyDescent="0.2">
      <c r="A130" s="55" t="s">
        <v>421</v>
      </c>
      <c r="B130" s="55">
        <f t="shared" si="3"/>
        <v>128</v>
      </c>
      <c r="C130" s="129">
        <f>IF(B130&lt;&gt;"",COUNTIFS(DIESEL!A:A,ROTAS!B130),"")</f>
        <v>1</v>
      </c>
      <c r="D130" s="132">
        <f>IFERROR(IF(A130&lt;&gt;0,AVERAGEIFS(DIESEL!J:J,DIESEL!A:A,ROTAS!B130),""),"")</f>
        <v>520</v>
      </c>
      <c r="E130" s="136">
        <f>IF(B130&lt;&gt;"",IFERROR(AVERAGEIFS(DIESEL!M:M,DIESEL!A:A,ROTAS!B130),0)+IFERROR(AVERAGEIFS(DIESEL!N:N,DIESEL!A:A,ROTAS!B130),0),"")</f>
        <v>846</v>
      </c>
      <c r="F130" s="137">
        <f t="shared" si="4"/>
        <v>1.6269230769230769</v>
      </c>
      <c r="J130" s="56" t="str">
        <v xml:space="preserve">ABASTECEU no CANDEIAS-MG PASSOU em SÃO PAULO-SP DESCARREGOU em SANTOS-SP CARREGOU em SANTOS-SP PASSOU em SÃO PAULO-SP ABASTECEU no DP PAULINHO    </v>
      </c>
      <c r="K130" s="56">
        <v>94</v>
      </c>
    </row>
    <row r="131" spans="1:11" x14ac:dyDescent="0.2">
      <c r="A131" s="55" t="s">
        <v>422</v>
      </c>
      <c r="B131" s="55">
        <f t="shared" si="3"/>
        <v>129</v>
      </c>
      <c r="C131" s="129">
        <f>IF(B131&lt;&gt;"",COUNTIFS(DIESEL!A:A,ROTAS!B131),"")</f>
        <v>1</v>
      </c>
      <c r="D131" s="132">
        <f>IFERROR(IF(A131&lt;&gt;0,AVERAGEIFS(DIESEL!J:J,DIESEL!A:A,ROTAS!B131),""),"")</f>
        <v>632.33000000000004</v>
      </c>
      <c r="E131" s="136">
        <f>IF(B131&lt;&gt;"",IFERROR(AVERAGEIFS(DIESEL!M:M,DIESEL!A:A,ROTAS!B131),0)+IFERROR(AVERAGEIFS(DIESEL!N:N,DIESEL!A:A,ROTAS!B131),0),"")</f>
        <v>1099</v>
      </c>
      <c r="F131" s="137">
        <f t="shared" si="4"/>
        <v>1.7380165419954769</v>
      </c>
      <c r="J131" s="56" t="str">
        <v xml:space="preserve">ABASTECEU no CAXUXA UBER. ABASTECEU no PRODOESTE UBA            </v>
      </c>
      <c r="K131" s="56">
        <v>19</v>
      </c>
    </row>
    <row r="132" spans="1:11" x14ac:dyDescent="0.2">
      <c r="A132" s="55" t="s">
        <v>423</v>
      </c>
      <c r="B132" s="55">
        <f t="shared" ref="B132:B141" si="5">IF(A132&lt;&gt;"",B131+1,"")</f>
        <v>130</v>
      </c>
      <c r="C132" s="129">
        <f>IF(B132&lt;&gt;"",COUNTIFS(DIESEL!A:A,ROTAS!B132),"")</f>
        <v>1</v>
      </c>
      <c r="D132" s="132">
        <f>IFERROR(IF(A132&lt;&gt;0,AVERAGEIFS(DIESEL!J:J,DIESEL!A:A,ROTAS!B132),""),"")</f>
        <v>100</v>
      </c>
      <c r="E132" s="136">
        <f>IF(B132&lt;&gt;"",IFERROR(AVERAGEIFS(DIESEL!M:M,DIESEL!A:A,ROTAS!B132),0)+IFERROR(AVERAGEIFS(DIESEL!N:N,DIESEL!A:A,ROTAS!B132),0),"")</f>
        <v>724</v>
      </c>
      <c r="F132" s="137">
        <f t="shared" si="4"/>
        <v>7.24</v>
      </c>
      <c r="J132" s="56" t="str">
        <v xml:space="preserve">ABASTECEU no DECIO UBER. ABASTECEU no DP SALES OLIVEIRA            </v>
      </c>
      <c r="K132" s="56">
        <v>17</v>
      </c>
    </row>
    <row r="133" spans="1:11" x14ac:dyDescent="0.2">
      <c r="A133" s="55" t="s">
        <v>424</v>
      </c>
      <c r="B133" s="55">
        <f t="shared" si="5"/>
        <v>131</v>
      </c>
      <c r="C133" s="129">
        <f>IF(B133&lt;&gt;"",COUNTIFS(DIESEL!A:A,ROTAS!B133),"")</f>
        <v>1</v>
      </c>
      <c r="D133" s="132">
        <f>IFERROR(IF(A133&lt;&gt;0,AVERAGEIFS(DIESEL!J:J,DIESEL!A:A,ROTAS!B133),""),"")</f>
        <v>629.5</v>
      </c>
      <c r="E133" s="136">
        <f>IF(B133&lt;&gt;"",IFERROR(AVERAGEIFS(DIESEL!M:M,DIESEL!A:A,ROTAS!B133),0)+IFERROR(AVERAGEIFS(DIESEL!N:N,DIESEL!A:A,ROTAS!B133),0),"")</f>
        <v>895</v>
      </c>
      <c r="F133" s="137">
        <f t="shared" si="4"/>
        <v>1.4217633042096902</v>
      </c>
      <c r="J133" s="56" t="str">
        <v xml:space="preserve">ABASTECEU no DP ALIANCA PA DESCARREGOU em VARGINHA-MG PASSOU em SÃO PAULO-SP CARREGOU em CUBATAO-SP PASSOU em ARUJÁ-SP ABASTECEU no DP ALIANCA PA    </v>
      </c>
      <c r="K133" s="56">
        <v>86</v>
      </c>
    </row>
    <row r="134" spans="1:11" x14ac:dyDescent="0.2">
      <c r="A134" s="55" t="s">
        <v>425</v>
      </c>
      <c r="B134" s="55">
        <f t="shared" si="5"/>
        <v>132</v>
      </c>
      <c r="C134" s="129">
        <f>IF(B134&lt;&gt;"",COUNTIFS(DIESEL!A:A,ROTAS!B134),"")</f>
        <v>1</v>
      </c>
      <c r="D134" s="132">
        <f>IFERROR(IF(A134&lt;&gt;0,AVERAGEIFS(DIESEL!J:J,DIESEL!A:A,ROTAS!B134),""),"")</f>
        <v>625.6</v>
      </c>
      <c r="E134" s="136">
        <f>IF(B134&lt;&gt;"",IFERROR(AVERAGEIFS(DIESEL!M:M,DIESEL!A:A,ROTAS!B134),0)+IFERROR(AVERAGEIFS(DIESEL!N:N,DIESEL!A:A,ROTAS!B134),0),"")</f>
        <v>183</v>
      </c>
      <c r="F134" s="137">
        <f t="shared" si="4"/>
        <v>0.29251918158567775</v>
      </c>
      <c r="J134" s="56" t="str">
        <v xml:space="preserve">ABASTECEU no DP ALIANCA PA DESCARREGOU em VARGINHA-MG PASSOU em SÃO PAULO-SP CARREGOU em SANTOS-SP PASSOU em SÃO PAULO-SP ABASTECEU no 22 NORTE    </v>
      </c>
      <c r="K134" s="56">
        <v>92</v>
      </c>
    </row>
    <row r="135" spans="1:11" x14ac:dyDescent="0.2">
      <c r="A135" s="55" t="s">
        <v>426</v>
      </c>
      <c r="B135" s="55">
        <f t="shared" si="5"/>
        <v>133</v>
      </c>
      <c r="C135" s="129">
        <f>IF(B135&lt;&gt;"",COUNTIFS(DIESEL!A:A,ROTAS!B135),"")</f>
        <v>2</v>
      </c>
      <c r="D135" s="132">
        <f>IFERROR(IF(A135&lt;&gt;0,AVERAGEIFS(DIESEL!J:J,DIESEL!A:A,ROTAS!B135),""),"")</f>
        <v>517.93999999999994</v>
      </c>
      <c r="E135" s="136">
        <f>IF(B135&lt;&gt;"",IFERROR(AVERAGEIFS(DIESEL!M:M,DIESEL!A:A,ROTAS!B135),0)+IFERROR(AVERAGEIFS(DIESEL!N:N,DIESEL!A:A,ROTAS!B135),0),"")</f>
        <v>840</v>
      </c>
      <c r="F135" s="137">
        <f t="shared" si="4"/>
        <v>1.6218094760010815</v>
      </c>
      <c r="J135" s="56" t="str">
        <v xml:space="preserve">ABASTECEU no DP ATIBAIA NORTE DESCARREGOU em ALFENAS-MG CARREGOU em PASSOS-MG ABASTECEU no DP JK SUL        </v>
      </c>
      <c r="K135" s="56">
        <v>173</v>
      </c>
    </row>
    <row r="136" spans="1:11" x14ac:dyDescent="0.2">
      <c r="A136" s="55" t="s">
        <v>427</v>
      </c>
      <c r="B136" s="55">
        <f t="shared" si="5"/>
        <v>134</v>
      </c>
      <c r="C136" s="129">
        <f>IF(B136&lt;&gt;"",COUNTIFS(DIESEL!A:A,ROTAS!B136),"")</f>
        <v>2</v>
      </c>
      <c r="D136" s="132">
        <f>IFERROR(IF(A136&lt;&gt;0,AVERAGEIFS(DIESEL!J:J,DIESEL!A:A,ROTAS!B136),""),"")</f>
        <v>471.5</v>
      </c>
      <c r="E136" s="136">
        <f>IF(B136&lt;&gt;"",IFERROR(AVERAGEIFS(DIESEL!M:M,DIESEL!A:A,ROTAS!B136),0)+IFERROR(AVERAGEIFS(DIESEL!N:N,DIESEL!A:A,ROTAS!B136),0),"")</f>
        <v>598</v>
      </c>
      <c r="F136" s="137">
        <f t="shared" si="4"/>
        <v>1.2682926829268293</v>
      </c>
      <c r="J136" s="56" t="str">
        <v>ABASTECEU no DP ATIBAIA NORTE DESCARREGOU em CONGONHAL-MG CARREGOU em CONGONHAL-MG DESCARREGOU em ALFENAS-MG PASSOU em ARUJÁ-SP CARREGOU em CUBATAO-SP PASSOU em ARUJÁ-SP ABASTECEU no 22 NORTE</v>
      </c>
      <c r="K136" s="56">
        <v>179</v>
      </c>
    </row>
    <row r="137" spans="1:11" x14ac:dyDescent="0.2">
      <c r="A137" s="55" t="s">
        <v>428</v>
      </c>
      <c r="B137" s="55">
        <f t="shared" si="5"/>
        <v>135</v>
      </c>
      <c r="C137" s="129">
        <f>IF(B137&lt;&gt;"",COUNTIFS(DIESEL!A:A,ROTAS!B137),"")</f>
        <v>1</v>
      </c>
      <c r="D137" s="132">
        <f>IFERROR(IF(A137&lt;&gt;0,AVERAGEIFS(DIESEL!J:J,DIESEL!A:A,ROTAS!B137),""),"")</f>
        <v>523</v>
      </c>
      <c r="E137" s="136">
        <f>IF(B137&lt;&gt;"",IFERROR(AVERAGEIFS(DIESEL!M:M,DIESEL!A:A,ROTAS!B137),0)+IFERROR(AVERAGEIFS(DIESEL!N:N,DIESEL!A:A,ROTAS!B137),0),"")</f>
        <v>851</v>
      </c>
      <c r="F137" s="137">
        <f t="shared" si="4"/>
        <v>1.627151051625239</v>
      </c>
      <c r="J137" s="56" t="str">
        <v xml:space="preserve">ABASTECEU no DP ATIBAIA NORTE DESCARREGOU em IGUATAMA-MG CARREGOU em CORREGO FUNDO-MG ABASTECEU no CANDEIAS-MG        </v>
      </c>
      <c r="K137" s="56">
        <v>27</v>
      </c>
    </row>
    <row r="138" spans="1:11" x14ac:dyDescent="0.2">
      <c r="A138" s="55" t="s">
        <v>429</v>
      </c>
      <c r="B138" s="55">
        <f t="shared" si="5"/>
        <v>136</v>
      </c>
      <c r="C138" s="129">
        <f>IF(B138&lt;&gt;"",COUNTIFS(DIESEL!A:A,ROTAS!B138),"")</f>
        <v>2</v>
      </c>
      <c r="D138" s="132">
        <f>IFERROR(IF(A138&lt;&gt;0,AVERAGEIFS(DIESEL!J:J,DIESEL!A:A,ROTAS!B138),""),"")</f>
        <v>365</v>
      </c>
      <c r="E138" s="136">
        <f>IF(B138&lt;&gt;"",IFERROR(AVERAGEIFS(DIESEL!M:M,DIESEL!A:A,ROTAS!B138),0)+IFERROR(AVERAGEIFS(DIESEL!N:N,DIESEL!A:A,ROTAS!B138),0),"")</f>
        <v>727.5</v>
      </c>
      <c r="F138" s="137">
        <f t="shared" si="4"/>
        <v>1.9931506849315068</v>
      </c>
      <c r="J138" s="56" t="str">
        <v xml:space="preserve">ABASTECEU no DP ATIBAIA NORTE DESCARREGOU em IGUATAMA-MG CARREGOU em PIUMHI-MG ABASTECEU no 22 SUL        </v>
      </c>
      <c r="K138" s="56">
        <v>26</v>
      </c>
    </row>
    <row r="139" spans="1:11" x14ac:dyDescent="0.2">
      <c r="A139" s="134" t="s">
        <v>430</v>
      </c>
      <c r="B139" s="55">
        <f t="shared" si="5"/>
        <v>137</v>
      </c>
      <c r="C139" s="129">
        <f>IF(B139&lt;&gt;"",COUNTIFS(DIESEL!A:A,ROTAS!B139),"")</f>
        <v>2</v>
      </c>
      <c r="D139" s="132">
        <f>IFERROR(IF(A139&lt;&gt;0,AVERAGEIFS(DIESEL!J:J,DIESEL!A:A,ROTAS!B139),""),"")</f>
        <v>493.5</v>
      </c>
      <c r="E139" s="136">
        <f>IF(B139&lt;&gt;"",IFERROR(AVERAGEIFS(DIESEL!M:M,DIESEL!A:A,ROTAS!B139),0)+IFERROR(AVERAGEIFS(DIESEL!N:N,DIESEL!A:A,ROTAS!B139),0),"")</f>
        <v>657</v>
      </c>
      <c r="F139" s="137">
        <f t="shared" si="4"/>
        <v>1.331306990881459</v>
      </c>
      <c r="J139" s="56" t="str">
        <v xml:space="preserve">ABASTECEU no DP ESTIVA PASSOU em ARUJÁ-SP CARREGOU em CUBATAO-SP PASSOU em ARUJÁ-SP DESCARREGOU em CONGONHAL-MG ABASTECEU no 22 SUL    </v>
      </c>
      <c r="K139" s="56">
        <v>47</v>
      </c>
    </row>
    <row r="140" spans="1:11" x14ac:dyDescent="0.2">
      <c r="A140" s="134" t="s">
        <v>433</v>
      </c>
      <c r="B140" s="55">
        <f t="shared" si="5"/>
        <v>138</v>
      </c>
      <c r="C140" s="129">
        <f>IF(B140&lt;&gt;"",COUNTIFS(DIESEL!A:A,ROTAS!B140),"")</f>
        <v>1</v>
      </c>
      <c r="D140" s="132">
        <f>IFERROR(IF(A140&lt;&gt;0,AVERAGEIFS(DIESEL!J:J,DIESEL!A:A,ROTAS!B140),""),"")</f>
        <v>701.5</v>
      </c>
      <c r="E140" s="136">
        <f>IF(B140&lt;&gt;"",IFERROR(AVERAGEIFS(DIESEL!M:M,DIESEL!A:A,ROTAS!B140),0)+IFERROR(AVERAGEIFS(DIESEL!N:N,DIESEL!A:A,ROTAS!B140),0),"")</f>
        <v>1109</v>
      </c>
      <c r="F140" s="137">
        <f t="shared" si="4"/>
        <v>1.5808980755523878</v>
      </c>
      <c r="J140" s="56" t="str">
        <v xml:space="preserve">ABASTECEU no DP ESTIVA PASSOU em SÃO PAULO-SP CARREGOU em CUBATAO-SP PASSOU em ARUJÁ-SP DESCARREGOU em VARGINHA-MG ABASTECEU no CANDEIAS-MG    </v>
      </c>
      <c r="K140" s="56">
        <v>96</v>
      </c>
    </row>
    <row r="141" spans="1:11" x14ac:dyDescent="0.2">
      <c r="A141" s="55" t="s">
        <v>303</v>
      </c>
      <c r="B141" s="55">
        <f t="shared" si="5"/>
        <v>139</v>
      </c>
      <c r="C141" s="129">
        <f>IF(B141&lt;&gt;"",COUNTIFS(DIESEL!A:A,ROTAS!B141),"")</f>
        <v>4</v>
      </c>
      <c r="D141" s="132">
        <f>IFERROR(IF(A141&lt;&gt;0,AVERAGEIFS(DIESEL!J:J,DIESEL!A:A,ROTAS!B141),""),"")</f>
        <v>553.50299999999993</v>
      </c>
      <c r="E141" s="136">
        <f>IF(B141&lt;&gt;"",IFERROR(AVERAGEIFS(DIESEL!M:M,DIESEL!A:A,ROTAS!B141),0)+IFERROR(AVERAGEIFS(DIESEL!N:N,DIESEL!A:A,ROTAS!B141),0),"")</f>
        <v>683.25</v>
      </c>
      <c r="F141" s="137">
        <f t="shared" ref="F141" si="6">IFERROR(E141/D141,"")</f>
        <v>1.2344106536007937</v>
      </c>
      <c r="J141" s="56" t="str">
        <v xml:space="preserve">ABASTECEU no DP ESTIVA PASSOU em SÃO PAULO-SP DESCARREGOU em SANTOS-SP CARREGOU em SANTOS-SP PASSOU em ARUJÁ-SP ABASTECEU no 22 NORTE    </v>
      </c>
      <c r="K141" s="56">
        <v>14</v>
      </c>
    </row>
    <row r="142" spans="1:11" x14ac:dyDescent="0.2">
      <c r="A142" s="55" t="s">
        <v>434</v>
      </c>
      <c r="B142" s="55">
        <f t="shared" ref="B142:B193" si="7">IF(A142&lt;&gt;"",B141+1,"")</f>
        <v>140</v>
      </c>
      <c r="C142" s="129">
        <f>IF(B142&lt;&gt;"",COUNTIFS(DIESEL!A:A,ROTAS!B142),"")</f>
        <v>1</v>
      </c>
      <c r="D142" s="132">
        <f>IFERROR(IF(A142&lt;&gt;0,AVERAGEIFS(DIESEL!J:J,DIESEL!A:A,ROTAS!B142),""),"")</f>
        <v>700</v>
      </c>
      <c r="E142" s="136">
        <f>IF(B142&lt;&gt;"",IFERROR(AVERAGEIFS(DIESEL!M:M,DIESEL!A:A,ROTAS!B142),0)+IFERROR(AVERAGEIFS(DIESEL!N:N,DIESEL!A:A,ROTAS!B142),0),"")</f>
        <v>1097</v>
      </c>
      <c r="F142" s="137">
        <f t="shared" ref="F142:F193" si="8">IFERROR(E142/D142,"")</f>
        <v>1.5671428571428572</v>
      </c>
      <c r="J142" s="56" t="str">
        <v xml:space="preserve">ABASTECEU no DP JK SUL PASSOU em SÃO PAULO-SP CARREGOU em CUBATAO-SP PASSOU em ARUJÁ-SP ABASTECEU no 22 NORTE      </v>
      </c>
      <c r="K142" s="56">
        <v>73</v>
      </c>
    </row>
    <row r="143" spans="1:11" x14ac:dyDescent="0.2">
      <c r="A143" s="55" t="s">
        <v>435</v>
      </c>
      <c r="B143" s="55">
        <f t="shared" si="7"/>
        <v>141</v>
      </c>
      <c r="C143" s="129">
        <f>IF(B143&lt;&gt;"",COUNTIFS(DIESEL!A:A,ROTAS!B143),"")</f>
        <v>1</v>
      </c>
      <c r="D143" s="132">
        <f>IFERROR(IF(A143&lt;&gt;0,AVERAGEIFS(DIESEL!J:J,DIESEL!A:A,ROTAS!B143),""),"")</f>
        <v>628.02</v>
      </c>
      <c r="E143" s="136">
        <f>IF(B143&lt;&gt;"",IFERROR(AVERAGEIFS(DIESEL!M:M,DIESEL!A:A,ROTAS!B143),0)+IFERROR(AVERAGEIFS(DIESEL!N:N,DIESEL!A:A,ROTAS!B143),0),"")</f>
        <v>949</v>
      </c>
      <c r="F143" s="137">
        <f t="shared" si="8"/>
        <v>1.5110983726632909</v>
      </c>
      <c r="J143" s="56" t="str">
        <v xml:space="preserve">ABASTECEU no DP JK SUL PASSOU em SÃO PAULO-SP CARREGOU em CUBATAO-SP PASSOU em ARUJÁ-SP DESCARREGOU em VARGINHA-MG ABASTECEU no DP ESTIVA    </v>
      </c>
      <c r="K143" s="56">
        <v>87</v>
      </c>
    </row>
    <row r="144" spans="1:11" x14ac:dyDescent="0.2">
      <c r="A144" s="55" t="s">
        <v>436</v>
      </c>
      <c r="B144" s="55">
        <f t="shared" si="7"/>
        <v>142</v>
      </c>
      <c r="C144" s="129">
        <f>IF(B144&lt;&gt;"",COUNTIFS(DIESEL!A:A,ROTAS!B144),"")</f>
        <v>1</v>
      </c>
      <c r="D144" s="132">
        <f>IFERROR(IF(A144&lt;&gt;0,AVERAGEIFS(DIESEL!J:J,DIESEL!A:A,ROTAS!B144),""),"")</f>
        <v>570</v>
      </c>
      <c r="E144" s="136">
        <f>IF(B144&lt;&gt;"",IFERROR(AVERAGEIFS(DIESEL!M:M,DIESEL!A:A,ROTAS!B144),0)+IFERROR(AVERAGEIFS(DIESEL!N:N,DIESEL!A:A,ROTAS!B144),0),"")</f>
        <v>1045</v>
      </c>
      <c r="F144" s="137">
        <f t="shared" si="8"/>
        <v>1.8333333333333333</v>
      </c>
      <c r="J144" s="56" t="str">
        <v xml:space="preserve">ABASTECEU no DP JK SUL PASSOU em SÃO PAULO-SP CARREGOU em SANTOS-SP PASSOU em ARUJÁ-SP ABASTECEU no CANDEIAS-MG      </v>
      </c>
      <c r="K144" s="56">
        <v>158</v>
      </c>
    </row>
    <row r="145" spans="1:11" x14ac:dyDescent="0.2">
      <c r="A145" s="55" t="s">
        <v>437</v>
      </c>
      <c r="B145" s="55">
        <f t="shared" si="7"/>
        <v>143</v>
      </c>
      <c r="C145" s="129">
        <f>IF(B145&lt;&gt;"",COUNTIFS(DIESEL!A:A,ROTAS!B145),"")</f>
        <v>1</v>
      </c>
      <c r="D145" s="132">
        <f>IFERROR(IF(A145&lt;&gt;0,AVERAGEIFS(DIESEL!J:J,DIESEL!A:A,ROTAS!B145),""),"")</f>
        <v>379.73</v>
      </c>
      <c r="E145" s="136">
        <f>IF(B145&lt;&gt;"",IFERROR(AVERAGEIFS(DIESEL!M:M,DIESEL!A:A,ROTAS!B145),0)+IFERROR(AVERAGEIFS(DIESEL!N:N,DIESEL!A:A,ROTAS!B145),0),"")</f>
        <v>823</v>
      </c>
      <c r="F145" s="137">
        <f t="shared" si="8"/>
        <v>2.1673294182708767</v>
      </c>
      <c r="J145" s="56" t="str">
        <v xml:space="preserve">ABASTECEU no DP JK SUL PASSOU em SÃO PAULO-SP CARREGOU em SANTOS-SP PASSOU em SÃO PAULO-SP ABASTECEU no 22 NORTE      </v>
      </c>
      <c r="K145" s="56">
        <v>93</v>
      </c>
    </row>
    <row r="146" spans="1:11" x14ac:dyDescent="0.2">
      <c r="A146" s="55" t="s">
        <v>431</v>
      </c>
      <c r="B146" s="55">
        <f t="shared" si="7"/>
        <v>144</v>
      </c>
      <c r="C146" s="129">
        <f>IF(B146&lt;&gt;"",COUNTIFS(DIESEL!A:A,ROTAS!B146),"")</f>
        <v>1</v>
      </c>
      <c r="D146" s="132">
        <f>IFERROR(IF(A146&lt;&gt;0,AVERAGEIFS(DIESEL!J:J,DIESEL!A:A,ROTAS!B146),""),"")</f>
        <v>523.08100000000002</v>
      </c>
      <c r="E146" s="136">
        <f>IF(B146&lt;&gt;"",IFERROR(AVERAGEIFS(DIESEL!M:M,DIESEL!A:A,ROTAS!B146),0)+IFERROR(AVERAGEIFS(DIESEL!N:N,DIESEL!A:A,ROTAS!B146),0),"")</f>
        <v>1159</v>
      </c>
      <c r="F146" s="137">
        <f t="shared" si="8"/>
        <v>2.2157180245506911</v>
      </c>
      <c r="J146" s="56" t="str">
        <v xml:space="preserve">ABASTECEU no DP LEME SUL PASSOU em OSASCO-SP DESCARREGOU em SANTOS-SP CARREGOU em CUBATAO-SP PASSOU em SÃO PAULO-SP ABASTECEU no 22 NORTE    </v>
      </c>
      <c r="K146" s="56">
        <v>78</v>
      </c>
    </row>
    <row r="147" spans="1:11" x14ac:dyDescent="0.2">
      <c r="A147" s="55" t="s">
        <v>439</v>
      </c>
      <c r="B147" s="55">
        <f t="shared" si="7"/>
        <v>145</v>
      </c>
      <c r="C147" s="129">
        <f>IF(B147&lt;&gt;"",COUNTIFS(DIESEL!A:A,ROTAS!B147),"")</f>
        <v>1</v>
      </c>
      <c r="D147" s="132">
        <f>IFERROR(IF(A147&lt;&gt;0,AVERAGEIFS(DIESEL!J:J,DIESEL!A:A,ROTAS!B147),""),"")</f>
        <v>170</v>
      </c>
      <c r="E147" s="136">
        <f>IF(B147&lt;&gt;"",IFERROR(AVERAGEIFS(DIESEL!M:M,DIESEL!A:A,ROTAS!B147),0)+IFERROR(AVERAGEIFS(DIESEL!N:N,DIESEL!A:A,ROTAS!B147),0),"")</f>
        <v>357</v>
      </c>
      <c r="F147" s="137">
        <f t="shared" si="8"/>
        <v>2.1</v>
      </c>
      <c r="J147" s="56" t="str">
        <v xml:space="preserve">ABASTECEU no DP PA NORTE DESCARREGOU em CONGONHAL-MG PASSOU em ARUJÁ-SP CARREGOU em CUBATAO-SP PASSOU em SÃO PAULO-SP ABASTECEU no 22 NORTE    </v>
      </c>
      <c r="K147" s="56">
        <v>45</v>
      </c>
    </row>
    <row r="148" spans="1:11" x14ac:dyDescent="0.2">
      <c r="A148" s="55" t="s">
        <v>440</v>
      </c>
      <c r="B148" s="55">
        <f t="shared" si="7"/>
        <v>146</v>
      </c>
      <c r="C148" s="129">
        <f>IF(B148&lt;&gt;"",COUNTIFS(DIESEL!A:A,ROTAS!B148),"")</f>
        <v>1</v>
      </c>
      <c r="D148" s="132">
        <f>IFERROR(IF(A148&lt;&gt;0,AVERAGEIFS(DIESEL!J:J,DIESEL!A:A,ROTAS!B148),""),"")</f>
        <v>348</v>
      </c>
      <c r="E148" s="136">
        <f>IF(B148&lt;&gt;"",IFERROR(AVERAGEIFS(DIESEL!M:M,DIESEL!A:A,ROTAS!B148),0)+IFERROR(AVERAGEIFS(DIESEL!N:N,DIESEL!A:A,ROTAS!B148),0),"")</f>
        <v>682</v>
      </c>
      <c r="F148" s="137">
        <f t="shared" si="8"/>
        <v>1.9597701149425288</v>
      </c>
      <c r="J148" s="56" t="str">
        <v xml:space="preserve">ABASTECEU no DP PA NORTE DESCARREGOU em IGUATAMA-MG CARREGOU em LUZ-MG ABASTECEU no DP ESTIVA        </v>
      </c>
      <c r="K148" s="56">
        <v>8</v>
      </c>
    </row>
    <row r="149" spans="1:11" x14ac:dyDescent="0.2">
      <c r="A149" s="55" t="s">
        <v>441</v>
      </c>
      <c r="B149" s="55">
        <f t="shared" si="7"/>
        <v>147</v>
      </c>
      <c r="C149" s="129">
        <f>IF(B149&lt;&gt;"",COUNTIFS(DIESEL!A:A,ROTAS!B149),"")</f>
        <v>1</v>
      </c>
      <c r="D149" s="132">
        <f>IFERROR(IF(A149&lt;&gt;0,AVERAGEIFS(DIESEL!J:J,DIESEL!A:A,ROTAS!B149),""),"")</f>
        <v>572.03</v>
      </c>
      <c r="E149" s="136">
        <f>IF(B149&lt;&gt;"",IFERROR(AVERAGEIFS(DIESEL!M:M,DIESEL!A:A,ROTAS!B149),0)+IFERROR(AVERAGEIFS(DIESEL!N:N,DIESEL!A:A,ROTAS!B149),0),"")</f>
        <v>964</v>
      </c>
      <c r="F149" s="137">
        <f t="shared" si="8"/>
        <v>1.6852262993199658</v>
      </c>
      <c r="J149" s="56" t="str">
        <v xml:space="preserve">ABASTECEU no DP PA NORTE DESCARREGOU em TRES CORACOES-MG PASSOU em SÃO PAULO-SP CARREGOU em CUBATAO-SP PASSOU em SÃO PAULO-SP ABASTECEU no 22 NORTE    </v>
      </c>
      <c r="K149" s="56">
        <v>70</v>
      </c>
    </row>
    <row r="150" spans="1:11" x14ac:dyDescent="0.2">
      <c r="A150" s="55" t="s">
        <v>442</v>
      </c>
      <c r="B150" s="55">
        <f t="shared" si="7"/>
        <v>148</v>
      </c>
      <c r="C150" s="129">
        <f>IF(B150&lt;&gt;"",COUNTIFS(DIESEL!A:A,ROTAS!B150),"")</f>
        <v>2</v>
      </c>
      <c r="D150" s="132">
        <f>IFERROR(IF(A150&lt;&gt;0,AVERAGEIFS(DIESEL!J:J,DIESEL!A:A,ROTAS!B150),""),"")</f>
        <v>536.23</v>
      </c>
      <c r="E150" s="136">
        <f>IF(B150&lt;&gt;"",IFERROR(AVERAGEIFS(DIESEL!M:M,DIESEL!A:A,ROTAS!B150),0)+IFERROR(AVERAGEIFS(DIESEL!N:N,DIESEL!A:A,ROTAS!B150),0),"")</f>
        <v>880.5</v>
      </c>
      <c r="F150" s="137">
        <f t="shared" si="8"/>
        <v>1.6420192827704529</v>
      </c>
      <c r="J150" s="56" t="str">
        <v xml:space="preserve">ABASTECEU no DP PA NORTE DESCARREGOU em VARGINHA-MG PASSOU em ARCOS-MG PASSOU em SÃO PAULO-SP CARREGOU em CUBATAO-SP PASSOU em ARUJÁ-SP ABASTECEU no 22 NORTE  </v>
      </c>
      <c r="K150" s="56">
        <v>117</v>
      </c>
    </row>
    <row r="151" spans="1:11" x14ac:dyDescent="0.2">
      <c r="A151" s="55" t="s">
        <v>443</v>
      </c>
      <c r="B151" s="55">
        <f t="shared" si="7"/>
        <v>149</v>
      </c>
      <c r="C151" s="129">
        <f>IF(B151&lt;&gt;"",COUNTIFS(DIESEL!A:A,ROTAS!B151),"")</f>
        <v>1</v>
      </c>
      <c r="D151" s="132">
        <f>IFERROR(IF(A151&lt;&gt;0,AVERAGEIFS(DIESEL!J:J,DIESEL!A:A,ROTAS!B151),""),"")</f>
        <v>493.46</v>
      </c>
      <c r="E151" s="136">
        <f>IF(B151&lt;&gt;"",IFERROR(AVERAGEIFS(DIESEL!M:M,DIESEL!A:A,ROTAS!B151),0)+IFERROR(AVERAGEIFS(DIESEL!N:N,DIESEL!A:A,ROTAS!B151),0),"")</f>
        <v>719</v>
      </c>
      <c r="F151" s="137">
        <f t="shared" si="8"/>
        <v>1.4570583228630487</v>
      </c>
      <c r="J151" s="56" t="str">
        <v xml:space="preserve">ABASTECEU no DP PA NORTE DESCARREGOU em VARGINHA-MG PASSOU em SÃO PAULO-SP CARREGOU em CUBATAO-SP PASSOU em ARUJÁ-SP ABASTECEU no DP PA NORTE    </v>
      </c>
      <c r="K151" s="56">
        <v>83</v>
      </c>
    </row>
    <row r="152" spans="1:11" x14ac:dyDescent="0.2">
      <c r="A152" s="55" t="s">
        <v>444</v>
      </c>
      <c r="B152" s="55">
        <f t="shared" si="7"/>
        <v>150</v>
      </c>
      <c r="C152" s="129">
        <f>IF(B152&lt;&gt;"",COUNTIFS(DIESEL!A:A,ROTAS!B152),"")</f>
        <v>3</v>
      </c>
      <c r="D152" s="132">
        <f>IFERROR(IF(A152&lt;&gt;0,AVERAGEIFS(DIESEL!J:J,DIESEL!A:A,ROTAS!B152),""),"")</f>
        <v>558.43333333333328</v>
      </c>
      <c r="E152" s="136">
        <f>IF(B152&lt;&gt;"",IFERROR(AVERAGEIFS(DIESEL!M:M,DIESEL!A:A,ROTAS!B152),0)+IFERROR(AVERAGEIFS(DIESEL!N:N,DIESEL!A:A,ROTAS!B152),0),"")</f>
        <v>948.66666666666674</v>
      </c>
      <c r="F152" s="137">
        <f t="shared" si="8"/>
        <v>1.6988002148868862</v>
      </c>
      <c r="J152" s="56" t="str">
        <v xml:space="preserve">ABASTECEU no DP PA NORTE DESCARREGOU em VARGINHA-MG PASSOU em SÃO PAULO-SP CARREGOU em SANTOS-SP PASSOU em ARUJÁ-SP ABASTECEU no DP PA NORTE    </v>
      </c>
      <c r="K152" s="56">
        <v>90</v>
      </c>
    </row>
    <row r="153" spans="1:11" x14ac:dyDescent="0.2">
      <c r="A153" s="55" t="s">
        <v>445</v>
      </c>
      <c r="B153" s="55">
        <f t="shared" si="7"/>
        <v>151</v>
      </c>
      <c r="C153" s="129">
        <f>IF(B153&lt;&gt;"",COUNTIFS(DIESEL!A:A,ROTAS!B153),"")</f>
        <v>5</v>
      </c>
      <c r="D153" s="132">
        <f>IFERROR(IF(A153&lt;&gt;0,AVERAGEIFS(DIESEL!J:J,DIESEL!A:A,ROTAS!B153),""),"")</f>
        <v>207.61399999999998</v>
      </c>
      <c r="E153" s="136">
        <f>IF(B153&lt;&gt;"",IFERROR(AVERAGEIFS(DIESEL!M:M,DIESEL!A:A,ROTAS!B153),0)+IFERROR(AVERAGEIFS(DIESEL!N:N,DIESEL!A:A,ROTAS!B153),0),"")</f>
        <v>306</v>
      </c>
      <c r="F153" s="137">
        <f t="shared" si="8"/>
        <v>1.4738890440914392</v>
      </c>
      <c r="J153" s="56" t="str">
        <v xml:space="preserve">ABASTECEU no DP PAULINHO DESCARREGOU em VARGINHA-MG CARREGOU em LAGOA DA PRATA-MG ABASTECEU no CANDEIAS-MG        </v>
      </c>
      <c r="K153" s="56">
        <v>81</v>
      </c>
    </row>
    <row r="154" spans="1:11" x14ac:dyDescent="0.2">
      <c r="A154" s="55" t="s">
        <v>455</v>
      </c>
      <c r="B154" s="55">
        <f t="shared" si="7"/>
        <v>152</v>
      </c>
      <c r="C154" s="129">
        <f>IF(B154&lt;&gt;"",COUNTIFS(DIESEL!A:A,ROTAS!B154),"")</f>
        <v>3</v>
      </c>
      <c r="D154" s="132">
        <f>IFERROR(IF(A154&lt;&gt;0,AVERAGEIFS(DIESEL!J:J,DIESEL!A:A,ROTAS!B154),""),"")</f>
        <v>478.03333333333336</v>
      </c>
      <c r="E154" s="136">
        <f>IF(B154&lt;&gt;"",IFERROR(AVERAGEIFS(DIESEL!M:M,DIESEL!A:A,ROTAS!B154),0)+IFERROR(AVERAGEIFS(DIESEL!N:N,DIESEL!A:A,ROTAS!B154),0),"")</f>
        <v>819</v>
      </c>
      <c r="F154" s="137">
        <f t="shared" si="8"/>
        <v>1.713269646468168</v>
      </c>
      <c r="J154" s="56" t="str">
        <v xml:space="preserve">ABASTECEU no DP PAULINHO DESCARREGOU em VARGINHA-MG PASSOU em SÃO PAULO-SP CARREGOU em CUBATAO-SP PASSOU em ARUJÁ-SP ABASTECEU no DP ATIBAIA NORTE    </v>
      </c>
      <c r="K154" s="56">
        <v>88</v>
      </c>
    </row>
    <row r="155" spans="1:11" x14ac:dyDescent="0.2">
      <c r="A155" s="55" t="s">
        <v>457</v>
      </c>
      <c r="B155" s="55">
        <f t="shared" si="7"/>
        <v>153</v>
      </c>
      <c r="C155" s="129">
        <f>IF(B155&lt;&gt;"",COUNTIFS(DIESEL!A:A,ROTAS!B155),"")</f>
        <v>1</v>
      </c>
      <c r="D155" s="132">
        <f>IFERROR(IF(A155&lt;&gt;0,AVERAGEIFS(DIESEL!J:J,DIESEL!A:A,ROTAS!B155),""),"")</f>
        <v>674</v>
      </c>
      <c r="E155" s="136">
        <f>IF(B155&lt;&gt;"",IFERROR(AVERAGEIFS(DIESEL!M:M,DIESEL!A:A,ROTAS!B155),0)+IFERROR(AVERAGEIFS(DIESEL!N:N,DIESEL!A:A,ROTAS!B155),0),"")</f>
        <v>976</v>
      </c>
      <c r="F155" s="137">
        <f t="shared" si="8"/>
        <v>1.4480712166172107</v>
      </c>
      <c r="J155" s="56" t="str">
        <v xml:space="preserve">ABASTECEU no DP PAULINHO DESCARREGOU em VARGINHA-MG PASSOU em SÃO PAULO-SP CARREGOU em CUBATAO-SP PASSOU em ARUJÁ-SP ABASTECEU no DP PA NORTE    </v>
      </c>
      <c r="K155" s="56">
        <v>84</v>
      </c>
    </row>
    <row r="156" spans="1:11" x14ac:dyDescent="0.2">
      <c r="A156" s="55" t="s">
        <v>458</v>
      </c>
      <c r="B156" s="55">
        <f t="shared" si="7"/>
        <v>154</v>
      </c>
      <c r="C156" s="129">
        <f>IF(B156&lt;&gt;"",COUNTIFS(DIESEL!A:A,ROTAS!B156),"")</f>
        <v>1</v>
      </c>
      <c r="D156" s="132">
        <f>IFERROR(IF(A156&lt;&gt;0,AVERAGEIFS(DIESEL!J:J,DIESEL!A:A,ROTAS!B156),""),"")</f>
        <v>529</v>
      </c>
      <c r="E156" s="136">
        <f>IF(B156&lt;&gt;"",IFERROR(AVERAGEIFS(DIESEL!M:M,DIESEL!A:A,ROTAS!B156),0)+IFERROR(AVERAGEIFS(DIESEL!N:N,DIESEL!A:A,ROTAS!B156),0),"")</f>
        <v>894</v>
      </c>
      <c r="F156" s="137">
        <f t="shared" si="8"/>
        <v>1.6899810964083175</v>
      </c>
      <c r="J156" s="56" t="str">
        <v xml:space="preserve">ABASTECEU no DP PAULINHO DESCARREGOU em VARGINHA-MG PASSOU em SÃO PAULO-SP CARREGOU em SANTOS-SP PASSOU em SÃO PAULO-SP ABASTECEU no 22 NORTE    </v>
      </c>
      <c r="K156" s="56">
        <v>91</v>
      </c>
    </row>
    <row r="157" spans="1:11" x14ac:dyDescent="0.2">
      <c r="A157" s="55" t="s">
        <v>459</v>
      </c>
      <c r="B157" s="55">
        <f t="shared" si="7"/>
        <v>155</v>
      </c>
      <c r="C157" s="129">
        <f>IF(B157&lt;&gt;"",COUNTIFS(DIESEL!A:A,ROTAS!B157),"")</f>
        <v>4</v>
      </c>
      <c r="D157" s="132">
        <f>IFERROR(IF(A157&lt;&gt;0,AVERAGEIFS(DIESEL!J:J,DIESEL!A:A,ROTAS!B157),""),"")</f>
        <v>493.79300000000001</v>
      </c>
      <c r="E157" s="136">
        <f>IF(B157&lt;&gt;"",IFERROR(AVERAGEIFS(DIESEL!M:M,DIESEL!A:A,ROTAS!B157),0)+IFERROR(AVERAGEIFS(DIESEL!N:N,DIESEL!A:A,ROTAS!B157),0),"")</f>
        <v>833</v>
      </c>
      <c r="F157" s="137">
        <f t="shared" si="8"/>
        <v>1.6869416941916957</v>
      </c>
      <c r="J157" s="56" t="str">
        <v xml:space="preserve">ABASTECEU no DP SALES OLIVEIRA ABASTECEU no PICA PAU NORTE            </v>
      </c>
      <c r="K157" s="56">
        <v>21</v>
      </c>
    </row>
    <row r="158" spans="1:11" x14ac:dyDescent="0.2">
      <c r="A158" s="55" t="s">
        <v>460</v>
      </c>
      <c r="B158" s="55">
        <f t="shared" si="7"/>
        <v>156</v>
      </c>
      <c r="C158" s="129">
        <f>IF(B158&lt;&gt;"",COUNTIFS(DIESEL!A:A,ROTAS!B158),"")</f>
        <v>1</v>
      </c>
      <c r="D158" s="132">
        <f>IFERROR(IF(A158&lt;&gt;0,AVERAGEIFS(DIESEL!J:J,DIESEL!A:A,ROTAS!B158),""),"")</f>
        <v>463</v>
      </c>
      <c r="E158" s="136">
        <f>IF(B158&lt;&gt;"",IFERROR(AVERAGEIFS(DIESEL!M:M,DIESEL!A:A,ROTAS!B158),0)+IFERROR(AVERAGEIFS(DIESEL!N:N,DIESEL!A:A,ROTAS!B158),0),"")</f>
        <v>856</v>
      </c>
      <c r="F158" s="137">
        <f t="shared" si="8"/>
        <v>1.8488120950323974</v>
      </c>
      <c r="J158" s="56" t="str">
        <v xml:space="preserve">ABASTECEU no PICA PAU NORTE ABASTECEU no PRODOESTE UBA            </v>
      </c>
      <c r="K158" s="56">
        <v>5</v>
      </c>
    </row>
    <row r="159" spans="1:11" x14ac:dyDescent="0.2">
      <c r="A159" s="55" t="s">
        <v>461</v>
      </c>
      <c r="B159" s="55">
        <f t="shared" si="7"/>
        <v>157</v>
      </c>
      <c r="C159" s="129">
        <f>IF(B159&lt;&gt;"",COUNTIFS(DIESEL!A:A,ROTAS!B159),"")</f>
        <v>1</v>
      </c>
      <c r="D159" s="132">
        <f>IFERROR(IF(A159&lt;&gt;0,AVERAGEIFS(DIESEL!J:J,DIESEL!A:A,ROTAS!B159),""),"")</f>
        <v>568.1</v>
      </c>
      <c r="E159" s="136">
        <f>IF(B159&lt;&gt;"",IFERROR(AVERAGEIFS(DIESEL!M:M,DIESEL!A:A,ROTAS!B159),0)+IFERROR(AVERAGEIFS(DIESEL!N:N,DIESEL!A:A,ROTAS!B159),0),"")</f>
        <v>739</v>
      </c>
      <c r="F159" s="137">
        <f t="shared" si="8"/>
        <v>1.3008273191339552</v>
      </c>
      <c r="J159" s="56" t="str">
        <v xml:space="preserve">ABASTECEU no PICA PAU NORTE DESCARREGOU em ARAGUARI-MG CARREGOU em IPAMERI-GO ABASTECEU no DECIO UBER.        </v>
      </c>
      <c r="K159" s="56">
        <v>16</v>
      </c>
    </row>
    <row r="160" spans="1:11" x14ac:dyDescent="0.2">
      <c r="A160" s="55" t="s">
        <v>462</v>
      </c>
      <c r="B160" s="55">
        <f t="shared" si="7"/>
        <v>158</v>
      </c>
      <c r="C160" s="129">
        <f>IF(B160&lt;&gt;"",COUNTIFS(DIESEL!A:A,ROTAS!B160),"")</f>
        <v>1</v>
      </c>
      <c r="D160" s="132">
        <f>IFERROR(IF(A160&lt;&gt;0,AVERAGEIFS(DIESEL!J:J,DIESEL!A:A,ROTAS!B160),""),"")</f>
        <v>516.6</v>
      </c>
      <c r="E160" s="136">
        <f>IF(B160&lt;&gt;"",IFERROR(AVERAGEIFS(DIESEL!M:M,DIESEL!A:A,ROTAS!B160),0)+IFERROR(AVERAGEIFS(DIESEL!N:N,DIESEL!A:A,ROTAS!B160),0),"")</f>
        <v>812</v>
      </c>
      <c r="F160" s="137">
        <f t="shared" si="8"/>
        <v>1.5718157181571815</v>
      </c>
      <c r="J160" s="56" t="str">
        <v xml:space="preserve">ABASTECEU no PICA PAU NORTE DESCARREGOU em ARAGUARI-MG CARREGOU em SANTA JULIANA-MG ABASTECEU no PICA PAU SUL        </v>
      </c>
      <c r="K160" s="56">
        <v>15</v>
      </c>
    </row>
    <row r="161" spans="1:11" x14ac:dyDescent="0.2">
      <c r="A161" s="55" t="s">
        <v>463</v>
      </c>
      <c r="B161" s="55">
        <f t="shared" si="7"/>
        <v>159</v>
      </c>
      <c r="C161" s="129">
        <f>IF(B161&lt;&gt;"",COUNTIFS(DIESEL!A:A,ROTAS!B161),"")</f>
        <v>1</v>
      </c>
      <c r="D161" s="132">
        <f>IFERROR(IF(A161&lt;&gt;0,AVERAGEIFS(DIESEL!J:J,DIESEL!A:A,ROTAS!B161),""),"")</f>
        <v>588</v>
      </c>
      <c r="E161" s="136">
        <f>IF(B161&lt;&gt;"",IFERROR(AVERAGEIFS(DIESEL!M:M,DIESEL!A:A,ROTAS!B161),0)+IFERROR(AVERAGEIFS(DIESEL!N:N,DIESEL!A:A,ROTAS!B161),0),"")</f>
        <v>938</v>
      </c>
      <c r="F161" s="137">
        <f t="shared" si="8"/>
        <v>1.5952380952380953</v>
      </c>
      <c r="J161" s="56" t="str">
        <v xml:space="preserve">ABASTECEU no PICA PAU NORTE DESCARREGOU em ARAGUARI-MG CARREGOU em UBERABA-MG ABASTECEU no PICA PAU NORTE        </v>
      </c>
      <c r="K161" s="56">
        <v>20</v>
      </c>
    </row>
    <row r="162" spans="1:11" x14ac:dyDescent="0.2">
      <c r="A162" s="55" t="s">
        <v>464</v>
      </c>
      <c r="B162" s="55">
        <f t="shared" si="7"/>
        <v>160</v>
      </c>
      <c r="C162" s="129">
        <f>IF(B162&lt;&gt;"",COUNTIFS(DIESEL!A:A,ROTAS!B162),"")</f>
        <v>1</v>
      </c>
      <c r="D162" s="132">
        <f>IFERROR(IF(A162&lt;&gt;0,AVERAGEIFS(DIESEL!J:J,DIESEL!A:A,ROTAS!B162),""),"")</f>
        <v>507.01</v>
      </c>
      <c r="E162" s="136">
        <f>IF(B162&lt;&gt;"",IFERROR(AVERAGEIFS(DIESEL!M:M,DIESEL!A:A,ROTAS!B162),0)+IFERROR(AVERAGEIFS(DIESEL!N:N,DIESEL!A:A,ROTAS!B162),0),"")</f>
        <v>711</v>
      </c>
      <c r="F162" s="137">
        <f t="shared" si="8"/>
        <v>1.4023392043549436</v>
      </c>
      <c r="J162" s="56" t="str">
        <v xml:space="preserve">ABASTECEU no PICA PAU NORTE DESCARREGOU em ARAGUARI-MG PASSOU em UBERABA-MG CARREGOU em SANTA JULIANA-MG ABASTECEU no UBERABA-MG      </v>
      </c>
      <c r="K162" s="56">
        <v>28</v>
      </c>
    </row>
    <row r="163" spans="1:11" x14ac:dyDescent="0.2">
      <c r="A163" s="55" t="s">
        <v>465</v>
      </c>
      <c r="B163" s="55">
        <f t="shared" si="7"/>
        <v>161</v>
      </c>
      <c r="C163" s="129">
        <f>IF(B163&lt;&gt;"",COUNTIFS(DIESEL!A:A,ROTAS!B163),"")</f>
        <v>1</v>
      </c>
      <c r="D163" s="132">
        <f>IFERROR(IF(A163&lt;&gt;0,AVERAGEIFS(DIESEL!J:J,DIESEL!A:A,ROTAS!B163),""),"")</f>
        <v>605.29999999999995</v>
      </c>
      <c r="E163" s="136">
        <f>IF(B163&lt;&gt;"",IFERROR(AVERAGEIFS(DIESEL!M:M,DIESEL!A:A,ROTAS!B163),0)+IFERROR(AVERAGEIFS(DIESEL!N:N,DIESEL!A:A,ROTAS!B163),0),"")</f>
        <v>850</v>
      </c>
      <c r="F163" s="137">
        <f t="shared" si="8"/>
        <v>1.4042623492483068</v>
      </c>
      <c r="J163" s="56" t="str">
        <v xml:space="preserve">ABASTECEU no PICA PAU NORTE DESCARREGOU em IGUATAMA-MG CARREGOU em IBIA-MG ABASTECEU no CANDEIAS-MG        </v>
      </c>
      <c r="K163" s="56">
        <v>171</v>
      </c>
    </row>
    <row r="164" spans="1:11" x14ac:dyDescent="0.2">
      <c r="A164" s="55" t="s">
        <v>466</v>
      </c>
      <c r="B164" s="55">
        <f t="shared" si="7"/>
        <v>162</v>
      </c>
      <c r="C164" s="129">
        <f>IF(B164&lt;&gt;"",COUNTIFS(DIESEL!A:A,ROTAS!B164),"")</f>
        <v>1</v>
      </c>
      <c r="D164" s="132">
        <f>IFERROR(IF(A164&lt;&gt;0,AVERAGEIFS(DIESEL!J:J,DIESEL!A:A,ROTAS!B164),""),"")</f>
        <v>311.89999999999998</v>
      </c>
      <c r="E164" s="136">
        <f>IF(B164&lt;&gt;"",IFERROR(AVERAGEIFS(DIESEL!M:M,DIESEL!A:A,ROTAS!B164),0)+IFERROR(AVERAGEIFS(DIESEL!N:N,DIESEL!A:A,ROTAS!B164),0),"")</f>
        <v>351</v>
      </c>
      <c r="F164" s="137">
        <f t="shared" si="8"/>
        <v>1.1253606925296571</v>
      </c>
      <c r="J164" s="56" t="str">
        <v xml:space="preserve">ABASTECEU no PICA PAU NORTE PASSOU em OSASCO-SP DESCARREGOU em SANTOS-SP CARREGOU em SANTOS-SP PASSOU em SÃO PAULO-SP DESCARREGOU em TRES CORACOES-MG PASSOU em FORMIGA-MG  </v>
      </c>
      <c r="K164" s="56">
        <v>170</v>
      </c>
    </row>
    <row r="165" spans="1:11" x14ac:dyDescent="0.2">
      <c r="A165" s="55" t="s">
        <v>2403</v>
      </c>
      <c r="B165" s="55">
        <f t="shared" si="7"/>
        <v>163</v>
      </c>
      <c r="C165" s="129">
        <f>IF(B165&lt;&gt;"",COUNTIFS(DIESEL!A:A,ROTAS!B165),"")</f>
        <v>1</v>
      </c>
      <c r="D165" s="132">
        <f>IFERROR(IF(A165&lt;&gt;0,AVERAGEIFS(DIESEL!J:J,DIESEL!A:A,ROTAS!B165),""),"")</f>
        <v>278.39999999999998</v>
      </c>
      <c r="E165" s="136">
        <f>IF(B165&lt;&gt;"",IFERROR(AVERAGEIFS(DIESEL!M:M,DIESEL!A:A,ROTAS!B165),0)+IFERROR(AVERAGEIFS(DIESEL!N:N,DIESEL!A:A,ROTAS!B165),0),"")</f>
        <v>495</v>
      </c>
      <c r="F165" s="137">
        <f t="shared" si="8"/>
        <v>1.7780172413793105</v>
      </c>
      <c r="J165" s="56" t="str">
        <v xml:space="preserve">ABASTECEU no PICA PAU NORTE PASSOU em SÃO PAULO-SP DESCARREGOU em SANTOS-SP CARREGOU em CUBATAO-SP PASSOU em SÃO PAULO-SP ABASTECEU no 22 NORTE    </v>
      </c>
      <c r="K165" s="56">
        <v>55</v>
      </c>
    </row>
    <row r="166" spans="1:11" x14ac:dyDescent="0.2">
      <c r="A166" s="55" t="s">
        <v>2405</v>
      </c>
      <c r="B166" s="55">
        <f t="shared" si="7"/>
        <v>164</v>
      </c>
      <c r="C166" s="129">
        <f>IF(B166&lt;&gt;"",COUNTIFS(DIESEL!A:A,ROTAS!B166),"")</f>
        <v>1</v>
      </c>
      <c r="D166" s="132">
        <f>IFERROR(IF(A166&lt;&gt;0,AVERAGEIFS(DIESEL!J:J,DIESEL!A:A,ROTAS!B166),""),"")</f>
        <v>400</v>
      </c>
      <c r="E166" s="136">
        <f>IF(B166&lt;&gt;"",IFERROR(AVERAGEIFS(DIESEL!M:M,DIESEL!A:A,ROTAS!B166),0)+IFERROR(AVERAGEIFS(DIESEL!N:N,DIESEL!A:A,ROTAS!B166),0),"")</f>
        <v>527</v>
      </c>
      <c r="F166" s="137">
        <f t="shared" si="8"/>
        <v>1.3174999999999999</v>
      </c>
      <c r="J166" s="56" t="str">
        <v xml:space="preserve">ABASTECEU no PICA PAU NORTE PASSOU em SÃO PAULO-SP DESCARREGOU em SANTOS-SP CARREGOU em SANTOS-SP PASSOU em ARUJÁ-SP ABASTECEU no 22 NORTE    </v>
      </c>
      <c r="K166" s="56">
        <v>38</v>
      </c>
    </row>
    <row r="167" spans="1:11" x14ac:dyDescent="0.2">
      <c r="A167" s="55" t="s">
        <v>2410</v>
      </c>
      <c r="B167" s="55">
        <f t="shared" si="7"/>
        <v>165</v>
      </c>
      <c r="C167" s="129">
        <f>IF(B167&lt;&gt;"",COUNTIFS(DIESEL!A:A,ROTAS!B167),"")</f>
        <v>1</v>
      </c>
      <c r="D167" s="132">
        <f>IFERROR(IF(A167&lt;&gt;0,AVERAGEIFS(DIESEL!J:J,DIESEL!A:A,ROTAS!B167),""),"")</f>
        <v>603</v>
      </c>
      <c r="E167" s="136">
        <f>IF(B167&lt;&gt;"",IFERROR(AVERAGEIFS(DIESEL!M:M,DIESEL!A:A,ROTAS!B167),0)+IFERROR(AVERAGEIFS(DIESEL!N:N,DIESEL!A:A,ROTAS!B167),0),"")</f>
        <v>810</v>
      </c>
      <c r="F167" s="137">
        <f t="shared" si="8"/>
        <v>1.3432835820895523</v>
      </c>
      <c r="J167" s="56" t="str">
        <v xml:space="preserve">ABASTECEU no PICA PAU NORTE PASSOU em SÃO PAULO-SP DESCARREGOU em SANTOS-SP CARREGOU em SANTOS-SP PASSOU em SÃO PAULO-SP ABASTECEU no 22 NORTE    </v>
      </c>
      <c r="K167" s="56">
        <v>43</v>
      </c>
    </row>
    <row r="168" spans="1:11" x14ac:dyDescent="0.2">
      <c r="A168" s="55" t="s">
        <v>2411</v>
      </c>
      <c r="B168" s="55">
        <f t="shared" si="7"/>
        <v>166</v>
      </c>
      <c r="C168" s="129">
        <f>IF(B168&lt;&gt;"",COUNTIFS(DIESEL!A:A,ROTAS!B168),"")</f>
        <v>1</v>
      </c>
      <c r="D168" s="132">
        <f>IFERROR(IF(A168&lt;&gt;0,AVERAGEIFS(DIESEL!J:J,DIESEL!A:A,ROTAS!B168),""),"")</f>
        <v>416.13</v>
      </c>
      <c r="E168" s="136">
        <f>IF(B168&lt;&gt;"",IFERROR(AVERAGEIFS(DIESEL!M:M,DIESEL!A:A,ROTAS!B168),0)+IFERROR(AVERAGEIFS(DIESEL!N:N,DIESEL!A:A,ROTAS!B168),0),"")</f>
        <v>691</v>
      </c>
      <c r="F168" s="137">
        <f t="shared" si="8"/>
        <v>1.6605387739408357</v>
      </c>
      <c r="J168" s="56" t="str">
        <v xml:space="preserve">ABASTECEU no PICA PAU NORTE PASSOU em SÃO PAULO-SP DESCARREGOU em SANTOS-SP CARREGOU em SANTOS-SP PASSOU em SÃO PAULO-SP ABASTECEU no DP PA NORTE    </v>
      </c>
      <c r="K168" s="56">
        <v>36</v>
      </c>
    </row>
    <row r="169" spans="1:11" x14ac:dyDescent="0.2">
      <c r="A169" s="55" t="s">
        <v>2412</v>
      </c>
      <c r="B169" s="55">
        <f t="shared" si="7"/>
        <v>167</v>
      </c>
      <c r="C169" s="129">
        <f>IF(B169&lt;&gt;"",COUNTIFS(DIESEL!A:A,ROTAS!B169),"")</f>
        <v>1</v>
      </c>
      <c r="D169" s="132">
        <f>IFERROR(IF(A169&lt;&gt;0,AVERAGEIFS(DIESEL!J:J,DIESEL!A:A,ROTAS!B169),""),"")</f>
        <v>535.02</v>
      </c>
      <c r="E169" s="136">
        <f>IF(B169&lt;&gt;"",IFERROR(AVERAGEIFS(DIESEL!M:M,DIESEL!A:A,ROTAS!B169),0)+IFERROR(AVERAGEIFS(DIESEL!N:N,DIESEL!A:A,ROTAS!B169),0),"")</f>
        <v>736</v>
      </c>
      <c r="F169" s="137">
        <f t="shared" si="8"/>
        <v>1.3756495084295914</v>
      </c>
      <c r="J169" s="56" t="str">
        <v xml:space="preserve">ABASTECEU no PICA PAU SUL PASSOU em OSASCO-SP DESCARREGOU em SANTOS-SP CARREGOU em CUBATAO-SP PASSOU em SÃO PAULO-SP ABASTECEU no 22 NORTE    </v>
      </c>
      <c r="K169" s="56">
        <v>11</v>
      </c>
    </row>
    <row r="170" spans="1:11" x14ac:dyDescent="0.2">
      <c r="A170" s="55" t="s">
        <v>2413</v>
      </c>
      <c r="B170" s="55">
        <f t="shared" si="7"/>
        <v>168</v>
      </c>
      <c r="C170" s="129">
        <f>IF(B170&lt;&gt;"",COUNTIFS(DIESEL!A:A,ROTAS!B170),"")</f>
        <v>1</v>
      </c>
      <c r="D170" s="132">
        <f>IFERROR(IF(A170&lt;&gt;0,AVERAGEIFS(DIESEL!J:J,DIESEL!A:A,ROTAS!B170),""),"")</f>
        <v>563.49</v>
      </c>
      <c r="E170" s="136">
        <f>IF(B170&lt;&gt;"",IFERROR(AVERAGEIFS(DIESEL!M:M,DIESEL!A:A,ROTAS!B170),0)+IFERROR(AVERAGEIFS(DIESEL!N:N,DIESEL!A:A,ROTAS!B170),0),"")</f>
        <v>746</v>
      </c>
      <c r="F170" s="137">
        <f t="shared" si="8"/>
        <v>1.3238921719995032</v>
      </c>
      <c r="J170" s="56" t="str">
        <v xml:space="preserve">ABASTECEU no PICA PAU SUL PASSOU em SÃO PAULO-SP DESCARREGOU em SANTOS-SP CARREGOU em CUBATAO-SP PASSOU em ARUJÁ-SP ABASTECEU no DP PA NORTE    </v>
      </c>
      <c r="K170" s="56">
        <v>68</v>
      </c>
    </row>
    <row r="171" spans="1:11" x14ac:dyDescent="0.2">
      <c r="A171" s="55" t="s">
        <v>2414</v>
      </c>
      <c r="B171" s="55">
        <f t="shared" si="7"/>
        <v>169</v>
      </c>
      <c r="C171" s="129">
        <f>IF(B171&lt;&gt;"",COUNTIFS(DIESEL!A:A,ROTAS!B171),"")</f>
        <v>1</v>
      </c>
      <c r="D171" s="132">
        <f>IFERROR(IF(A171&lt;&gt;0,AVERAGEIFS(DIESEL!J:J,DIESEL!A:A,ROTAS!B171),""),"")</f>
        <v>458.08</v>
      </c>
      <c r="E171" s="136">
        <f>IF(B171&lt;&gt;"",IFERROR(AVERAGEIFS(DIESEL!M:M,DIESEL!A:A,ROTAS!B171),0)+IFERROR(AVERAGEIFS(DIESEL!N:N,DIESEL!A:A,ROTAS!B171),0),"")</f>
        <v>601</v>
      </c>
      <c r="F171" s="137">
        <f t="shared" si="8"/>
        <v>1.3119979042961929</v>
      </c>
      <c r="J171" s="56" t="str">
        <v xml:space="preserve">ABASTECEU no PICA PAU SUL PASSOU em SÃO PAULO-SP DESCARREGOU em SANTOS-SP CARREGOU em SANTOS-SP PASSOU em SÃO PAULO-SP ABASTECEU no 22 NORTE    </v>
      </c>
      <c r="K171" s="56">
        <v>23</v>
      </c>
    </row>
    <row r="172" spans="1:11" x14ac:dyDescent="0.2">
      <c r="A172" s="55" t="s">
        <v>2418</v>
      </c>
      <c r="B172" s="55">
        <f t="shared" si="7"/>
        <v>170</v>
      </c>
      <c r="C172" s="129">
        <f>IF(B172&lt;&gt;"",COUNTIFS(DIESEL!A:A,ROTAS!B172),"")</f>
        <v>1</v>
      </c>
      <c r="D172" s="132">
        <f>IFERROR(IF(A172&lt;&gt;0,AVERAGEIFS(DIESEL!J:J,DIESEL!A:A,ROTAS!B172),""),"")</f>
        <v>200</v>
      </c>
      <c r="E172" s="136">
        <f>IF(B172&lt;&gt;"",IFERROR(AVERAGEIFS(DIESEL!M:M,DIESEL!A:A,ROTAS!B172),0)+IFERROR(AVERAGEIFS(DIESEL!N:N,DIESEL!A:A,ROTAS!B172),0),"")</f>
        <v>1053</v>
      </c>
      <c r="F172" s="137">
        <f t="shared" si="8"/>
        <v>5.2649999999999997</v>
      </c>
      <c r="J172" s="56" t="str">
        <v xml:space="preserve">ABASTECEU no PMG ARCOS CARREGOU em PASSOS-MG ABASTECEU no 22 SUL          </v>
      </c>
      <c r="K172" s="56">
        <v>169</v>
      </c>
    </row>
    <row r="173" spans="1:11" x14ac:dyDescent="0.2">
      <c r="A173" s="55" t="s">
        <v>2419</v>
      </c>
      <c r="B173" s="55">
        <f t="shared" si="7"/>
        <v>171</v>
      </c>
      <c r="C173" s="129">
        <f>IF(B173&lt;&gt;"",COUNTIFS(DIESEL!A:A,ROTAS!B173),"")</f>
        <v>1</v>
      </c>
      <c r="D173" s="132">
        <f>IFERROR(IF(A173&lt;&gt;0,AVERAGEIFS(DIESEL!J:J,DIESEL!A:A,ROTAS!B173),""),"")</f>
        <v>508.2</v>
      </c>
      <c r="E173" s="136">
        <f>IF(B173&lt;&gt;"",IFERROR(AVERAGEIFS(DIESEL!M:M,DIESEL!A:A,ROTAS!B173),0)+IFERROR(AVERAGEIFS(DIESEL!N:N,DIESEL!A:A,ROTAS!B173),0),"")</f>
        <v>930</v>
      </c>
      <c r="F173" s="137">
        <f t="shared" si="8"/>
        <v>1.8299881936245572</v>
      </c>
      <c r="J173" s="56" t="str">
        <v xml:space="preserve">ABASTECEU no PMG CORR. DANTA ABASTECEU no CANDEIAS-MG            </v>
      </c>
      <c r="K173" s="56">
        <v>132</v>
      </c>
    </row>
    <row r="174" spans="1:11" x14ac:dyDescent="0.2">
      <c r="A174" s="55" t="s">
        <v>2420</v>
      </c>
      <c r="B174" s="55">
        <f t="shared" si="7"/>
        <v>172</v>
      </c>
      <c r="C174" s="129">
        <f>IF(B174&lt;&gt;"",COUNTIFS(DIESEL!A:A,ROTAS!B174),"")</f>
        <v>1</v>
      </c>
      <c r="D174" s="132">
        <f>IFERROR(IF(A174&lt;&gt;0,AVERAGEIFS(DIESEL!J:J,DIESEL!A:A,ROTAS!B174),""),"")</f>
        <v>101.9</v>
      </c>
      <c r="E174" s="136">
        <f>IF(B174&lt;&gt;"",IFERROR(AVERAGEIFS(DIESEL!M:M,DIESEL!A:A,ROTAS!B174),0)+IFERROR(AVERAGEIFS(DIESEL!N:N,DIESEL!A:A,ROTAS!B174),0),"")</f>
        <v>194</v>
      </c>
      <c r="F174" s="137">
        <f t="shared" si="8"/>
        <v>1.903827281648675</v>
      </c>
      <c r="J174" s="56" t="str">
        <v xml:space="preserve">ABASTECEU no POSTO W3 UNAÍ ABASTECEU no CANDEIAS-MG            </v>
      </c>
      <c r="K174" s="56">
        <v>134</v>
      </c>
    </row>
    <row r="175" spans="1:11" x14ac:dyDescent="0.2">
      <c r="A175" s="55" t="s">
        <v>2421</v>
      </c>
      <c r="B175" s="55">
        <f t="shared" si="7"/>
        <v>173</v>
      </c>
      <c r="C175" s="129">
        <f>IF(B175&lt;&gt;"",COUNTIFS(DIESEL!A:A,ROTAS!B175),"")</f>
        <v>1</v>
      </c>
      <c r="D175" s="132">
        <f>IFERROR(IF(A175&lt;&gt;0,AVERAGEIFS(DIESEL!J:J,DIESEL!A:A,ROTAS!B175),""),"")</f>
        <v>545</v>
      </c>
      <c r="E175" s="136">
        <f>IF(B175&lt;&gt;"",IFERROR(AVERAGEIFS(DIESEL!M:M,DIESEL!A:A,ROTAS!B175),0)+IFERROR(AVERAGEIFS(DIESEL!N:N,DIESEL!A:A,ROTAS!B175),0),"")</f>
        <v>713</v>
      </c>
      <c r="F175" s="137">
        <f t="shared" si="8"/>
        <v>1.308256880733945</v>
      </c>
      <c r="J175" s="56" t="str">
        <v xml:space="preserve">ABASTECEU no PRODOESTE UBA ABASTECEU no PICA PAU NORTE            </v>
      </c>
      <c r="K175" s="56">
        <v>22</v>
      </c>
    </row>
    <row r="176" spans="1:11" x14ac:dyDescent="0.2">
      <c r="A176" s="55" t="s">
        <v>2422</v>
      </c>
      <c r="B176" s="55">
        <f t="shared" si="7"/>
        <v>174</v>
      </c>
      <c r="C176" s="129">
        <f>IF(B176&lt;&gt;"",COUNTIFS(DIESEL!A:A,ROTAS!B176),"")</f>
        <v>1</v>
      </c>
      <c r="D176" s="132">
        <f>IFERROR(IF(A176&lt;&gt;0,AVERAGEIFS(DIESEL!J:J,DIESEL!A:A,ROTAS!B176),""),"")</f>
        <v>512.54</v>
      </c>
      <c r="E176" s="136">
        <f>IF(B176&lt;&gt;"",IFERROR(AVERAGEIFS(DIESEL!M:M,DIESEL!A:A,ROTAS!B176),0)+IFERROR(AVERAGEIFS(DIESEL!N:N,DIESEL!A:A,ROTAS!B176),0),"")</f>
        <v>818</v>
      </c>
      <c r="F176" s="137">
        <f t="shared" si="8"/>
        <v>1.5959729972294847</v>
      </c>
      <c r="J176" s="56" t="str">
        <v xml:space="preserve">ABASTECEU no PRODOESTE UBA CARREGOU em CONC. DAS ALAGOAS-MG ABASTECEU no PICA PAU SUL          </v>
      </c>
      <c r="K176" s="56">
        <v>57</v>
      </c>
    </row>
    <row r="177" spans="1:11" x14ac:dyDescent="0.2">
      <c r="A177" s="55" t="s">
        <v>2423</v>
      </c>
      <c r="B177" s="55">
        <f t="shared" si="7"/>
        <v>175</v>
      </c>
      <c r="C177" s="129">
        <f>IF(B177&lt;&gt;"",COUNTIFS(DIESEL!A:A,ROTAS!B177),"")</f>
        <v>2</v>
      </c>
      <c r="D177" s="132">
        <f>IFERROR(IF(A177&lt;&gt;0,AVERAGEIFS(DIESEL!J:J,DIESEL!A:A,ROTAS!B177),""),"")</f>
        <v>540</v>
      </c>
      <c r="E177" s="136">
        <f>IF(B177&lt;&gt;"",IFERROR(AVERAGEIFS(DIESEL!M:M,DIESEL!A:A,ROTAS!B177),0)+IFERROR(AVERAGEIFS(DIESEL!N:N,DIESEL!A:A,ROTAS!B177),0),"")</f>
        <v>896</v>
      </c>
      <c r="F177" s="137">
        <f t="shared" si="8"/>
        <v>1.6592592592592592</v>
      </c>
      <c r="J177" s="56" t="str">
        <v xml:space="preserve">ABASTECEU no PRODOESTE UBA CARREGOU em IPAMERI-GO ABASTECEU no DP SALES OLIVEIRA          </v>
      </c>
      <c r="K177" s="56">
        <v>51</v>
      </c>
    </row>
    <row r="178" spans="1:11" x14ac:dyDescent="0.2">
      <c r="A178" s="55" t="s">
        <v>2424</v>
      </c>
      <c r="B178" s="55">
        <f t="shared" si="7"/>
        <v>176</v>
      </c>
      <c r="C178" s="129">
        <f>IF(B178&lt;&gt;"",COUNTIFS(DIESEL!A:A,ROTAS!B178),"")</f>
        <v>1</v>
      </c>
      <c r="D178" s="132">
        <f>IFERROR(IF(A178&lt;&gt;0,AVERAGEIFS(DIESEL!J:J,DIESEL!A:A,ROTAS!B178),""),"")</f>
        <v>620</v>
      </c>
      <c r="E178" s="136">
        <f>IF(B178&lt;&gt;"",IFERROR(AVERAGEIFS(DIESEL!M:M,DIESEL!A:A,ROTAS!B178),0)+IFERROR(AVERAGEIFS(DIESEL!N:N,DIESEL!A:A,ROTAS!B178),0),"")</f>
        <v>254</v>
      </c>
      <c r="F178" s="137">
        <f t="shared" si="8"/>
        <v>0.4096774193548387</v>
      </c>
      <c r="J178" s="56" t="str">
        <v xml:space="preserve">ABASTECEU no PRODOESTE UBA CARREGOU em IPAMERI-GO ABASTECEU no PICA PAU NORTE          </v>
      </c>
      <c r="K178" s="56">
        <v>52</v>
      </c>
    </row>
    <row r="179" spans="1:11" x14ac:dyDescent="0.2">
      <c r="A179" s="55" t="s">
        <v>2425</v>
      </c>
      <c r="B179" s="55">
        <f t="shared" si="7"/>
        <v>177</v>
      </c>
      <c r="C179" s="129">
        <f>IF(B179&lt;&gt;"",COUNTIFS(DIESEL!A:A,ROTAS!B179),"")</f>
        <v>1</v>
      </c>
      <c r="D179" s="132">
        <f>IFERROR(IF(A179&lt;&gt;0,AVERAGEIFS(DIESEL!J:J,DIESEL!A:A,ROTAS!B179),""),"")</f>
        <v>506</v>
      </c>
      <c r="E179" s="136">
        <f>IF(B179&lt;&gt;"",IFERROR(AVERAGEIFS(DIESEL!M:M,DIESEL!A:A,ROTAS!B179),0)+IFERROR(AVERAGEIFS(DIESEL!N:N,DIESEL!A:A,ROTAS!B179),0),"")</f>
        <v>734</v>
      </c>
      <c r="F179" s="137">
        <f t="shared" si="8"/>
        <v>1.4505928853754941</v>
      </c>
      <c r="J179" s="56" t="str">
        <v xml:space="preserve">ABASTECEU no PRODOESTE UBA CARREGOU em SÃO JOAO DALIANCA-GO ABASTECEU no BRASILEIRAO ARAGUARI          </v>
      </c>
      <c r="K179" s="56">
        <v>74</v>
      </c>
    </row>
    <row r="180" spans="1:11" x14ac:dyDescent="0.2">
      <c r="A180" s="55" t="s">
        <v>2426</v>
      </c>
      <c r="B180" s="55">
        <f t="shared" si="7"/>
        <v>178</v>
      </c>
      <c r="C180" s="129">
        <f>IF(B180&lt;&gt;"",COUNTIFS(DIESEL!A:A,ROTAS!B180),"")</f>
        <v>2</v>
      </c>
      <c r="D180" s="132">
        <f>IFERROR(IF(A180&lt;&gt;0,AVERAGEIFS(DIESEL!J:J,DIESEL!A:A,ROTAS!B180),""),"")</f>
        <v>276.5</v>
      </c>
      <c r="E180" s="136">
        <f>IF(B180&lt;&gt;"",IFERROR(AVERAGEIFS(DIESEL!M:M,DIESEL!A:A,ROTAS!B180),0)+IFERROR(AVERAGEIFS(DIESEL!N:N,DIESEL!A:A,ROTAS!B180),0),"")</f>
        <v>342</v>
      </c>
      <c r="F180" s="137">
        <f t="shared" si="8"/>
        <v>1.2368896925858952</v>
      </c>
      <c r="J180" s="56" t="str">
        <v xml:space="preserve">ABASTECEU no PRODOESTE UBA DESCARREGOU em ARAGUARI-MG CARREGOU em IPAMERI-GO ABASTECEU no CAXUXA UBER.        </v>
      </c>
      <c r="K180" s="56">
        <v>18</v>
      </c>
    </row>
    <row r="181" spans="1:11" x14ac:dyDescent="0.2">
      <c r="A181" s="55" t="s">
        <v>2427</v>
      </c>
      <c r="B181" s="55">
        <f t="shared" si="7"/>
        <v>179</v>
      </c>
      <c r="C181" s="129">
        <f>IF(B181&lt;&gt;"",COUNTIFS(DIESEL!A:A,ROTAS!B181),"")</f>
        <v>1</v>
      </c>
      <c r="D181" s="132">
        <f>IFERROR(IF(A181&lt;&gt;0,AVERAGEIFS(DIESEL!J:J,DIESEL!A:A,ROTAS!B181),""),"")</f>
        <v>515</v>
      </c>
      <c r="E181" s="136">
        <f>IF(B181&lt;&gt;"",IFERROR(AVERAGEIFS(DIESEL!M:M,DIESEL!A:A,ROTAS!B181),0)+IFERROR(AVERAGEIFS(DIESEL!N:N,DIESEL!A:A,ROTAS!B181),0),"")</f>
        <v>825</v>
      </c>
      <c r="F181" s="137">
        <f t="shared" si="8"/>
        <v>1.6019417475728155</v>
      </c>
      <c r="J181" s="56" t="str">
        <v xml:space="preserve">ABASTECEU no PRODOESTE UBA PASSOU em SÃO PAULO-SP DESCARREGOU em SANTOS-SP CARREGOU em SANTOS-SP PASSOU em SÃO PAULO-SP ABASTECEU no 22 NORTE    </v>
      </c>
      <c r="K181" s="56">
        <v>44</v>
      </c>
    </row>
    <row r="182" spans="1:11" x14ac:dyDescent="0.2">
      <c r="A182" s="55"/>
      <c r="B182" s="55" t="str">
        <f t="shared" si="7"/>
        <v/>
      </c>
      <c r="C182" s="129" t="str">
        <f>IF(B182&lt;&gt;"",COUNTIFS(DIESEL!A:A,ROTAS!B182),"")</f>
        <v/>
      </c>
      <c r="D182" s="132" t="str">
        <f>IFERROR(IF(A182&lt;&gt;0,AVERAGEIFS(DIESEL!J:J,DIESEL!A:A,ROTAS!B182),""),"")</f>
        <v/>
      </c>
      <c r="E182" s="136" t="str">
        <f>IF(B182&lt;&gt;"",IFERROR(AVERAGEIFS(DIESEL!M:M,DIESEL!A:A,ROTAS!B182),0)+IFERROR(AVERAGEIFS(DIESEL!N:N,DIESEL!A:A,ROTAS!B182),0),"")</f>
        <v/>
      </c>
      <c r="F182" s="137" t="str">
        <f t="shared" si="8"/>
        <v/>
      </c>
      <c r="J182" s="56">
        <v>0</v>
      </c>
      <c r="K182" s="56" t="str">
        <v/>
      </c>
    </row>
    <row r="183" spans="1:11" x14ac:dyDescent="0.2">
      <c r="A183" s="55"/>
      <c r="B183" s="55" t="str">
        <f t="shared" si="7"/>
        <v/>
      </c>
      <c r="C183" s="129" t="str">
        <f>IF(B183&lt;&gt;"",COUNTIFS(DIESEL!A:A,ROTAS!B183),"")</f>
        <v/>
      </c>
      <c r="D183" s="132" t="str">
        <f>IFERROR(IF(A183&lt;&gt;0,AVERAGEIFS(DIESEL!J:J,DIESEL!A:A,ROTAS!B183),""),"")</f>
        <v/>
      </c>
      <c r="E183" s="136" t="str">
        <f>IF(B183&lt;&gt;"",IFERROR(AVERAGEIFS(DIESEL!M:M,DIESEL!A:A,ROTAS!B183),0)+IFERROR(AVERAGEIFS(DIESEL!N:N,DIESEL!A:A,ROTAS!B183),0),"")</f>
        <v/>
      </c>
      <c r="F183" s="137" t="str">
        <f t="shared" si="8"/>
        <v/>
      </c>
      <c r="J183" s="56">
        <v>0</v>
      </c>
      <c r="K183" s="56" t="str">
        <v/>
      </c>
    </row>
    <row r="184" spans="1:11" x14ac:dyDescent="0.2">
      <c r="A184" s="55"/>
      <c r="B184" s="55" t="str">
        <f t="shared" si="7"/>
        <v/>
      </c>
      <c r="C184" s="129" t="str">
        <f>IF(B184&lt;&gt;"",COUNTIFS(DIESEL!A:A,ROTAS!B184),"")</f>
        <v/>
      </c>
      <c r="D184" s="132" t="str">
        <f>IFERROR(IF(A184&lt;&gt;0,AVERAGEIFS(DIESEL!J:J,DIESEL!A:A,ROTAS!B184),""),"")</f>
        <v/>
      </c>
      <c r="E184" s="136" t="str">
        <f>IF(B184&lt;&gt;"",IFERROR(AVERAGEIFS(DIESEL!M:M,DIESEL!A:A,ROTAS!B184),0)+IFERROR(AVERAGEIFS(DIESEL!N:N,DIESEL!A:A,ROTAS!B184),0),"")</f>
        <v/>
      </c>
      <c r="F184" s="137" t="str">
        <f t="shared" si="8"/>
        <v/>
      </c>
      <c r="J184" s="56">
        <v>0</v>
      </c>
      <c r="K184" s="56" t="str">
        <v/>
      </c>
    </row>
    <row r="185" spans="1:11" x14ac:dyDescent="0.2">
      <c r="A185" s="55"/>
      <c r="B185" s="55" t="str">
        <f t="shared" si="7"/>
        <v/>
      </c>
      <c r="C185" s="129" t="str">
        <f>IF(B185&lt;&gt;"",COUNTIFS(DIESEL!A:A,ROTAS!B185),"")</f>
        <v/>
      </c>
      <c r="D185" s="132" t="str">
        <f>IFERROR(IF(A185&lt;&gt;0,AVERAGEIFS(DIESEL!J:J,DIESEL!A:A,ROTAS!B185),""),"")</f>
        <v/>
      </c>
      <c r="E185" s="136" t="str">
        <f>IF(B185&lt;&gt;"",IFERROR(AVERAGEIFS(DIESEL!M:M,DIESEL!A:A,ROTAS!B185),0)+IFERROR(AVERAGEIFS(DIESEL!N:N,DIESEL!A:A,ROTAS!B185),0),"")</f>
        <v/>
      </c>
      <c r="F185" s="137" t="str">
        <f t="shared" si="8"/>
        <v/>
      </c>
      <c r="J185" s="56">
        <v>0</v>
      </c>
      <c r="K185" s="56" t="str">
        <v/>
      </c>
    </row>
    <row r="186" spans="1:11" x14ac:dyDescent="0.2">
      <c r="A186" s="55"/>
      <c r="B186" s="55" t="str">
        <f t="shared" si="7"/>
        <v/>
      </c>
      <c r="C186" s="129" t="str">
        <f>IF(B186&lt;&gt;"",COUNTIFS(DIESEL!A:A,ROTAS!B186),"")</f>
        <v/>
      </c>
      <c r="D186" s="132" t="str">
        <f>IFERROR(IF(A186&lt;&gt;0,AVERAGEIFS(DIESEL!J:J,DIESEL!A:A,ROTAS!B186),""),"")</f>
        <v/>
      </c>
      <c r="E186" s="136" t="str">
        <f>IF(B186&lt;&gt;"",IFERROR(AVERAGEIFS(DIESEL!M:M,DIESEL!A:A,ROTAS!B186),0)+IFERROR(AVERAGEIFS(DIESEL!N:N,DIESEL!A:A,ROTAS!B186),0),"")</f>
        <v/>
      </c>
      <c r="F186" s="137" t="str">
        <f t="shared" si="8"/>
        <v/>
      </c>
      <c r="J186" s="56">
        <v>0</v>
      </c>
      <c r="K186" s="56" t="str">
        <v/>
      </c>
    </row>
    <row r="187" spans="1:11" x14ac:dyDescent="0.2">
      <c r="A187" s="55"/>
      <c r="B187" s="55" t="str">
        <f t="shared" si="7"/>
        <v/>
      </c>
      <c r="C187" s="129" t="str">
        <f>IF(B187&lt;&gt;"",COUNTIFS(DIESEL!A:A,ROTAS!B187),"")</f>
        <v/>
      </c>
      <c r="D187" s="132" t="str">
        <f>IFERROR(IF(A187&lt;&gt;0,AVERAGEIFS(DIESEL!J:J,DIESEL!A:A,ROTAS!B187),""),"")</f>
        <v/>
      </c>
      <c r="E187" s="136" t="str">
        <f>IF(B187&lt;&gt;"",IFERROR(AVERAGEIFS(DIESEL!M:M,DIESEL!A:A,ROTAS!B187),0)+IFERROR(AVERAGEIFS(DIESEL!N:N,DIESEL!A:A,ROTAS!B187),0),"")</f>
        <v/>
      </c>
      <c r="F187" s="137" t="str">
        <f t="shared" si="8"/>
        <v/>
      </c>
      <c r="J187" s="56">
        <v>0</v>
      </c>
      <c r="K187" s="56" t="str">
        <v/>
      </c>
    </row>
    <row r="188" spans="1:11" x14ac:dyDescent="0.2">
      <c r="A188" s="55"/>
      <c r="B188" s="55" t="str">
        <f t="shared" si="7"/>
        <v/>
      </c>
      <c r="C188" s="129" t="str">
        <f>IF(B188&lt;&gt;"",COUNTIFS(DIESEL!A:A,ROTAS!B188),"")</f>
        <v/>
      </c>
      <c r="D188" s="132" t="str">
        <f>IFERROR(IF(A188&lt;&gt;0,AVERAGEIFS(DIESEL!J:J,DIESEL!A:A,ROTAS!B188),""),"")</f>
        <v/>
      </c>
      <c r="E188" s="136" t="str">
        <f>IF(B188&lt;&gt;"",IFERROR(AVERAGEIFS(DIESEL!M:M,DIESEL!A:A,ROTAS!B188),0)+IFERROR(AVERAGEIFS(DIESEL!N:N,DIESEL!A:A,ROTAS!B188),0),"")</f>
        <v/>
      </c>
      <c r="F188" s="137" t="str">
        <f t="shared" si="8"/>
        <v/>
      </c>
      <c r="J188" s="56">
        <v>0</v>
      </c>
      <c r="K188" s="56" t="str">
        <v/>
      </c>
    </row>
    <row r="189" spans="1:11" x14ac:dyDescent="0.2">
      <c r="A189" s="55"/>
      <c r="B189" s="55" t="str">
        <f t="shared" si="7"/>
        <v/>
      </c>
      <c r="C189" s="129" t="str">
        <f>IF(B189&lt;&gt;"",COUNTIFS(DIESEL!A:A,ROTAS!B189),"")</f>
        <v/>
      </c>
      <c r="D189" s="132" t="str">
        <f>IFERROR(IF(A189&lt;&gt;0,AVERAGEIFS(DIESEL!J:J,DIESEL!A:A,ROTAS!B189),""),"")</f>
        <v/>
      </c>
      <c r="E189" s="136" t="str">
        <f>IF(B189&lt;&gt;"",IFERROR(AVERAGEIFS(DIESEL!M:M,DIESEL!A:A,ROTAS!B189),0)+IFERROR(AVERAGEIFS(DIESEL!N:N,DIESEL!A:A,ROTAS!B189),0),"")</f>
        <v/>
      </c>
      <c r="F189" s="137" t="str">
        <f t="shared" si="8"/>
        <v/>
      </c>
      <c r="J189" s="56">
        <v>0</v>
      </c>
      <c r="K189" s="56" t="str">
        <v/>
      </c>
    </row>
    <row r="190" spans="1:11" x14ac:dyDescent="0.2">
      <c r="A190" s="55"/>
      <c r="B190" s="55" t="str">
        <f t="shared" si="7"/>
        <v/>
      </c>
      <c r="C190" s="129" t="str">
        <f>IF(B190&lt;&gt;"",COUNTIFS(DIESEL!A:A,ROTAS!B190),"")</f>
        <v/>
      </c>
      <c r="D190" s="132" t="str">
        <f>IFERROR(IF(A190&lt;&gt;0,AVERAGEIFS(DIESEL!J:J,DIESEL!A:A,ROTAS!B190),""),"")</f>
        <v/>
      </c>
      <c r="E190" s="136" t="str">
        <f>IF(B190&lt;&gt;"",IFERROR(AVERAGEIFS(DIESEL!M:M,DIESEL!A:A,ROTAS!B190),0)+IFERROR(AVERAGEIFS(DIESEL!N:N,DIESEL!A:A,ROTAS!B190),0),"")</f>
        <v/>
      </c>
      <c r="F190" s="137" t="str">
        <f t="shared" si="8"/>
        <v/>
      </c>
      <c r="J190" s="56">
        <v>0</v>
      </c>
      <c r="K190" s="56" t="str">
        <v/>
      </c>
    </row>
    <row r="191" spans="1:11" x14ac:dyDescent="0.2">
      <c r="A191" s="55"/>
      <c r="B191" s="55" t="str">
        <f t="shared" si="7"/>
        <v/>
      </c>
      <c r="C191" s="129" t="str">
        <f>IF(B191&lt;&gt;"",COUNTIFS(DIESEL!A:A,ROTAS!B191),"")</f>
        <v/>
      </c>
      <c r="D191" s="132" t="str">
        <f>IFERROR(IF(A191&lt;&gt;0,AVERAGEIFS(DIESEL!J:J,DIESEL!A:A,ROTAS!B191),""),"")</f>
        <v/>
      </c>
      <c r="E191" s="136" t="str">
        <f>IF(B191&lt;&gt;"",IFERROR(AVERAGEIFS(DIESEL!M:M,DIESEL!A:A,ROTAS!B191),0)+IFERROR(AVERAGEIFS(DIESEL!N:N,DIESEL!A:A,ROTAS!B191),0),"")</f>
        <v/>
      </c>
      <c r="F191" s="137" t="str">
        <f t="shared" si="8"/>
        <v/>
      </c>
      <c r="J191" s="56">
        <v>0</v>
      </c>
      <c r="K191" s="56" t="str">
        <v/>
      </c>
    </row>
    <row r="192" spans="1:11" x14ac:dyDescent="0.2">
      <c r="A192" s="55"/>
      <c r="B192" s="55" t="str">
        <f t="shared" si="7"/>
        <v/>
      </c>
      <c r="C192" s="129" t="str">
        <f>IF(B192&lt;&gt;"",COUNTIFS(DIESEL!A:A,ROTAS!B192),"")</f>
        <v/>
      </c>
      <c r="D192" s="132" t="str">
        <f>IFERROR(IF(A192&lt;&gt;0,AVERAGEIFS(DIESEL!J:J,DIESEL!A:A,ROTAS!B192),""),"")</f>
        <v/>
      </c>
      <c r="E192" s="136" t="str">
        <f>IF(B192&lt;&gt;"",IFERROR(AVERAGEIFS(DIESEL!M:M,DIESEL!A:A,ROTAS!B192),0)+IFERROR(AVERAGEIFS(DIESEL!N:N,DIESEL!A:A,ROTAS!B192),0),"")</f>
        <v/>
      </c>
      <c r="F192" s="137" t="str">
        <f t="shared" si="8"/>
        <v/>
      </c>
      <c r="J192" s="56">
        <v>0</v>
      </c>
      <c r="K192" s="56" t="str">
        <v/>
      </c>
    </row>
    <row r="193" spans="1:11" x14ac:dyDescent="0.2">
      <c r="A193" s="55"/>
      <c r="B193" s="55" t="str">
        <f t="shared" si="7"/>
        <v/>
      </c>
      <c r="C193" s="129" t="str">
        <f>IF(B193&lt;&gt;"",COUNTIFS(DIESEL!A:A,ROTAS!B193),"")</f>
        <v/>
      </c>
      <c r="D193" s="132" t="str">
        <f>IFERROR(IF(A193&lt;&gt;0,AVERAGEIFS(DIESEL!J:J,DIESEL!A:A,ROTAS!B193),""),"")</f>
        <v/>
      </c>
      <c r="E193" s="136" t="str">
        <f>IF(B193&lt;&gt;"",IFERROR(AVERAGEIFS(DIESEL!M:M,DIESEL!A:A,ROTAS!B193),0)+IFERROR(AVERAGEIFS(DIESEL!N:N,DIESEL!A:A,ROTAS!B193),0),"")</f>
        <v/>
      </c>
      <c r="F193" s="137" t="str">
        <f t="shared" si="8"/>
        <v/>
      </c>
      <c r="J193" s="56">
        <v>0</v>
      </c>
      <c r="K193" s="56" t="str">
        <v/>
      </c>
    </row>
    <row r="194" spans="1:11" x14ac:dyDescent="0.2">
      <c r="J194" s="56">
        <v>0</v>
      </c>
      <c r="K194" s="56">
        <v>0</v>
      </c>
    </row>
    <row r="195" spans="1:11" x14ac:dyDescent="0.2">
      <c r="J195" s="56">
        <v>0</v>
      </c>
      <c r="K195" s="56">
        <v>0</v>
      </c>
    </row>
    <row r="196" spans="1:11" x14ac:dyDescent="0.2">
      <c r="J196" s="56">
        <v>0</v>
      </c>
      <c r="K196" s="56">
        <v>0</v>
      </c>
    </row>
    <row r="197" spans="1:11" x14ac:dyDescent="0.2">
      <c r="J197" s="56">
        <v>0</v>
      </c>
      <c r="K197" s="56">
        <v>0</v>
      </c>
    </row>
    <row r="198" spans="1:11" x14ac:dyDescent="0.2">
      <c r="J198" s="56">
        <v>0</v>
      </c>
      <c r="K198" s="56">
        <v>0</v>
      </c>
    </row>
    <row r="199" spans="1:11" x14ac:dyDescent="0.2">
      <c r="J199" s="56">
        <v>0</v>
      </c>
      <c r="K199" s="56">
        <v>0</v>
      </c>
    </row>
    <row r="200" spans="1:11" x14ac:dyDescent="0.2">
      <c r="J200" s="56">
        <v>0</v>
      </c>
      <c r="K200" s="56">
        <v>0</v>
      </c>
    </row>
  </sheetData>
  <autoFilter ref="A1:C193" xr:uid="{BBB4762F-4F49-431A-8473-480A5FE84C33}">
    <sortState xmlns:xlrd2="http://schemas.microsoft.com/office/spreadsheetml/2017/richdata2" ref="A2:C193">
      <sortCondition ref="A1:A193"/>
    </sortState>
  </autoFilter>
  <sortState xmlns:xlrd2="http://schemas.microsoft.com/office/spreadsheetml/2017/richdata2" ref="A2:A293">
    <sortCondition ref="A2:A293"/>
  </sortState>
  <conditionalFormatting sqref="A1:A1048576">
    <cfRule type="duplicateValues" dxfId="16" priority="6"/>
  </conditionalFormatting>
  <conditionalFormatting sqref="C1:C1048576">
    <cfRule type="top10" dxfId="15" priority="1" rank="5"/>
  </conditionalFormatting>
  <conditionalFormatting sqref="B1:B193">
    <cfRule type="containsBlanks" dxfId="14" priority="276">
      <formula>LEN(TRIM(B1))=0</formula>
    </cfRule>
    <cfRule type="duplicateValues" dxfId="13" priority="277"/>
  </conditionalFormatting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2A9E-04BA-46BE-82EB-79829648F7D5}">
  <dimension ref="A1:J19"/>
  <sheetViews>
    <sheetView workbookViewId="0">
      <selection activeCell="K29" sqref="K29"/>
    </sheetView>
  </sheetViews>
  <sheetFormatPr defaultRowHeight="11.25" x14ac:dyDescent="0.2"/>
  <cols>
    <col min="1" max="1" width="7.42578125" style="104" bestFit="1" customWidth="1"/>
    <col min="2" max="2" width="12" style="206" bestFit="1" customWidth="1"/>
    <col min="3" max="3" width="4.28515625" style="56" bestFit="1" customWidth="1"/>
    <col min="4" max="4" width="9.85546875" style="56" bestFit="1" customWidth="1"/>
    <col min="5" max="5" width="9.7109375" style="56" bestFit="1" customWidth="1"/>
    <col min="6" max="6" width="9.140625" style="56"/>
    <col min="7" max="7" width="2.7109375" style="135" bestFit="1" customWidth="1"/>
    <col min="8" max="8" width="9.7109375" style="56" bestFit="1" customWidth="1"/>
    <col min="9" max="9" width="11.5703125" style="56" bestFit="1" customWidth="1"/>
    <col min="10" max="10" width="9.85546875" style="206" bestFit="1" customWidth="1"/>
    <col min="11" max="16384" width="9.140625" style="56"/>
  </cols>
  <sheetData>
    <row r="1" spans="1:10" s="200" customFormat="1" x14ac:dyDescent="0.25">
      <c r="A1" s="185" t="s">
        <v>3</v>
      </c>
      <c r="B1" s="199" t="s">
        <v>467</v>
      </c>
      <c r="C1" s="185" t="s">
        <v>468</v>
      </c>
      <c r="D1" s="185" t="s">
        <v>469</v>
      </c>
      <c r="J1" s="201"/>
    </row>
    <row r="2" spans="1:10" x14ac:dyDescent="0.2">
      <c r="A2" s="202" t="s">
        <v>33</v>
      </c>
      <c r="B2" s="203">
        <f>SUMIFS(RELATUA!BP:BP,RELATUA!AZ:AZ,RANKING!A2)</f>
        <v>68024.48000000001</v>
      </c>
      <c r="C2" s="204">
        <f>B2/SUM($B$2:$B$17)</f>
        <v>5.3004772967270318E-2</v>
      </c>
      <c r="D2" s="198" t="str">
        <f>IF(C2=(LARGE($C$2:$C$17,1)),1000,IF(C2=(LARGE($C$2:$C$17,2)),500,IF(C2=(LARGE($C$2:$C$17,3)),250,"")))</f>
        <v/>
      </c>
      <c r="E2" s="56" t="s">
        <v>257</v>
      </c>
      <c r="G2" s="36">
        <v>1</v>
      </c>
      <c r="H2" s="194" t="str">
        <f>IF(G2&lt;&gt;"",VLOOKUP(I2,$B$2:$E$17,4,FALSE),"")</f>
        <v>ADILSON</v>
      </c>
      <c r="I2" s="195">
        <f>IF(G2&lt;&gt;"",LARGE($B$2:$B$17,G2),"")</f>
        <v>110928.42</v>
      </c>
      <c r="J2" s="195">
        <v>1000</v>
      </c>
    </row>
    <row r="3" spans="1:10" x14ac:dyDescent="0.2">
      <c r="A3" s="139" t="s">
        <v>126</v>
      </c>
      <c r="B3" s="203">
        <f>SUMIFS(RELATUA!BP:BP,RELATUA!AZ:AZ,RANKING!A3)</f>
        <v>87252.19</v>
      </c>
      <c r="C3" s="205">
        <f t="shared" ref="C3:C17" si="0">B3/SUM($B$2:$B$17)</f>
        <v>6.7987032342579218E-2</v>
      </c>
      <c r="D3" s="198" t="str">
        <f t="shared" ref="D3:D17" si="1">IF(C3=(LARGE($C$2:$C$17,1)),1000,IF(C3=(LARGE($C$2:$C$17,2)),500,IF(C3=(LARGE($C$2:$C$17,3)),250,"")))</f>
        <v/>
      </c>
      <c r="E3" s="56" t="s">
        <v>261</v>
      </c>
      <c r="G3" s="36">
        <f>IFERROR(IF((G2+1)="","",IF(G2+1=COUNTIFS($A$2:$A$20,"&lt;&gt;"&amp;""),"",G2+1)),"")</f>
        <v>2</v>
      </c>
      <c r="H3" s="194" t="str">
        <f t="shared" ref="H3:H19" si="2">IF(G3&lt;&gt;"",VLOOKUP(I3,$B$2:$E$17,4,FALSE),"")</f>
        <v>EDUALDO</v>
      </c>
      <c r="I3" s="195">
        <f t="shared" ref="I3:I19" si="3">IF(G3&lt;&gt;"",LARGE($B$2:$B$17,G3),"")</f>
        <v>96094.62</v>
      </c>
      <c r="J3" s="195">
        <v>500</v>
      </c>
    </row>
    <row r="4" spans="1:10" x14ac:dyDescent="0.2">
      <c r="A4" s="139" t="s">
        <v>128</v>
      </c>
      <c r="B4" s="203">
        <f>SUMIFS(RELATUA!BP:BP,RELATUA!AZ:AZ,RANKING!A4)</f>
        <v>80658.7</v>
      </c>
      <c r="C4" s="205">
        <f t="shared" si="0"/>
        <v>6.2849375420953826E-2</v>
      </c>
      <c r="D4" s="198" t="str">
        <f t="shared" si="1"/>
        <v/>
      </c>
      <c r="E4" s="56" t="s">
        <v>267</v>
      </c>
      <c r="G4" s="36">
        <f t="shared" ref="G4:G19" si="4">IFERROR(IF((G3+1)="","",IF(G3+1=COUNTIFS($A$2:$A$20,"&lt;&gt;"&amp;""),"",G3+1)),"")</f>
        <v>3</v>
      </c>
      <c r="H4" s="194" t="str">
        <f t="shared" si="2"/>
        <v>ALTIELIS</v>
      </c>
      <c r="I4" s="195">
        <f t="shared" si="3"/>
        <v>90861.040000000008</v>
      </c>
      <c r="J4" s="195">
        <v>250</v>
      </c>
    </row>
    <row r="5" spans="1:10" x14ac:dyDescent="0.2">
      <c r="A5" s="139" t="s">
        <v>27</v>
      </c>
      <c r="B5" s="203">
        <f>SUMIFS(RELATUA!BP:BP,RELATUA!AZ:AZ,RANKING!A5)</f>
        <v>90699.140000000014</v>
      </c>
      <c r="C5" s="205">
        <f t="shared" si="0"/>
        <v>7.0672900756119941E-2</v>
      </c>
      <c r="D5" s="198" t="str">
        <f t="shared" si="1"/>
        <v/>
      </c>
      <c r="E5" s="56" t="s">
        <v>260</v>
      </c>
      <c r="G5" s="36">
        <f t="shared" si="4"/>
        <v>4</v>
      </c>
      <c r="H5" s="196" t="str">
        <f t="shared" si="2"/>
        <v>ANTONIO</v>
      </c>
      <c r="I5" s="197">
        <f t="shared" si="3"/>
        <v>90699.140000000014</v>
      </c>
      <c r="J5" s="198"/>
    </row>
    <row r="6" spans="1:10" x14ac:dyDescent="0.2">
      <c r="A6" s="139" t="s">
        <v>124</v>
      </c>
      <c r="B6" s="203">
        <f>SUMIFS(RELATUA!BP:BP,RELATUA!AZ:AZ,RANKING!A6)</f>
        <v>70633.53</v>
      </c>
      <c r="C6" s="205">
        <f t="shared" si="0"/>
        <v>5.5037748491820533E-2</v>
      </c>
      <c r="D6" s="198" t="str">
        <f t="shared" si="1"/>
        <v/>
      </c>
      <c r="E6" s="56" t="s">
        <v>259</v>
      </c>
      <c r="G6" s="36">
        <f t="shared" si="4"/>
        <v>5</v>
      </c>
      <c r="H6" s="196" t="str">
        <f t="shared" si="2"/>
        <v>RONY</v>
      </c>
      <c r="I6" s="197">
        <f t="shared" si="3"/>
        <v>89065.430000000008</v>
      </c>
      <c r="J6" s="198"/>
    </row>
    <row r="7" spans="1:10" x14ac:dyDescent="0.2">
      <c r="A7" s="139" t="s">
        <v>30</v>
      </c>
      <c r="B7" s="203">
        <f>SUMIFS(RELATUA!BP:BP,RELATUA!AZ:AZ,RANKING!A7)</f>
        <v>85960.23</v>
      </c>
      <c r="C7" s="205">
        <f t="shared" si="0"/>
        <v>6.6980335246433903E-2</v>
      </c>
      <c r="D7" s="198" t="str">
        <f t="shared" si="1"/>
        <v/>
      </c>
      <c r="E7" s="56" t="s">
        <v>256</v>
      </c>
      <c r="G7" s="36">
        <f t="shared" si="4"/>
        <v>6</v>
      </c>
      <c r="H7" s="196" t="str">
        <f t="shared" si="2"/>
        <v>EDNILSON</v>
      </c>
      <c r="I7" s="197">
        <f t="shared" si="3"/>
        <v>88775.42</v>
      </c>
      <c r="J7" s="198"/>
    </row>
    <row r="8" spans="1:10" x14ac:dyDescent="0.2">
      <c r="A8" s="139" t="s">
        <v>24</v>
      </c>
      <c r="B8" s="203">
        <f>SUMIFS(RELATUA!BP:BP,RELATUA!AZ:AZ,RANKING!A8)</f>
        <v>75478.509999999995</v>
      </c>
      <c r="C8" s="205">
        <f t="shared" si="0"/>
        <v>5.8812963898553013E-2</v>
      </c>
      <c r="D8" s="198" t="str">
        <f t="shared" si="1"/>
        <v/>
      </c>
      <c r="E8" s="56" t="s">
        <v>275</v>
      </c>
      <c r="G8" s="36">
        <f t="shared" si="4"/>
        <v>7</v>
      </c>
      <c r="H8" s="196" t="str">
        <f t="shared" si="2"/>
        <v>IZAIAS</v>
      </c>
      <c r="I8" s="197">
        <f t="shared" si="3"/>
        <v>87252.19</v>
      </c>
      <c r="J8" s="198"/>
    </row>
    <row r="9" spans="1:10" x14ac:dyDescent="0.2">
      <c r="A9" s="139" t="s">
        <v>127</v>
      </c>
      <c r="B9" s="203">
        <f>SUMIFS(RELATUA!BP:BP,RELATUA!AZ:AZ,RANKING!A9)</f>
        <v>68270.439999999988</v>
      </c>
      <c r="C9" s="205">
        <f t="shared" si="0"/>
        <v>5.3196425354161456E-2</v>
      </c>
      <c r="D9" s="198" t="str">
        <f t="shared" si="1"/>
        <v/>
      </c>
      <c r="E9" s="56" t="s">
        <v>269</v>
      </c>
      <c r="G9" s="36">
        <f t="shared" si="4"/>
        <v>8</v>
      </c>
      <c r="H9" s="196" t="str">
        <f t="shared" si="2"/>
        <v>RONILSON</v>
      </c>
      <c r="I9" s="197">
        <f t="shared" si="3"/>
        <v>85960.23</v>
      </c>
      <c r="J9" s="198"/>
    </row>
    <row r="10" spans="1:10" x14ac:dyDescent="0.2">
      <c r="A10" s="139" t="s">
        <v>32</v>
      </c>
      <c r="B10" s="203">
        <f>SUMIFS(RELATUA!BP:BP,RELATUA!AZ:AZ,RANKING!A10)</f>
        <v>110928.42</v>
      </c>
      <c r="C10" s="205">
        <f t="shared" si="0"/>
        <v>8.643558492057575E-2</v>
      </c>
      <c r="D10" s="198">
        <f t="shared" si="1"/>
        <v>1000</v>
      </c>
      <c r="E10" s="56" t="s">
        <v>262</v>
      </c>
      <c r="G10" s="36">
        <f t="shared" si="4"/>
        <v>9</v>
      </c>
      <c r="H10" s="196" t="str">
        <f t="shared" si="2"/>
        <v>ISAC</v>
      </c>
      <c r="I10" s="197">
        <f t="shared" si="3"/>
        <v>82808.91</v>
      </c>
      <c r="J10" s="198"/>
    </row>
    <row r="11" spans="1:10" x14ac:dyDescent="0.2">
      <c r="A11" s="139" t="s">
        <v>29</v>
      </c>
      <c r="B11" s="203">
        <f>SUMIFS(RELATUA!BP:BP,RELATUA!AZ:AZ,RANKING!A11)</f>
        <v>88775.42</v>
      </c>
      <c r="C11" s="205">
        <f t="shared" si="0"/>
        <v>6.9173935356419747E-2</v>
      </c>
      <c r="D11" s="198" t="str">
        <f t="shared" si="1"/>
        <v/>
      </c>
      <c r="E11" s="56" t="s">
        <v>263</v>
      </c>
      <c r="G11" s="36">
        <f t="shared" si="4"/>
        <v>10</v>
      </c>
      <c r="H11" s="196" t="str">
        <f t="shared" si="2"/>
        <v>ELI RICARDO</v>
      </c>
      <c r="I11" s="197">
        <f t="shared" si="3"/>
        <v>80658.7</v>
      </c>
      <c r="J11" s="198"/>
    </row>
    <row r="12" spans="1:10" x14ac:dyDescent="0.2">
      <c r="A12" s="139" t="s">
        <v>26</v>
      </c>
      <c r="B12" s="203">
        <f>SUMIFS(RELATUA!BP:BP,RELATUA!AZ:AZ,RANKING!A12)</f>
        <v>59439.17</v>
      </c>
      <c r="C12" s="205">
        <f t="shared" si="0"/>
        <v>4.6315087027684505E-2</v>
      </c>
      <c r="D12" s="198" t="str">
        <f t="shared" si="1"/>
        <v/>
      </c>
      <c r="E12" s="56" t="s">
        <v>254</v>
      </c>
      <c r="G12" s="36">
        <f t="shared" si="4"/>
        <v>11</v>
      </c>
      <c r="H12" s="196" t="str">
        <f t="shared" si="2"/>
        <v>PAULO HENR.</v>
      </c>
      <c r="I12" s="197">
        <f t="shared" si="3"/>
        <v>75478.509999999995</v>
      </c>
      <c r="J12" s="198"/>
    </row>
    <row r="13" spans="1:10" x14ac:dyDescent="0.2">
      <c r="A13" s="139" t="s">
        <v>131</v>
      </c>
      <c r="B13" s="203">
        <f>SUMIFS(RELATUA!BP:BP,RELATUA!AZ:AZ,RANKING!A13)</f>
        <v>90861.040000000008</v>
      </c>
      <c r="C13" s="205">
        <f t="shared" si="0"/>
        <v>7.079905346972247E-2</v>
      </c>
      <c r="D13" s="198">
        <f t="shared" si="1"/>
        <v>250</v>
      </c>
      <c r="E13" s="56" t="s">
        <v>268</v>
      </c>
      <c r="G13" s="36">
        <f t="shared" si="4"/>
        <v>12</v>
      </c>
      <c r="H13" s="196" t="str">
        <f t="shared" si="2"/>
        <v>ISRAEL</v>
      </c>
      <c r="I13" s="197">
        <f t="shared" si="3"/>
        <v>70633.53</v>
      </c>
      <c r="J13" s="198"/>
    </row>
    <row r="14" spans="1:10" x14ac:dyDescent="0.2">
      <c r="A14" s="139" t="s">
        <v>23</v>
      </c>
      <c r="B14" s="203">
        <f>SUMIFS(RELATUA!BP:BP,RELATUA!AZ:AZ,RANKING!A14)</f>
        <v>82808.91</v>
      </c>
      <c r="C14" s="205">
        <f t="shared" si="0"/>
        <v>6.4524822155452272E-2</v>
      </c>
      <c r="D14" s="198" t="str">
        <f t="shared" si="1"/>
        <v/>
      </c>
      <c r="E14" s="56" t="s">
        <v>265</v>
      </c>
      <c r="G14" s="36">
        <f t="shared" si="4"/>
        <v>13</v>
      </c>
      <c r="H14" s="196" t="str">
        <f t="shared" si="2"/>
        <v>EVERTON</v>
      </c>
      <c r="I14" s="197">
        <f t="shared" si="3"/>
        <v>68270.439999999988</v>
      </c>
      <c r="J14" s="198"/>
    </row>
    <row r="15" spans="1:10" x14ac:dyDescent="0.2">
      <c r="A15" s="139" t="s">
        <v>28</v>
      </c>
      <c r="B15" s="203">
        <f>SUMIFS(RELATUA!BP:BP,RELATUA!AZ:AZ,RANKING!A15)</f>
        <v>89065.430000000008</v>
      </c>
      <c r="C15" s="205">
        <f t="shared" si="0"/>
        <v>6.9399911566869837E-2</v>
      </c>
      <c r="D15" s="198" t="str">
        <f t="shared" si="1"/>
        <v/>
      </c>
      <c r="E15" s="56" t="s">
        <v>255</v>
      </c>
      <c r="G15" s="36">
        <f t="shared" si="4"/>
        <v>14</v>
      </c>
      <c r="H15" s="196" t="str">
        <f t="shared" si="2"/>
        <v>JULIO</v>
      </c>
      <c r="I15" s="197">
        <f t="shared" si="3"/>
        <v>68024.48000000001</v>
      </c>
      <c r="J15" s="198"/>
    </row>
    <row r="16" spans="1:10" x14ac:dyDescent="0.2">
      <c r="A16" s="139" t="s">
        <v>22</v>
      </c>
      <c r="B16" s="203">
        <f>SUMIFS(RELATUA!BP:BP,RELATUA!AZ:AZ,RANKING!A16)</f>
        <v>38414.950000000004</v>
      </c>
      <c r="C16" s="205">
        <f t="shared" si="0"/>
        <v>2.9932984468224389E-2</v>
      </c>
      <c r="D16" s="198" t="str">
        <f t="shared" si="1"/>
        <v/>
      </c>
      <c r="E16" s="56" t="s">
        <v>273</v>
      </c>
      <c r="G16" s="36">
        <f t="shared" si="4"/>
        <v>15</v>
      </c>
      <c r="H16" s="196" t="str">
        <f t="shared" si="2"/>
        <v>DIEGO</v>
      </c>
      <c r="I16" s="197">
        <f t="shared" si="3"/>
        <v>59439.17</v>
      </c>
      <c r="J16" s="198"/>
    </row>
    <row r="17" spans="1:10" x14ac:dyDescent="0.2">
      <c r="A17" s="139" t="s">
        <v>25</v>
      </c>
      <c r="B17" s="203">
        <f>SUMIFS(RELATUA!BP:BP,RELATUA!AZ:AZ,RANKING!A17)</f>
        <v>96094.62</v>
      </c>
      <c r="C17" s="205">
        <f t="shared" si="0"/>
        <v>7.4877066557158728E-2</v>
      </c>
      <c r="D17" s="198">
        <f t="shared" si="1"/>
        <v>500</v>
      </c>
      <c r="E17" s="56" t="s">
        <v>266</v>
      </c>
      <c r="G17" s="36" t="str">
        <f t="shared" si="4"/>
        <v/>
      </c>
      <c r="H17" s="196" t="str">
        <f t="shared" si="2"/>
        <v/>
      </c>
      <c r="I17" s="197" t="str">
        <f t="shared" si="3"/>
        <v/>
      </c>
      <c r="J17" s="198"/>
    </row>
    <row r="18" spans="1:10" x14ac:dyDescent="0.2">
      <c r="G18" s="36" t="str">
        <f t="shared" si="4"/>
        <v/>
      </c>
      <c r="H18" s="196" t="str">
        <f t="shared" si="2"/>
        <v/>
      </c>
      <c r="I18" s="197" t="str">
        <f t="shared" si="3"/>
        <v/>
      </c>
      <c r="J18" s="198"/>
    </row>
    <row r="19" spans="1:10" x14ac:dyDescent="0.2">
      <c r="G19" s="36" t="str">
        <f t="shared" si="4"/>
        <v/>
      </c>
      <c r="H19" s="196" t="str">
        <f t="shared" si="2"/>
        <v/>
      </c>
      <c r="I19" s="197" t="str">
        <f t="shared" si="3"/>
        <v/>
      </c>
      <c r="J19" s="198"/>
    </row>
  </sheetData>
  <conditionalFormatting sqref="C2:C17">
    <cfRule type="top10" dxfId="12" priority="1" rank="3"/>
  </conditionalFormatting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CD34-AEC1-419A-BC19-D9CE186C5FDD}">
  <dimension ref="A1:FL313"/>
  <sheetViews>
    <sheetView workbookViewId="0">
      <selection sqref="A1:XFD1048576"/>
    </sheetView>
  </sheetViews>
  <sheetFormatPr defaultColWidth="5.85546875" defaultRowHeight="11.25" x14ac:dyDescent="0.2"/>
  <cols>
    <col min="1" max="1" width="5.7109375" style="56" bestFit="1" customWidth="1"/>
    <col min="2" max="2" width="6.7109375" style="56" bestFit="1" customWidth="1"/>
    <col min="3" max="3" width="6" style="56" bestFit="1" customWidth="1"/>
    <col min="4" max="4" width="8.5703125" style="56" bestFit="1" customWidth="1"/>
    <col min="5" max="5" width="11.7109375" style="56" bestFit="1" customWidth="1"/>
    <col min="6" max="6" width="9" style="56" bestFit="1" customWidth="1"/>
    <col min="7" max="7" width="7.85546875" style="56" bestFit="1" customWidth="1"/>
    <col min="8" max="8" width="13.5703125" style="56" bestFit="1" customWidth="1"/>
    <col min="9" max="9" width="17.5703125" style="56" bestFit="1" customWidth="1"/>
    <col min="10" max="10" width="12.85546875" style="56" bestFit="1" customWidth="1"/>
    <col min="11" max="11" width="11.42578125" style="56" bestFit="1" customWidth="1"/>
    <col min="12" max="12" width="12.42578125" style="56" bestFit="1" customWidth="1"/>
    <col min="13" max="13" width="11.28515625" style="56" bestFit="1" customWidth="1"/>
    <col min="14" max="14" width="8.85546875" style="56" bestFit="1" customWidth="1"/>
    <col min="15" max="15" width="11.85546875" style="56" bestFit="1" customWidth="1"/>
    <col min="16" max="16" width="12.42578125" style="56" bestFit="1" customWidth="1"/>
    <col min="17" max="17" width="8.5703125" style="56" bestFit="1" customWidth="1"/>
    <col min="18" max="18" width="14.5703125" style="56" bestFit="1" customWidth="1"/>
    <col min="19" max="19" width="14" style="56" bestFit="1" customWidth="1"/>
    <col min="20" max="20" width="10" style="56" bestFit="1" customWidth="1"/>
    <col min="21" max="21" width="14.42578125" style="56" bestFit="1" customWidth="1"/>
    <col min="22" max="22" width="10.42578125" style="56" bestFit="1" customWidth="1"/>
    <col min="23" max="23" width="14.140625" style="56" bestFit="1" customWidth="1"/>
    <col min="24" max="24" width="27.85546875" style="56" bestFit="1" customWidth="1"/>
    <col min="25" max="25" width="16" style="56" bestFit="1" customWidth="1"/>
    <col min="26" max="26" width="40.28515625" style="56" bestFit="1" customWidth="1"/>
    <col min="27" max="27" width="16.85546875" style="56" bestFit="1" customWidth="1"/>
    <col min="28" max="28" width="56.7109375" style="56" bestFit="1" customWidth="1"/>
    <col min="29" max="29" width="12.5703125" style="56" bestFit="1" customWidth="1"/>
    <col min="30" max="30" width="16.5703125" style="56" bestFit="1" customWidth="1"/>
    <col min="31" max="31" width="18.42578125" style="56" bestFit="1" customWidth="1"/>
    <col min="32" max="32" width="40.28515625" style="56" bestFit="1" customWidth="1"/>
    <col min="33" max="33" width="19" style="56" bestFit="1" customWidth="1"/>
    <col min="34" max="34" width="14.7109375" style="56" bestFit="1" customWidth="1"/>
    <col min="35" max="35" width="18.7109375" style="56" bestFit="1" customWidth="1"/>
    <col min="36" max="36" width="26.42578125" style="56" bestFit="1" customWidth="1"/>
    <col min="37" max="37" width="43.140625" style="56" bestFit="1" customWidth="1"/>
    <col min="38" max="38" width="14.28515625" style="56" bestFit="1" customWidth="1"/>
    <col min="39" max="39" width="44.5703125" style="56" bestFit="1" customWidth="1"/>
    <col min="40" max="40" width="18.140625" style="56" bestFit="1" customWidth="1"/>
    <col min="41" max="41" width="56.7109375" style="56" bestFit="1" customWidth="1"/>
    <col min="42" max="42" width="13.85546875" style="56" bestFit="1" customWidth="1"/>
    <col min="43" max="43" width="17.85546875" style="56" bestFit="1" customWidth="1"/>
    <col min="44" max="44" width="14.5703125" style="56" bestFit="1" customWidth="1"/>
    <col min="45" max="45" width="44.5703125" style="56" bestFit="1" customWidth="1"/>
    <col min="46" max="46" width="15.140625" style="56" bestFit="1" customWidth="1"/>
    <col min="47" max="47" width="10.85546875" style="56" bestFit="1" customWidth="1"/>
    <col min="48" max="48" width="14.85546875" style="56" bestFit="1" customWidth="1"/>
    <col min="49" max="49" width="15.7109375" style="56" bestFit="1" customWidth="1"/>
    <col min="50" max="50" width="32.28515625" style="56" bestFit="1" customWidth="1"/>
    <col min="51" max="51" width="8.140625" style="56" bestFit="1" customWidth="1"/>
    <col min="52" max="52" width="8.28515625" style="56" bestFit="1" customWidth="1"/>
    <col min="53" max="53" width="16.28515625" style="56" bestFit="1" customWidth="1"/>
    <col min="54" max="54" width="27" style="56" bestFit="1" customWidth="1"/>
    <col min="55" max="55" width="26.42578125" style="56" bestFit="1" customWidth="1"/>
    <col min="56" max="56" width="33" style="56" bestFit="1" customWidth="1"/>
    <col min="57" max="57" width="75.42578125" style="56" bestFit="1" customWidth="1"/>
    <col min="58" max="58" width="28" style="56" bestFit="1" customWidth="1"/>
    <col min="59" max="59" width="33" style="56" bestFit="1" customWidth="1"/>
    <col min="60" max="60" width="75.42578125" style="56" bestFit="1" customWidth="1"/>
    <col min="61" max="61" width="6.140625" style="56" bestFit="1" customWidth="1"/>
    <col min="62" max="62" width="10.28515625" style="56" bestFit="1" customWidth="1"/>
    <col min="63" max="63" width="8.5703125" style="56" bestFit="1" customWidth="1"/>
    <col min="64" max="64" width="24.7109375" style="56" bestFit="1" customWidth="1"/>
    <col min="65" max="65" width="4.42578125" style="56" bestFit="1" customWidth="1"/>
    <col min="66" max="66" width="11.5703125" style="56" bestFit="1" customWidth="1"/>
    <col min="67" max="67" width="18.85546875" style="56" bestFit="1" customWidth="1"/>
    <col min="68" max="68" width="12.85546875" style="56" bestFit="1" customWidth="1"/>
    <col min="69" max="69" width="10.140625" style="56" bestFit="1" customWidth="1"/>
    <col min="70" max="70" width="7.28515625" style="56" bestFit="1" customWidth="1"/>
    <col min="71" max="71" width="10.140625" style="56" bestFit="1" customWidth="1"/>
    <col min="72" max="72" width="13.7109375" style="56" bestFit="1" customWidth="1"/>
    <col min="73" max="73" width="12" style="56" bestFit="1" customWidth="1"/>
    <col min="74" max="74" width="14.85546875" style="56" bestFit="1" customWidth="1"/>
    <col min="75" max="75" width="44.5703125" style="56" bestFit="1" customWidth="1"/>
    <col min="76" max="76" width="79.85546875" style="56" bestFit="1" customWidth="1"/>
    <col min="77" max="77" width="10.42578125" style="56" bestFit="1" customWidth="1"/>
    <col min="78" max="78" width="18.42578125" style="56" bestFit="1" customWidth="1"/>
    <col min="79" max="79" width="18.7109375" style="56" bestFit="1" customWidth="1"/>
    <col min="80" max="80" width="10.5703125" style="56" bestFit="1" customWidth="1"/>
    <col min="81" max="81" width="20" style="56" bestFit="1" customWidth="1"/>
    <col min="82" max="82" width="18.5703125" style="56" bestFit="1" customWidth="1"/>
    <col min="83" max="83" width="14" style="56" bestFit="1" customWidth="1"/>
    <col min="84" max="84" width="12.5703125" style="56" bestFit="1" customWidth="1"/>
    <col min="85" max="85" width="20.5703125" style="56" bestFit="1" customWidth="1"/>
    <col min="86" max="86" width="13.42578125" style="56" bestFit="1" customWidth="1"/>
    <col min="87" max="87" width="14.140625" style="56" bestFit="1" customWidth="1"/>
    <col min="88" max="88" width="8.85546875" style="56" bestFit="1" customWidth="1"/>
    <col min="89" max="89" width="12.85546875" style="56" bestFit="1" customWidth="1"/>
    <col min="90" max="90" width="13.7109375" style="56" bestFit="1" customWidth="1"/>
    <col min="91" max="91" width="17.7109375" style="56" bestFit="1" customWidth="1"/>
    <col min="92" max="92" width="10.28515625" style="56" bestFit="1" customWidth="1"/>
    <col min="93" max="93" width="13.28515625" style="56" bestFit="1" customWidth="1"/>
    <col min="94" max="94" width="11.5703125" style="56" bestFit="1" customWidth="1"/>
    <col min="95" max="95" width="13.28515625" style="56" bestFit="1" customWidth="1"/>
    <col min="96" max="96" width="15.140625" style="56" bestFit="1" customWidth="1"/>
    <col min="97" max="97" width="15.85546875" style="56" bestFit="1" customWidth="1"/>
    <col min="98" max="98" width="26.28515625" style="56" bestFit="1" customWidth="1"/>
    <col min="99" max="99" width="14.85546875" style="56" bestFit="1" customWidth="1"/>
    <col min="100" max="100" width="8.42578125" style="56" bestFit="1" customWidth="1"/>
    <col min="101" max="101" width="9.42578125" style="56" bestFit="1" customWidth="1"/>
    <col min="102" max="102" width="7" style="56" bestFit="1" customWidth="1"/>
    <col min="103" max="103" width="9.28515625" style="56" bestFit="1" customWidth="1"/>
    <col min="104" max="104" width="14.140625" style="56" bestFit="1" customWidth="1"/>
    <col min="105" max="105" width="19.42578125" style="56" bestFit="1" customWidth="1"/>
    <col min="106" max="106" width="19.85546875" style="56" bestFit="1" customWidth="1"/>
    <col min="107" max="107" width="10.28515625" style="56" bestFit="1" customWidth="1"/>
    <col min="108" max="108" width="6.5703125" style="56" bestFit="1" customWidth="1"/>
    <col min="109" max="109" width="17.5703125" style="56" bestFit="1" customWidth="1"/>
    <col min="110" max="110" width="7.42578125" style="56" bestFit="1" customWidth="1"/>
    <col min="111" max="111" width="16.28515625" style="56" bestFit="1" customWidth="1"/>
    <col min="112" max="112" width="13.85546875" style="56" bestFit="1" customWidth="1"/>
    <col min="113" max="113" width="17.42578125" style="56" bestFit="1" customWidth="1"/>
    <col min="114" max="114" width="9.5703125" style="56" bestFit="1" customWidth="1"/>
    <col min="115" max="115" width="16.140625" style="56" bestFit="1" customWidth="1"/>
    <col min="116" max="116" width="9.42578125" style="56" bestFit="1" customWidth="1"/>
    <col min="117" max="118" width="16.42578125" style="56" bestFit="1" customWidth="1"/>
    <col min="119" max="119" width="17.5703125" style="56" bestFit="1" customWidth="1"/>
    <col min="120" max="120" width="19.5703125" style="56" bestFit="1" customWidth="1"/>
    <col min="121" max="121" width="16.85546875" style="56" bestFit="1" customWidth="1"/>
    <col min="122" max="122" width="19.85546875" style="56" bestFit="1" customWidth="1"/>
    <col min="123" max="123" width="16" style="56" bestFit="1" customWidth="1"/>
    <col min="124" max="124" width="14" style="56" bestFit="1" customWidth="1"/>
    <col min="125" max="125" width="23.7109375" style="56" bestFit="1" customWidth="1"/>
    <col min="126" max="126" width="14.5703125" style="56" bestFit="1" customWidth="1"/>
    <col min="127" max="127" width="10.42578125" style="56" bestFit="1" customWidth="1"/>
    <col min="128" max="128" width="17" style="56" bestFit="1" customWidth="1"/>
    <col min="129" max="129" width="11.28515625" style="56" bestFit="1" customWidth="1"/>
    <col min="130" max="130" width="14.85546875" style="56" bestFit="1" customWidth="1"/>
    <col min="131" max="131" width="23.7109375" style="56" bestFit="1" customWidth="1"/>
    <col min="132" max="132" width="22.85546875" style="56" bestFit="1" customWidth="1"/>
    <col min="133" max="133" width="14.7109375" style="56" bestFit="1" customWidth="1"/>
    <col min="134" max="134" width="17" style="56" bestFit="1" customWidth="1"/>
    <col min="135" max="135" width="17.7109375" style="56" bestFit="1" customWidth="1"/>
    <col min="136" max="136" width="14.7109375" style="56" bestFit="1" customWidth="1"/>
    <col min="137" max="137" width="15.28515625" style="56" bestFit="1" customWidth="1"/>
    <col min="138" max="138" width="18.7109375" style="56" bestFit="1" customWidth="1"/>
    <col min="139" max="139" width="19.28515625" style="56" bestFit="1" customWidth="1"/>
    <col min="140" max="140" width="16.5703125" style="56" bestFit="1" customWidth="1"/>
    <col min="141" max="141" width="17.28515625" style="56" bestFit="1" customWidth="1"/>
    <col min="142" max="142" width="10" style="56" bestFit="1" customWidth="1"/>
    <col min="143" max="143" width="10.42578125" style="56" bestFit="1" customWidth="1"/>
    <col min="144" max="144" width="13.42578125" style="56" bestFit="1" customWidth="1"/>
    <col min="145" max="145" width="13.85546875" style="56" bestFit="1" customWidth="1"/>
    <col min="146" max="146" width="9.7109375" style="56" bestFit="1" customWidth="1"/>
    <col min="147" max="147" width="213.5703125" style="56" bestFit="1" customWidth="1"/>
    <col min="148" max="148" width="32.28515625" style="56" bestFit="1" customWidth="1"/>
    <col min="149" max="149" width="13.28515625" style="56" bestFit="1" customWidth="1"/>
    <col min="150" max="150" width="13.85546875" style="56" bestFit="1" customWidth="1"/>
    <col min="151" max="151" width="18.28515625" style="56" bestFit="1" customWidth="1"/>
    <col min="152" max="152" width="9.42578125" style="56" bestFit="1" customWidth="1"/>
    <col min="153" max="153" width="9.7109375" style="56" bestFit="1" customWidth="1"/>
    <col min="154" max="154" width="17.85546875" style="56" bestFit="1" customWidth="1"/>
    <col min="155" max="155" width="7.5703125" style="56" bestFit="1" customWidth="1"/>
    <col min="156" max="156" width="13.85546875" style="56" bestFit="1" customWidth="1"/>
    <col min="157" max="157" width="14.42578125" style="56" bestFit="1" customWidth="1"/>
    <col min="158" max="158" width="13.7109375" style="56" bestFit="1" customWidth="1"/>
    <col min="159" max="159" width="14.28515625" style="56" bestFit="1" customWidth="1"/>
    <col min="160" max="160" width="40" style="56" bestFit="1" customWidth="1"/>
    <col min="161" max="161" width="18.7109375" style="56" bestFit="1" customWidth="1"/>
    <col min="162" max="162" width="11.42578125" style="56" bestFit="1" customWidth="1"/>
    <col min="163" max="163" width="10.140625" style="56" bestFit="1" customWidth="1"/>
    <col min="164" max="164" width="14.85546875" style="56" bestFit="1" customWidth="1"/>
    <col min="165" max="165" width="10.5703125" style="56" bestFit="1" customWidth="1"/>
    <col min="166" max="166" width="20" style="56" bestFit="1" customWidth="1"/>
    <col min="167" max="167" width="5" style="56" bestFit="1" customWidth="1"/>
    <col min="168" max="168" width="17.28515625" style="56" bestFit="1" customWidth="1"/>
    <col min="169" max="16384" width="5.85546875" style="56"/>
  </cols>
  <sheetData>
    <row r="1" spans="1:168" x14ac:dyDescent="0.2">
      <c r="A1" s="56" t="s">
        <v>470</v>
      </c>
      <c r="B1" s="56" t="s">
        <v>471</v>
      </c>
      <c r="C1" s="56" t="s">
        <v>472</v>
      </c>
      <c r="D1" s="56" t="s">
        <v>473</v>
      </c>
      <c r="E1" s="56" t="s">
        <v>474</v>
      </c>
      <c r="F1" s="56" t="s">
        <v>475</v>
      </c>
      <c r="G1" s="56" t="s">
        <v>476</v>
      </c>
      <c r="H1" s="56" t="s">
        <v>477</v>
      </c>
      <c r="I1" s="56" t="s">
        <v>478</v>
      </c>
      <c r="J1" s="56" t="s">
        <v>479</v>
      </c>
      <c r="K1" s="56" t="s">
        <v>480</v>
      </c>
      <c r="L1" s="56" t="s">
        <v>481</v>
      </c>
      <c r="M1" s="56" t="s">
        <v>482</v>
      </c>
      <c r="N1" s="56" t="s">
        <v>483</v>
      </c>
      <c r="O1" s="56" t="s">
        <v>484</v>
      </c>
      <c r="P1" s="56" t="s">
        <v>485</v>
      </c>
      <c r="Q1" s="56" t="s">
        <v>486</v>
      </c>
      <c r="R1" s="56" t="s">
        <v>487</v>
      </c>
      <c r="S1" s="56" t="s">
        <v>488</v>
      </c>
      <c r="T1" s="56" t="s">
        <v>489</v>
      </c>
      <c r="U1" s="56" t="s">
        <v>490</v>
      </c>
      <c r="V1" s="56" t="s">
        <v>491</v>
      </c>
      <c r="W1" s="56" t="s">
        <v>492</v>
      </c>
      <c r="X1" s="56" t="s">
        <v>493</v>
      </c>
      <c r="Y1" s="56" t="s">
        <v>494</v>
      </c>
      <c r="Z1" s="56" t="s">
        <v>495</v>
      </c>
      <c r="AA1" s="56" t="s">
        <v>496</v>
      </c>
      <c r="AB1" s="56" t="s">
        <v>497</v>
      </c>
      <c r="AC1" s="56" t="s">
        <v>498</v>
      </c>
      <c r="AD1" s="56" t="s">
        <v>499</v>
      </c>
      <c r="AE1" s="56" t="s">
        <v>500</v>
      </c>
      <c r="AF1" s="56" t="s">
        <v>501</v>
      </c>
      <c r="AG1" s="56" t="s">
        <v>502</v>
      </c>
      <c r="AH1" s="56" t="s">
        <v>503</v>
      </c>
      <c r="AI1" s="56" t="s">
        <v>504</v>
      </c>
      <c r="AJ1" s="56" t="s">
        <v>505</v>
      </c>
      <c r="AK1" s="56" t="s">
        <v>506</v>
      </c>
      <c r="AL1" s="56" t="s">
        <v>507</v>
      </c>
      <c r="AM1" s="56" t="s">
        <v>508</v>
      </c>
      <c r="AN1" s="56" t="s">
        <v>509</v>
      </c>
      <c r="AO1" s="56" t="s">
        <v>510</v>
      </c>
      <c r="AP1" s="56" t="s">
        <v>511</v>
      </c>
      <c r="AQ1" s="56" t="s">
        <v>512</v>
      </c>
      <c r="AR1" s="56" t="s">
        <v>513</v>
      </c>
      <c r="AS1" s="56" t="s">
        <v>514</v>
      </c>
      <c r="AT1" s="56" t="s">
        <v>515</v>
      </c>
      <c r="AU1" s="56" t="s">
        <v>516</v>
      </c>
      <c r="AV1" s="56" t="s">
        <v>517</v>
      </c>
      <c r="AW1" s="56" t="s">
        <v>518</v>
      </c>
      <c r="AX1" s="56" t="s">
        <v>519</v>
      </c>
      <c r="AY1" s="56" t="s">
        <v>520</v>
      </c>
      <c r="AZ1" s="56" t="s">
        <v>135</v>
      </c>
      <c r="BA1" s="56" t="s">
        <v>521</v>
      </c>
      <c r="BB1" s="56" t="s">
        <v>522</v>
      </c>
      <c r="BC1" s="56" t="s">
        <v>523</v>
      </c>
      <c r="BD1" s="56" t="s">
        <v>524</v>
      </c>
      <c r="BE1" s="56" t="s">
        <v>525</v>
      </c>
      <c r="BF1" s="56" t="s">
        <v>526</v>
      </c>
      <c r="BG1" s="56" t="s">
        <v>527</v>
      </c>
      <c r="BH1" s="56" t="s">
        <v>528</v>
      </c>
      <c r="BI1" s="56" t="s">
        <v>529</v>
      </c>
      <c r="BJ1" s="56" t="s">
        <v>530</v>
      </c>
      <c r="BK1" s="56" t="s">
        <v>147</v>
      </c>
      <c r="BL1" s="56" t="s">
        <v>142</v>
      </c>
      <c r="BM1" s="56" t="s">
        <v>531</v>
      </c>
      <c r="BN1" s="56" t="s">
        <v>532</v>
      </c>
      <c r="BO1" s="56" t="s">
        <v>533</v>
      </c>
      <c r="BP1" s="56" t="s">
        <v>534</v>
      </c>
      <c r="BQ1" s="56" t="s">
        <v>535</v>
      </c>
      <c r="BR1" s="56" t="s">
        <v>536</v>
      </c>
      <c r="BS1" s="56" t="s">
        <v>537</v>
      </c>
      <c r="BT1" s="56" t="s">
        <v>538</v>
      </c>
      <c r="BU1" s="56" t="s">
        <v>539</v>
      </c>
      <c r="BV1" s="56" t="s">
        <v>540</v>
      </c>
      <c r="BW1" s="56" t="s">
        <v>541</v>
      </c>
      <c r="BX1" s="56" t="s">
        <v>542</v>
      </c>
      <c r="BY1" s="56" t="s">
        <v>543</v>
      </c>
      <c r="BZ1" s="56" t="s">
        <v>544</v>
      </c>
      <c r="CA1" s="56" t="s">
        <v>545</v>
      </c>
      <c r="CB1" s="56" t="s">
        <v>546</v>
      </c>
      <c r="CC1" s="56" t="s">
        <v>547</v>
      </c>
      <c r="CD1" s="56" t="s">
        <v>548</v>
      </c>
      <c r="CE1" s="56" t="s">
        <v>549</v>
      </c>
      <c r="CF1" s="56" t="s">
        <v>550</v>
      </c>
      <c r="CG1" s="56" t="s">
        <v>551</v>
      </c>
      <c r="CH1" s="56" t="s">
        <v>552</v>
      </c>
      <c r="CI1" s="56" t="s">
        <v>553</v>
      </c>
      <c r="CJ1" s="56" t="s">
        <v>554</v>
      </c>
      <c r="CK1" s="56" t="s">
        <v>555</v>
      </c>
      <c r="CL1" s="56" t="s">
        <v>556</v>
      </c>
      <c r="CM1" s="56" t="s">
        <v>557</v>
      </c>
      <c r="CN1" s="56" t="s">
        <v>558</v>
      </c>
      <c r="CO1" s="56" t="s">
        <v>559</v>
      </c>
      <c r="CP1" s="56" t="s">
        <v>560</v>
      </c>
      <c r="CQ1" s="56" t="s">
        <v>561</v>
      </c>
      <c r="CR1" s="56" t="s">
        <v>562</v>
      </c>
      <c r="CS1" s="56" t="s">
        <v>563</v>
      </c>
      <c r="CT1" s="56" t="s">
        <v>564</v>
      </c>
      <c r="CU1" s="56" t="s">
        <v>565</v>
      </c>
      <c r="CV1" s="56" t="s">
        <v>566</v>
      </c>
      <c r="CW1" s="56" t="s">
        <v>567</v>
      </c>
      <c r="CX1" s="56" t="s">
        <v>568</v>
      </c>
      <c r="CY1" s="56" t="s">
        <v>569</v>
      </c>
      <c r="CZ1" s="56" t="s">
        <v>570</v>
      </c>
      <c r="DA1" s="56" t="s">
        <v>571</v>
      </c>
      <c r="DB1" s="56" t="s">
        <v>572</v>
      </c>
      <c r="DC1" s="56" t="s">
        <v>573</v>
      </c>
      <c r="DD1" s="56" t="s">
        <v>574</v>
      </c>
      <c r="DE1" s="56" t="s">
        <v>575</v>
      </c>
      <c r="DF1" s="56" t="s">
        <v>576</v>
      </c>
      <c r="DG1" s="56" t="s">
        <v>577</v>
      </c>
      <c r="DH1" s="56" t="s">
        <v>578</v>
      </c>
      <c r="DI1" s="56" t="s">
        <v>579</v>
      </c>
      <c r="DJ1" s="56" t="s">
        <v>580</v>
      </c>
      <c r="DK1" s="56" t="s">
        <v>581</v>
      </c>
      <c r="DL1" s="56" t="s">
        <v>582</v>
      </c>
      <c r="DM1" s="56" t="s">
        <v>583</v>
      </c>
      <c r="DN1" s="56" t="s">
        <v>584</v>
      </c>
      <c r="DO1" s="56" t="s">
        <v>585</v>
      </c>
      <c r="DP1" s="56" t="s">
        <v>586</v>
      </c>
      <c r="DQ1" s="56" t="s">
        <v>587</v>
      </c>
      <c r="DR1" s="56" t="s">
        <v>588</v>
      </c>
      <c r="DS1" s="56" t="s">
        <v>589</v>
      </c>
      <c r="DT1" s="56" t="s">
        <v>590</v>
      </c>
      <c r="DU1" s="56" t="s">
        <v>591</v>
      </c>
      <c r="DV1" s="56" t="s">
        <v>592</v>
      </c>
      <c r="DW1" s="56" t="s">
        <v>144</v>
      </c>
      <c r="DX1" s="56" t="s">
        <v>593</v>
      </c>
      <c r="DY1" s="56" t="s">
        <v>594</v>
      </c>
      <c r="DZ1" s="56" t="s">
        <v>595</v>
      </c>
      <c r="EA1" s="56" t="s">
        <v>596</v>
      </c>
      <c r="EB1" s="56" t="s">
        <v>597</v>
      </c>
      <c r="EC1" s="56" t="s">
        <v>598</v>
      </c>
      <c r="ED1" s="56" t="s">
        <v>599</v>
      </c>
      <c r="EE1" s="56" t="s">
        <v>600</v>
      </c>
      <c r="EF1" s="56" t="s">
        <v>601</v>
      </c>
      <c r="EG1" s="56" t="s">
        <v>602</v>
      </c>
      <c r="EH1" s="56" t="s">
        <v>603</v>
      </c>
      <c r="EI1" s="56" t="s">
        <v>604</v>
      </c>
      <c r="EJ1" s="56" t="s">
        <v>605</v>
      </c>
      <c r="EK1" s="56" t="s">
        <v>606</v>
      </c>
      <c r="EL1" s="56" t="s">
        <v>607</v>
      </c>
      <c r="EM1" s="56" t="s">
        <v>608</v>
      </c>
      <c r="EN1" s="56" t="s">
        <v>609</v>
      </c>
      <c r="EO1" s="56" t="s">
        <v>610</v>
      </c>
      <c r="EP1" s="56" t="s">
        <v>611</v>
      </c>
      <c r="EQ1" s="56" t="s">
        <v>612</v>
      </c>
      <c r="ER1" s="56" t="s">
        <v>613</v>
      </c>
      <c r="ES1" s="56" t="s">
        <v>614</v>
      </c>
      <c r="ET1" s="56" t="s">
        <v>615</v>
      </c>
      <c r="EU1" s="56" t="s">
        <v>616</v>
      </c>
      <c r="EV1" s="56" t="s">
        <v>617</v>
      </c>
      <c r="EW1" s="56" t="s">
        <v>618</v>
      </c>
      <c r="EX1" s="56" t="s">
        <v>619</v>
      </c>
      <c r="EY1" s="56" t="s">
        <v>620</v>
      </c>
      <c r="EZ1" s="56" t="s">
        <v>621</v>
      </c>
      <c r="FA1" s="56" t="s">
        <v>622</v>
      </c>
      <c r="FB1" s="56" t="s">
        <v>623</v>
      </c>
      <c r="FC1" s="56" t="s">
        <v>624</v>
      </c>
      <c r="FD1" s="56" t="s">
        <v>625</v>
      </c>
      <c r="FE1" s="56" t="s">
        <v>626</v>
      </c>
      <c r="FF1" s="56" t="s">
        <v>627</v>
      </c>
      <c r="FG1" s="56" t="s">
        <v>628</v>
      </c>
      <c r="FH1" s="56" t="s">
        <v>629</v>
      </c>
      <c r="FI1" s="56" t="s">
        <v>630</v>
      </c>
      <c r="FJ1" s="56" t="s">
        <v>631</v>
      </c>
      <c r="FK1" s="56" t="s">
        <v>632</v>
      </c>
      <c r="FL1" s="56" t="s">
        <v>633</v>
      </c>
    </row>
    <row r="2" spans="1:168" x14ac:dyDescent="0.2">
      <c r="A2" s="56">
        <v>28967</v>
      </c>
      <c r="B2" s="56">
        <v>2</v>
      </c>
      <c r="C2" s="56">
        <v>6352</v>
      </c>
      <c r="D2" s="56" t="s">
        <v>634</v>
      </c>
      <c r="E2" s="56" t="s">
        <v>635</v>
      </c>
      <c r="K2" s="56" t="s">
        <v>636</v>
      </c>
      <c r="L2" s="56" t="s">
        <v>637</v>
      </c>
      <c r="M2" s="56">
        <v>44928</v>
      </c>
      <c r="N2" s="56">
        <v>44930</v>
      </c>
      <c r="O2" s="56">
        <v>38</v>
      </c>
      <c r="P2" s="56" t="s">
        <v>638</v>
      </c>
      <c r="Q2" s="56">
        <v>2</v>
      </c>
      <c r="R2" s="56" t="s">
        <v>639</v>
      </c>
      <c r="S2" s="56" t="s">
        <v>640</v>
      </c>
      <c r="T2" s="56" t="s">
        <v>641</v>
      </c>
      <c r="U2" s="56" t="s">
        <v>642</v>
      </c>
      <c r="V2" s="56" t="s">
        <v>643</v>
      </c>
      <c r="W2" s="56">
        <v>47</v>
      </c>
      <c r="X2" s="56" t="s">
        <v>644</v>
      </c>
      <c r="Y2" s="56">
        <v>98</v>
      </c>
      <c r="Z2" s="56" t="s">
        <v>645</v>
      </c>
      <c r="AA2" s="56" t="s">
        <v>646</v>
      </c>
      <c r="AB2" s="56" t="s">
        <v>647</v>
      </c>
      <c r="AC2" s="56" t="s">
        <v>643</v>
      </c>
      <c r="AD2" s="56" t="s">
        <v>648</v>
      </c>
      <c r="AE2" s="56">
        <v>141</v>
      </c>
      <c r="AF2" s="56" t="s">
        <v>649</v>
      </c>
      <c r="AG2" s="56" t="s">
        <v>650</v>
      </c>
      <c r="AH2" s="56" t="s">
        <v>643</v>
      </c>
      <c r="AI2" s="56" t="s">
        <v>642</v>
      </c>
      <c r="AJ2" s="56">
        <v>139</v>
      </c>
      <c r="AK2" s="56" t="s">
        <v>651</v>
      </c>
      <c r="AL2" s="56">
        <v>141</v>
      </c>
      <c r="AM2" s="56" t="s">
        <v>649</v>
      </c>
      <c r="AN2" s="56" t="s">
        <v>650</v>
      </c>
      <c r="AO2" s="56" t="s">
        <v>652</v>
      </c>
      <c r="AP2" s="56" t="s">
        <v>643</v>
      </c>
      <c r="AQ2" s="56" t="s">
        <v>642</v>
      </c>
      <c r="AR2" s="56">
        <v>98</v>
      </c>
      <c r="AS2" s="56" t="s">
        <v>645</v>
      </c>
      <c r="AT2" s="56" t="s">
        <v>646</v>
      </c>
      <c r="AU2" s="56" t="s">
        <v>643</v>
      </c>
      <c r="AV2" s="56" t="s">
        <v>648</v>
      </c>
      <c r="AW2" s="56">
        <v>1162</v>
      </c>
      <c r="AX2" s="56" t="s">
        <v>653</v>
      </c>
      <c r="AY2" s="56">
        <v>1409</v>
      </c>
      <c r="AZ2" s="56" t="s">
        <v>654</v>
      </c>
      <c r="BA2" s="56" t="s">
        <v>655</v>
      </c>
      <c r="BB2" s="56" t="s">
        <v>656</v>
      </c>
      <c r="BC2" s="56">
        <v>1163</v>
      </c>
      <c r="BD2" s="56" t="s">
        <v>657</v>
      </c>
      <c r="BE2" s="56" t="s">
        <v>658</v>
      </c>
      <c r="BF2" s="56">
        <v>1163</v>
      </c>
      <c r="BG2" s="56" t="s">
        <v>657</v>
      </c>
      <c r="BH2" s="56" t="s">
        <v>658</v>
      </c>
      <c r="BI2" s="56">
        <v>40.340000000000003</v>
      </c>
      <c r="BJ2" s="56">
        <v>110538.86</v>
      </c>
      <c r="BK2" s="56">
        <v>40.340000000000003</v>
      </c>
      <c r="BL2" s="56" t="s">
        <v>659</v>
      </c>
      <c r="BM2" s="56">
        <v>3104</v>
      </c>
      <c r="BN2" s="56" t="s">
        <v>660</v>
      </c>
      <c r="BO2" s="56" t="s">
        <v>661</v>
      </c>
      <c r="BP2" s="56">
        <v>6494.74</v>
      </c>
      <c r="BQ2" s="56">
        <v>5658.67</v>
      </c>
      <c r="BR2" s="56">
        <v>0</v>
      </c>
      <c r="BS2" s="56">
        <v>0</v>
      </c>
      <c r="BT2" s="56">
        <v>4985.8</v>
      </c>
      <c r="BU2" s="56">
        <v>28229</v>
      </c>
      <c r="BV2" s="56">
        <v>98</v>
      </c>
      <c r="BW2" s="56" t="s">
        <v>645</v>
      </c>
      <c r="BX2" s="56" t="s">
        <v>662</v>
      </c>
      <c r="BY2" s="56" t="s">
        <v>663</v>
      </c>
      <c r="BZ2" s="56">
        <v>0.25</v>
      </c>
      <c r="CA2" s="56" t="s">
        <v>664</v>
      </c>
      <c r="CB2" s="56" t="s">
        <v>665</v>
      </c>
      <c r="CC2" s="56" t="s">
        <v>666</v>
      </c>
      <c r="CD2" s="56" t="s">
        <v>667</v>
      </c>
      <c r="CF2" s="56">
        <v>3988.64</v>
      </c>
      <c r="CG2" s="56">
        <v>80</v>
      </c>
      <c r="CH2" s="56">
        <v>161</v>
      </c>
      <c r="CI2" s="56">
        <v>125</v>
      </c>
      <c r="CJ2" s="56">
        <v>11.89</v>
      </c>
      <c r="CK2" s="56">
        <v>5658.67</v>
      </c>
      <c r="CL2" s="56">
        <v>4985.8</v>
      </c>
      <c r="CM2" s="56">
        <v>81.38</v>
      </c>
      <c r="CN2" s="56">
        <v>779.37</v>
      </c>
      <c r="CO2" s="56">
        <v>779.37</v>
      </c>
      <c r="CP2" s="56">
        <v>56.7</v>
      </c>
      <c r="CQ2" s="56" t="s">
        <v>668</v>
      </c>
      <c r="CR2" s="56">
        <v>0</v>
      </c>
      <c r="CS2" s="56">
        <v>56.7</v>
      </c>
      <c r="CT2" s="56" t="s">
        <v>669</v>
      </c>
      <c r="CU2" s="56">
        <v>0</v>
      </c>
      <c r="CV2" s="56">
        <v>0</v>
      </c>
      <c r="CX2" s="56">
        <v>649.29999999999995</v>
      </c>
      <c r="CY2" s="56">
        <v>0</v>
      </c>
      <c r="CZ2" s="56">
        <v>172.3</v>
      </c>
      <c r="DA2" s="56">
        <v>523.42999999999995</v>
      </c>
      <c r="DB2" s="56">
        <v>351.13</v>
      </c>
      <c r="DC2" s="56">
        <v>5486.37</v>
      </c>
      <c r="DD2" s="56">
        <v>186.72</v>
      </c>
      <c r="DE2" s="56">
        <v>0</v>
      </c>
      <c r="DF2" s="56">
        <v>18.989999999999998</v>
      </c>
      <c r="DG2" s="56">
        <v>55.27</v>
      </c>
      <c r="DH2" s="56" t="s">
        <v>670</v>
      </c>
      <c r="DI2" s="56" t="s">
        <v>671</v>
      </c>
      <c r="DK2" s="56">
        <v>4.83</v>
      </c>
      <c r="DL2" s="56">
        <v>313.85000000000002</v>
      </c>
      <c r="DM2" s="56">
        <v>52</v>
      </c>
      <c r="DN2" s="56" t="s">
        <v>672</v>
      </c>
      <c r="DO2" s="56" t="s">
        <v>236</v>
      </c>
      <c r="DP2" s="56" t="s">
        <v>673</v>
      </c>
      <c r="DQ2" s="56" t="s">
        <v>674</v>
      </c>
      <c r="DR2" s="56">
        <v>1</v>
      </c>
      <c r="DS2" s="56" t="s">
        <v>675</v>
      </c>
      <c r="DT2" s="56" t="s">
        <v>676</v>
      </c>
      <c r="DU2" s="56">
        <v>36</v>
      </c>
      <c r="DV2" s="56" t="s">
        <v>677</v>
      </c>
      <c r="DW2" s="56">
        <v>385</v>
      </c>
      <c r="DX2" s="56" t="s">
        <v>678</v>
      </c>
      <c r="DY2" s="56" t="s">
        <v>679</v>
      </c>
      <c r="ED2" s="56">
        <v>2</v>
      </c>
      <c r="EE2" s="56" t="s">
        <v>639</v>
      </c>
      <c r="EF2" s="56">
        <v>2</v>
      </c>
      <c r="EG2" s="56" t="s">
        <v>639</v>
      </c>
      <c r="EH2" s="56">
        <v>2</v>
      </c>
      <c r="EI2" s="56" t="s">
        <v>639</v>
      </c>
      <c r="EJ2" s="56">
        <v>2</v>
      </c>
      <c r="EK2" s="56" t="s">
        <v>639</v>
      </c>
      <c r="EL2" s="56">
        <v>25</v>
      </c>
      <c r="EM2" s="56">
        <v>15</v>
      </c>
      <c r="EN2" s="56">
        <v>5173</v>
      </c>
      <c r="EO2" s="56">
        <v>1622</v>
      </c>
      <c r="EP2" s="56">
        <v>6790</v>
      </c>
      <c r="EQ2" s="56" t="s">
        <v>680</v>
      </c>
      <c r="ER2" s="56" t="s">
        <v>681</v>
      </c>
      <c r="ES2" s="56">
        <v>2</v>
      </c>
      <c r="ET2" s="56" t="s">
        <v>682</v>
      </c>
      <c r="EU2" s="56" t="s">
        <v>683</v>
      </c>
      <c r="EV2" s="56" t="s">
        <v>683</v>
      </c>
      <c r="FD2" s="56" t="s">
        <v>684</v>
      </c>
      <c r="FK2" s="56">
        <v>0</v>
      </c>
    </row>
    <row r="3" spans="1:168" x14ac:dyDescent="0.2">
      <c r="A3" s="56">
        <v>28968</v>
      </c>
      <c r="B3" s="56">
        <v>2</v>
      </c>
      <c r="C3" s="56">
        <v>6352</v>
      </c>
      <c r="D3" s="56" t="s">
        <v>634</v>
      </c>
      <c r="E3" s="56" t="s">
        <v>635</v>
      </c>
      <c r="K3" s="56" t="s">
        <v>685</v>
      </c>
      <c r="L3" s="56" t="s">
        <v>637</v>
      </c>
      <c r="M3" s="56">
        <v>44928</v>
      </c>
      <c r="N3" s="56">
        <v>44930</v>
      </c>
      <c r="O3" s="56">
        <v>38</v>
      </c>
      <c r="P3" s="56" t="s">
        <v>638</v>
      </c>
      <c r="Q3" s="56">
        <v>2</v>
      </c>
      <c r="R3" s="56" t="s">
        <v>639</v>
      </c>
      <c r="S3" s="56" t="s">
        <v>640</v>
      </c>
      <c r="T3" s="56" t="s">
        <v>641</v>
      </c>
      <c r="U3" s="56" t="s">
        <v>642</v>
      </c>
      <c r="V3" s="56" t="s">
        <v>643</v>
      </c>
      <c r="W3" s="56">
        <v>47</v>
      </c>
      <c r="X3" s="56" t="s">
        <v>644</v>
      </c>
      <c r="Y3" s="56">
        <v>98</v>
      </c>
      <c r="Z3" s="56" t="s">
        <v>645</v>
      </c>
      <c r="AA3" s="56" t="s">
        <v>646</v>
      </c>
      <c r="AB3" s="56" t="s">
        <v>647</v>
      </c>
      <c r="AC3" s="56" t="s">
        <v>643</v>
      </c>
      <c r="AD3" s="56" t="s">
        <v>648</v>
      </c>
      <c r="AE3" s="56">
        <v>141</v>
      </c>
      <c r="AF3" s="56" t="s">
        <v>649</v>
      </c>
      <c r="AG3" s="56" t="s">
        <v>650</v>
      </c>
      <c r="AH3" s="56" t="s">
        <v>643</v>
      </c>
      <c r="AI3" s="56" t="s">
        <v>642</v>
      </c>
      <c r="AJ3" s="56">
        <v>139</v>
      </c>
      <c r="AK3" s="56" t="s">
        <v>651</v>
      </c>
      <c r="AL3" s="56">
        <v>141</v>
      </c>
      <c r="AM3" s="56" t="s">
        <v>649</v>
      </c>
      <c r="AN3" s="56" t="s">
        <v>650</v>
      </c>
      <c r="AO3" s="56" t="s">
        <v>652</v>
      </c>
      <c r="AP3" s="56" t="s">
        <v>643</v>
      </c>
      <c r="AQ3" s="56" t="s">
        <v>642</v>
      </c>
      <c r="AR3" s="56">
        <v>98</v>
      </c>
      <c r="AS3" s="56" t="s">
        <v>645</v>
      </c>
      <c r="AT3" s="56" t="s">
        <v>646</v>
      </c>
      <c r="AU3" s="56" t="s">
        <v>643</v>
      </c>
      <c r="AV3" s="56" t="s">
        <v>648</v>
      </c>
      <c r="AW3" s="56">
        <v>569</v>
      </c>
      <c r="AX3" s="56" t="s">
        <v>686</v>
      </c>
      <c r="AY3" s="56">
        <v>617</v>
      </c>
      <c r="AZ3" s="56" t="s">
        <v>687</v>
      </c>
      <c r="BA3" s="56" t="s">
        <v>688</v>
      </c>
      <c r="BB3" s="56" t="s">
        <v>689</v>
      </c>
      <c r="BC3" s="56">
        <v>69</v>
      </c>
      <c r="BD3" s="56" t="s">
        <v>690</v>
      </c>
      <c r="BE3" s="56" t="s">
        <v>691</v>
      </c>
      <c r="BF3" s="56">
        <v>69</v>
      </c>
      <c r="BG3" s="56" t="s">
        <v>690</v>
      </c>
      <c r="BH3" s="56" t="s">
        <v>691</v>
      </c>
      <c r="BI3" s="56">
        <v>35.72</v>
      </c>
      <c r="BJ3" s="56">
        <v>97879.23</v>
      </c>
      <c r="BK3" s="56">
        <v>35.72</v>
      </c>
      <c r="BL3" s="56" t="s">
        <v>659</v>
      </c>
      <c r="BM3" s="56">
        <v>3104</v>
      </c>
      <c r="BN3" s="56" t="s">
        <v>660</v>
      </c>
      <c r="BO3" s="56" t="s">
        <v>692</v>
      </c>
      <c r="BP3" s="56">
        <v>5750.92</v>
      </c>
      <c r="BQ3" s="56">
        <v>5012.21</v>
      </c>
      <c r="BR3" s="56">
        <v>0</v>
      </c>
      <c r="BS3" s="56">
        <v>0</v>
      </c>
      <c r="BT3" s="56">
        <v>4059.2</v>
      </c>
      <c r="BU3" s="56">
        <v>28234</v>
      </c>
      <c r="BV3" s="56">
        <v>98</v>
      </c>
      <c r="BW3" s="56" t="s">
        <v>645</v>
      </c>
      <c r="BX3" s="56" t="s">
        <v>693</v>
      </c>
      <c r="BY3" s="56" t="s">
        <v>663</v>
      </c>
      <c r="BZ3" s="56">
        <v>0.25</v>
      </c>
      <c r="CA3" s="56" t="s">
        <v>664</v>
      </c>
      <c r="CB3" s="56" t="s">
        <v>665</v>
      </c>
      <c r="CC3" s="56" t="s">
        <v>694</v>
      </c>
      <c r="CD3" s="56" t="s">
        <v>667</v>
      </c>
      <c r="CF3" s="56">
        <v>3247.36</v>
      </c>
      <c r="CG3" s="56">
        <v>80</v>
      </c>
      <c r="CH3" s="56">
        <v>161</v>
      </c>
      <c r="CI3" s="56">
        <v>115</v>
      </c>
      <c r="CJ3" s="56">
        <v>19.010000000000002</v>
      </c>
      <c r="CK3" s="56">
        <v>5012.21</v>
      </c>
      <c r="CL3" s="56">
        <v>4059.2</v>
      </c>
      <c r="CM3" s="56">
        <v>34.93</v>
      </c>
      <c r="CN3" s="56">
        <v>690.11</v>
      </c>
      <c r="CO3" s="56">
        <v>690.11</v>
      </c>
      <c r="CP3" s="56">
        <v>48.6</v>
      </c>
      <c r="CQ3" s="56" t="s">
        <v>668</v>
      </c>
      <c r="CR3" s="56">
        <v>0</v>
      </c>
      <c r="CS3" s="56">
        <v>48.6</v>
      </c>
      <c r="CT3" s="56" t="s">
        <v>669</v>
      </c>
      <c r="CU3" s="56">
        <v>0</v>
      </c>
      <c r="CV3" s="56">
        <v>0</v>
      </c>
      <c r="CX3" s="56">
        <v>933.13</v>
      </c>
      <c r="CY3" s="56">
        <v>0</v>
      </c>
      <c r="CZ3" s="56">
        <v>177.53</v>
      </c>
      <c r="DA3" s="56">
        <v>463.63</v>
      </c>
      <c r="DB3" s="56">
        <v>286.10000000000002</v>
      </c>
      <c r="DC3" s="56">
        <v>4834.68</v>
      </c>
      <c r="DD3" s="56">
        <v>-12.24</v>
      </c>
      <c r="DE3" s="56">
        <v>0</v>
      </c>
      <c r="DF3" s="56">
        <v>16.82</v>
      </c>
      <c r="DG3" s="56">
        <v>48.94</v>
      </c>
      <c r="DH3" s="56" t="s">
        <v>670</v>
      </c>
      <c r="DI3" s="56" t="s">
        <v>671</v>
      </c>
      <c r="DK3" s="56">
        <v>13.7</v>
      </c>
      <c r="DL3" s="56">
        <v>787.72</v>
      </c>
      <c r="DM3" s="56">
        <v>52</v>
      </c>
      <c r="DN3" s="56" t="s">
        <v>672</v>
      </c>
      <c r="DO3" s="56" t="s">
        <v>236</v>
      </c>
      <c r="DP3" s="56" t="s">
        <v>673</v>
      </c>
      <c r="DQ3" s="56" t="s">
        <v>674</v>
      </c>
      <c r="DR3" s="56">
        <v>2</v>
      </c>
      <c r="DS3" s="56" t="s">
        <v>695</v>
      </c>
      <c r="DT3" s="56" t="s">
        <v>696</v>
      </c>
      <c r="DU3" s="56">
        <v>36</v>
      </c>
      <c r="DV3" s="56" t="s">
        <v>677</v>
      </c>
      <c r="DW3" s="56">
        <v>385</v>
      </c>
      <c r="DX3" s="56" t="s">
        <v>678</v>
      </c>
      <c r="DY3" s="56" t="s">
        <v>679</v>
      </c>
      <c r="ED3" s="56">
        <v>2</v>
      </c>
      <c r="EE3" s="56" t="s">
        <v>639</v>
      </c>
      <c r="EF3" s="56">
        <v>2</v>
      </c>
      <c r="EG3" s="56" t="s">
        <v>639</v>
      </c>
      <c r="EH3" s="56">
        <v>2</v>
      </c>
      <c r="EI3" s="56" t="s">
        <v>639</v>
      </c>
      <c r="EJ3" s="56">
        <v>2</v>
      </c>
      <c r="EK3" s="56" t="s">
        <v>639</v>
      </c>
      <c r="EL3" s="56">
        <v>25</v>
      </c>
      <c r="EM3" s="56">
        <v>15</v>
      </c>
      <c r="EN3" s="56">
        <v>5173</v>
      </c>
      <c r="EO3" s="56">
        <v>1622</v>
      </c>
      <c r="EP3" s="56">
        <v>6790</v>
      </c>
      <c r="EQ3" s="56" t="s">
        <v>680</v>
      </c>
      <c r="ER3" s="56" t="s">
        <v>681</v>
      </c>
      <c r="ES3" s="56">
        <v>2</v>
      </c>
      <c r="ET3" s="56" t="s">
        <v>682</v>
      </c>
      <c r="EU3" s="56" t="s">
        <v>683</v>
      </c>
      <c r="EV3" s="56" t="s">
        <v>683</v>
      </c>
      <c r="FD3" s="56" t="s">
        <v>697</v>
      </c>
      <c r="FK3" s="56">
        <v>0</v>
      </c>
    </row>
    <row r="4" spans="1:168" x14ac:dyDescent="0.2">
      <c r="A4" s="56">
        <v>28969</v>
      </c>
      <c r="B4" s="56">
        <v>2</v>
      </c>
      <c r="C4" s="56">
        <v>6352</v>
      </c>
      <c r="D4" s="56" t="s">
        <v>634</v>
      </c>
      <c r="E4" s="56" t="s">
        <v>635</v>
      </c>
      <c r="K4" s="56" t="s">
        <v>698</v>
      </c>
      <c r="L4" s="56" t="s">
        <v>637</v>
      </c>
      <c r="M4" s="56">
        <v>44928</v>
      </c>
      <c r="N4" s="56">
        <v>44930</v>
      </c>
      <c r="O4" s="56">
        <v>38</v>
      </c>
      <c r="P4" s="56" t="s">
        <v>638</v>
      </c>
      <c r="Q4" s="56">
        <v>2</v>
      </c>
      <c r="R4" s="56" t="s">
        <v>639</v>
      </c>
      <c r="S4" s="56" t="s">
        <v>640</v>
      </c>
      <c r="T4" s="56" t="s">
        <v>641</v>
      </c>
      <c r="U4" s="56" t="s">
        <v>642</v>
      </c>
      <c r="V4" s="56" t="s">
        <v>643</v>
      </c>
      <c r="W4" s="56">
        <v>48</v>
      </c>
      <c r="X4" s="56" t="s">
        <v>699</v>
      </c>
      <c r="Y4" s="56">
        <v>98</v>
      </c>
      <c r="Z4" s="56" t="s">
        <v>645</v>
      </c>
      <c r="AA4" s="56" t="s">
        <v>646</v>
      </c>
      <c r="AB4" s="56" t="s">
        <v>647</v>
      </c>
      <c r="AC4" s="56" t="s">
        <v>643</v>
      </c>
      <c r="AD4" s="56" t="s">
        <v>648</v>
      </c>
      <c r="AE4" s="56">
        <v>141</v>
      </c>
      <c r="AF4" s="56" t="s">
        <v>649</v>
      </c>
      <c r="AG4" s="56" t="s">
        <v>650</v>
      </c>
      <c r="AH4" s="56" t="s">
        <v>643</v>
      </c>
      <c r="AI4" s="56" t="s">
        <v>642</v>
      </c>
      <c r="AJ4" s="56">
        <v>139</v>
      </c>
      <c r="AK4" s="56" t="s">
        <v>651</v>
      </c>
      <c r="AL4" s="56">
        <v>141</v>
      </c>
      <c r="AM4" s="56" t="s">
        <v>649</v>
      </c>
      <c r="AN4" s="56" t="s">
        <v>650</v>
      </c>
      <c r="AO4" s="56" t="s">
        <v>652</v>
      </c>
      <c r="AP4" s="56" t="s">
        <v>643</v>
      </c>
      <c r="AQ4" s="56" t="s">
        <v>642</v>
      </c>
      <c r="AR4" s="56">
        <v>98</v>
      </c>
      <c r="AS4" s="56" t="s">
        <v>645</v>
      </c>
      <c r="AT4" s="56" t="s">
        <v>646</v>
      </c>
      <c r="AU4" s="56" t="s">
        <v>643</v>
      </c>
      <c r="AV4" s="56" t="s">
        <v>648</v>
      </c>
      <c r="AW4" s="56">
        <v>1157</v>
      </c>
      <c r="AX4" s="56" t="s">
        <v>700</v>
      </c>
      <c r="AY4" s="56">
        <v>1405</v>
      </c>
      <c r="AZ4" s="56" t="s">
        <v>701</v>
      </c>
      <c r="BA4" s="56" t="s">
        <v>702</v>
      </c>
      <c r="BB4" s="56" t="s">
        <v>703</v>
      </c>
      <c r="BC4" s="56">
        <v>1158</v>
      </c>
      <c r="BD4" s="56" t="s">
        <v>704</v>
      </c>
      <c r="BE4" s="56" t="s">
        <v>705</v>
      </c>
      <c r="BF4" s="56">
        <v>1158</v>
      </c>
      <c r="BG4" s="56" t="s">
        <v>704</v>
      </c>
      <c r="BH4" s="56" t="s">
        <v>705</v>
      </c>
      <c r="BI4" s="56">
        <v>24.75</v>
      </c>
      <c r="BJ4" s="56">
        <v>67819.460000000006</v>
      </c>
      <c r="BK4" s="56">
        <v>24.75</v>
      </c>
      <c r="BL4" s="56" t="s">
        <v>659</v>
      </c>
      <c r="BM4" s="56">
        <v>3104</v>
      </c>
      <c r="BN4" s="56" t="s">
        <v>660</v>
      </c>
      <c r="BO4" s="56" t="s">
        <v>706</v>
      </c>
      <c r="BP4" s="56">
        <v>3984.75</v>
      </c>
      <c r="BQ4" s="56">
        <v>3506.58</v>
      </c>
      <c r="BR4" s="56">
        <v>0</v>
      </c>
      <c r="BS4" s="56">
        <v>0</v>
      </c>
      <c r="BT4" s="56">
        <v>0</v>
      </c>
      <c r="BU4" s="56">
        <v>28239</v>
      </c>
      <c r="BV4" s="56">
        <v>98</v>
      </c>
      <c r="BW4" s="56" t="s">
        <v>645</v>
      </c>
      <c r="BX4" s="56" t="s">
        <v>707</v>
      </c>
      <c r="BY4" s="56" t="s">
        <v>663</v>
      </c>
      <c r="BZ4" s="56">
        <v>0.25</v>
      </c>
      <c r="CA4" s="56" t="s">
        <v>664</v>
      </c>
      <c r="CB4" s="56" t="s">
        <v>665</v>
      </c>
      <c r="CD4" s="56" t="s">
        <v>667</v>
      </c>
      <c r="CG4" s="56">
        <v>0</v>
      </c>
      <c r="CH4" s="56">
        <v>161</v>
      </c>
      <c r="CJ4" s="56">
        <v>11.9</v>
      </c>
      <c r="CK4" s="56">
        <v>3470.4856971394279</v>
      </c>
      <c r="CL4" s="56">
        <v>3057.6572814562915</v>
      </c>
      <c r="CN4" s="56">
        <v>478.17</v>
      </c>
      <c r="CO4" s="56">
        <v>478.17</v>
      </c>
      <c r="CP4" s="56">
        <v>0</v>
      </c>
      <c r="CQ4" s="56" t="s">
        <v>708</v>
      </c>
      <c r="CR4" s="56">
        <v>0</v>
      </c>
      <c r="CS4" s="56">
        <v>0</v>
      </c>
      <c r="CV4" s="56">
        <v>0</v>
      </c>
      <c r="CX4" s="56">
        <v>397.73</v>
      </c>
      <c r="CY4" s="56">
        <v>0</v>
      </c>
      <c r="CZ4" s="56">
        <v>324.36</v>
      </c>
      <c r="DA4" s="56">
        <v>324.36</v>
      </c>
      <c r="DB4" s="56">
        <v>0</v>
      </c>
      <c r="DC4" s="56">
        <v>3182.22</v>
      </c>
      <c r="DD4" s="56">
        <v>11.65</v>
      </c>
      <c r="DE4" s="56">
        <v>0</v>
      </c>
      <c r="DF4" s="56">
        <v>11.65</v>
      </c>
      <c r="DH4" s="56" t="s">
        <v>670</v>
      </c>
      <c r="DI4" s="56" t="s">
        <v>671</v>
      </c>
      <c r="DK4" s="56">
        <v>7.89</v>
      </c>
      <c r="DL4" s="56">
        <v>0</v>
      </c>
      <c r="DM4" s="56">
        <v>52</v>
      </c>
      <c r="DN4" s="56" t="s">
        <v>672</v>
      </c>
      <c r="DO4" s="56" t="s">
        <v>236</v>
      </c>
      <c r="DQ4" s="56" t="s">
        <v>674</v>
      </c>
      <c r="DR4" s="56">
        <v>2</v>
      </c>
      <c r="DW4" s="56">
        <v>385</v>
      </c>
      <c r="DX4" s="56" t="s">
        <v>709</v>
      </c>
      <c r="DY4" s="56" t="s">
        <v>710</v>
      </c>
      <c r="DZ4" s="56" t="s">
        <v>701</v>
      </c>
      <c r="EA4" s="56">
        <v>1157</v>
      </c>
      <c r="EB4" s="56" t="s">
        <v>700</v>
      </c>
      <c r="EC4" s="56">
        <v>44928</v>
      </c>
      <c r="ED4" s="56">
        <v>2</v>
      </c>
      <c r="EE4" s="56" t="s">
        <v>639</v>
      </c>
      <c r="EF4" s="56">
        <v>2</v>
      </c>
      <c r="EG4" s="56" t="s">
        <v>639</v>
      </c>
      <c r="EH4" s="56">
        <v>2</v>
      </c>
      <c r="EI4" s="56" t="s">
        <v>639</v>
      </c>
      <c r="EJ4" s="56">
        <v>2</v>
      </c>
      <c r="EK4" s="56" t="s">
        <v>639</v>
      </c>
      <c r="EL4" s="56">
        <v>25</v>
      </c>
      <c r="EM4" s="56">
        <v>15</v>
      </c>
      <c r="EN4" s="56">
        <v>5173</v>
      </c>
      <c r="EO4" s="56">
        <v>1622</v>
      </c>
      <c r="EP4" s="56">
        <v>6790</v>
      </c>
      <c r="EQ4" s="56" t="s">
        <v>680</v>
      </c>
      <c r="ER4" s="56" t="s">
        <v>681</v>
      </c>
      <c r="ES4" s="56">
        <v>2</v>
      </c>
      <c r="ET4" s="56" t="s">
        <v>682</v>
      </c>
      <c r="EU4" s="56" t="s">
        <v>683</v>
      </c>
      <c r="EV4" s="56" t="s">
        <v>683</v>
      </c>
      <c r="FD4" s="56" t="s">
        <v>711</v>
      </c>
      <c r="FK4" s="56">
        <v>0</v>
      </c>
    </row>
    <row r="5" spans="1:168" x14ac:dyDescent="0.2">
      <c r="A5" s="56">
        <v>28970</v>
      </c>
      <c r="B5" s="56">
        <v>2</v>
      </c>
      <c r="C5" s="56">
        <v>6352</v>
      </c>
      <c r="D5" s="56" t="s">
        <v>634</v>
      </c>
      <c r="E5" s="56" t="s">
        <v>635</v>
      </c>
      <c r="K5" s="56" t="s">
        <v>712</v>
      </c>
      <c r="L5" s="56" t="s">
        <v>637</v>
      </c>
      <c r="M5" s="56">
        <v>44928</v>
      </c>
      <c r="N5" s="56">
        <v>44930</v>
      </c>
      <c r="O5" s="56">
        <v>38</v>
      </c>
      <c r="P5" s="56" t="s">
        <v>638</v>
      </c>
      <c r="Q5" s="56">
        <v>2</v>
      </c>
      <c r="R5" s="56" t="s">
        <v>639</v>
      </c>
      <c r="S5" s="56" t="s">
        <v>640</v>
      </c>
      <c r="T5" s="56" t="s">
        <v>641</v>
      </c>
      <c r="U5" s="56" t="s">
        <v>642</v>
      </c>
      <c r="V5" s="56" t="s">
        <v>643</v>
      </c>
      <c r="W5" s="56">
        <v>48</v>
      </c>
      <c r="X5" s="56" t="s">
        <v>699</v>
      </c>
      <c r="Y5" s="56">
        <v>98</v>
      </c>
      <c r="Z5" s="56" t="s">
        <v>645</v>
      </c>
      <c r="AA5" s="56" t="s">
        <v>646</v>
      </c>
      <c r="AB5" s="56" t="s">
        <v>647</v>
      </c>
      <c r="AC5" s="56" t="s">
        <v>643</v>
      </c>
      <c r="AD5" s="56" t="s">
        <v>648</v>
      </c>
      <c r="AE5" s="56">
        <v>141</v>
      </c>
      <c r="AF5" s="56" t="s">
        <v>649</v>
      </c>
      <c r="AG5" s="56" t="s">
        <v>650</v>
      </c>
      <c r="AH5" s="56" t="s">
        <v>643</v>
      </c>
      <c r="AI5" s="56" t="s">
        <v>642</v>
      </c>
      <c r="AJ5" s="56">
        <v>139</v>
      </c>
      <c r="AK5" s="56" t="s">
        <v>651</v>
      </c>
      <c r="AL5" s="56">
        <v>141</v>
      </c>
      <c r="AM5" s="56" t="s">
        <v>649</v>
      </c>
      <c r="AN5" s="56" t="s">
        <v>650</v>
      </c>
      <c r="AO5" s="56" t="s">
        <v>652</v>
      </c>
      <c r="AP5" s="56" t="s">
        <v>643</v>
      </c>
      <c r="AQ5" s="56" t="s">
        <v>642</v>
      </c>
      <c r="AR5" s="56">
        <v>98</v>
      </c>
      <c r="AS5" s="56" t="s">
        <v>645</v>
      </c>
      <c r="AT5" s="56" t="s">
        <v>646</v>
      </c>
      <c r="AU5" s="56" t="s">
        <v>643</v>
      </c>
      <c r="AV5" s="56" t="s">
        <v>648</v>
      </c>
      <c r="AW5" s="56">
        <v>1157</v>
      </c>
      <c r="AX5" s="56" t="s">
        <v>700</v>
      </c>
      <c r="AY5" s="56">
        <v>1405</v>
      </c>
      <c r="AZ5" s="56" t="s">
        <v>701</v>
      </c>
      <c r="BA5" s="56" t="s">
        <v>702</v>
      </c>
      <c r="BB5" s="56" t="s">
        <v>703</v>
      </c>
      <c r="BC5" s="56">
        <v>1158</v>
      </c>
      <c r="BD5" s="56" t="s">
        <v>704</v>
      </c>
      <c r="BE5" s="56" t="s">
        <v>705</v>
      </c>
      <c r="BF5" s="56">
        <v>1158</v>
      </c>
      <c r="BG5" s="56" t="s">
        <v>704</v>
      </c>
      <c r="BH5" s="56" t="s">
        <v>705</v>
      </c>
      <c r="BI5" s="56">
        <v>25.24</v>
      </c>
      <c r="BJ5" s="56">
        <v>69162.14</v>
      </c>
      <c r="BK5" s="56">
        <v>25.24</v>
      </c>
      <c r="BL5" s="56" t="s">
        <v>659</v>
      </c>
      <c r="BM5" s="56">
        <v>3104</v>
      </c>
      <c r="BN5" s="56" t="s">
        <v>660</v>
      </c>
      <c r="BO5" s="56" t="s">
        <v>706</v>
      </c>
      <c r="BP5" s="56">
        <v>4063.64</v>
      </c>
      <c r="BQ5" s="56">
        <v>3503.1</v>
      </c>
      <c r="BR5" s="56">
        <v>0</v>
      </c>
      <c r="BS5" s="56">
        <v>0</v>
      </c>
      <c r="BT5" s="56">
        <v>6175.85</v>
      </c>
      <c r="BU5" s="56">
        <v>28240</v>
      </c>
      <c r="BV5" s="56">
        <v>98</v>
      </c>
      <c r="BW5" s="56" t="s">
        <v>645</v>
      </c>
      <c r="BX5" s="56" t="s">
        <v>713</v>
      </c>
      <c r="BY5" s="56" t="s">
        <v>663</v>
      </c>
      <c r="BZ5" s="56">
        <v>0.25</v>
      </c>
      <c r="CA5" s="56" t="s">
        <v>664</v>
      </c>
      <c r="CB5" s="56" t="s">
        <v>665</v>
      </c>
      <c r="CC5" s="56" t="s">
        <v>666</v>
      </c>
      <c r="CD5" s="56" t="s">
        <v>667</v>
      </c>
      <c r="CF5" s="56">
        <v>4940.68</v>
      </c>
      <c r="CG5" s="56">
        <v>80</v>
      </c>
      <c r="CH5" s="56">
        <v>161</v>
      </c>
      <c r="CI5" s="56">
        <v>125</v>
      </c>
      <c r="CJ5" s="56">
        <v>11.9</v>
      </c>
      <c r="CK5" s="56">
        <v>3539.194302860572</v>
      </c>
      <c r="CL5" s="56">
        <v>3118.1927185437089</v>
      </c>
      <c r="CM5" s="56">
        <v>8.5500000000000007</v>
      </c>
      <c r="CN5" s="56">
        <v>487.64</v>
      </c>
      <c r="CO5" s="56">
        <v>487.64</v>
      </c>
      <c r="CP5" s="56">
        <v>72.900000000000006</v>
      </c>
      <c r="CQ5" s="56" t="s">
        <v>668</v>
      </c>
      <c r="CR5" s="56">
        <v>0</v>
      </c>
      <c r="CS5" s="56">
        <v>72.900000000000006</v>
      </c>
      <c r="CT5" s="56" t="s">
        <v>669</v>
      </c>
      <c r="CU5" s="56">
        <v>0</v>
      </c>
      <c r="CV5" s="56">
        <v>0</v>
      </c>
      <c r="CX5" s="56">
        <v>405.61</v>
      </c>
      <c r="CY5" s="56">
        <v>0</v>
      </c>
      <c r="CZ5" s="56">
        <v>-111.15</v>
      </c>
      <c r="DA5" s="56">
        <v>324.04000000000002</v>
      </c>
      <c r="DB5" s="56">
        <v>435.19</v>
      </c>
      <c r="DC5" s="56">
        <v>3614.25</v>
      </c>
      <c r="DD5" s="56">
        <v>-26.12</v>
      </c>
      <c r="DE5" s="56">
        <v>0</v>
      </c>
      <c r="DF5" s="56">
        <v>11.88</v>
      </c>
      <c r="DG5" s="56">
        <v>68.489999999999995</v>
      </c>
      <c r="DH5" s="56" t="s">
        <v>670</v>
      </c>
      <c r="DI5" s="56" t="s">
        <v>671</v>
      </c>
      <c r="DK5" s="56">
        <v>7.89</v>
      </c>
      <c r="DL5" s="56">
        <v>635.09</v>
      </c>
      <c r="DM5" s="56">
        <v>52</v>
      </c>
      <c r="DN5" s="56" t="s">
        <v>672</v>
      </c>
      <c r="DO5" s="56" t="s">
        <v>236</v>
      </c>
      <c r="DP5" s="56" t="s">
        <v>673</v>
      </c>
      <c r="DQ5" s="56" t="s">
        <v>674</v>
      </c>
      <c r="DR5" s="56">
        <v>2</v>
      </c>
      <c r="DS5" s="56" t="s">
        <v>714</v>
      </c>
      <c r="DT5" s="56" t="s">
        <v>715</v>
      </c>
      <c r="DU5" s="56">
        <v>36</v>
      </c>
      <c r="DV5" s="56" t="s">
        <v>677</v>
      </c>
      <c r="DW5" s="56">
        <v>385</v>
      </c>
      <c r="DX5" s="56" t="s">
        <v>709</v>
      </c>
      <c r="DY5" s="56" t="s">
        <v>710</v>
      </c>
      <c r="DZ5" s="56" t="s">
        <v>701</v>
      </c>
      <c r="EA5" s="56">
        <v>1157</v>
      </c>
      <c r="EB5" s="56" t="s">
        <v>700</v>
      </c>
      <c r="EC5" s="56">
        <v>44928</v>
      </c>
      <c r="ED5" s="56">
        <v>2</v>
      </c>
      <c r="EE5" s="56" t="s">
        <v>639</v>
      </c>
      <c r="EF5" s="56">
        <v>2</v>
      </c>
      <c r="EG5" s="56" t="s">
        <v>639</v>
      </c>
      <c r="EH5" s="56">
        <v>2</v>
      </c>
      <c r="EI5" s="56" t="s">
        <v>639</v>
      </c>
      <c r="EJ5" s="56">
        <v>2</v>
      </c>
      <c r="EK5" s="56" t="s">
        <v>639</v>
      </c>
      <c r="EL5" s="56">
        <v>25</v>
      </c>
      <c r="EM5" s="56">
        <v>15</v>
      </c>
      <c r="EN5" s="56">
        <v>5173</v>
      </c>
      <c r="EO5" s="56">
        <v>1622</v>
      </c>
      <c r="EP5" s="56">
        <v>6790</v>
      </c>
      <c r="EQ5" s="56" t="s">
        <v>680</v>
      </c>
      <c r="ER5" s="56" t="s">
        <v>681</v>
      </c>
      <c r="ES5" s="56">
        <v>2</v>
      </c>
      <c r="ET5" s="56" t="s">
        <v>682</v>
      </c>
      <c r="EU5" s="56" t="s">
        <v>683</v>
      </c>
      <c r="EV5" s="56" t="s">
        <v>683</v>
      </c>
      <c r="FD5" s="56" t="s">
        <v>716</v>
      </c>
      <c r="FK5" s="56">
        <v>0</v>
      </c>
    </row>
    <row r="6" spans="1:168" x14ac:dyDescent="0.2">
      <c r="A6" s="56">
        <v>28971</v>
      </c>
      <c r="B6" s="56">
        <v>2</v>
      </c>
      <c r="C6" s="56">
        <v>6352</v>
      </c>
      <c r="D6" s="56" t="s">
        <v>634</v>
      </c>
      <c r="E6" s="56" t="s">
        <v>635</v>
      </c>
      <c r="K6" s="56" t="s">
        <v>717</v>
      </c>
      <c r="L6" s="56" t="s">
        <v>637</v>
      </c>
      <c r="M6" s="56">
        <v>44928</v>
      </c>
      <c r="N6" s="56">
        <v>44930</v>
      </c>
      <c r="O6" s="56">
        <v>38</v>
      </c>
      <c r="P6" s="56" t="s">
        <v>638</v>
      </c>
      <c r="Q6" s="56">
        <v>2</v>
      </c>
      <c r="R6" s="56" t="s">
        <v>639</v>
      </c>
      <c r="S6" s="56" t="s">
        <v>640</v>
      </c>
      <c r="T6" s="56" t="s">
        <v>641</v>
      </c>
      <c r="U6" s="56" t="s">
        <v>642</v>
      </c>
      <c r="V6" s="56" t="s">
        <v>643</v>
      </c>
      <c r="W6" s="56">
        <v>48</v>
      </c>
      <c r="X6" s="56" t="s">
        <v>699</v>
      </c>
      <c r="Y6" s="56">
        <v>98</v>
      </c>
      <c r="Z6" s="56" t="s">
        <v>645</v>
      </c>
      <c r="AA6" s="56" t="s">
        <v>646</v>
      </c>
      <c r="AB6" s="56" t="s">
        <v>647</v>
      </c>
      <c r="AC6" s="56" t="s">
        <v>643</v>
      </c>
      <c r="AD6" s="56" t="s">
        <v>648</v>
      </c>
      <c r="AE6" s="56">
        <v>141</v>
      </c>
      <c r="AF6" s="56" t="s">
        <v>649</v>
      </c>
      <c r="AG6" s="56" t="s">
        <v>650</v>
      </c>
      <c r="AH6" s="56" t="s">
        <v>643</v>
      </c>
      <c r="AI6" s="56" t="s">
        <v>642</v>
      </c>
      <c r="AJ6" s="56">
        <v>139</v>
      </c>
      <c r="AK6" s="56" t="s">
        <v>651</v>
      </c>
      <c r="AL6" s="56">
        <v>141</v>
      </c>
      <c r="AM6" s="56" t="s">
        <v>649</v>
      </c>
      <c r="AN6" s="56" t="s">
        <v>650</v>
      </c>
      <c r="AO6" s="56" t="s">
        <v>652</v>
      </c>
      <c r="AP6" s="56" t="s">
        <v>643</v>
      </c>
      <c r="AQ6" s="56" t="s">
        <v>642</v>
      </c>
      <c r="AR6" s="56">
        <v>98</v>
      </c>
      <c r="AS6" s="56" t="s">
        <v>645</v>
      </c>
      <c r="AT6" s="56" t="s">
        <v>646</v>
      </c>
      <c r="AU6" s="56" t="s">
        <v>643</v>
      </c>
      <c r="AV6" s="56" t="s">
        <v>648</v>
      </c>
      <c r="AW6" s="56">
        <v>1164</v>
      </c>
      <c r="AX6" s="56" t="s">
        <v>718</v>
      </c>
      <c r="AY6" s="56">
        <v>1411</v>
      </c>
      <c r="AZ6" s="56" t="s">
        <v>719</v>
      </c>
      <c r="BA6" s="56" t="s">
        <v>720</v>
      </c>
      <c r="BB6" s="56" t="s">
        <v>721</v>
      </c>
      <c r="BC6" s="56">
        <v>1165</v>
      </c>
      <c r="BD6" s="56" t="s">
        <v>722</v>
      </c>
      <c r="BE6" s="56" t="s">
        <v>723</v>
      </c>
      <c r="BF6" s="56">
        <v>1165</v>
      </c>
      <c r="BG6" s="56" t="s">
        <v>722</v>
      </c>
      <c r="BH6" s="56" t="s">
        <v>723</v>
      </c>
      <c r="BI6" s="56">
        <v>24.31</v>
      </c>
      <c r="BJ6" s="56">
        <v>66613.78</v>
      </c>
      <c r="BK6" s="56">
        <v>24.31</v>
      </c>
      <c r="BL6" s="56" t="s">
        <v>659</v>
      </c>
      <c r="BM6" s="56">
        <v>3104</v>
      </c>
      <c r="BN6" s="56" t="s">
        <v>724</v>
      </c>
      <c r="BO6" s="56" t="s">
        <v>725</v>
      </c>
      <c r="BP6" s="56">
        <v>3913.91</v>
      </c>
      <c r="BQ6" s="56">
        <v>3444.24</v>
      </c>
      <c r="BR6" s="56">
        <v>0</v>
      </c>
      <c r="BS6" s="56">
        <v>0</v>
      </c>
      <c r="BT6" s="56">
        <v>0</v>
      </c>
      <c r="BU6" s="56">
        <v>28237</v>
      </c>
      <c r="BV6" s="56">
        <v>98</v>
      </c>
      <c r="BW6" s="56" t="s">
        <v>645</v>
      </c>
      <c r="BX6" s="56" t="s">
        <v>726</v>
      </c>
      <c r="BY6" s="56" t="s">
        <v>663</v>
      </c>
      <c r="BZ6" s="56">
        <v>0.25</v>
      </c>
      <c r="CA6" s="56" t="s">
        <v>664</v>
      </c>
      <c r="CB6" s="56" t="s">
        <v>665</v>
      </c>
      <c r="CD6" s="56" t="s">
        <v>667</v>
      </c>
      <c r="CG6" s="56">
        <v>0</v>
      </c>
      <c r="CH6" s="56">
        <v>161</v>
      </c>
      <c r="CJ6" s="56">
        <v>11.9</v>
      </c>
      <c r="CK6" s="56">
        <v>3408.7372916666668</v>
      </c>
      <c r="CL6" s="56">
        <v>3003.2492187500002</v>
      </c>
      <c r="CN6" s="56">
        <v>469.67</v>
      </c>
      <c r="CO6" s="56">
        <v>469.67</v>
      </c>
      <c r="CP6" s="56">
        <v>0</v>
      </c>
      <c r="CQ6" s="56" t="s">
        <v>708</v>
      </c>
      <c r="CR6" s="56">
        <v>0</v>
      </c>
      <c r="CS6" s="56">
        <v>0</v>
      </c>
      <c r="CV6" s="56">
        <v>0</v>
      </c>
      <c r="CX6" s="56">
        <v>390.76</v>
      </c>
      <c r="CY6" s="56">
        <v>0</v>
      </c>
      <c r="CZ6" s="56">
        <v>318.58999999999997</v>
      </c>
      <c r="DA6" s="56">
        <v>318.58999999999997</v>
      </c>
      <c r="DB6" s="56">
        <v>0</v>
      </c>
      <c r="DC6" s="56">
        <v>3125.65</v>
      </c>
      <c r="DD6" s="56">
        <v>11.44</v>
      </c>
      <c r="DE6" s="56">
        <v>0</v>
      </c>
      <c r="DF6" s="56">
        <v>11.44</v>
      </c>
      <c r="DH6" s="56" t="s">
        <v>670</v>
      </c>
      <c r="DI6" s="56" t="s">
        <v>671</v>
      </c>
      <c r="DK6" s="56">
        <v>9.67</v>
      </c>
      <c r="DL6" s="56">
        <v>0</v>
      </c>
      <c r="DM6" s="56">
        <v>52</v>
      </c>
      <c r="DN6" s="56" t="s">
        <v>672</v>
      </c>
      <c r="DO6" s="56" t="s">
        <v>236</v>
      </c>
      <c r="DQ6" s="56" t="s">
        <v>674</v>
      </c>
      <c r="DR6" s="56">
        <v>3</v>
      </c>
      <c r="DW6" s="56">
        <v>385</v>
      </c>
      <c r="DX6" s="56" t="s">
        <v>709</v>
      </c>
      <c r="DY6" s="56" t="s">
        <v>727</v>
      </c>
      <c r="DZ6" s="56" t="s">
        <v>719</v>
      </c>
      <c r="EA6" s="56">
        <v>1164</v>
      </c>
      <c r="EB6" s="56" t="s">
        <v>718</v>
      </c>
      <c r="EC6" s="56">
        <v>44928</v>
      </c>
      <c r="ED6" s="56">
        <v>2</v>
      </c>
      <c r="EE6" s="56" t="s">
        <v>639</v>
      </c>
      <c r="EF6" s="56">
        <v>2</v>
      </c>
      <c r="EG6" s="56" t="s">
        <v>639</v>
      </c>
      <c r="EH6" s="56">
        <v>2</v>
      </c>
      <c r="EI6" s="56" t="s">
        <v>639</v>
      </c>
      <c r="EJ6" s="56">
        <v>2</v>
      </c>
      <c r="EK6" s="56" t="s">
        <v>639</v>
      </c>
      <c r="EL6" s="56">
        <v>25</v>
      </c>
      <c r="EM6" s="56">
        <v>15</v>
      </c>
      <c r="EN6" s="56">
        <v>5173</v>
      </c>
      <c r="EO6" s="56">
        <v>1622</v>
      </c>
      <c r="EP6" s="56">
        <v>6790</v>
      </c>
      <c r="EQ6" s="56" t="s">
        <v>680</v>
      </c>
      <c r="ER6" s="56" t="s">
        <v>681</v>
      </c>
      <c r="ES6" s="56">
        <v>2</v>
      </c>
      <c r="ET6" s="56" t="s">
        <v>682</v>
      </c>
      <c r="EU6" s="56" t="s">
        <v>683</v>
      </c>
      <c r="EV6" s="56" t="s">
        <v>683</v>
      </c>
      <c r="FD6" s="56" t="s">
        <v>728</v>
      </c>
      <c r="FK6" s="56">
        <v>0</v>
      </c>
    </row>
    <row r="7" spans="1:168" x14ac:dyDescent="0.2">
      <c r="A7" s="56">
        <v>28972</v>
      </c>
      <c r="B7" s="56">
        <v>2</v>
      </c>
      <c r="C7" s="56">
        <v>6352</v>
      </c>
      <c r="D7" s="56" t="s">
        <v>634</v>
      </c>
      <c r="E7" s="56" t="s">
        <v>635</v>
      </c>
      <c r="K7" s="56" t="s">
        <v>729</v>
      </c>
      <c r="L7" s="56" t="s">
        <v>637</v>
      </c>
      <c r="M7" s="56">
        <v>44928</v>
      </c>
      <c r="N7" s="56">
        <v>44930</v>
      </c>
      <c r="O7" s="56">
        <v>38</v>
      </c>
      <c r="P7" s="56" t="s">
        <v>638</v>
      </c>
      <c r="Q7" s="56">
        <v>2</v>
      </c>
      <c r="R7" s="56" t="s">
        <v>639</v>
      </c>
      <c r="S7" s="56" t="s">
        <v>640</v>
      </c>
      <c r="T7" s="56" t="s">
        <v>641</v>
      </c>
      <c r="U7" s="56" t="s">
        <v>642</v>
      </c>
      <c r="V7" s="56" t="s">
        <v>643</v>
      </c>
      <c r="W7" s="56">
        <v>48</v>
      </c>
      <c r="X7" s="56" t="s">
        <v>699</v>
      </c>
      <c r="Y7" s="56">
        <v>98</v>
      </c>
      <c r="Z7" s="56" t="s">
        <v>645</v>
      </c>
      <c r="AA7" s="56" t="s">
        <v>646</v>
      </c>
      <c r="AB7" s="56" t="s">
        <v>647</v>
      </c>
      <c r="AC7" s="56" t="s">
        <v>643</v>
      </c>
      <c r="AD7" s="56" t="s">
        <v>648</v>
      </c>
      <c r="AE7" s="56">
        <v>141</v>
      </c>
      <c r="AF7" s="56" t="s">
        <v>649</v>
      </c>
      <c r="AG7" s="56" t="s">
        <v>650</v>
      </c>
      <c r="AH7" s="56" t="s">
        <v>643</v>
      </c>
      <c r="AI7" s="56" t="s">
        <v>642</v>
      </c>
      <c r="AJ7" s="56">
        <v>139</v>
      </c>
      <c r="AK7" s="56" t="s">
        <v>651</v>
      </c>
      <c r="AL7" s="56">
        <v>141</v>
      </c>
      <c r="AM7" s="56" t="s">
        <v>649</v>
      </c>
      <c r="AN7" s="56" t="s">
        <v>650</v>
      </c>
      <c r="AO7" s="56" t="s">
        <v>652</v>
      </c>
      <c r="AP7" s="56" t="s">
        <v>643</v>
      </c>
      <c r="AQ7" s="56" t="s">
        <v>642</v>
      </c>
      <c r="AR7" s="56">
        <v>98</v>
      </c>
      <c r="AS7" s="56" t="s">
        <v>645</v>
      </c>
      <c r="AT7" s="56" t="s">
        <v>646</v>
      </c>
      <c r="AU7" s="56" t="s">
        <v>643</v>
      </c>
      <c r="AV7" s="56" t="s">
        <v>648</v>
      </c>
      <c r="AW7" s="56">
        <v>1164</v>
      </c>
      <c r="AX7" s="56" t="s">
        <v>718</v>
      </c>
      <c r="AY7" s="56">
        <v>1411</v>
      </c>
      <c r="AZ7" s="56" t="s">
        <v>719</v>
      </c>
      <c r="BA7" s="56" t="s">
        <v>720</v>
      </c>
      <c r="BB7" s="56" t="s">
        <v>721</v>
      </c>
      <c r="BC7" s="56">
        <v>1165</v>
      </c>
      <c r="BD7" s="56" t="s">
        <v>722</v>
      </c>
      <c r="BE7" s="56" t="s">
        <v>723</v>
      </c>
      <c r="BF7" s="56">
        <v>1165</v>
      </c>
      <c r="BG7" s="56" t="s">
        <v>722</v>
      </c>
      <c r="BH7" s="56" t="s">
        <v>723</v>
      </c>
      <c r="BI7" s="56">
        <v>25.61</v>
      </c>
      <c r="BJ7" s="56">
        <v>70176.009999999995</v>
      </c>
      <c r="BK7" s="56">
        <v>25.61</v>
      </c>
      <c r="BL7" s="56" t="s">
        <v>659</v>
      </c>
      <c r="BM7" s="56">
        <v>3104</v>
      </c>
      <c r="BN7" s="56" t="s">
        <v>724</v>
      </c>
      <c r="BO7" s="56" t="s">
        <v>725</v>
      </c>
      <c r="BP7" s="56">
        <v>4123.21</v>
      </c>
      <c r="BQ7" s="56">
        <v>3555.52</v>
      </c>
      <c r="BR7" s="56">
        <v>0</v>
      </c>
      <c r="BS7" s="56">
        <v>0</v>
      </c>
      <c r="BT7" s="56">
        <v>6167.1</v>
      </c>
      <c r="BU7" s="56">
        <v>28238</v>
      </c>
      <c r="BV7" s="56">
        <v>98</v>
      </c>
      <c r="BW7" s="56" t="s">
        <v>645</v>
      </c>
      <c r="BX7" s="56" t="s">
        <v>730</v>
      </c>
      <c r="BY7" s="56" t="s">
        <v>663</v>
      </c>
      <c r="BZ7" s="56">
        <v>0.25</v>
      </c>
      <c r="CA7" s="56" t="s">
        <v>664</v>
      </c>
      <c r="CB7" s="56" t="s">
        <v>665</v>
      </c>
      <c r="CC7" s="56" t="s">
        <v>666</v>
      </c>
      <c r="CD7" s="56" t="s">
        <v>667</v>
      </c>
      <c r="CF7" s="56">
        <v>4933.68</v>
      </c>
      <c r="CG7" s="56">
        <v>80</v>
      </c>
      <c r="CH7" s="56">
        <v>161</v>
      </c>
      <c r="CI7" s="56">
        <v>125</v>
      </c>
      <c r="CJ7" s="56">
        <v>11.9</v>
      </c>
      <c r="CK7" s="56">
        <v>3591.0227083333334</v>
      </c>
      <c r="CL7" s="56">
        <v>3163.8507812500002</v>
      </c>
      <c r="CM7" s="56">
        <v>48.98</v>
      </c>
      <c r="CN7" s="56">
        <v>494.79</v>
      </c>
      <c r="CO7" s="56">
        <v>494.79</v>
      </c>
      <c r="CP7" s="56">
        <v>72.900000000000006</v>
      </c>
      <c r="CQ7" s="56" t="s">
        <v>668</v>
      </c>
      <c r="CR7" s="56">
        <v>0</v>
      </c>
      <c r="CS7" s="56">
        <v>72.900000000000006</v>
      </c>
      <c r="CT7" s="56" t="s">
        <v>669</v>
      </c>
      <c r="CU7" s="56">
        <v>0</v>
      </c>
      <c r="CV7" s="56">
        <v>0</v>
      </c>
      <c r="CX7" s="56">
        <v>411.65</v>
      </c>
      <c r="CY7" s="56">
        <v>0</v>
      </c>
      <c r="CZ7" s="56">
        <v>-248.31</v>
      </c>
      <c r="DA7" s="56">
        <v>328.89</v>
      </c>
      <c r="DB7" s="56">
        <v>577.20000000000005</v>
      </c>
      <c r="DC7" s="56">
        <v>3803.83</v>
      </c>
      <c r="DD7" s="56">
        <v>-26.08</v>
      </c>
      <c r="DE7" s="56">
        <v>0</v>
      </c>
      <c r="DF7" s="56">
        <v>12.06</v>
      </c>
      <c r="DG7" s="56">
        <v>68.39</v>
      </c>
      <c r="DH7" s="56" t="s">
        <v>670</v>
      </c>
      <c r="DI7" s="56" t="s">
        <v>671</v>
      </c>
      <c r="DK7" s="56">
        <v>9.67</v>
      </c>
      <c r="DL7" s="56">
        <v>777.02</v>
      </c>
      <c r="DM7" s="56">
        <v>52</v>
      </c>
      <c r="DN7" s="56" t="s">
        <v>672</v>
      </c>
      <c r="DO7" s="56" t="s">
        <v>236</v>
      </c>
      <c r="DP7" s="56" t="s">
        <v>673</v>
      </c>
      <c r="DQ7" s="56" t="s">
        <v>674</v>
      </c>
      <c r="DR7" s="56">
        <v>3</v>
      </c>
      <c r="DS7" s="56" t="s">
        <v>731</v>
      </c>
      <c r="DT7" s="56" t="s">
        <v>732</v>
      </c>
      <c r="DU7" s="56">
        <v>36</v>
      </c>
      <c r="DV7" s="56" t="s">
        <v>677</v>
      </c>
      <c r="DW7" s="56">
        <v>385</v>
      </c>
      <c r="DX7" s="56" t="s">
        <v>709</v>
      </c>
      <c r="DY7" s="56" t="s">
        <v>727</v>
      </c>
      <c r="DZ7" s="56" t="s">
        <v>719</v>
      </c>
      <c r="EA7" s="56">
        <v>1164</v>
      </c>
      <c r="EB7" s="56" t="s">
        <v>718</v>
      </c>
      <c r="EC7" s="56">
        <v>44928</v>
      </c>
      <c r="ED7" s="56">
        <v>2</v>
      </c>
      <c r="EE7" s="56" t="s">
        <v>639</v>
      </c>
      <c r="EF7" s="56">
        <v>2</v>
      </c>
      <c r="EG7" s="56" t="s">
        <v>639</v>
      </c>
      <c r="EH7" s="56">
        <v>2</v>
      </c>
      <c r="EI7" s="56" t="s">
        <v>639</v>
      </c>
      <c r="EJ7" s="56">
        <v>2</v>
      </c>
      <c r="EK7" s="56" t="s">
        <v>639</v>
      </c>
      <c r="EL7" s="56">
        <v>25</v>
      </c>
      <c r="EM7" s="56">
        <v>15</v>
      </c>
      <c r="EN7" s="56">
        <v>5173</v>
      </c>
      <c r="EO7" s="56">
        <v>1622</v>
      </c>
      <c r="EP7" s="56">
        <v>6790</v>
      </c>
      <c r="EQ7" s="56" t="s">
        <v>680</v>
      </c>
      <c r="ER7" s="56" t="s">
        <v>681</v>
      </c>
      <c r="ES7" s="56">
        <v>2</v>
      </c>
      <c r="ET7" s="56" t="s">
        <v>682</v>
      </c>
      <c r="EU7" s="56" t="s">
        <v>683</v>
      </c>
      <c r="EV7" s="56" t="s">
        <v>683</v>
      </c>
      <c r="FD7" s="56" t="s">
        <v>733</v>
      </c>
      <c r="FK7" s="56">
        <v>0</v>
      </c>
    </row>
    <row r="8" spans="1:168" x14ac:dyDescent="0.2">
      <c r="A8" s="56">
        <v>28973</v>
      </c>
      <c r="B8" s="56">
        <v>2</v>
      </c>
      <c r="C8" s="56">
        <v>6352</v>
      </c>
      <c r="D8" s="56" t="s">
        <v>634</v>
      </c>
      <c r="E8" s="56" t="s">
        <v>635</v>
      </c>
      <c r="K8" s="56" t="s">
        <v>734</v>
      </c>
      <c r="L8" s="56" t="s">
        <v>637</v>
      </c>
      <c r="M8" s="56">
        <v>44928</v>
      </c>
      <c r="N8" s="56">
        <v>44930</v>
      </c>
      <c r="O8" s="56">
        <v>38</v>
      </c>
      <c r="P8" s="56" t="s">
        <v>638</v>
      </c>
      <c r="Q8" s="56">
        <v>2</v>
      </c>
      <c r="R8" s="56" t="s">
        <v>639</v>
      </c>
      <c r="S8" s="56" t="s">
        <v>640</v>
      </c>
      <c r="T8" s="56" t="s">
        <v>641</v>
      </c>
      <c r="U8" s="56" t="s">
        <v>735</v>
      </c>
      <c r="V8" s="56" t="s">
        <v>643</v>
      </c>
      <c r="W8" s="56">
        <v>48</v>
      </c>
      <c r="X8" s="56" t="s">
        <v>699</v>
      </c>
      <c r="Y8" s="56">
        <v>98</v>
      </c>
      <c r="Z8" s="56" t="s">
        <v>645</v>
      </c>
      <c r="AA8" s="56" t="s">
        <v>646</v>
      </c>
      <c r="AB8" s="56" t="s">
        <v>647</v>
      </c>
      <c r="AC8" s="56" t="s">
        <v>643</v>
      </c>
      <c r="AD8" s="56" t="s">
        <v>648</v>
      </c>
      <c r="AE8" s="56">
        <v>91</v>
      </c>
      <c r="AF8" s="56" t="s">
        <v>736</v>
      </c>
      <c r="AG8" s="56" t="s">
        <v>737</v>
      </c>
      <c r="AH8" s="56" t="s">
        <v>643</v>
      </c>
      <c r="AI8" s="56" t="s">
        <v>735</v>
      </c>
      <c r="AJ8" s="56">
        <v>139</v>
      </c>
      <c r="AK8" s="56" t="s">
        <v>651</v>
      </c>
      <c r="AL8" s="56">
        <v>91</v>
      </c>
      <c r="AM8" s="56" t="s">
        <v>736</v>
      </c>
      <c r="AN8" s="56" t="s">
        <v>737</v>
      </c>
      <c r="AO8" s="56" t="s">
        <v>738</v>
      </c>
      <c r="AP8" s="56" t="s">
        <v>643</v>
      </c>
      <c r="AQ8" s="56" t="s">
        <v>735</v>
      </c>
      <c r="AR8" s="56">
        <v>98</v>
      </c>
      <c r="AS8" s="56" t="s">
        <v>645</v>
      </c>
      <c r="AT8" s="56" t="s">
        <v>646</v>
      </c>
      <c r="AU8" s="56" t="s">
        <v>643</v>
      </c>
      <c r="AV8" s="56" t="s">
        <v>648</v>
      </c>
      <c r="AW8" s="56">
        <v>172</v>
      </c>
      <c r="AX8" s="56" t="s">
        <v>739</v>
      </c>
      <c r="AY8" s="56">
        <v>153</v>
      </c>
      <c r="AZ8" s="56" t="s">
        <v>740</v>
      </c>
      <c r="BA8" s="56" t="s">
        <v>741</v>
      </c>
      <c r="BB8" s="56" t="s">
        <v>742</v>
      </c>
      <c r="BC8" s="56">
        <v>171</v>
      </c>
      <c r="BD8" s="56" t="s">
        <v>739</v>
      </c>
      <c r="BE8" s="56" t="s">
        <v>743</v>
      </c>
      <c r="BF8" s="56">
        <v>171</v>
      </c>
      <c r="BG8" s="56" t="s">
        <v>739</v>
      </c>
      <c r="BH8" s="56" t="s">
        <v>743</v>
      </c>
      <c r="BI8" s="56">
        <v>39.79</v>
      </c>
      <c r="BJ8" s="56">
        <v>109031.76</v>
      </c>
      <c r="BK8" s="56">
        <v>39.79</v>
      </c>
      <c r="BL8" s="56" t="s">
        <v>659</v>
      </c>
      <c r="BM8" s="56">
        <v>3104</v>
      </c>
      <c r="BN8" s="56" t="s">
        <v>744</v>
      </c>
      <c r="BO8" s="56" t="s">
        <v>745</v>
      </c>
      <c r="BP8" s="56">
        <v>5769.55</v>
      </c>
      <c r="BQ8" s="56">
        <v>5028.6000000000004</v>
      </c>
      <c r="BR8" s="56">
        <v>0</v>
      </c>
      <c r="BS8" s="56">
        <v>0</v>
      </c>
      <c r="BT8" s="56">
        <v>4049.77</v>
      </c>
      <c r="BU8" s="56">
        <v>28245</v>
      </c>
      <c r="BV8" s="56">
        <v>98</v>
      </c>
      <c r="BW8" s="56" t="s">
        <v>645</v>
      </c>
      <c r="BX8" s="56" t="s">
        <v>746</v>
      </c>
      <c r="BY8" s="56" t="s">
        <v>663</v>
      </c>
      <c r="BZ8" s="56">
        <v>0.25</v>
      </c>
      <c r="CA8" s="56" t="s">
        <v>664</v>
      </c>
      <c r="CB8" s="56" t="s">
        <v>665</v>
      </c>
      <c r="CC8" s="56" t="s">
        <v>747</v>
      </c>
      <c r="CD8" s="56" t="s">
        <v>667</v>
      </c>
      <c r="CF8" s="56">
        <v>3239.82</v>
      </c>
      <c r="CG8" s="56">
        <v>80</v>
      </c>
      <c r="CH8" s="56">
        <v>145</v>
      </c>
      <c r="CI8" s="56">
        <v>103</v>
      </c>
      <c r="CJ8" s="56">
        <v>19.47</v>
      </c>
      <c r="CK8" s="56">
        <v>5028.6000000000004</v>
      </c>
      <c r="CL8" s="56">
        <v>4049.77</v>
      </c>
      <c r="CM8" s="56">
        <v>8.5500000000000007</v>
      </c>
      <c r="CN8" s="56">
        <v>692.35</v>
      </c>
      <c r="CO8" s="56">
        <v>692.35</v>
      </c>
      <c r="CP8" s="56">
        <v>48.6</v>
      </c>
      <c r="CQ8" s="56" t="s">
        <v>668</v>
      </c>
      <c r="CR8" s="56">
        <v>0</v>
      </c>
      <c r="CS8" s="56">
        <v>48.6</v>
      </c>
      <c r="CT8" s="56" t="s">
        <v>669</v>
      </c>
      <c r="CU8" s="56">
        <v>0</v>
      </c>
      <c r="CV8" s="56">
        <v>0</v>
      </c>
      <c r="CX8" s="56">
        <v>959.44</v>
      </c>
      <c r="CY8" s="56">
        <v>0</v>
      </c>
      <c r="CZ8" s="56">
        <v>179.69</v>
      </c>
      <c r="DA8" s="56">
        <v>465.14</v>
      </c>
      <c r="DB8" s="56">
        <v>285.45</v>
      </c>
      <c r="DC8" s="56">
        <v>4848.91</v>
      </c>
      <c r="DD8" s="56">
        <v>145.59</v>
      </c>
      <c r="DE8" s="56">
        <v>0</v>
      </c>
      <c r="DF8" s="56">
        <v>18.73</v>
      </c>
      <c r="DG8" s="56">
        <v>54.52</v>
      </c>
      <c r="DH8" s="56" t="s">
        <v>670</v>
      </c>
      <c r="DI8" s="56" t="s">
        <v>671</v>
      </c>
      <c r="DK8" s="56">
        <v>11.33</v>
      </c>
      <c r="DL8" s="56">
        <v>653.54999999999995</v>
      </c>
      <c r="DM8" s="56">
        <v>93</v>
      </c>
      <c r="DN8" s="56" t="s">
        <v>748</v>
      </c>
      <c r="DO8" s="56" t="s">
        <v>236</v>
      </c>
      <c r="DP8" s="56" t="s">
        <v>673</v>
      </c>
      <c r="DQ8" s="56" t="s">
        <v>674</v>
      </c>
      <c r="DR8" s="56">
        <v>1</v>
      </c>
      <c r="DS8" s="56" t="s">
        <v>749</v>
      </c>
      <c r="DT8" s="56" t="s">
        <v>750</v>
      </c>
      <c r="DU8" s="56">
        <v>36</v>
      </c>
      <c r="DV8" s="56" t="s">
        <v>677</v>
      </c>
      <c r="DX8" s="56" t="s">
        <v>678</v>
      </c>
      <c r="DY8" s="56" t="s">
        <v>679</v>
      </c>
      <c r="ED8" s="56">
        <v>2</v>
      </c>
      <c r="EE8" s="56" t="s">
        <v>639</v>
      </c>
      <c r="EF8" s="56">
        <v>2</v>
      </c>
      <c r="EG8" s="56" t="s">
        <v>639</v>
      </c>
      <c r="EH8" s="56">
        <v>2</v>
      </c>
      <c r="EI8" s="56" t="s">
        <v>639</v>
      </c>
      <c r="EJ8" s="56">
        <v>2</v>
      </c>
      <c r="EK8" s="56" t="s">
        <v>639</v>
      </c>
      <c r="EL8" s="56">
        <v>25</v>
      </c>
      <c r="EM8" s="56">
        <v>15</v>
      </c>
      <c r="EN8" s="56">
        <v>5173</v>
      </c>
      <c r="EO8" s="56">
        <v>1805</v>
      </c>
      <c r="EP8" s="56">
        <v>6790</v>
      </c>
      <c r="EQ8" s="56" t="s">
        <v>751</v>
      </c>
      <c r="ER8" s="56" t="s">
        <v>752</v>
      </c>
      <c r="ES8" s="56">
        <v>2</v>
      </c>
      <c r="ET8" s="56" t="s">
        <v>682</v>
      </c>
      <c r="EU8" s="56" t="s">
        <v>683</v>
      </c>
      <c r="EV8" s="56" t="s">
        <v>683</v>
      </c>
      <c r="FD8" s="56" t="s">
        <v>753</v>
      </c>
      <c r="FK8" s="56">
        <v>0</v>
      </c>
    </row>
    <row r="9" spans="1:168" x14ac:dyDescent="0.2">
      <c r="A9" s="56">
        <v>28974</v>
      </c>
      <c r="B9" s="56">
        <v>2</v>
      </c>
      <c r="C9" s="56">
        <v>6352</v>
      </c>
      <c r="D9" s="56" t="s">
        <v>634</v>
      </c>
      <c r="E9" s="56" t="s">
        <v>635</v>
      </c>
      <c r="K9" s="56" t="s">
        <v>754</v>
      </c>
      <c r="L9" s="56" t="s">
        <v>637</v>
      </c>
      <c r="M9" s="56">
        <v>44928</v>
      </c>
      <c r="N9" s="56">
        <v>44930</v>
      </c>
      <c r="O9" s="56">
        <v>38</v>
      </c>
      <c r="P9" s="56" t="s">
        <v>638</v>
      </c>
      <c r="Q9" s="56">
        <v>2</v>
      </c>
      <c r="R9" s="56" t="s">
        <v>639</v>
      </c>
      <c r="S9" s="56" t="s">
        <v>640</v>
      </c>
      <c r="T9" s="56" t="s">
        <v>641</v>
      </c>
      <c r="U9" s="56" t="s">
        <v>735</v>
      </c>
      <c r="V9" s="56" t="s">
        <v>643</v>
      </c>
      <c r="W9" s="56">
        <v>48</v>
      </c>
      <c r="X9" s="56" t="s">
        <v>699</v>
      </c>
      <c r="Y9" s="56">
        <v>98</v>
      </c>
      <c r="Z9" s="56" t="s">
        <v>645</v>
      </c>
      <c r="AA9" s="56" t="s">
        <v>646</v>
      </c>
      <c r="AB9" s="56" t="s">
        <v>647</v>
      </c>
      <c r="AC9" s="56" t="s">
        <v>643</v>
      </c>
      <c r="AD9" s="56" t="s">
        <v>648</v>
      </c>
      <c r="AE9" s="56">
        <v>91</v>
      </c>
      <c r="AF9" s="56" t="s">
        <v>736</v>
      </c>
      <c r="AG9" s="56" t="s">
        <v>737</v>
      </c>
      <c r="AH9" s="56" t="s">
        <v>643</v>
      </c>
      <c r="AI9" s="56" t="s">
        <v>735</v>
      </c>
      <c r="AJ9" s="56">
        <v>139</v>
      </c>
      <c r="AK9" s="56" t="s">
        <v>651</v>
      </c>
      <c r="AL9" s="56">
        <v>91</v>
      </c>
      <c r="AM9" s="56" t="s">
        <v>736</v>
      </c>
      <c r="AN9" s="56" t="s">
        <v>737</v>
      </c>
      <c r="AO9" s="56" t="s">
        <v>738</v>
      </c>
      <c r="AP9" s="56" t="s">
        <v>643</v>
      </c>
      <c r="AQ9" s="56" t="s">
        <v>735</v>
      </c>
      <c r="AR9" s="56">
        <v>98</v>
      </c>
      <c r="AS9" s="56" t="s">
        <v>645</v>
      </c>
      <c r="AT9" s="56" t="s">
        <v>646</v>
      </c>
      <c r="AU9" s="56" t="s">
        <v>643</v>
      </c>
      <c r="AV9" s="56" t="s">
        <v>648</v>
      </c>
      <c r="AW9" s="56">
        <v>1167</v>
      </c>
      <c r="AX9" s="56" t="s">
        <v>755</v>
      </c>
      <c r="AY9" s="56">
        <v>1416</v>
      </c>
      <c r="AZ9" s="56" t="s">
        <v>756</v>
      </c>
      <c r="BA9" s="56" t="s">
        <v>757</v>
      </c>
      <c r="BB9" s="56" t="s">
        <v>758</v>
      </c>
      <c r="BC9" s="56">
        <v>617</v>
      </c>
      <c r="BD9" s="56" t="s">
        <v>759</v>
      </c>
      <c r="BE9" s="56" t="s">
        <v>760</v>
      </c>
      <c r="BF9" s="56">
        <v>617</v>
      </c>
      <c r="BG9" s="56" t="s">
        <v>759</v>
      </c>
      <c r="BH9" s="56" t="s">
        <v>760</v>
      </c>
      <c r="BI9" s="56">
        <v>36.049999999999997</v>
      </c>
      <c r="BJ9" s="56">
        <v>98783.49</v>
      </c>
      <c r="BK9" s="56">
        <v>36.049999999999997</v>
      </c>
      <c r="BL9" s="56" t="s">
        <v>659</v>
      </c>
      <c r="BM9" s="56">
        <v>3104</v>
      </c>
      <c r="BN9" s="56" t="s">
        <v>744</v>
      </c>
      <c r="BO9" s="56" t="s">
        <v>761</v>
      </c>
      <c r="BP9" s="56">
        <v>5227.25</v>
      </c>
      <c r="BQ9" s="56">
        <v>4551.38</v>
      </c>
      <c r="BR9" s="56">
        <v>0</v>
      </c>
      <c r="BS9" s="56">
        <v>0</v>
      </c>
      <c r="BT9" s="56">
        <v>3916.9</v>
      </c>
      <c r="BU9" s="56">
        <v>28248</v>
      </c>
      <c r="BV9" s="56">
        <v>98</v>
      </c>
      <c r="BW9" s="56" t="s">
        <v>645</v>
      </c>
      <c r="BX9" s="56" t="s">
        <v>762</v>
      </c>
      <c r="BY9" s="56" t="s">
        <v>663</v>
      </c>
      <c r="BZ9" s="56">
        <v>0.25</v>
      </c>
      <c r="CA9" s="56" t="s">
        <v>664</v>
      </c>
      <c r="CB9" s="56" t="s">
        <v>665</v>
      </c>
      <c r="CC9" s="56" t="s">
        <v>763</v>
      </c>
      <c r="CD9" s="56" t="s">
        <v>667</v>
      </c>
      <c r="CF9" s="56">
        <v>3133.52</v>
      </c>
      <c r="CG9" s="56">
        <v>80</v>
      </c>
      <c r="CH9" s="56">
        <v>145</v>
      </c>
      <c r="CI9" s="56">
        <v>110</v>
      </c>
      <c r="CJ9" s="56">
        <v>13.94</v>
      </c>
      <c r="CK9" s="56">
        <v>4551.38</v>
      </c>
      <c r="CL9" s="56">
        <v>3916.9</v>
      </c>
      <c r="CM9" s="56">
        <v>48.98</v>
      </c>
      <c r="CN9" s="56">
        <v>627.27</v>
      </c>
      <c r="CO9" s="56">
        <v>627.27</v>
      </c>
      <c r="CP9" s="56">
        <v>48.6</v>
      </c>
      <c r="CQ9" s="56" t="s">
        <v>668</v>
      </c>
      <c r="CR9" s="56">
        <v>0</v>
      </c>
      <c r="CS9" s="56">
        <v>48.6</v>
      </c>
      <c r="CT9" s="56" t="s">
        <v>669</v>
      </c>
      <c r="CU9" s="56">
        <v>0</v>
      </c>
      <c r="CV9" s="56">
        <v>0</v>
      </c>
      <c r="CX9" s="56">
        <v>615.39</v>
      </c>
      <c r="CY9" s="56">
        <v>0</v>
      </c>
      <c r="CZ9" s="56">
        <v>144.77000000000001</v>
      </c>
      <c r="DA9" s="56">
        <v>421</v>
      </c>
      <c r="DB9" s="56">
        <v>276.23</v>
      </c>
      <c r="DC9" s="56">
        <v>4406.6099999999997</v>
      </c>
      <c r="DD9" s="56">
        <v>-13.33</v>
      </c>
      <c r="DE9" s="56">
        <v>0</v>
      </c>
      <c r="DF9" s="56">
        <v>16.97</v>
      </c>
      <c r="DG9" s="56">
        <v>49.39</v>
      </c>
      <c r="DH9" s="56" t="s">
        <v>670</v>
      </c>
      <c r="DI9" s="56" t="s">
        <v>671</v>
      </c>
      <c r="DK9" s="56">
        <v>9.6199999999999992</v>
      </c>
      <c r="DL9" s="56">
        <v>503.04</v>
      </c>
      <c r="DM9" s="56">
        <v>93</v>
      </c>
      <c r="DN9" s="56" t="s">
        <v>748</v>
      </c>
      <c r="DO9" s="56" t="s">
        <v>236</v>
      </c>
      <c r="DP9" s="56" t="s">
        <v>673</v>
      </c>
      <c r="DQ9" s="56" t="s">
        <v>674</v>
      </c>
      <c r="DR9" s="56">
        <v>2</v>
      </c>
      <c r="DS9" s="56" t="s">
        <v>764</v>
      </c>
      <c r="DT9" s="56" t="s">
        <v>765</v>
      </c>
      <c r="DU9" s="56">
        <v>36</v>
      </c>
      <c r="DV9" s="56" t="s">
        <v>677</v>
      </c>
      <c r="DX9" s="56" t="s">
        <v>678</v>
      </c>
      <c r="DY9" s="56" t="s">
        <v>679</v>
      </c>
      <c r="ED9" s="56">
        <v>2</v>
      </c>
      <c r="EE9" s="56" t="s">
        <v>639</v>
      </c>
      <c r="EF9" s="56">
        <v>2</v>
      </c>
      <c r="EG9" s="56" t="s">
        <v>639</v>
      </c>
      <c r="EH9" s="56">
        <v>2</v>
      </c>
      <c r="EI9" s="56" t="s">
        <v>639</v>
      </c>
      <c r="EJ9" s="56">
        <v>2</v>
      </c>
      <c r="EK9" s="56" t="s">
        <v>639</v>
      </c>
      <c r="EL9" s="56">
        <v>25</v>
      </c>
      <c r="EM9" s="56">
        <v>15</v>
      </c>
      <c r="EN9" s="56">
        <v>5173</v>
      </c>
      <c r="EO9" s="56">
        <v>1805</v>
      </c>
      <c r="EP9" s="56">
        <v>6790</v>
      </c>
      <c r="EQ9" s="56" t="s">
        <v>751</v>
      </c>
      <c r="ER9" s="56" t="s">
        <v>752</v>
      </c>
      <c r="ES9" s="56">
        <v>2</v>
      </c>
      <c r="ET9" s="56" t="s">
        <v>682</v>
      </c>
      <c r="EU9" s="56" t="s">
        <v>683</v>
      </c>
      <c r="EV9" s="56" t="s">
        <v>683</v>
      </c>
      <c r="FD9" s="56" t="s">
        <v>766</v>
      </c>
      <c r="FK9" s="56">
        <v>0</v>
      </c>
    </row>
    <row r="10" spans="1:168" x14ac:dyDescent="0.2">
      <c r="A10" s="56">
        <v>28975</v>
      </c>
      <c r="B10" s="56">
        <v>2</v>
      </c>
      <c r="C10" s="56">
        <v>6352</v>
      </c>
      <c r="D10" s="56" t="s">
        <v>634</v>
      </c>
      <c r="E10" s="56" t="s">
        <v>635</v>
      </c>
      <c r="K10" s="56" t="s">
        <v>767</v>
      </c>
      <c r="L10" s="56" t="s">
        <v>637</v>
      </c>
      <c r="M10" s="56">
        <v>44929</v>
      </c>
      <c r="N10" s="56">
        <v>44931</v>
      </c>
      <c r="O10" s="56">
        <v>38</v>
      </c>
      <c r="P10" s="56" t="s">
        <v>638</v>
      </c>
      <c r="Q10" s="56">
        <v>2</v>
      </c>
      <c r="R10" s="56" t="s">
        <v>639</v>
      </c>
      <c r="S10" s="56" t="s">
        <v>640</v>
      </c>
      <c r="T10" s="56" t="s">
        <v>641</v>
      </c>
      <c r="U10" s="56" t="s">
        <v>735</v>
      </c>
      <c r="V10" s="56" t="s">
        <v>643</v>
      </c>
      <c r="W10" s="56">
        <v>47</v>
      </c>
      <c r="X10" s="56" t="s">
        <v>644</v>
      </c>
      <c r="Y10" s="56">
        <v>98</v>
      </c>
      <c r="Z10" s="56" t="s">
        <v>645</v>
      </c>
      <c r="AA10" s="56" t="s">
        <v>646</v>
      </c>
      <c r="AB10" s="56" t="s">
        <v>647</v>
      </c>
      <c r="AC10" s="56" t="s">
        <v>643</v>
      </c>
      <c r="AD10" s="56" t="s">
        <v>648</v>
      </c>
      <c r="AE10" s="56">
        <v>91</v>
      </c>
      <c r="AF10" s="56" t="s">
        <v>736</v>
      </c>
      <c r="AG10" s="56" t="s">
        <v>737</v>
      </c>
      <c r="AH10" s="56" t="s">
        <v>643</v>
      </c>
      <c r="AI10" s="56" t="s">
        <v>735</v>
      </c>
      <c r="AJ10" s="56">
        <v>139</v>
      </c>
      <c r="AK10" s="56" t="s">
        <v>651</v>
      </c>
      <c r="AL10" s="56">
        <v>91</v>
      </c>
      <c r="AM10" s="56" t="s">
        <v>736</v>
      </c>
      <c r="AN10" s="56" t="s">
        <v>737</v>
      </c>
      <c r="AO10" s="56" t="s">
        <v>738</v>
      </c>
      <c r="AP10" s="56" t="s">
        <v>643</v>
      </c>
      <c r="AQ10" s="56" t="s">
        <v>735</v>
      </c>
      <c r="AR10" s="56">
        <v>98</v>
      </c>
      <c r="AS10" s="56" t="s">
        <v>645</v>
      </c>
      <c r="AT10" s="56" t="s">
        <v>646</v>
      </c>
      <c r="AU10" s="56" t="s">
        <v>643</v>
      </c>
      <c r="AV10" s="56" t="s">
        <v>648</v>
      </c>
      <c r="AW10" s="56">
        <v>122</v>
      </c>
      <c r="AX10" s="56" t="s">
        <v>768</v>
      </c>
      <c r="AY10" s="56">
        <v>69</v>
      </c>
      <c r="AZ10" s="56" t="s">
        <v>26</v>
      </c>
      <c r="BA10" s="56" t="s">
        <v>769</v>
      </c>
      <c r="BB10" s="56" t="s">
        <v>770</v>
      </c>
      <c r="BC10" s="56">
        <v>38</v>
      </c>
      <c r="BD10" s="56" t="s">
        <v>289</v>
      </c>
      <c r="BE10" s="56" t="s">
        <v>771</v>
      </c>
      <c r="BF10" s="56">
        <v>2</v>
      </c>
      <c r="BG10" s="56" t="s">
        <v>289</v>
      </c>
      <c r="BH10" s="56" t="s">
        <v>772</v>
      </c>
      <c r="BI10" s="56">
        <v>23.91</v>
      </c>
      <c r="BJ10" s="56">
        <v>65517.7</v>
      </c>
      <c r="BK10" s="56">
        <v>23.91</v>
      </c>
      <c r="BL10" s="56" t="s">
        <v>659</v>
      </c>
      <c r="BM10" s="56">
        <v>3104</v>
      </c>
      <c r="BN10" s="56" t="s">
        <v>724</v>
      </c>
      <c r="BO10" s="56" t="s">
        <v>773</v>
      </c>
      <c r="BP10" s="56">
        <v>3466.95</v>
      </c>
      <c r="BQ10" s="56">
        <v>3050.92</v>
      </c>
      <c r="BR10" s="56">
        <v>0</v>
      </c>
      <c r="BS10" s="56">
        <v>0</v>
      </c>
      <c r="BT10" s="56">
        <v>0</v>
      </c>
      <c r="BU10" s="56">
        <v>28265</v>
      </c>
      <c r="BV10" s="56">
        <v>98</v>
      </c>
      <c r="BW10" s="56" t="s">
        <v>645</v>
      </c>
      <c r="BX10" s="56" t="s">
        <v>774</v>
      </c>
      <c r="BY10" s="56" t="s">
        <v>663</v>
      </c>
      <c r="BZ10" s="56">
        <v>0.25</v>
      </c>
      <c r="CA10" s="56" t="s">
        <v>664</v>
      </c>
      <c r="CB10" s="56" t="s">
        <v>665</v>
      </c>
      <c r="CD10" s="56" t="s">
        <v>667</v>
      </c>
      <c r="CG10" s="56">
        <v>0</v>
      </c>
      <c r="CH10" s="56">
        <v>145</v>
      </c>
      <c r="CJ10" s="56">
        <v>100</v>
      </c>
      <c r="CK10" s="56">
        <v>3050.92</v>
      </c>
      <c r="CL10" s="56">
        <v>0</v>
      </c>
      <c r="CN10" s="56">
        <v>416.03</v>
      </c>
      <c r="CO10" s="56">
        <v>416.03</v>
      </c>
      <c r="CP10" s="56">
        <v>0</v>
      </c>
      <c r="CQ10" s="56" t="s">
        <v>708</v>
      </c>
      <c r="CR10" s="56">
        <v>0</v>
      </c>
      <c r="CS10" s="56">
        <v>0</v>
      </c>
      <c r="CV10" s="56">
        <v>0</v>
      </c>
      <c r="CX10" s="56">
        <v>0</v>
      </c>
      <c r="CY10" s="56">
        <v>0</v>
      </c>
      <c r="CZ10" s="56">
        <v>282.20999999999998</v>
      </c>
      <c r="DA10" s="56">
        <v>282.20999999999998</v>
      </c>
      <c r="DB10" s="56">
        <v>0</v>
      </c>
      <c r="DC10" s="56">
        <v>2768.71</v>
      </c>
      <c r="DD10" s="56">
        <v>11.26</v>
      </c>
      <c r="DE10" s="56">
        <v>0</v>
      </c>
      <c r="DF10" s="56">
        <v>11.26</v>
      </c>
      <c r="DH10" s="56" t="s">
        <v>670</v>
      </c>
      <c r="DI10" s="56" t="s">
        <v>671</v>
      </c>
      <c r="DK10" s="56">
        <v>79.540000000000006</v>
      </c>
      <c r="DL10" s="56">
        <v>2757.45</v>
      </c>
      <c r="DM10" s="56">
        <v>93</v>
      </c>
      <c r="DN10" s="56" t="s">
        <v>748</v>
      </c>
      <c r="DO10" s="56" t="s">
        <v>236</v>
      </c>
      <c r="DQ10" s="56" t="s">
        <v>674</v>
      </c>
      <c r="DR10" s="56">
        <v>3</v>
      </c>
      <c r="DX10" s="56" t="s">
        <v>678</v>
      </c>
      <c r="DY10" s="56" t="s">
        <v>679</v>
      </c>
      <c r="EL10" s="56">
        <v>25</v>
      </c>
      <c r="EM10" s="56">
        <v>15</v>
      </c>
      <c r="EN10" s="56">
        <v>5173</v>
      </c>
      <c r="EO10" s="56">
        <v>1805</v>
      </c>
      <c r="EP10" s="56">
        <v>6791</v>
      </c>
      <c r="EQ10" s="56" t="s">
        <v>751</v>
      </c>
      <c r="ER10" s="56" t="s">
        <v>752</v>
      </c>
      <c r="ES10" s="56">
        <v>2</v>
      </c>
      <c r="ET10" s="56" t="s">
        <v>682</v>
      </c>
      <c r="EU10" s="56" t="s">
        <v>683</v>
      </c>
      <c r="EV10" s="56" t="s">
        <v>683</v>
      </c>
      <c r="FD10" s="56" t="s">
        <v>775</v>
      </c>
      <c r="FK10" s="56">
        <v>0</v>
      </c>
    </row>
    <row r="11" spans="1:168" x14ac:dyDescent="0.2">
      <c r="A11" s="56">
        <v>28976</v>
      </c>
      <c r="B11" s="56">
        <v>2</v>
      </c>
      <c r="C11" s="56">
        <v>6352</v>
      </c>
      <c r="D11" s="56" t="s">
        <v>634</v>
      </c>
      <c r="E11" s="56" t="s">
        <v>635</v>
      </c>
      <c r="K11" s="56" t="s">
        <v>776</v>
      </c>
      <c r="L11" s="56" t="s">
        <v>637</v>
      </c>
      <c r="M11" s="56">
        <v>44929</v>
      </c>
      <c r="N11" s="56">
        <v>44931</v>
      </c>
      <c r="O11" s="56">
        <v>38</v>
      </c>
      <c r="P11" s="56" t="s">
        <v>638</v>
      </c>
      <c r="Q11" s="56">
        <v>2</v>
      </c>
      <c r="R11" s="56" t="s">
        <v>639</v>
      </c>
      <c r="S11" s="56" t="s">
        <v>640</v>
      </c>
      <c r="T11" s="56" t="s">
        <v>641</v>
      </c>
      <c r="U11" s="56" t="s">
        <v>735</v>
      </c>
      <c r="V11" s="56" t="s">
        <v>643</v>
      </c>
      <c r="W11" s="56">
        <v>47</v>
      </c>
      <c r="X11" s="56" t="s">
        <v>644</v>
      </c>
      <c r="Y11" s="56">
        <v>98</v>
      </c>
      <c r="Z11" s="56" t="s">
        <v>645</v>
      </c>
      <c r="AA11" s="56" t="s">
        <v>646</v>
      </c>
      <c r="AB11" s="56" t="s">
        <v>647</v>
      </c>
      <c r="AC11" s="56" t="s">
        <v>643</v>
      </c>
      <c r="AD11" s="56" t="s">
        <v>648</v>
      </c>
      <c r="AE11" s="56">
        <v>91</v>
      </c>
      <c r="AF11" s="56" t="s">
        <v>736</v>
      </c>
      <c r="AG11" s="56" t="s">
        <v>737</v>
      </c>
      <c r="AH11" s="56" t="s">
        <v>643</v>
      </c>
      <c r="AI11" s="56" t="s">
        <v>735</v>
      </c>
      <c r="AJ11" s="56">
        <v>139</v>
      </c>
      <c r="AK11" s="56" t="s">
        <v>651</v>
      </c>
      <c r="AL11" s="56">
        <v>91</v>
      </c>
      <c r="AM11" s="56" t="s">
        <v>736</v>
      </c>
      <c r="AN11" s="56" t="s">
        <v>737</v>
      </c>
      <c r="AO11" s="56" t="s">
        <v>738</v>
      </c>
      <c r="AP11" s="56" t="s">
        <v>643</v>
      </c>
      <c r="AQ11" s="56" t="s">
        <v>735</v>
      </c>
      <c r="AR11" s="56">
        <v>98</v>
      </c>
      <c r="AS11" s="56" t="s">
        <v>645</v>
      </c>
      <c r="AT11" s="56" t="s">
        <v>646</v>
      </c>
      <c r="AU11" s="56" t="s">
        <v>643</v>
      </c>
      <c r="AV11" s="56" t="s">
        <v>648</v>
      </c>
      <c r="AW11" s="56">
        <v>122</v>
      </c>
      <c r="AX11" s="56" t="s">
        <v>768</v>
      </c>
      <c r="AY11" s="56">
        <v>69</v>
      </c>
      <c r="AZ11" s="56" t="s">
        <v>26</v>
      </c>
      <c r="BA11" s="56" t="s">
        <v>769</v>
      </c>
      <c r="BB11" s="56" t="s">
        <v>770</v>
      </c>
      <c r="BC11" s="56">
        <v>38</v>
      </c>
      <c r="BD11" s="56" t="s">
        <v>289</v>
      </c>
      <c r="BE11" s="56" t="s">
        <v>771</v>
      </c>
      <c r="BF11" s="56">
        <v>2</v>
      </c>
      <c r="BG11" s="56" t="s">
        <v>289</v>
      </c>
      <c r="BH11" s="56" t="s">
        <v>772</v>
      </c>
      <c r="BI11" s="56">
        <v>25.21</v>
      </c>
      <c r="BJ11" s="56">
        <v>69079.94</v>
      </c>
      <c r="BK11" s="56">
        <v>25.21</v>
      </c>
      <c r="BL11" s="56" t="s">
        <v>659</v>
      </c>
      <c r="BM11" s="56">
        <v>3104</v>
      </c>
      <c r="BN11" s="56" t="s">
        <v>724</v>
      </c>
      <c r="BO11" s="56" t="s">
        <v>773</v>
      </c>
      <c r="BP11" s="56">
        <v>3655.45</v>
      </c>
      <c r="BQ11" s="56">
        <v>3143.9</v>
      </c>
      <c r="BR11" s="56">
        <v>0</v>
      </c>
      <c r="BS11" s="56">
        <v>0</v>
      </c>
      <c r="BT11" s="56">
        <v>0</v>
      </c>
      <c r="BU11" s="56">
        <v>28266</v>
      </c>
      <c r="BV11" s="56">
        <v>98</v>
      </c>
      <c r="BW11" s="56" t="s">
        <v>645</v>
      </c>
      <c r="BX11" s="56" t="s">
        <v>777</v>
      </c>
      <c r="BY11" s="56" t="s">
        <v>663</v>
      </c>
      <c r="BZ11" s="56">
        <v>0.25</v>
      </c>
      <c r="CA11" s="56" t="s">
        <v>664</v>
      </c>
      <c r="CB11" s="56" t="s">
        <v>665</v>
      </c>
      <c r="CD11" s="56" t="s">
        <v>667</v>
      </c>
      <c r="CG11" s="56">
        <v>0</v>
      </c>
      <c r="CH11" s="56">
        <v>145</v>
      </c>
      <c r="CJ11" s="56">
        <v>100</v>
      </c>
      <c r="CK11" s="56">
        <v>3143.9</v>
      </c>
      <c r="CL11" s="56">
        <v>0</v>
      </c>
      <c r="CN11" s="56">
        <v>438.65</v>
      </c>
      <c r="CO11" s="56">
        <v>438.65</v>
      </c>
      <c r="CP11" s="56">
        <v>72.900000000000006</v>
      </c>
      <c r="CQ11" s="56" t="s">
        <v>668</v>
      </c>
      <c r="CR11" s="56">
        <v>0</v>
      </c>
      <c r="CS11" s="56">
        <v>0</v>
      </c>
      <c r="CV11" s="56">
        <v>0</v>
      </c>
      <c r="CX11" s="56">
        <v>0</v>
      </c>
      <c r="CY11" s="56">
        <v>0</v>
      </c>
      <c r="CZ11" s="56">
        <v>290.81</v>
      </c>
      <c r="DA11" s="56">
        <v>290.81</v>
      </c>
      <c r="DB11" s="56">
        <v>0</v>
      </c>
      <c r="DC11" s="56">
        <v>2853.09</v>
      </c>
      <c r="DD11" s="56">
        <v>11.87</v>
      </c>
      <c r="DE11" s="56">
        <v>0</v>
      </c>
      <c r="DF11" s="56">
        <v>11.87</v>
      </c>
      <c r="DH11" s="56" t="s">
        <v>670</v>
      </c>
      <c r="DI11" s="56" t="s">
        <v>671</v>
      </c>
      <c r="DK11" s="56">
        <v>79.72</v>
      </c>
      <c r="DL11" s="56">
        <v>2914.12</v>
      </c>
      <c r="DM11" s="56">
        <v>93</v>
      </c>
      <c r="DN11" s="56" t="s">
        <v>748</v>
      </c>
      <c r="DO11" s="56" t="s">
        <v>236</v>
      </c>
      <c r="DQ11" s="56" t="s">
        <v>674</v>
      </c>
      <c r="DR11" s="56">
        <v>3</v>
      </c>
      <c r="DX11" s="56" t="s">
        <v>678</v>
      </c>
      <c r="DY11" s="56" t="s">
        <v>679</v>
      </c>
      <c r="EL11" s="56">
        <v>25</v>
      </c>
      <c r="EM11" s="56">
        <v>15</v>
      </c>
      <c r="EN11" s="56">
        <v>5173</v>
      </c>
      <c r="EO11" s="56">
        <v>1805</v>
      </c>
      <c r="EP11" s="56">
        <v>6791</v>
      </c>
      <c r="EQ11" s="56" t="s">
        <v>751</v>
      </c>
      <c r="ER11" s="56" t="s">
        <v>752</v>
      </c>
      <c r="ES11" s="56">
        <v>2</v>
      </c>
      <c r="ET11" s="56" t="s">
        <v>682</v>
      </c>
      <c r="EU11" s="56" t="s">
        <v>683</v>
      </c>
      <c r="EV11" s="56" t="s">
        <v>683</v>
      </c>
      <c r="FD11" s="56" t="s">
        <v>778</v>
      </c>
      <c r="FK11" s="56">
        <v>0</v>
      </c>
    </row>
    <row r="12" spans="1:168" x14ac:dyDescent="0.2">
      <c r="A12" s="56">
        <v>28977</v>
      </c>
      <c r="B12" s="56">
        <v>2</v>
      </c>
      <c r="C12" s="56">
        <v>6352</v>
      </c>
      <c r="D12" s="56" t="s">
        <v>634</v>
      </c>
      <c r="E12" s="56" t="s">
        <v>635</v>
      </c>
      <c r="K12" s="56" t="s">
        <v>779</v>
      </c>
      <c r="L12" s="56" t="s">
        <v>637</v>
      </c>
      <c r="M12" s="56">
        <v>44929</v>
      </c>
      <c r="N12" s="56">
        <v>44931</v>
      </c>
      <c r="O12" s="56">
        <v>38</v>
      </c>
      <c r="P12" s="56" t="s">
        <v>638</v>
      </c>
      <c r="Q12" s="56">
        <v>2</v>
      </c>
      <c r="R12" s="56" t="s">
        <v>639</v>
      </c>
      <c r="S12" s="56" t="s">
        <v>640</v>
      </c>
      <c r="T12" s="56" t="s">
        <v>641</v>
      </c>
      <c r="U12" s="56" t="s">
        <v>735</v>
      </c>
      <c r="V12" s="56" t="s">
        <v>643</v>
      </c>
      <c r="W12" s="56">
        <v>47</v>
      </c>
      <c r="X12" s="56" t="s">
        <v>644</v>
      </c>
      <c r="Y12" s="56">
        <v>98</v>
      </c>
      <c r="Z12" s="56" t="s">
        <v>645</v>
      </c>
      <c r="AA12" s="56" t="s">
        <v>646</v>
      </c>
      <c r="AB12" s="56" t="s">
        <v>647</v>
      </c>
      <c r="AC12" s="56" t="s">
        <v>643</v>
      </c>
      <c r="AD12" s="56" t="s">
        <v>648</v>
      </c>
      <c r="AE12" s="56">
        <v>91</v>
      </c>
      <c r="AF12" s="56" t="s">
        <v>736</v>
      </c>
      <c r="AG12" s="56" t="s">
        <v>737</v>
      </c>
      <c r="AH12" s="56" t="s">
        <v>643</v>
      </c>
      <c r="AI12" s="56" t="s">
        <v>735</v>
      </c>
      <c r="AJ12" s="56">
        <v>139</v>
      </c>
      <c r="AK12" s="56" t="s">
        <v>651</v>
      </c>
      <c r="AL12" s="56">
        <v>91</v>
      </c>
      <c r="AM12" s="56" t="s">
        <v>736</v>
      </c>
      <c r="AN12" s="56" t="s">
        <v>737</v>
      </c>
      <c r="AO12" s="56" t="s">
        <v>738</v>
      </c>
      <c r="AP12" s="56" t="s">
        <v>643</v>
      </c>
      <c r="AQ12" s="56" t="s">
        <v>735</v>
      </c>
      <c r="AR12" s="56">
        <v>98</v>
      </c>
      <c r="AS12" s="56" t="s">
        <v>645</v>
      </c>
      <c r="AT12" s="56" t="s">
        <v>646</v>
      </c>
      <c r="AU12" s="56" t="s">
        <v>643</v>
      </c>
      <c r="AV12" s="56" t="s">
        <v>648</v>
      </c>
      <c r="AW12" s="56">
        <v>330</v>
      </c>
      <c r="AX12" s="56" t="s">
        <v>780</v>
      </c>
      <c r="AY12" s="56">
        <v>332</v>
      </c>
      <c r="AZ12" s="56" t="s">
        <v>781</v>
      </c>
      <c r="BA12" s="56" t="s">
        <v>782</v>
      </c>
      <c r="BB12" s="56" t="s">
        <v>783</v>
      </c>
      <c r="BC12" s="56">
        <v>329</v>
      </c>
      <c r="BD12" s="56" t="s">
        <v>784</v>
      </c>
      <c r="BE12" s="56" t="s">
        <v>785</v>
      </c>
      <c r="BF12" s="56">
        <v>329</v>
      </c>
      <c r="BG12" s="56" t="s">
        <v>784</v>
      </c>
      <c r="BH12" s="56" t="s">
        <v>785</v>
      </c>
      <c r="BI12" s="56">
        <v>36.92</v>
      </c>
      <c r="BJ12" s="56">
        <v>101167.45</v>
      </c>
      <c r="BK12" s="56">
        <v>36.92</v>
      </c>
      <c r="BL12" s="56" t="s">
        <v>659</v>
      </c>
      <c r="BM12" s="56">
        <v>3104</v>
      </c>
      <c r="BN12" s="56" t="s">
        <v>786</v>
      </c>
      <c r="BO12" s="56" t="s">
        <v>787</v>
      </c>
      <c r="BP12" s="56">
        <v>5353.4</v>
      </c>
      <c r="BQ12" s="56">
        <v>4654.29</v>
      </c>
      <c r="BR12" s="56">
        <v>0</v>
      </c>
      <c r="BS12" s="56">
        <v>0</v>
      </c>
      <c r="BT12" s="56">
        <v>4004.5</v>
      </c>
      <c r="BU12" s="56">
        <v>28271</v>
      </c>
      <c r="BV12" s="56">
        <v>98</v>
      </c>
      <c r="BW12" s="56" t="s">
        <v>645</v>
      </c>
      <c r="BX12" s="56" t="s">
        <v>788</v>
      </c>
      <c r="BY12" s="56" t="s">
        <v>663</v>
      </c>
      <c r="BZ12" s="56">
        <v>0.25</v>
      </c>
      <c r="CA12" s="56" t="s">
        <v>664</v>
      </c>
      <c r="CB12" s="56" t="s">
        <v>665</v>
      </c>
      <c r="CC12" s="56" t="s">
        <v>789</v>
      </c>
      <c r="CD12" s="56" t="s">
        <v>667</v>
      </c>
      <c r="CF12" s="56">
        <v>3203.6</v>
      </c>
      <c r="CG12" s="56">
        <v>80</v>
      </c>
      <c r="CH12" s="56">
        <v>145</v>
      </c>
      <c r="CI12" s="56">
        <v>110</v>
      </c>
      <c r="CJ12" s="56">
        <v>13.96</v>
      </c>
      <c r="CK12" s="56">
        <v>4654.29</v>
      </c>
      <c r="CL12" s="56">
        <v>4004.5</v>
      </c>
      <c r="CM12" s="56">
        <v>34.57</v>
      </c>
      <c r="CN12" s="56">
        <v>642.41</v>
      </c>
      <c r="CO12" s="56">
        <v>642.41</v>
      </c>
      <c r="CP12" s="56">
        <v>56.7</v>
      </c>
      <c r="CQ12" s="56" t="s">
        <v>668</v>
      </c>
      <c r="CR12" s="56">
        <v>0</v>
      </c>
      <c r="CS12" s="56">
        <v>56.7</v>
      </c>
      <c r="CT12" s="56" t="s">
        <v>669</v>
      </c>
      <c r="CU12" s="56">
        <v>0</v>
      </c>
      <c r="CV12" s="56">
        <v>0</v>
      </c>
      <c r="CX12" s="56">
        <v>630.19000000000005</v>
      </c>
      <c r="CY12" s="56">
        <v>0</v>
      </c>
      <c r="CZ12" s="56">
        <v>147.47</v>
      </c>
      <c r="DA12" s="56">
        <v>430.53</v>
      </c>
      <c r="DB12" s="56">
        <v>283.06</v>
      </c>
      <c r="DC12" s="56">
        <v>4506.82</v>
      </c>
      <c r="DD12" s="56">
        <v>-13.6</v>
      </c>
      <c r="DE12" s="56">
        <v>0</v>
      </c>
      <c r="DF12" s="56">
        <v>17.38</v>
      </c>
      <c r="DG12" s="56">
        <v>50.58</v>
      </c>
      <c r="DH12" s="56" t="s">
        <v>670</v>
      </c>
      <c r="DI12" s="56" t="s">
        <v>671</v>
      </c>
      <c r="DK12" s="56">
        <v>9.64</v>
      </c>
      <c r="DL12" s="56">
        <v>515.91999999999996</v>
      </c>
      <c r="DM12" s="56">
        <v>93</v>
      </c>
      <c r="DN12" s="56" t="s">
        <v>748</v>
      </c>
      <c r="DO12" s="56" t="s">
        <v>236</v>
      </c>
      <c r="DP12" s="56" t="s">
        <v>673</v>
      </c>
      <c r="DQ12" s="56" t="s">
        <v>674</v>
      </c>
      <c r="DR12" s="56">
        <v>2</v>
      </c>
      <c r="DS12" s="56" t="s">
        <v>790</v>
      </c>
      <c r="DT12" s="56" t="s">
        <v>791</v>
      </c>
      <c r="DU12" s="56">
        <v>36</v>
      </c>
      <c r="DV12" s="56" t="s">
        <v>677</v>
      </c>
      <c r="DX12" s="56" t="s">
        <v>709</v>
      </c>
      <c r="DY12" s="56" t="s">
        <v>679</v>
      </c>
      <c r="ED12" s="56">
        <v>2</v>
      </c>
      <c r="EE12" s="56" t="s">
        <v>639</v>
      </c>
      <c r="EF12" s="56">
        <v>2</v>
      </c>
      <c r="EG12" s="56" t="s">
        <v>639</v>
      </c>
      <c r="EH12" s="56">
        <v>2</v>
      </c>
      <c r="EI12" s="56" t="s">
        <v>639</v>
      </c>
      <c r="EJ12" s="56">
        <v>2</v>
      </c>
      <c r="EK12" s="56" t="s">
        <v>639</v>
      </c>
      <c r="EL12" s="56">
        <v>25</v>
      </c>
      <c r="EM12" s="56">
        <v>15</v>
      </c>
      <c r="EN12" s="56">
        <v>5173</v>
      </c>
      <c r="EO12" s="56">
        <v>1805</v>
      </c>
      <c r="EP12" s="56">
        <v>6791</v>
      </c>
      <c r="EQ12" s="56" t="s">
        <v>751</v>
      </c>
      <c r="ER12" s="56" t="s">
        <v>752</v>
      </c>
      <c r="ES12" s="56">
        <v>2</v>
      </c>
      <c r="ET12" s="56" t="s">
        <v>682</v>
      </c>
      <c r="EU12" s="56" t="s">
        <v>683</v>
      </c>
      <c r="EV12" s="56" t="s">
        <v>683</v>
      </c>
      <c r="FD12" s="56" t="s">
        <v>792</v>
      </c>
      <c r="FK12" s="56">
        <v>0</v>
      </c>
    </row>
    <row r="13" spans="1:168" x14ac:dyDescent="0.2">
      <c r="A13" s="56">
        <v>28978</v>
      </c>
      <c r="B13" s="56">
        <v>2</v>
      </c>
      <c r="C13" s="56">
        <v>6352</v>
      </c>
      <c r="D13" s="56" t="s">
        <v>634</v>
      </c>
      <c r="E13" s="56" t="s">
        <v>635</v>
      </c>
      <c r="K13" s="56" t="s">
        <v>793</v>
      </c>
      <c r="L13" s="56" t="s">
        <v>637</v>
      </c>
      <c r="M13" s="56">
        <v>44929</v>
      </c>
      <c r="N13" s="56">
        <v>44931</v>
      </c>
      <c r="O13" s="56">
        <v>38</v>
      </c>
      <c r="P13" s="56" t="s">
        <v>638</v>
      </c>
      <c r="Q13" s="56">
        <v>2</v>
      </c>
      <c r="R13" s="56" t="s">
        <v>639</v>
      </c>
      <c r="S13" s="56" t="s">
        <v>640</v>
      </c>
      <c r="T13" s="56" t="s">
        <v>641</v>
      </c>
      <c r="U13" s="56" t="s">
        <v>642</v>
      </c>
      <c r="V13" s="56" t="s">
        <v>643</v>
      </c>
      <c r="W13" s="56">
        <v>48</v>
      </c>
      <c r="X13" s="56" t="s">
        <v>699</v>
      </c>
      <c r="Y13" s="56">
        <v>98</v>
      </c>
      <c r="Z13" s="56" t="s">
        <v>645</v>
      </c>
      <c r="AA13" s="56" t="s">
        <v>646</v>
      </c>
      <c r="AB13" s="56" t="s">
        <v>647</v>
      </c>
      <c r="AC13" s="56" t="s">
        <v>643</v>
      </c>
      <c r="AD13" s="56" t="s">
        <v>648</v>
      </c>
      <c r="AE13" s="56">
        <v>141</v>
      </c>
      <c r="AF13" s="56" t="s">
        <v>649</v>
      </c>
      <c r="AG13" s="56" t="s">
        <v>650</v>
      </c>
      <c r="AH13" s="56" t="s">
        <v>643</v>
      </c>
      <c r="AI13" s="56" t="s">
        <v>642</v>
      </c>
      <c r="AJ13" s="56">
        <v>139</v>
      </c>
      <c r="AK13" s="56" t="s">
        <v>651</v>
      </c>
      <c r="AL13" s="56">
        <v>141</v>
      </c>
      <c r="AM13" s="56" t="s">
        <v>649</v>
      </c>
      <c r="AN13" s="56" t="s">
        <v>650</v>
      </c>
      <c r="AO13" s="56" t="s">
        <v>652</v>
      </c>
      <c r="AP13" s="56" t="s">
        <v>643</v>
      </c>
      <c r="AQ13" s="56" t="s">
        <v>642</v>
      </c>
      <c r="AR13" s="56">
        <v>98</v>
      </c>
      <c r="AS13" s="56" t="s">
        <v>645</v>
      </c>
      <c r="AT13" s="56" t="s">
        <v>646</v>
      </c>
      <c r="AU13" s="56" t="s">
        <v>643</v>
      </c>
      <c r="AV13" s="56" t="s">
        <v>648</v>
      </c>
      <c r="AW13" s="56">
        <v>1171</v>
      </c>
      <c r="AX13" s="56" t="s">
        <v>794</v>
      </c>
      <c r="AY13" s="56">
        <v>1417</v>
      </c>
      <c r="AZ13" s="56" t="s">
        <v>795</v>
      </c>
      <c r="BA13" s="56" t="s">
        <v>796</v>
      </c>
      <c r="BB13" s="56" t="s">
        <v>797</v>
      </c>
      <c r="BC13" s="56">
        <v>406</v>
      </c>
      <c r="BD13" s="56" t="s">
        <v>798</v>
      </c>
      <c r="BE13" s="56" t="s">
        <v>799</v>
      </c>
      <c r="BF13" s="56">
        <v>406</v>
      </c>
      <c r="BG13" s="56" t="s">
        <v>798</v>
      </c>
      <c r="BH13" s="56" t="s">
        <v>799</v>
      </c>
      <c r="BI13" s="56">
        <v>25.49</v>
      </c>
      <c r="BJ13" s="56">
        <v>69847.19</v>
      </c>
      <c r="BK13" s="56">
        <v>25.49</v>
      </c>
      <c r="BL13" s="56" t="s">
        <v>659</v>
      </c>
      <c r="BM13" s="56">
        <v>3104</v>
      </c>
      <c r="BN13" s="56" t="s">
        <v>660</v>
      </c>
      <c r="BO13" s="56" t="s">
        <v>706</v>
      </c>
      <c r="BP13" s="56">
        <v>4103.8900000000003</v>
      </c>
      <c r="BQ13" s="56">
        <v>3611.42</v>
      </c>
      <c r="BR13" s="56">
        <v>0</v>
      </c>
      <c r="BS13" s="56">
        <v>0</v>
      </c>
      <c r="BT13" s="56">
        <v>0</v>
      </c>
      <c r="BU13" s="56">
        <v>28287</v>
      </c>
      <c r="BV13" s="56">
        <v>98</v>
      </c>
      <c r="BW13" s="56" t="s">
        <v>645</v>
      </c>
      <c r="BX13" s="56" t="s">
        <v>800</v>
      </c>
      <c r="BY13" s="56" t="s">
        <v>663</v>
      </c>
      <c r="BZ13" s="56">
        <v>0.25</v>
      </c>
      <c r="CA13" s="56" t="s">
        <v>664</v>
      </c>
      <c r="CB13" s="56" t="s">
        <v>665</v>
      </c>
      <c r="CD13" s="56" t="s">
        <v>667</v>
      </c>
      <c r="CG13" s="56">
        <v>0</v>
      </c>
      <c r="CH13" s="56">
        <v>161</v>
      </c>
      <c r="CJ13" s="56">
        <v>11.9</v>
      </c>
      <c r="CK13" s="56">
        <v>3574.240644257703</v>
      </c>
      <c r="CL13" s="56">
        <v>3149.0707082833133</v>
      </c>
      <c r="CN13" s="56">
        <v>492.47</v>
      </c>
      <c r="CO13" s="56">
        <v>492.47</v>
      </c>
      <c r="CP13" s="56">
        <v>0</v>
      </c>
      <c r="CQ13" s="56" t="s">
        <v>708</v>
      </c>
      <c r="CR13" s="56">
        <v>0</v>
      </c>
      <c r="CS13" s="56">
        <v>0</v>
      </c>
      <c r="CV13" s="56">
        <v>0</v>
      </c>
      <c r="CX13" s="56">
        <v>409.62</v>
      </c>
      <c r="CY13" s="56">
        <v>0</v>
      </c>
      <c r="CZ13" s="56">
        <v>334.06</v>
      </c>
      <c r="DA13" s="56">
        <v>334.06</v>
      </c>
      <c r="DB13" s="56">
        <v>0</v>
      </c>
      <c r="DC13" s="56">
        <v>3277.36</v>
      </c>
      <c r="DD13" s="56">
        <v>12</v>
      </c>
      <c r="DE13" s="56">
        <v>0</v>
      </c>
      <c r="DF13" s="56">
        <v>12</v>
      </c>
      <c r="DH13" s="56" t="s">
        <v>670</v>
      </c>
      <c r="DI13" s="56" t="s">
        <v>671</v>
      </c>
      <c r="DK13" s="56">
        <v>9.67</v>
      </c>
      <c r="DL13" s="56">
        <v>0</v>
      </c>
      <c r="DM13" s="56">
        <v>52</v>
      </c>
      <c r="DN13" s="56" t="s">
        <v>672</v>
      </c>
      <c r="DO13" s="56" t="s">
        <v>236</v>
      </c>
      <c r="DQ13" s="56" t="s">
        <v>674</v>
      </c>
      <c r="DR13" s="56">
        <v>3</v>
      </c>
      <c r="DW13" s="56">
        <v>385</v>
      </c>
      <c r="DX13" s="56" t="s">
        <v>678</v>
      </c>
      <c r="DY13" s="56" t="s">
        <v>801</v>
      </c>
      <c r="DZ13" s="56" t="s">
        <v>795</v>
      </c>
      <c r="EA13" s="56">
        <v>1171</v>
      </c>
      <c r="EB13" s="56" t="s">
        <v>794</v>
      </c>
      <c r="EC13" s="56">
        <v>44929</v>
      </c>
      <c r="ED13" s="56">
        <v>2</v>
      </c>
      <c r="EE13" s="56" t="s">
        <v>639</v>
      </c>
      <c r="EF13" s="56">
        <v>2</v>
      </c>
      <c r="EG13" s="56" t="s">
        <v>639</v>
      </c>
      <c r="EH13" s="56">
        <v>2</v>
      </c>
      <c r="EI13" s="56" t="s">
        <v>639</v>
      </c>
      <c r="EJ13" s="56">
        <v>2</v>
      </c>
      <c r="EK13" s="56" t="s">
        <v>639</v>
      </c>
      <c r="EL13" s="56">
        <v>25</v>
      </c>
      <c r="EM13" s="56">
        <v>15</v>
      </c>
      <c r="EN13" s="56">
        <v>5173</v>
      </c>
      <c r="EO13" s="56">
        <v>1622</v>
      </c>
      <c r="EP13" s="56">
        <v>6791</v>
      </c>
      <c r="EQ13" s="56" t="s">
        <v>680</v>
      </c>
      <c r="ER13" s="56" t="s">
        <v>681</v>
      </c>
      <c r="ES13" s="56">
        <v>2</v>
      </c>
      <c r="ET13" s="56" t="s">
        <v>682</v>
      </c>
      <c r="EU13" s="56" t="s">
        <v>683</v>
      </c>
      <c r="EV13" s="56" t="s">
        <v>683</v>
      </c>
      <c r="FD13" s="56" t="s">
        <v>802</v>
      </c>
      <c r="FK13" s="56">
        <v>0</v>
      </c>
    </row>
    <row r="14" spans="1:168" x14ac:dyDescent="0.2">
      <c r="A14" s="56">
        <v>28979</v>
      </c>
      <c r="B14" s="56">
        <v>2</v>
      </c>
      <c r="C14" s="56">
        <v>6352</v>
      </c>
      <c r="D14" s="56" t="s">
        <v>634</v>
      </c>
      <c r="E14" s="56" t="s">
        <v>635</v>
      </c>
      <c r="K14" s="56" t="s">
        <v>803</v>
      </c>
      <c r="L14" s="56" t="s">
        <v>637</v>
      </c>
      <c r="M14" s="56">
        <v>44929</v>
      </c>
      <c r="N14" s="56">
        <v>44931</v>
      </c>
      <c r="O14" s="56">
        <v>38</v>
      </c>
      <c r="P14" s="56" t="s">
        <v>638</v>
      </c>
      <c r="Q14" s="56">
        <v>2</v>
      </c>
      <c r="R14" s="56" t="s">
        <v>639</v>
      </c>
      <c r="S14" s="56" t="s">
        <v>640</v>
      </c>
      <c r="T14" s="56" t="s">
        <v>641</v>
      </c>
      <c r="U14" s="56" t="s">
        <v>642</v>
      </c>
      <c r="V14" s="56" t="s">
        <v>643</v>
      </c>
      <c r="W14" s="56">
        <v>48</v>
      </c>
      <c r="X14" s="56" t="s">
        <v>699</v>
      </c>
      <c r="Y14" s="56">
        <v>98</v>
      </c>
      <c r="Z14" s="56" t="s">
        <v>645</v>
      </c>
      <c r="AA14" s="56" t="s">
        <v>646</v>
      </c>
      <c r="AB14" s="56" t="s">
        <v>647</v>
      </c>
      <c r="AC14" s="56" t="s">
        <v>643</v>
      </c>
      <c r="AD14" s="56" t="s">
        <v>648</v>
      </c>
      <c r="AE14" s="56">
        <v>141</v>
      </c>
      <c r="AF14" s="56" t="s">
        <v>649</v>
      </c>
      <c r="AG14" s="56" t="s">
        <v>650</v>
      </c>
      <c r="AH14" s="56" t="s">
        <v>643</v>
      </c>
      <c r="AI14" s="56" t="s">
        <v>642</v>
      </c>
      <c r="AJ14" s="56">
        <v>139</v>
      </c>
      <c r="AK14" s="56" t="s">
        <v>651</v>
      </c>
      <c r="AL14" s="56">
        <v>141</v>
      </c>
      <c r="AM14" s="56" t="s">
        <v>649</v>
      </c>
      <c r="AN14" s="56" t="s">
        <v>650</v>
      </c>
      <c r="AO14" s="56" t="s">
        <v>652</v>
      </c>
      <c r="AP14" s="56" t="s">
        <v>643</v>
      </c>
      <c r="AQ14" s="56" t="s">
        <v>642</v>
      </c>
      <c r="AR14" s="56">
        <v>98</v>
      </c>
      <c r="AS14" s="56" t="s">
        <v>645</v>
      </c>
      <c r="AT14" s="56" t="s">
        <v>646</v>
      </c>
      <c r="AU14" s="56" t="s">
        <v>643</v>
      </c>
      <c r="AV14" s="56" t="s">
        <v>648</v>
      </c>
      <c r="AW14" s="56">
        <v>1171</v>
      </c>
      <c r="AX14" s="56" t="s">
        <v>794</v>
      </c>
      <c r="AY14" s="56">
        <v>1417</v>
      </c>
      <c r="AZ14" s="56" t="s">
        <v>795</v>
      </c>
      <c r="BA14" s="56" t="s">
        <v>796</v>
      </c>
      <c r="BB14" s="56" t="s">
        <v>797</v>
      </c>
      <c r="BC14" s="56">
        <v>406</v>
      </c>
      <c r="BD14" s="56" t="s">
        <v>798</v>
      </c>
      <c r="BE14" s="56" t="s">
        <v>799</v>
      </c>
      <c r="BF14" s="56">
        <v>406</v>
      </c>
      <c r="BG14" s="56" t="s">
        <v>798</v>
      </c>
      <c r="BH14" s="56" t="s">
        <v>799</v>
      </c>
      <c r="BI14" s="56">
        <v>24.49</v>
      </c>
      <c r="BJ14" s="56">
        <v>67107.009999999995</v>
      </c>
      <c r="BK14" s="56">
        <v>24.49</v>
      </c>
      <c r="BL14" s="56" t="s">
        <v>659</v>
      </c>
      <c r="BM14" s="56">
        <v>3104</v>
      </c>
      <c r="BN14" s="56" t="s">
        <v>660</v>
      </c>
      <c r="BO14" s="56" t="s">
        <v>706</v>
      </c>
      <c r="BP14" s="56">
        <v>3942.89</v>
      </c>
      <c r="BQ14" s="56">
        <v>3396.84</v>
      </c>
      <c r="BR14" s="56">
        <v>0</v>
      </c>
      <c r="BS14" s="56">
        <v>0</v>
      </c>
      <c r="BT14" s="56">
        <v>6174.6</v>
      </c>
      <c r="BU14" s="56">
        <v>28288</v>
      </c>
      <c r="BV14" s="56">
        <v>98</v>
      </c>
      <c r="BW14" s="56" t="s">
        <v>645</v>
      </c>
      <c r="BX14" s="56" t="s">
        <v>804</v>
      </c>
      <c r="BY14" s="56" t="s">
        <v>663</v>
      </c>
      <c r="BZ14" s="56">
        <v>0.25</v>
      </c>
      <c r="CA14" s="56" t="s">
        <v>664</v>
      </c>
      <c r="CB14" s="56" t="s">
        <v>665</v>
      </c>
      <c r="CC14" s="56" t="s">
        <v>666</v>
      </c>
      <c r="CD14" s="56" t="s">
        <v>667</v>
      </c>
      <c r="CF14" s="56">
        <v>4939.68</v>
      </c>
      <c r="CG14" s="56">
        <v>80</v>
      </c>
      <c r="CH14" s="56">
        <v>161</v>
      </c>
      <c r="CI14" s="56">
        <v>125</v>
      </c>
      <c r="CJ14" s="56">
        <v>11.9</v>
      </c>
      <c r="CK14" s="56">
        <v>3434.0193557422967</v>
      </c>
      <c r="CL14" s="56">
        <v>3025.5292917166867</v>
      </c>
      <c r="CM14" s="56">
        <v>8.5500000000000007</v>
      </c>
      <c r="CN14" s="56">
        <v>473.15</v>
      </c>
      <c r="CO14" s="56">
        <v>473.15</v>
      </c>
      <c r="CP14" s="56">
        <v>72.900000000000006</v>
      </c>
      <c r="CQ14" s="56" t="s">
        <v>668</v>
      </c>
      <c r="CR14" s="56">
        <v>0</v>
      </c>
      <c r="CS14" s="56">
        <v>72.900000000000006</v>
      </c>
      <c r="CT14" s="56" t="s">
        <v>669</v>
      </c>
      <c r="CU14" s="56">
        <v>0</v>
      </c>
      <c r="CV14" s="56">
        <v>0</v>
      </c>
      <c r="CX14" s="56">
        <v>393.55</v>
      </c>
      <c r="CY14" s="56">
        <v>0</v>
      </c>
      <c r="CZ14" s="56">
        <v>-263.68</v>
      </c>
      <c r="DA14" s="56">
        <v>314.20999999999998</v>
      </c>
      <c r="DB14" s="56">
        <v>577.89</v>
      </c>
      <c r="DC14" s="56">
        <v>3660.52</v>
      </c>
      <c r="DD14" s="56">
        <v>-26.46</v>
      </c>
      <c r="DE14" s="56">
        <v>0</v>
      </c>
      <c r="DF14" s="56">
        <v>11.53</v>
      </c>
      <c r="DG14" s="56">
        <v>68.48</v>
      </c>
      <c r="DH14" s="56" t="s">
        <v>670</v>
      </c>
      <c r="DI14" s="56" t="s">
        <v>671</v>
      </c>
      <c r="DK14" s="56">
        <v>9.67</v>
      </c>
      <c r="DL14" s="56">
        <v>777.74</v>
      </c>
      <c r="DM14" s="56">
        <v>52</v>
      </c>
      <c r="DN14" s="56" t="s">
        <v>672</v>
      </c>
      <c r="DO14" s="56" t="s">
        <v>236</v>
      </c>
      <c r="DP14" s="56" t="s">
        <v>673</v>
      </c>
      <c r="DQ14" s="56" t="s">
        <v>674</v>
      </c>
      <c r="DR14" s="56">
        <v>3</v>
      </c>
      <c r="DS14" s="56" t="s">
        <v>805</v>
      </c>
      <c r="DT14" s="56" t="s">
        <v>806</v>
      </c>
      <c r="DU14" s="56">
        <v>36</v>
      </c>
      <c r="DV14" s="56" t="s">
        <v>677</v>
      </c>
      <c r="DW14" s="56">
        <v>385</v>
      </c>
      <c r="DX14" s="56" t="s">
        <v>678</v>
      </c>
      <c r="DY14" s="56" t="s">
        <v>801</v>
      </c>
      <c r="DZ14" s="56" t="s">
        <v>795</v>
      </c>
      <c r="EA14" s="56">
        <v>1171</v>
      </c>
      <c r="EB14" s="56" t="s">
        <v>794</v>
      </c>
      <c r="EC14" s="56">
        <v>44929</v>
      </c>
      <c r="ED14" s="56">
        <v>2</v>
      </c>
      <c r="EE14" s="56" t="s">
        <v>639</v>
      </c>
      <c r="EF14" s="56">
        <v>2</v>
      </c>
      <c r="EG14" s="56" t="s">
        <v>639</v>
      </c>
      <c r="EH14" s="56">
        <v>2</v>
      </c>
      <c r="EI14" s="56" t="s">
        <v>639</v>
      </c>
      <c r="EJ14" s="56">
        <v>2</v>
      </c>
      <c r="EK14" s="56" t="s">
        <v>639</v>
      </c>
      <c r="EL14" s="56">
        <v>25</v>
      </c>
      <c r="EM14" s="56">
        <v>15</v>
      </c>
      <c r="EN14" s="56">
        <v>5173</v>
      </c>
      <c r="EO14" s="56">
        <v>1622</v>
      </c>
      <c r="EP14" s="56">
        <v>6791</v>
      </c>
      <c r="EQ14" s="56" t="s">
        <v>680</v>
      </c>
      <c r="ER14" s="56" t="s">
        <v>681</v>
      </c>
      <c r="ES14" s="56">
        <v>2</v>
      </c>
      <c r="ET14" s="56" t="s">
        <v>682</v>
      </c>
      <c r="EU14" s="56" t="s">
        <v>683</v>
      </c>
      <c r="EV14" s="56" t="s">
        <v>683</v>
      </c>
      <c r="FD14" s="56" t="s">
        <v>807</v>
      </c>
      <c r="FK14" s="56">
        <v>0</v>
      </c>
    </row>
    <row r="15" spans="1:168" x14ac:dyDescent="0.2">
      <c r="A15" s="56">
        <v>29709</v>
      </c>
      <c r="B15" s="56">
        <v>1</v>
      </c>
      <c r="C15" s="56">
        <v>6351</v>
      </c>
      <c r="D15" s="56" t="s">
        <v>634</v>
      </c>
      <c r="E15" s="56" t="s">
        <v>635</v>
      </c>
      <c r="K15" s="56" t="s">
        <v>808</v>
      </c>
      <c r="L15" s="56" t="s">
        <v>637</v>
      </c>
      <c r="M15" s="56">
        <v>44929</v>
      </c>
      <c r="N15" s="56">
        <v>44931</v>
      </c>
      <c r="O15" s="56">
        <v>2</v>
      </c>
      <c r="P15" s="56" t="s">
        <v>682</v>
      </c>
      <c r="Q15" s="56">
        <v>1</v>
      </c>
      <c r="R15" s="56" t="s">
        <v>809</v>
      </c>
      <c r="S15" s="56" t="s">
        <v>810</v>
      </c>
      <c r="T15" s="56" t="s">
        <v>643</v>
      </c>
      <c r="U15" s="56" t="s">
        <v>640</v>
      </c>
      <c r="V15" s="56" t="s">
        <v>641</v>
      </c>
      <c r="W15" s="56">
        <v>46</v>
      </c>
      <c r="X15" s="56" t="s">
        <v>811</v>
      </c>
      <c r="Y15" s="56">
        <v>465</v>
      </c>
      <c r="Z15" s="56" t="s">
        <v>812</v>
      </c>
      <c r="AA15" s="56" t="s">
        <v>813</v>
      </c>
      <c r="AB15" s="56" t="s">
        <v>814</v>
      </c>
      <c r="AC15" s="56" t="s">
        <v>643</v>
      </c>
      <c r="AD15" s="56" t="s">
        <v>815</v>
      </c>
      <c r="AE15" s="56">
        <v>255</v>
      </c>
      <c r="AF15" s="56" t="s">
        <v>816</v>
      </c>
      <c r="AG15" s="56" t="s">
        <v>817</v>
      </c>
      <c r="AH15" s="56" t="s">
        <v>641</v>
      </c>
      <c r="AI15" s="56" t="s">
        <v>640</v>
      </c>
      <c r="AJ15" s="56">
        <v>1169</v>
      </c>
      <c r="AK15" s="56" t="s">
        <v>818</v>
      </c>
      <c r="AL15" s="56">
        <v>985</v>
      </c>
      <c r="AM15" s="56" t="s">
        <v>819</v>
      </c>
      <c r="AN15" s="56" t="s">
        <v>820</v>
      </c>
      <c r="AO15" s="56" t="s">
        <v>821</v>
      </c>
      <c r="AP15" s="56" t="s">
        <v>641</v>
      </c>
      <c r="AQ15" s="56" t="s">
        <v>822</v>
      </c>
      <c r="AR15" s="56">
        <v>1168</v>
      </c>
      <c r="AS15" s="56" t="s">
        <v>823</v>
      </c>
      <c r="AT15" s="56" t="s">
        <v>824</v>
      </c>
      <c r="AU15" s="56" t="s">
        <v>643</v>
      </c>
      <c r="AV15" s="56" t="s">
        <v>825</v>
      </c>
      <c r="AW15" s="56">
        <v>109</v>
      </c>
      <c r="AX15" s="56" t="s">
        <v>826</v>
      </c>
      <c r="AY15" s="56">
        <v>20</v>
      </c>
      <c r="AZ15" s="56" t="s">
        <v>30</v>
      </c>
      <c r="BA15" s="56" t="s">
        <v>827</v>
      </c>
      <c r="BB15" s="56" t="s">
        <v>770</v>
      </c>
      <c r="BC15" s="56">
        <v>38</v>
      </c>
      <c r="BD15" s="56" t="s">
        <v>289</v>
      </c>
      <c r="BE15" s="56" t="s">
        <v>771</v>
      </c>
      <c r="BF15" s="56">
        <v>2</v>
      </c>
      <c r="BG15" s="56" t="s">
        <v>289</v>
      </c>
      <c r="BH15" s="56" t="s">
        <v>772</v>
      </c>
      <c r="BI15" s="56">
        <v>47.55</v>
      </c>
      <c r="BJ15" s="56">
        <v>74098.75</v>
      </c>
      <c r="BK15" s="56">
        <v>47550</v>
      </c>
      <c r="BL15" s="56" t="s">
        <v>828</v>
      </c>
      <c r="BM15" s="56">
        <v>1005</v>
      </c>
      <c r="BN15" s="56" t="s">
        <v>724</v>
      </c>
      <c r="BO15" s="56" t="s">
        <v>725</v>
      </c>
      <c r="BP15" s="56">
        <v>8258.89</v>
      </c>
      <c r="BQ15" s="56">
        <v>7903.39</v>
      </c>
      <c r="BR15" s="56">
        <v>0</v>
      </c>
      <c r="BS15" s="56">
        <v>0</v>
      </c>
      <c r="BT15" s="56">
        <v>0</v>
      </c>
      <c r="BU15" s="56">
        <v>43259</v>
      </c>
      <c r="BV15" s="56">
        <v>1168</v>
      </c>
      <c r="BW15" s="56" t="s">
        <v>823</v>
      </c>
      <c r="BX15" s="56" t="s">
        <v>829</v>
      </c>
      <c r="BY15" s="56" t="s">
        <v>663</v>
      </c>
      <c r="BZ15" s="56">
        <v>0.25</v>
      </c>
      <c r="CA15" s="56" t="s">
        <v>664</v>
      </c>
      <c r="CB15" s="56" t="s">
        <v>830</v>
      </c>
      <c r="CD15" s="56" t="s">
        <v>667</v>
      </c>
      <c r="CG15" s="56">
        <v>0</v>
      </c>
      <c r="CH15" s="56">
        <v>8258.89</v>
      </c>
      <c r="CJ15" s="56">
        <v>100</v>
      </c>
      <c r="CK15" s="56">
        <v>7903.39</v>
      </c>
      <c r="CL15" s="56">
        <v>0</v>
      </c>
      <c r="CN15" s="56">
        <v>0</v>
      </c>
      <c r="CO15" s="56">
        <v>0</v>
      </c>
      <c r="CP15" s="56">
        <v>355.5</v>
      </c>
      <c r="CQ15" s="56" t="s">
        <v>668</v>
      </c>
      <c r="CR15" s="56">
        <v>0</v>
      </c>
      <c r="CS15" s="56">
        <v>0</v>
      </c>
      <c r="CV15" s="56">
        <v>0</v>
      </c>
      <c r="CX15" s="56">
        <v>0</v>
      </c>
      <c r="CY15" s="56">
        <v>0</v>
      </c>
      <c r="CZ15" s="56">
        <v>731.07</v>
      </c>
      <c r="DA15" s="56">
        <v>731.07</v>
      </c>
      <c r="DB15" s="56">
        <v>0</v>
      </c>
      <c r="DC15" s="56">
        <v>7172.32</v>
      </c>
      <c r="DD15" s="56">
        <v>0</v>
      </c>
      <c r="DE15" s="56">
        <v>0</v>
      </c>
      <c r="DF15" s="56">
        <v>0</v>
      </c>
      <c r="DH15" s="56" t="s">
        <v>831</v>
      </c>
      <c r="DI15" s="56" t="s">
        <v>671</v>
      </c>
      <c r="DK15" s="56">
        <v>91.15</v>
      </c>
      <c r="DL15" s="56">
        <v>7527.82</v>
      </c>
      <c r="DO15" s="56" t="s">
        <v>236</v>
      </c>
      <c r="DQ15" s="56" t="s">
        <v>674</v>
      </c>
      <c r="DR15" s="56">
        <v>3</v>
      </c>
      <c r="DX15" s="56" t="s">
        <v>678</v>
      </c>
      <c r="DY15" s="56" t="s">
        <v>679</v>
      </c>
      <c r="EL15" s="56">
        <v>15</v>
      </c>
      <c r="EM15" s="56">
        <v>25</v>
      </c>
      <c r="EN15" s="56">
        <v>2331</v>
      </c>
      <c r="EO15" s="56">
        <v>5173</v>
      </c>
      <c r="EP15" s="56">
        <v>6062</v>
      </c>
      <c r="EQ15" s="56" t="s">
        <v>832</v>
      </c>
      <c r="ER15" s="56" t="s">
        <v>833</v>
      </c>
      <c r="ES15" s="56">
        <v>2</v>
      </c>
      <c r="ET15" s="56" t="s">
        <v>682</v>
      </c>
      <c r="EU15" s="56" t="s">
        <v>683</v>
      </c>
      <c r="EV15" s="56" t="s">
        <v>683</v>
      </c>
      <c r="FD15" s="56" t="s">
        <v>834</v>
      </c>
      <c r="FK15" s="56">
        <v>0</v>
      </c>
    </row>
    <row r="16" spans="1:168" x14ac:dyDescent="0.2">
      <c r="A16" s="56">
        <v>29710</v>
      </c>
      <c r="B16" s="56">
        <v>1</v>
      </c>
      <c r="C16" s="56">
        <v>6351</v>
      </c>
      <c r="D16" s="56" t="s">
        <v>634</v>
      </c>
      <c r="E16" s="56" t="s">
        <v>635</v>
      </c>
      <c r="K16" s="56" t="s">
        <v>835</v>
      </c>
      <c r="L16" s="56" t="s">
        <v>637</v>
      </c>
      <c r="M16" s="56">
        <v>44929</v>
      </c>
      <c r="N16" s="56">
        <v>44931</v>
      </c>
      <c r="O16" s="56">
        <v>2</v>
      </c>
      <c r="P16" s="56" t="s">
        <v>682</v>
      </c>
      <c r="Q16" s="56">
        <v>1</v>
      </c>
      <c r="R16" s="56" t="s">
        <v>809</v>
      </c>
      <c r="S16" s="56" t="s">
        <v>810</v>
      </c>
      <c r="T16" s="56" t="s">
        <v>643</v>
      </c>
      <c r="U16" s="56" t="s">
        <v>640</v>
      </c>
      <c r="V16" s="56" t="s">
        <v>641</v>
      </c>
      <c r="W16" s="56">
        <v>46</v>
      </c>
      <c r="X16" s="56" t="s">
        <v>811</v>
      </c>
      <c r="Y16" s="56">
        <v>465</v>
      </c>
      <c r="Z16" s="56" t="s">
        <v>812</v>
      </c>
      <c r="AA16" s="56" t="s">
        <v>813</v>
      </c>
      <c r="AB16" s="56" t="s">
        <v>814</v>
      </c>
      <c r="AC16" s="56" t="s">
        <v>643</v>
      </c>
      <c r="AD16" s="56" t="s">
        <v>815</v>
      </c>
      <c r="AE16" s="56">
        <v>255</v>
      </c>
      <c r="AF16" s="56" t="s">
        <v>816</v>
      </c>
      <c r="AG16" s="56" t="s">
        <v>817</v>
      </c>
      <c r="AH16" s="56" t="s">
        <v>641</v>
      </c>
      <c r="AI16" s="56" t="s">
        <v>640</v>
      </c>
      <c r="AJ16" s="56">
        <v>1169</v>
      </c>
      <c r="AK16" s="56" t="s">
        <v>818</v>
      </c>
      <c r="AL16" s="56">
        <v>985</v>
      </c>
      <c r="AM16" s="56" t="s">
        <v>819</v>
      </c>
      <c r="AN16" s="56" t="s">
        <v>820</v>
      </c>
      <c r="AO16" s="56" t="s">
        <v>821</v>
      </c>
      <c r="AP16" s="56" t="s">
        <v>641</v>
      </c>
      <c r="AQ16" s="56" t="s">
        <v>822</v>
      </c>
      <c r="AR16" s="56">
        <v>1168</v>
      </c>
      <c r="AS16" s="56" t="s">
        <v>823</v>
      </c>
      <c r="AT16" s="56" t="s">
        <v>824</v>
      </c>
      <c r="AU16" s="56" t="s">
        <v>643</v>
      </c>
      <c r="AV16" s="56" t="s">
        <v>825</v>
      </c>
      <c r="AW16" s="56">
        <v>120</v>
      </c>
      <c r="AX16" s="56" t="s">
        <v>836</v>
      </c>
      <c r="AY16" s="56">
        <v>7</v>
      </c>
      <c r="AZ16" s="56" t="s">
        <v>128</v>
      </c>
      <c r="BA16" s="56" t="s">
        <v>837</v>
      </c>
      <c r="BB16" s="56" t="s">
        <v>770</v>
      </c>
      <c r="BC16" s="56">
        <v>38</v>
      </c>
      <c r="BD16" s="56" t="s">
        <v>289</v>
      </c>
      <c r="BE16" s="56" t="s">
        <v>771</v>
      </c>
      <c r="BF16" s="56">
        <v>2</v>
      </c>
      <c r="BG16" s="56" t="s">
        <v>289</v>
      </c>
      <c r="BH16" s="56" t="s">
        <v>772</v>
      </c>
      <c r="BI16" s="56">
        <v>47.59</v>
      </c>
      <c r="BJ16" s="56">
        <v>74161.08</v>
      </c>
      <c r="BK16" s="56">
        <v>95180</v>
      </c>
      <c r="BL16" s="56" t="s">
        <v>828</v>
      </c>
      <c r="BM16" s="56">
        <v>1005</v>
      </c>
      <c r="BN16" s="56" t="s">
        <v>724</v>
      </c>
      <c r="BO16" s="56" t="s">
        <v>725</v>
      </c>
      <c r="BP16" s="56">
        <v>8265.84</v>
      </c>
      <c r="BQ16" s="56">
        <v>7910.34</v>
      </c>
      <c r="BR16" s="56">
        <v>0</v>
      </c>
      <c r="BS16" s="56">
        <v>0</v>
      </c>
      <c r="BT16" s="56">
        <v>0</v>
      </c>
      <c r="BU16" s="56" t="s">
        <v>838</v>
      </c>
      <c r="BV16" s="56">
        <v>1168</v>
      </c>
      <c r="BW16" s="56" t="s">
        <v>823</v>
      </c>
      <c r="BX16" s="56" t="s">
        <v>839</v>
      </c>
      <c r="BY16" s="56" t="s">
        <v>663</v>
      </c>
      <c r="BZ16" s="56">
        <v>0.25</v>
      </c>
      <c r="CA16" s="56" t="s">
        <v>664</v>
      </c>
      <c r="CB16" s="56" t="s">
        <v>830</v>
      </c>
      <c r="CD16" s="56" t="s">
        <v>667</v>
      </c>
      <c r="CG16" s="56">
        <v>0</v>
      </c>
      <c r="CH16" s="56">
        <v>8265.84</v>
      </c>
      <c r="CJ16" s="56">
        <v>100</v>
      </c>
      <c r="CK16" s="56">
        <v>7910.34</v>
      </c>
      <c r="CL16" s="56">
        <v>0</v>
      </c>
      <c r="CN16" s="56">
        <v>0</v>
      </c>
      <c r="CO16" s="56">
        <v>0</v>
      </c>
      <c r="CP16" s="56">
        <v>355.5</v>
      </c>
      <c r="CQ16" s="56" t="s">
        <v>668</v>
      </c>
      <c r="CR16" s="56">
        <v>0</v>
      </c>
      <c r="CS16" s="56">
        <v>0</v>
      </c>
      <c r="CV16" s="56">
        <v>0</v>
      </c>
      <c r="CX16" s="56">
        <v>0</v>
      </c>
      <c r="CY16" s="56">
        <v>0</v>
      </c>
      <c r="CZ16" s="56">
        <v>731.71</v>
      </c>
      <c r="DA16" s="56">
        <v>731.71</v>
      </c>
      <c r="DB16" s="56">
        <v>0</v>
      </c>
      <c r="DC16" s="56">
        <v>7178.63</v>
      </c>
      <c r="DD16" s="56">
        <v>0</v>
      </c>
      <c r="DE16" s="56">
        <v>0</v>
      </c>
      <c r="DF16" s="56">
        <v>0</v>
      </c>
      <c r="DH16" s="56" t="s">
        <v>831</v>
      </c>
      <c r="DI16" s="56" t="s">
        <v>671</v>
      </c>
      <c r="DK16" s="56">
        <v>91.15</v>
      </c>
      <c r="DL16" s="56">
        <v>7534.13</v>
      </c>
      <c r="DO16" s="56" t="s">
        <v>236</v>
      </c>
      <c r="DQ16" s="56" t="s">
        <v>674</v>
      </c>
      <c r="DR16" s="56">
        <v>3</v>
      </c>
      <c r="DX16" s="56" t="s">
        <v>678</v>
      </c>
      <c r="DY16" s="56" t="s">
        <v>679</v>
      </c>
      <c r="EL16" s="56">
        <v>15</v>
      </c>
      <c r="EM16" s="56">
        <v>25</v>
      </c>
      <c r="EN16" s="56">
        <v>2331</v>
      </c>
      <c r="EO16" s="56">
        <v>5173</v>
      </c>
      <c r="EP16" s="56">
        <v>6062</v>
      </c>
      <c r="EQ16" s="56" t="s">
        <v>832</v>
      </c>
      <c r="ER16" s="56" t="s">
        <v>833</v>
      </c>
      <c r="ES16" s="56">
        <v>2</v>
      </c>
      <c r="ET16" s="56" t="s">
        <v>682</v>
      </c>
      <c r="EU16" s="56" t="s">
        <v>683</v>
      </c>
      <c r="EV16" s="56" t="s">
        <v>683</v>
      </c>
      <c r="FD16" s="56" t="s">
        <v>840</v>
      </c>
      <c r="FK16" s="56">
        <v>0</v>
      </c>
    </row>
    <row r="17" spans="1:167" x14ac:dyDescent="0.2">
      <c r="A17" s="56">
        <v>29711</v>
      </c>
      <c r="B17" s="56">
        <v>1</v>
      </c>
      <c r="C17" s="56">
        <v>6351</v>
      </c>
      <c r="D17" s="56" t="s">
        <v>634</v>
      </c>
      <c r="E17" s="56" t="s">
        <v>635</v>
      </c>
      <c r="K17" s="56" t="s">
        <v>841</v>
      </c>
      <c r="L17" s="56" t="s">
        <v>637</v>
      </c>
      <c r="M17" s="56">
        <v>44929</v>
      </c>
      <c r="N17" s="56">
        <v>44931</v>
      </c>
      <c r="O17" s="56">
        <v>2</v>
      </c>
      <c r="P17" s="56" t="s">
        <v>682</v>
      </c>
      <c r="Q17" s="56">
        <v>1</v>
      </c>
      <c r="R17" s="56" t="s">
        <v>809</v>
      </c>
      <c r="S17" s="56" t="s">
        <v>810</v>
      </c>
      <c r="T17" s="56" t="s">
        <v>643</v>
      </c>
      <c r="U17" s="56" t="s">
        <v>640</v>
      </c>
      <c r="V17" s="56" t="s">
        <v>641</v>
      </c>
      <c r="W17" s="56">
        <v>46</v>
      </c>
      <c r="X17" s="56" t="s">
        <v>811</v>
      </c>
      <c r="Y17" s="56">
        <v>465</v>
      </c>
      <c r="Z17" s="56" t="s">
        <v>812</v>
      </c>
      <c r="AA17" s="56" t="s">
        <v>813</v>
      </c>
      <c r="AB17" s="56" t="s">
        <v>814</v>
      </c>
      <c r="AC17" s="56" t="s">
        <v>643</v>
      </c>
      <c r="AD17" s="56" t="s">
        <v>815</v>
      </c>
      <c r="AE17" s="56">
        <v>255</v>
      </c>
      <c r="AF17" s="56" t="s">
        <v>816</v>
      </c>
      <c r="AG17" s="56" t="s">
        <v>817</v>
      </c>
      <c r="AH17" s="56" t="s">
        <v>641</v>
      </c>
      <c r="AI17" s="56" t="s">
        <v>640</v>
      </c>
      <c r="AJ17" s="56">
        <v>1169</v>
      </c>
      <c r="AK17" s="56" t="s">
        <v>818</v>
      </c>
      <c r="AL17" s="56">
        <v>985</v>
      </c>
      <c r="AM17" s="56" t="s">
        <v>819</v>
      </c>
      <c r="AN17" s="56" t="s">
        <v>820</v>
      </c>
      <c r="AO17" s="56" t="s">
        <v>821</v>
      </c>
      <c r="AP17" s="56" t="s">
        <v>641</v>
      </c>
      <c r="AQ17" s="56" t="s">
        <v>822</v>
      </c>
      <c r="AR17" s="56">
        <v>1168</v>
      </c>
      <c r="AS17" s="56" t="s">
        <v>823</v>
      </c>
      <c r="AT17" s="56" t="s">
        <v>824</v>
      </c>
      <c r="AU17" s="56" t="s">
        <v>643</v>
      </c>
      <c r="AV17" s="56" t="s">
        <v>825</v>
      </c>
      <c r="AW17" s="56">
        <v>112</v>
      </c>
      <c r="AX17" s="56" t="s">
        <v>842</v>
      </c>
      <c r="AY17" s="56">
        <v>16</v>
      </c>
      <c r="AZ17" s="56" t="s">
        <v>24</v>
      </c>
      <c r="BA17" s="56" t="s">
        <v>843</v>
      </c>
      <c r="BB17" s="56" t="s">
        <v>844</v>
      </c>
      <c r="BC17" s="56">
        <v>2</v>
      </c>
      <c r="BD17" s="56" t="s">
        <v>289</v>
      </c>
      <c r="BE17" s="56" t="s">
        <v>772</v>
      </c>
      <c r="BF17" s="56">
        <v>2</v>
      </c>
      <c r="BG17" s="56" t="s">
        <v>289</v>
      </c>
      <c r="BH17" s="56" t="s">
        <v>772</v>
      </c>
      <c r="BI17" s="56">
        <v>48.04</v>
      </c>
      <c r="BJ17" s="56">
        <v>74862.33</v>
      </c>
      <c r="BK17" s="56">
        <v>48040</v>
      </c>
      <c r="BL17" s="56" t="s">
        <v>828</v>
      </c>
      <c r="BM17" s="56">
        <v>1005</v>
      </c>
      <c r="BN17" s="56" t="s">
        <v>660</v>
      </c>
      <c r="BO17" s="56" t="s">
        <v>706</v>
      </c>
      <c r="BP17" s="56">
        <v>8344.1</v>
      </c>
      <c r="BQ17" s="56">
        <v>7988.6</v>
      </c>
      <c r="BR17" s="56">
        <v>0</v>
      </c>
      <c r="BS17" s="56">
        <v>0</v>
      </c>
      <c r="BT17" s="56">
        <v>0</v>
      </c>
      <c r="BU17" s="56">
        <v>43218</v>
      </c>
      <c r="BV17" s="56">
        <v>1168</v>
      </c>
      <c r="BW17" s="56" t="s">
        <v>823</v>
      </c>
      <c r="BX17" s="56" t="s">
        <v>845</v>
      </c>
      <c r="BY17" s="56" t="s">
        <v>663</v>
      </c>
      <c r="BZ17" s="56">
        <v>0.25</v>
      </c>
      <c r="CA17" s="56" t="s">
        <v>664</v>
      </c>
      <c r="CB17" s="56" t="s">
        <v>830</v>
      </c>
      <c r="CD17" s="56" t="s">
        <v>667</v>
      </c>
      <c r="CG17" s="56">
        <v>0</v>
      </c>
      <c r="CH17" s="56">
        <v>8344.1</v>
      </c>
      <c r="CJ17" s="56">
        <v>100</v>
      </c>
      <c r="CK17" s="56">
        <v>7988.6</v>
      </c>
      <c r="CL17" s="56">
        <v>0</v>
      </c>
      <c r="CN17" s="56">
        <v>0</v>
      </c>
      <c r="CO17" s="56">
        <v>0</v>
      </c>
      <c r="CP17" s="56">
        <v>355.5</v>
      </c>
      <c r="CQ17" s="56" t="s">
        <v>668</v>
      </c>
      <c r="CR17" s="56">
        <v>0</v>
      </c>
      <c r="CS17" s="56">
        <v>0</v>
      </c>
      <c r="CV17" s="56">
        <v>0</v>
      </c>
      <c r="CX17" s="56">
        <v>0</v>
      </c>
      <c r="CY17" s="56">
        <v>0</v>
      </c>
      <c r="CZ17" s="56">
        <v>738.94</v>
      </c>
      <c r="DA17" s="56">
        <v>738.94</v>
      </c>
      <c r="DB17" s="56">
        <v>0</v>
      </c>
      <c r="DC17" s="56">
        <v>7249.66</v>
      </c>
      <c r="DD17" s="56">
        <v>0</v>
      </c>
      <c r="DE17" s="56">
        <v>0</v>
      </c>
      <c r="DF17" s="56">
        <v>0</v>
      </c>
      <c r="DH17" s="56" t="s">
        <v>831</v>
      </c>
      <c r="DI17" s="56" t="s">
        <v>671</v>
      </c>
      <c r="DK17" s="56">
        <v>91.14</v>
      </c>
      <c r="DL17" s="56">
        <v>7605.16</v>
      </c>
      <c r="DO17" s="56" t="s">
        <v>236</v>
      </c>
      <c r="DQ17" s="56" t="s">
        <v>674</v>
      </c>
      <c r="DR17" s="56">
        <v>3</v>
      </c>
      <c r="DX17" s="56" t="s">
        <v>678</v>
      </c>
      <c r="DY17" s="56" t="s">
        <v>679</v>
      </c>
      <c r="EL17" s="56">
        <v>15</v>
      </c>
      <c r="EM17" s="56">
        <v>25</v>
      </c>
      <c r="EN17" s="56">
        <v>2331</v>
      </c>
      <c r="EO17" s="56">
        <v>5173</v>
      </c>
      <c r="EP17" s="56">
        <v>6062</v>
      </c>
      <c r="EQ17" s="56" t="s">
        <v>832</v>
      </c>
      <c r="ER17" s="56" t="s">
        <v>833</v>
      </c>
      <c r="ES17" s="56">
        <v>2</v>
      </c>
      <c r="ET17" s="56" t="s">
        <v>682</v>
      </c>
      <c r="EU17" s="56" t="s">
        <v>683</v>
      </c>
      <c r="EV17" s="56" t="s">
        <v>683</v>
      </c>
      <c r="FD17" s="56" t="s">
        <v>846</v>
      </c>
      <c r="FK17" s="56">
        <v>0</v>
      </c>
    </row>
    <row r="18" spans="1:167" x14ac:dyDescent="0.2">
      <c r="A18" s="56">
        <v>29712</v>
      </c>
      <c r="B18" s="56">
        <v>1</v>
      </c>
      <c r="C18" s="56">
        <v>6351</v>
      </c>
      <c r="D18" s="56" t="s">
        <v>634</v>
      </c>
      <c r="E18" s="56" t="s">
        <v>635</v>
      </c>
      <c r="K18" s="56" t="s">
        <v>847</v>
      </c>
      <c r="L18" s="56" t="s">
        <v>637</v>
      </c>
      <c r="M18" s="56">
        <v>44929</v>
      </c>
      <c r="N18" s="56">
        <v>44931</v>
      </c>
      <c r="O18" s="56">
        <v>2</v>
      </c>
      <c r="P18" s="56" t="s">
        <v>682</v>
      </c>
      <c r="Q18" s="56">
        <v>1</v>
      </c>
      <c r="R18" s="56" t="s">
        <v>809</v>
      </c>
      <c r="S18" s="56" t="s">
        <v>810</v>
      </c>
      <c r="T18" s="56" t="s">
        <v>643</v>
      </c>
      <c r="U18" s="56" t="s">
        <v>640</v>
      </c>
      <c r="V18" s="56" t="s">
        <v>641</v>
      </c>
      <c r="W18" s="56">
        <v>46</v>
      </c>
      <c r="X18" s="56" t="s">
        <v>811</v>
      </c>
      <c r="Y18" s="56">
        <v>465</v>
      </c>
      <c r="Z18" s="56" t="s">
        <v>812</v>
      </c>
      <c r="AA18" s="56" t="s">
        <v>813</v>
      </c>
      <c r="AB18" s="56" t="s">
        <v>814</v>
      </c>
      <c r="AC18" s="56" t="s">
        <v>643</v>
      </c>
      <c r="AD18" s="56" t="s">
        <v>815</v>
      </c>
      <c r="AE18" s="56">
        <v>255</v>
      </c>
      <c r="AF18" s="56" t="s">
        <v>816</v>
      </c>
      <c r="AG18" s="56" t="s">
        <v>817</v>
      </c>
      <c r="AH18" s="56" t="s">
        <v>641</v>
      </c>
      <c r="AI18" s="56" t="s">
        <v>640</v>
      </c>
      <c r="AJ18" s="56">
        <v>1169</v>
      </c>
      <c r="AK18" s="56" t="s">
        <v>818</v>
      </c>
      <c r="AL18" s="56">
        <v>985</v>
      </c>
      <c r="AM18" s="56" t="s">
        <v>819</v>
      </c>
      <c r="AN18" s="56" t="s">
        <v>820</v>
      </c>
      <c r="AO18" s="56" t="s">
        <v>821</v>
      </c>
      <c r="AP18" s="56" t="s">
        <v>641</v>
      </c>
      <c r="AQ18" s="56" t="s">
        <v>822</v>
      </c>
      <c r="AR18" s="56">
        <v>1168</v>
      </c>
      <c r="AS18" s="56" t="s">
        <v>823</v>
      </c>
      <c r="AT18" s="56" t="s">
        <v>824</v>
      </c>
      <c r="AU18" s="56" t="s">
        <v>643</v>
      </c>
      <c r="AV18" s="56" t="s">
        <v>825</v>
      </c>
      <c r="AW18" s="56">
        <v>117</v>
      </c>
      <c r="AX18" s="56" t="s">
        <v>848</v>
      </c>
      <c r="AY18" s="56">
        <v>1</v>
      </c>
      <c r="AZ18" s="56" t="s">
        <v>28</v>
      </c>
      <c r="BA18" s="56" t="s">
        <v>849</v>
      </c>
      <c r="BB18" s="56" t="s">
        <v>770</v>
      </c>
      <c r="BC18" s="56">
        <v>38</v>
      </c>
      <c r="BD18" s="56" t="s">
        <v>289</v>
      </c>
      <c r="BE18" s="56" t="s">
        <v>771</v>
      </c>
      <c r="BF18" s="56">
        <v>2</v>
      </c>
      <c r="BG18" s="56" t="s">
        <v>289</v>
      </c>
      <c r="BH18" s="56" t="s">
        <v>772</v>
      </c>
      <c r="BI18" s="56">
        <v>48.57</v>
      </c>
      <c r="BJ18" s="56">
        <v>75688.25</v>
      </c>
      <c r="BK18" s="56">
        <v>48570</v>
      </c>
      <c r="BL18" s="56" t="s">
        <v>828</v>
      </c>
      <c r="BM18" s="56">
        <v>1005</v>
      </c>
      <c r="BN18" s="56" t="s">
        <v>724</v>
      </c>
      <c r="BO18" s="56" t="s">
        <v>725</v>
      </c>
      <c r="BP18" s="56">
        <v>8436.26</v>
      </c>
      <c r="BQ18" s="56">
        <v>8080.76</v>
      </c>
      <c r="BR18" s="56">
        <v>0</v>
      </c>
      <c r="BS18" s="56">
        <v>0</v>
      </c>
      <c r="BT18" s="56">
        <v>0</v>
      </c>
      <c r="BU18" s="56">
        <v>43250</v>
      </c>
      <c r="BV18" s="56">
        <v>1168</v>
      </c>
      <c r="BW18" s="56" t="s">
        <v>823</v>
      </c>
      <c r="BX18" s="56" t="s">
        <v>850</v>
      </c>
      <c r="BY18" s="56" t="s">
        <v>663</v>
      </c>
      <c r="BZ18" s="56">
        <v>0.25</v>
      </c>
      <c r="CA18" s="56" t="s">
        <v>664</v>
      </c>
      <c r="CB18" s="56" t="s">
        <v>830</v>
      </c>
      <c r="CD18" s="56" t="s">
        <v>667</v>
      </c>
      <c r="CG18" s="56">
        <v>0</v>
      </c>
      <c r="CH18" s="56">
        <v>8436.26</v>
      </c>
      <c r="CJ18" s="56">
        <v>100</v>
      </c>
      <c r="CK18" s="56">
        <v>8080.76</v>
      </c>
      <c r="CL18" s="56">
        <v>0</v>
      </c>
      <c r="CN18" s="56">
        <v>0</v>
      </c>
      <c r="CO18" s="56">
        <v>0</v>
      </c>
      <c r="CP18" s="56">
        <v>355.5</v>
      </c>
      <c r="CQ18" s="56" t="s">
        <v>668</v>
      </c>
      <c r="CR18" s="56">
        <v>0</v>
      </c>
      <c r="CS18" s="56">
        <v>0</v>
      </c>
      <c r="CV18" s="56">
        <v>0</v>
      </c>
      <c r="CX18" s="56">
        <v>0</v>
      </c>
      <c r="CY18" s="56">
        <v>0</v>
      </c>
      <c r="CZ18" s="56">
        <v>747.47</v>
      </c>
      <c r="DA18" s="56">
        <v>747.47</v>
      </c>
      <c r="DB18" s="56">
        <v>0</v>
      </c>
      <c r="DC18" s="56">
        <v>7333.29</v>
      </c>
      <c r="DD18" s="56">
        <v>0</v>
      </c>
      <c r="DE18" s="56">
        <v>0</v>
      </c>
      <c r="DF18" s="56">
        <v>0</v>
      </c>
      <c r="DH18" s="56" t="s">
        <v>831</v>
      </c>
      <c r="DI18" s="56" t="s">
        <v>671</v>
      </c>
      <c r="DK18" s="56">
        <v>91.14</v>
      </c>
      <c r="DL18" s="56">
        <v>7688.79</v>
      </c>
      <c r="DO18" s="56" t="s">
        <v>236</v>
      </c>
      <c r="DQ18" s="56" t="s">
        <v>674</v>
      </c>
      <c r="DR18" s="56">
        <v>3</v>
      </c>
      <c r="DX18" s="56" t="s">
        <v>678</v>
      </c>
      <c r="DY18" s="56" t="s">
        <v>679</v>
      </c>
      <c r="EL18" s="56">
        <v>15</v>
      </c>
      <c r="EM18" s="56">
        <v>25</v>
      </c>
      <c r="EN18" s="56">
        <v>2331</v>
      </c>
      <c r="EO18" s="56">
        <v>5173</v>
      </c>
      <c r="EP18" s="56">
        <v>6062</v>
      </c>
      <c r="EQ18" s="56" t="s">
        <v>832</v>
      </c>
      <c r="ER18" s="56" t="s">
        <v>833</v>
      </c>
      <c r="ES18" s="56">
        <v>2</v>
      </c>
      <c r="ET18" s="56" t="s">
        <v>682</v>
      </c>
      <c r="EU18" s="56" t="s">
        <v>683</v>
      </c>
      <c r="EV18" s="56" t="s">
        <v>683</v>
      </c>
      <c r="FD18" s="56" t="s">
        <v>851</v>
      </c>
      <c r="FK18" s="56">
        <v>0</v>
      </c>
    </row>
    <row r="19" spans="1:167" x14ac:dyDescent="0.2">
      <c r="A19" s="56">
        <v>29714</v>
      </c>
      <c r="B19" s="56">
        <v>1</v>
      </c>
      <c r="C19" s="56">
        <v>6351</v>
      </c>
      <c r="D19" s="56" t="s">
        <v>634</v>
      </c>
      <c r="E19" s="56" t="s">
        <v>635</v>
      </c>
      <c r="K19" s="56" t="s">
        <v>852</v>
      </c>
      <c r="L19" s="56" t="s">
        <v>637</v>
      </c>
      <c r="M19" s="56">
        <v>44929</v>
      </c>
      <c r="N19" s="56">
        <v>44931</v>
      </c>
      <c r="O19" s="56">
        <v>2</v>
      </c>
      <c r="P19" s="56" t="s">
        <v>682</v>
      </c>
      <c r="Q19" s="56">
        <v>1</v>
      </c>
      <c r="R19" s="56" t="s">
        <v>809</v>
      </c>
      <c r="S19" s="56" t="s">
        <v>810</v>
      </c>
      <c r="T19" s="56" t="s">
        <v>643</v>
      </c>
      <c r="U19" s="56" t="s">
        <v>640</v>
      </c>
      <c r="V19" s="56" t="s">
        <v>641</v>
      </c>
      <c r="W19" s="56">
        <v>46</v>
      </c>
      <c r="X19" s="56" t="s">
        <v>811</v>
      </c>
      <c r="Y19" s="56">
        <v>465</v>
      </c>
      <c r="Z19" s="56" t="s">
        <v>812</v>
      </c>
      <c r="AA19" s="56" t="s">
        <v>813</v>
      </c>
      <c r="AB19" s="56" t="s">
        <v>814</v>
      </c>
      <c r="AC19" s="56" t="s">
        <v>643</v>
      </c>
      <c r="AD19" s="56" t="s">
        <v>815</v>
      </c>
      <c r="AE19" s="56">
        <v>255</v>
      </c>
      <c r="AF19" s="56" t="s">
        <v>816</v>
      </c>
      <c r="AG19" s="56" t="s">
        <v>817</v>
      </c>
      <c r="AH19" s="56" t="s">
        <v>641</v>
      </c>
      <c r="AI19" s="56" t="s">
        <v>640</v>
      </c>
      <c r="AJ19" s="56">
        <v>1169</v>
      </c>
      <c r="AK19" s="56" t="s">
        <v>818</v>
      </c>
      <c r="AL19" s="56">
        <v>985</v>
      </c>
      <c r="AM19" s="56" t="s">
        <v>819</v>
      </c>
      <c r="AN19" s="56" t="s">
        <v>820</v>
      </c>
      <c r="AO19" s="56" t="s">
        <v>821</v>
      </c>
      <c r="AP19" s="56" t="s">
        <v>641</v>
      </c>
      <c r="AQ19" s="56" t="s">
        <v>822</v>
      </c>
      <c r="AR19" s="56">
        <v>1168</v>
      </c>
      <c r="AS19" s="56" t="s">
        <v>823</v>
      </c>
      <c r="AT19" s="56" t="s">
        <v>824</v>
      </c>
      <c r="AU19" s="56" t="s">
        <v>643</v>
      </c>
      <c r="AV19" s="56" t="s">
        <v>825</v>
      </c>
      <c r="AW19" s="56">
        <v>115</v>
      </c>
      <c r="AX19" s="56" t="s">
        <v>853</v>
      </c>
      <c r="AY19" s="56">
        <v>55</v>
      </c>
      <c r="AZ19" s="56" t="s">
        <v>23</v>
      </c>
      <c r="BA19" s="56" t="s">
        <v>854</v>
      </c>
      <c r="BB19" s="56" t="s">
        <v>844</v>
      </c>
      <c r="BC19" s="56">
        <v>2</v>
      </c>
      <c r="BD19" s="56" t="s">
        <v>289</v>
      </c>
      <c r="BE19" s="56" t="s">
        <v>772</v>
      </c>
      <c r="BF19" s="56">
        <v>2</v>
      </c>
      <c r="BG19" s="56" t="s">
        <v>289</v>
      </c>
      <c r="BH19" s="56" t="s">
        <v>772</v>
      </c>
      <c r="BI19" s="56">
        <v>47.29</v>
      </c>
      <c r="BJ19" s="56">
        <v>73693.58</v>
      </c>
      <c r="BK19" s="56">
        <v>47290</v>
      </c>
      <c r="BL19" s="56" t="s">
        <v>828</v>
      </c>
      <c r="BM19" s="56">
        <v>1005</v>
      </c>
      <c r="BN19" s="56" t="s">
        <v>660</v>
      </c>
      <c r="BO19" s="56" t="s">
        <v>855</v>
      </c>
      <c r="BP19" s="56">
        <v>8213.67</v>
      </c>
      <c r="BQ19" s="56">
        <v>7858.17</v>
      </c>
      <c r="BR19" s="56">
        <v>0</v>
      </c>
      <c r="BS19" s="56">
        <v>0</v>
      </c>
      <c r="BT19" s="56">
        <v>0</v>
      </c>
      <c r="BU19" s="56">
        <v>43271</v>
      </c>
      <c r="BV19" s="56">
        <v>1168</v>
      </c>
      <c r="BW19" s="56" t="s">
        <v>823</v>
      </c>
      <c r="BX19" s="56" t="s">
        <v>856</v>
      </c>
      <c r="BY19" s="56" t="s">
        <v>663</v>
      </c>
      <c r="BZ19" s="56">
        <v>0.25</v>
      </c>
      <c r="CA19" s="56" t="s">
        <v>664</v>
      </c>
      <c r="CB19" s="56" t="s">
        <v>830</v>
      </c>
      <c r="CD19" s="56" t="s">
        <v>667</v>
      </c>
      <c r="CG19" s="56">
        <v>0</v>
      </c>
      <c r="CH19" s="56">
        <v>8213.67</v>
      </c>
      <c r="CJ19" s="56">
        <v>100</v>
      </c>
      <c r="CK19" s="56">
        <v>7858.17</v>
      </c>
      <c r="CL19" s="56">
        <v>0</v>
      </c>
      <c r="CN19" s="56">
        <v>0</v>
      </c>
      <c r="CO19" s="56">
        <v>0</v>
      </c>
      <c r="CP19" s="56">
        <v>355.5</v>
      </c>
      <c r="CQ19" s="56" t="s">
        <v>668</v>
      </c>
      <c r="CR19" s="56">
        <v>0</v>
      </c>
      <c r="CS19" s="56">
        <v>0</v>
      </c>
      <c r="CV19" s="56">
        <v>0</v>
      </c>
      <c r="CX19" s="56">
        <v>0</v>
      </c>
      <c r="CY19" s="56">
        <v>0</v>
      </c>
      <c r="CZ19" s="56">
        <v>726.88</v>
      </c>
      <c r="DA19" s="56">
        <v>726.88</v>
      </c>
      <c r="DB19" s="56">
        <v>0</v>
      </c>
      <c r="DC19" s="56">
        <v>7131.29</v>
      </c>
      <c r="DD19" s="56">
        <v>0</v>
      </c>
      <c r="DE19" s="56">
        <v>0</v>
      </c>
      <c r="DF19" s="56">
        <v>0</v>
      </c>
      <c r="DH19" s="56" t="s">
        <v>831</v>
      </c>
      <c r="DI19" s="56" t="s">
        <v>671</v>
      </c>
      <c r="DK19" s="56">
        <v>91.15</v>
      </c>
      <c r="DL19" s="56">
        <v>7486.79</v>
      </c>
      <c r="DO19" s="56" t="s">
        <v>236</v>
      </c>
      <c r="DQ19" s="56" t="s">
        <v>674</v>
      </c>
      <c r="DR19" s="56">
        <v>3</v>
      </c>
      <c r="DX19" s="56" t="s">
        <v>678</v>
      </c>
      <c r="DY19" s="56" t="s">
        <v>679</v>
      </c>
      <c r="EL19" s="56">
        <v>15</v>
      </c>
      <c r="EM19" s="56">
        <v>25</v>
      </c>
      <c r="EN19" s="56">
        <v>2331</v>
      </c>
      <c r="EO19" s="56">
        <v>5173</v>
      </c>
      <c r="EP19" s="56">
        <v>6062</v>
      </c>
      <c r="EQ19" s="56" t="s">
        <v>832</v>
      </c>
      <c r="ER19" s="56" t="s">
        <v>833</v>
      </c>
      <c r="ES19" s="56">
        <v>2</v>
      </c>
      <c r="ET19" s="56" t="s">
        <v>682</v>
      </c>
      <c r="EU19" s="56" t="s">
        <v>683</v>
      </c>
      <c r="EV19" s="56" t="s">
        <v>683</v>
      </c>
      <c r="FD19" s="56" t="s">
        <v>857</v>
      </c>
      <c r="FK19" s="56">
        <v>0</v>
      </c>
    </row>
    <row r="20" spans="1:167" x14ac:dyDescent="0.2">
      <c r="A20" s="56">
        <v>29715</v>
      </c>
      <c r="B20" s="56">
        <v>1</v>
      </c>
      <c r="C20" s="56">
        <v>6351</v>
      </c>
      <c r="D20" s="56" t="s">
        <v>634</v>
      </c>
      <c r="E20" s="56" t="s">
        <v>635</v>
      </c>
      <c r="K20" s="56" t="s">
        <v>858</v>
      </c>
      <c r="L20" s="56" t="s">
        <v>637</v>
      </c>
      <c r="M20" s="56">
        <v>44929</v>
      </c>
      <c r="N20" s="56">
        <v>44931</v>
      </c>
      <c r="O20" s="56">
        <v>2</v>
      </c>
      <c r="P20" s="56" t="s">
        <v>682</v>
      </c>
      <c r="Q20" s="56">
        <v>1</v>
      </c>
      <c r="R20" s="56" t="s">
        <v>809</v>
      </c>
      <c r="S20" s="56" t="s">
        <v>810</v>
      </c>
      <c r="T20" s="56" t="s">
        <v>643</v>
      </c>
      <c r="U20" s="56" t="s">
        <v>640</v>
      </c>
      <c r="V20" s="56" t="s">
        <v>641</v>
      </c>
      <c r="W20" s="56">
        <v>46</v>
      </c>
      <c r="X20" s="56" t="s">
        <v>811</v>
      </c>
      <c r="Y20" s="56">
        <v>465</v>
      </c>
      <c r="Z20" s="56" t="s">
        <v>812</v>
      </c>
      <c r="AA20" s="56" t="s">
        <v>813</v>
      </c>
      <c r="AB20" s="56" t="s">
        <v>814</v>
      </c>
      <c r="AC20" s="56" t="s">
        <v>643</v>
      </c>
      <c r="AD20" s="56" t="s">
        <v>815</v>
      </c>
      <c r="AE20" s="56">
        <v>255</v>
      </c>
      <c r="AF20" s="56" t="s">
        <v>816</v>
      </c>
      <c r="AG20" s="56" t="s">
        <v>817</v>
      </c>
      <c r="AH20" s="56" t="s">
        <v>641</v>
      </c>
      <c r="AI20" s="56" t="s">
        <v>640</v>
      </c>
      <c r="AJ20" s="56">
        <v>1169</v>
      </c>
      <c r="AK20" s="56" t="s">
        <v>818</v>
      </c>
      <c r="AL20" s="56">
        <v>985</v>
      </c>
      <c r="AM20" s="56" t="s">
        <v>819</v>
      </c>
      <c r="AN20" s="56" t="s">
        <v>820</v>
      </c>
      <c r="AO20" s="56" t="s">
        <v>821</v>
      </c>
      <c r="AP20" s="56" t="s">
        <v>641</v>
      </c>
      <c r="AQ20" s="56" t="s">
        <v>822</v>
      </c>
      <c r="AR20" s="56">
        <v>1168</v>
      </c>
      <c r="AS20" s="56" t="s">
        <v>823</v>
      </c>
      <c r="AT20" s="56" t="s">
        <v>824</v>
      </c>
      <c r="AU20" s="56" t="s">
        <v>643</v>
      </c>
      <c r="AV20" s="56" t="s">
        <v>825</v>
      </c>
      <c r="AW20" s="56">
        <v>121</v>
      </c>
      <c r="AX20" s="56" t="s">
        <v>859</v>
      </c>
      <c r="AY20" s="56">
        <v>51</v>
      </c>
      <c r="AZ20" s="56" t="s">
        <v>29</v>
      </c>
      <c r="BA20" s="56" t="s">
        <v>860</v>
      </c>
      <c r="BB20" s="56" t="s">
        <v>770</v>
      </c>
      <c r="BC20" s="56">
        <v>38</v>
      </c>
      <c r="BD20" s="56" t="s">
        <v>289</v>
      </c>
      <c r="BE20" s="56" t="s">
        <v>771</v>
      </c>
      <c r="BF20" s="56">
        <v>2</v>
      </c>
      <c r="BG20" s="56" t="s">
        <v>289</v>
      </c>
      <c r="BH20" s="56" t="s">
        <v>772</v>
      </c>
      <c r="BI20" s="56">
        <v>48.01</v>
      </c>
      <c r="BJ20" s="56">
        <v>74815.58</v>
      </c>
      <c r="BK20" s="56">
        <v>48010</v>
      </c>
      <c r="BL20" s="56" t="s">
        <v>828</v>
      </c>
      <c r="BM20" s="56">
        <v>1005</v>
      </c>
      <c r="BN20" s="56" t="s">
        <v>724</v>
      </c>
      <c r="BO20" s="56" t="s">
        <v>725</v>
      </c>
      <c r="BP20" s="56">
        <v>8338.8799999999992</v>
      </c>
      <c r="BQ20" s="56">
        <v>7983.38</v>
      </c>
      <c r="BR20" s="56">
        <v>0</v>
      </c>
      <c r="BS20" s="56">
        <v>0</v>
      </c>
      <c r="BT20" s="56">
        <v>0</v>
      </c>
      <c r="BU20" s="56">
        <v>43274</v>
      </c>
      <c r="BV20" s="56">
        <v>1168</v>
      </c>
      <c r="BW20" s="56" t="s">
        <v>823</v>
      </c>
      <c r="BX20" s="56" t="s">
        <v>861</v>
      </c>
      <c r="BY20" s="56" t="s">
        <v>663</v>
      </c>
      <c r="BZ20" s="56">
        <v>0.25</v>
      </c>
      <c r="CA20" s="56" t="s">
        <v>664</v>
      </c>
      <c r="CB20" s="56" t="s">
        <v>830</v>
      </c>
      <c r="CD20" s="56" t="s">
        <v>667</v>
      </c>
      <c r="CG20" s="56">
        <v>0</v>
      </c>
      <c r="CH20" s="56">
        <v>8338.8799999999992</v>
      </c>
      <c r="CJ20" s="56">
        <v>100</v>
      </c>
      <c r="CK20" s="56">
        <v>7983.38</v>
      </c>
      <c r="CL20" s="56">
        <v>0</v>
      </c>
      <c r="CN20" s="56">
        <v>0</v>
      </c>
      <c r="CO20" s="56">
        <v>0</v>
      </c>
      <c r="CP20" s="56">
        <v>355.5</v>
      </c>
      <c r="CQ20" s="56" t="s">
        <v>668</v>
      </c>
      <c r="CR20" s="56">
        <v>0</v>
      </c>
      <c r="CS20" s="56">
        <v>0</v>
      </c>
      <c r="CV20" s="56">
        <v>0</v>
      </c>
      <c r="CX20" s="56">
        <v>0</v>
      </c>
      <c r="CY20" s="56">
        <v>0</v>
      </c>
      <c r="CZ20" s="56">
        <v>738.47</v>
      </c>
      <c r="DA20" s="56">
        <v>738.47</v>
      </c>
      <c r="DB20" s="56">
        <v>0</v>
      </c>
      <c r="DC20" s="56">
        <v>7244.91</v>
      </c>
      <c r="DD20" s="56">
        <v>0</v>
      </c>
      <c r="DE20" s="56">
        <v>0</v>
      </c>
      <c r="DF20" s="56">
        <v>0</v>
      </c>
      <c r="DH20" s="56" t="s">
        <v>831</v>
      </c>
      <c r="DI20" s="56" t="s">
        <v>671</v>
      </c>
      <c r="DK20" s="56">
        <v>91.14</v>
      </c>
      <c r="DL20" s="56">
        <v>7600.41</v>
      </c>
      <c r="DO20" s="56" t="s">
        <v>236</v>
      </c>
      <c r="DQ20" s="56" t="s">
        <v>674</v>
      </c>
      <c r="DR20" s="56">
        <v>3</v>
      </c>
      <c r="DX20" s="56" t="s">
        <v>678</v>
      </c>
      <c r="DY20" s="56" t="s">
        <v>679</v>
      </c>
      <c r="EL20" s="56">
        <v>15</v>
      </c>
      <c r="EM20" s="56">
        <v>25</v>
      </c>
      <c r="EN20" s="56">
        <v>2331</v>
      </c>
      <c r="EO20" s="56">
        <v>5173</v>
      </c>
      <c r="EP20" s="56">
        <v>6062</v>
      </c>
      <c r="EQ20" s="56" t="s">
        <v>832</v>
      </c>
      <c r="ER20" s="56" t="s">
        <v>833</v>
      </c>
      <c r="ES20" s="56">
        <v>2</v>
      </c>
      <c r="ET20" s="56" t="s">
        <v>682</v>
      </c>
      <c r="EU20" s="56" t="s">
        <v>683</v>
      </c>
      <c r="EV20" s="56" t="s">
        <v>683</v>
      </c>
      <c r="FD20" s="56" t="s">
        <v>862</v>
      </c>
      <c r="FK20" s="56">
        <v>0</v>
      </c>
    </row>
    <row r="21" spans="1:167" x14ac:dyDescent="0.2">
      <c r="A21" s="56">
        <v>29716</v>
      </c>
      <c r="B21" s="56">
        <v>1</v>
      </c>
      <c r="C21" s="56">
        <v>6351</v>
      </c>
      <c r="D21" s="56" t="s">
        <v>634</v>
      </c>
      <c r="E21" s="56" t="s">
        <v>635</v>
      </c>
      <c r="K21" s="56" t="s">
        <v>863</v>
      </c>
      <c r="L21" s="56" t="s">
        <v>637</v>
      </c>
      <c r="M21" s="56">
        <v>44929</v>
      </c>
      <c r="N21" s="56">
        <v>44931</v>
      </c>
      <c r="O21" s="56">
        <v>2</v>
      </c>
      <c r="P21" s="56" t="s">
        <v>682</v>
      </c>
      <c r="Q21" s="56">
        <v>1</v>
      </c>
      <c r="R21" s="56" t="s">
        <v>809</v>
      </c>
      <c r="S21" s="56" t="s">
        <v>810</v>
      </c>
      <c r="T21" s="56" t="s">
        <v>643</v>
      </c>
      <c r="U21" s="56" t="s">
        <v>640</v>
      </c>
      <c r="V21" s="56" t="s">
        <v>641</v>
      </c>
      <c r="W21" s="56">
        <v>46</v>
      </c>
      <c r="X21" s="56" t="s">
        <v>811</v>
      </c>
      <c r="Y21" s="56">
        <v>465</v>
      </c>
      <c r="Z21" s="56" t="s">
        <v>812</v>
      </c>
      <c r="AA21" s="56" t="s">
        <v>813</v>
      </c>
      <c r="AB21" s="56" t="s">
        <v>814</v>
      </c>
      <c r="AC21" s="56" t="s">
        <v>643</v>
      </c>
      <c r="AD21" s="56" t="s">
        <v>815</v>
      </c>
      <c r="AE21" s="56">
        <v>255</v>
      </c>
      <c r="AF21" s="56" t="s">
        <v>816</v>
      </c>
      <c r="AG21" s="56" t="s">
        <v>817</v>
      </c>
      <c r="AH21" s="56" t="s">
        <v>641</v>
      </c>
      <c r="AI21" s="56" t="s">
        <v>640</v>
      </c>
      <c r="AJ21" s="56">
        <v>1169</v>
      </c>
      <c r="AK21" s="56" t="s">
        <v>818</v>
      </c>
      <c r="AL21" s="56">
        <v>985</v>
      </c>
      <c r="AM21" s="56" t="s">
        <v>819</v>
      </c>
      <c r="AN21" s="56" t="s">
        <v>820</v>
      </c>
      <c r="AO21" s="56" t="s">
        <v>821</v>
      </c>
      <c r="AP21" s="56" t="s">
        <v>641</v>
      </c>
      <c r="AQ21" s="56" t="s">
        <v>822</v>
      </c>
      <c r="AR21" s="56">
        <v>1168</v>
      </c>
      <c r="AS21" s="56" t="s">
        <v>823</v>
      </c>
      <c r="AT21" s="56" t="s">
        <v>824</v>
      </c>
      <c r="AU21" s="56" t="s">
        <v>643</v>
      </c>
      <c r="AV21" s="56" t="s">
        <v>825</v>
      </c>
      <c r="AW21" s="56">
        <v>110</v>
      </c>
      <c r="AX21" s="56" t="s">
        <v>864</v>
      </c>
      <c r="AY21" s="56">
        <v>68</v>
      </c>
      <c r="AZ21" s="56" t="s">
        <v>25</v>
      </c>
      <c r="BA21" s="56" t="s">
        <v>865</v>
      </c>
      <c r="BB21" s="56" t="s">
        <v>844</v>
      </c>
      <c r="BC21" s="56">
        <v>2</v>
      </c>
      <c r="BD21" s="56" t="s">
        <v>289</v>
      </c>
      <c r="BE21" s="56" t="s">
        <v>772</v>
      </c>
      <c r="BF21" s="56">
        <v>2</v>
      </c>
      <c r="BG21" s="56" t="s">
        <v>289</v>
      </c>
      <c r="BH21" s="56" t="s">
        <v>772</v>
      </c>
      <c r="BI21" s="56">
        <v>50.35</v>
      </c>
      <c r="BJ21" s="56">
        <v>78462.080000000002</v>
      </c>
      <c r="BK21" s="56">
        <v>50350</v>
      </c>
      <c r="BL21" s="56" t="s">
        <v>828</v>
      </c>
      <c r="BM21" s="56">
        <v>1005</v>
      </c>
      <c r="BN21" s="56" t="s">
        <v>660</v>
      </c>
      <c r="BO21" s="56" t="s">
        <v>866</v>
      </c>
      <c r="BP21" s="56">
        <v>8745.7999999999993</v>
      </c>
      <c r="BQ21" s="56">
        <v>8390.2999999999993</v>
      </c>
      <c r="BR21" s="56">
        <v>0</v>
      </c>
      <c r="BS21" s="56">
        <v>0</v>
      </c>
      <c r="BT21" s="56">
        <v>0</v>
      </c>
      <c r="BU21" s="56">
        <v>43275</v>
      </c>
      <c r="BV21" s="56">
        <v>1168</v>
      </c>
      <c r="BW21" s="56" t="s">
        <v>823</v>
      </c>
      <c r="BX21" s="56" t="s">
        <v>867</v>
      </c>
      <c r="BY21" s="56" t="s">
        <v>663</v>
      </c>
      <c r="BZ21" s="56">
        <v>0.25</v>
      </c>
      <c r="CA21" s="56" t="s">
        <v>664</v>
      </c>
      <c r="CB21" s="56" t="s">
        <v>830</v>
      </c>
      <c r="CD21" s="56" t="s">
        <v>667</v>
      </c>
      <c r="CG21" s="56">
        <v>0</v>
      </c>
      <c r="CH21" s="56">
        <v>8745.7999999999993</v>
      </c>
      <c r="CJ21" s="56">
        <v>100</v>
      </c>
      <c r="CK21" s="56">
        <v>8390.2999999999993</v>
      </c>
      <c r="CL21" s="56">
        <v>0</v>
      </c>
      <c r="CN21" s="56">
        <v>0</v>
      </c>
      <c r="CO21" s="56">
        <v>0</v>
      </c>
      <c r="CP21" s="56">
        <v>355.5</v>
      </c>
      <c r="CQ21" s="56" t="s">
        <v>668</v>
      </c>
      <c r="CR21" s="56">
        <v>0</v>
      </c>
      <c r="CS21" s="56">
        <v>0</v>
      </c>
      <c r="CV21" s="56">
        <v>0</v>
      </c>
      <c r="CX21" s="56">
        <v>0</v>
      </c>
      <c r="CY21" s="56">
        <v>0</v>
      </c>
      <c r="CZ21" s="56">
        <v>776.1</v>
      </c>
      <c r="DA21" s="56">
        <v>776.1</v>
      </c>
      <c r="DB21" s="56">
        <v>0</v>
      </c>
      <c r="DC21" s="56">
        <v>7614.2</v>
      </c>
      <c r="DD21" s="56">
        <v>0</v>
      </c>
      <c r="DE21" s="56">
        <v>0</v>
      </c>
      <c r="DF21" s="56">
        <v>0</v>
      </c>
      <c r="DH21" s="56" t="s">
        <v>831</v>
      </c>
      <c r="DI21" s="56" t="s">
        <v>671</v>
      </c>
      <c r="DK21" s="56">
        <v>91.13</v>
      </c>
      <c r="DL21" s="56">
        <v>7969.7</v>
      </c>
      <c r="DO21" s="56" t="s">
        <v>236</v>
      </c>
      <c r="DQ21" s="56" t="s">
        <v>674</v>
      </c>
      <c r="DR21" s="56">
        <v>3</v>
      </c>
      <c r="DX21" s="56" t="s">
        <v>678</v>
      </c>
      <c r="DY21" s="56" t="s">
        <v>679</v>
      </c>
      <c r="EL21" s="56">
        <v>15</v>
      </c>
      <c r="EM21" s="56">
        <v>25</v>
      </c>
      <c r="EN21" s="56">
        <v>2331</v>
      </c>
      <c r="EO21" s="56">
        <v>5173</v>
      </c>
      <c r="EP21" s="56">
        <v>6062</v>
      </c>
      <c r="EQ21" s="56" t="s">
        <v>832</v>
      </c>
      <c r="ER21" s="56" t="s">
        <v>833</v>
      </c>
      <c r="ES21" s="56">
        <v>2</v>
      </c>
      <c r="ET21" s="56" t="s">
        <v>682</v>
      </c>
      <c r="EU21" s="56" t="s">
        <v>683</v>
      </c>
      <c r="EV21" s="56" t="s">
        <v>683</v>
      </c>
      <c r="FD21" s="56" t="s">
        <v>868</v>
      </c>
      <c r="FK21" s="56">
        <v>0</v>
      </c>
    </row>
    <row r="22" spans="1:167" x14ac:dyDescent="0.2">
      <c r="A22" s="56">
        <v>29717</v>
      </c>
      <c r="B22" s="56">
        <v>1</v>
      </c>
      <c r="C22" s="56">
        <v>6351</v>
      </c>
      <c r="D22" s="56" t="s">
        <v>634</v>
      </c>
      <c r="E22" s="56" t="s">
        <v>635</v>
      </c>
      <c r="K22" s="56" t="s">
        <v>869</v>
      </c>
      <c r="L22" s="56" t="s">
        <v>637</v>
      </c>
      <c r="M22" s="56">
        <v>44929</v>
      </c>
      <c r="N22" s="56">
        <v>44931</v>
      </c>
      <c r="O22" s="56">
        <v>2</v>
      </c>
      <c r="P22" s="56" t="s">
        <v>682</v>
      </c>
      <c r="Q22" s="56">
        <v>1</v>
      </c>
      <c r="R22" s="56" t="s">
        <v>809</v>
      </c>
      <c r="S22" s="56" t="s">
        <v>810</v>
      </c>
      <c r="T22" s="56" t="s">
        <v>643</v>
      </c>
      <c r="U22" s="56" t="s">
        <v>640</v>
      </c>
      <c r="V22" s="56" t="s">
        <v>641</v>
      </c>
      <c r="W22" s="56">
        <v>46</v>
      </c>
      <c r="X22" s="56" t="s">
        <v>811</v>
      </c>
      <c r="Y22" s="56">
        <v>465</v>
      </c>
      <c r="Z22" s="56" t="s">
        <v>812</v>
      </c>
      <c r="AA22" s="56" t="s">
        <v>813</v>
      </c>
      <c r="AB22" s="56" t="s">
        <v>814</v>
      </c>
      <c r="AC22" s="56" t="s">
        <v>643</v>
      </c>
      <c r="AD22" s="56" t="s">
        <v>815</v>
      </c>
      <c r="AE22" s="56">
        <v>255</v>
      </c>
      <c r="AF22" s="56" t="s">
        <v>816</v>
      </c>
      <c r="AG22" s="56" t="s">
        <v>817</v>
      </c>
      <c r="AH22" s="56" t="s">
        <v>641</v>
      </c>
      <c r="AI22" s="56" t="s">
        <v>640</v>
      </c>
      <c r="AJ22" s="56">
        <v>1169</v>
      </c>
      <c r="AK22" s="56" t="s">
        <v>818</v>
      </c>
      <c r="AL22" s="56">
        <v>985</v>
      </c>
      <c r="AM22" s="56" t="s">
        <v>819</v>
      </c>
      <c r="AN22" s="56" t="s">
        <v>820</v>
      </c>
      <c r="AO22" s="56" t="s">
        <v>821</v>
      </c>
      <c r="AP22" s="56" t="s">
        <v>641</v>
      </c>
      <c r="AQ22" s="56" t="s">
        <v>822</v>
      </c>
      <c r="AR22" s="56">
        <v>1168</v>
      </c>
      <c r="AS22" s="56" t="s">
        <v>823</v>
      </c>
      <c r="AT22" s="56" t="s">
        <v>824</v>
      </c>
      <c r="AU22" s="56" t="s">
        <v>643</v>
      </c>
      <c r="AV22" s="56" t="s">
        <v>825</v>
      </c>
      <c r="AW22" s="56">
        <v>118</v>
      </c>
      <c r="AX22" s="56" t="s">
        <v>870</v>
      </c>
      <c r="AY22" s="56">
        <v>59</v>
      </c>
      <c r="AZ22" s="56" t="s">
        <v>127</v>
      </c>
      <c r="BA22" s="56" t="s">
        <v>871</v>
      </c>
      <c r="BB22" s="56" t="s">
        <v>844</v>
      </c>
      <c r="BC22" s="56">
        <v>2</v>
      </c>
      <c r="BD22" s="56" t="s">
        <v>289</v>
      </c>
      <c r="BE22" s="56" t="s">
        <v>772</v>
      </c>
      <c r="BF22" s="56">
        <v>2</v>
      </c>
      <c r="BG22" s="56" t="s">
        <v>289</v>
      </c>
      <c r="BH22" s="56" t="s">
        <v>772</v>
      </c>
      <c r="BI22" s="56">
        <v>37.130000000000003</v>
      </c>
      <c r="BJ22" s="56">
        <v>57860.92</v>
      </c>
      <c r="BK22" s="56">
        <v>37130</v>
      </c>
      <c r="BL22" s="56" t="s">
        <v>828</v>
      </c>
      <c r="BM22" s="56">
        <v>1005</v>
      </c>
      <c r="BN22" s="56" t="s">
        <v>660</v>
      </c>
      <c r="BO22" s="56" t="s">
        <v>872</v>
      </c>
      <c r="BP22" s="56">
        <v>6446.88</v>
      </c>
      <c r="BQ22" s="56">
        <v>6170.38</v>
      </c>
      <c r="BR22" s="56">
        <v>0</v>
      </c>
      <c r="BS22" s="56">
        <v>0</v>
      </c>
      <c r="BT22" s="56">
        <v>0</v>
      </c>
      <c r="BU22" s="56">
        <v>43273</v>
      </c>
      <c r="BV22" s="56">
        <v>1168</v>
      </c>
      <c r="BW22" s="56" t="s">
        <v>823</v>
      </c>
      <c r="BX22" s="56" t="s">
        <v>873</v>
      </c>
      <c r="BY22" s="56" t="s">
        <v>663</v>
      </c>
      <c r="BZ22" s="56">
        <v>0.25</v>
      </c>
      <c r="CA22" s="56" t="s">
        <v>664</v>
      </c>
      <c r="CB22" s="56" t="s">
        <v>830</v>
      </c>
      <c r="CD22" s="56" t="s">
        <v>667</v>
      </c>
      <c r="CG22" s="56">
        <v>0</v>
      </c>
      <c r="CH22" s="56">
        <v>6446.88</v>
      </c>
      <c r="CJ22" s="56">
        <v>100</v>
      </c>
      <c r="CK22" s="56">
        <v>6170.38</v>
      </c>
      <c r="CL22" s="56">
        <v>0</v>
      </c>
      <c r="CN22" s="56">
        <v>0</v>
      </c>
      <c r="CO22" s="56">
        <v>0</v>
      </c>
      <c r="CP22" s="56">
        <v>276.5</v>
      </c>
      <c r="CQ22" s="56" t="s">
        <v>668</v>
      </c>
      <c r="CR22" s="56">
        <v>0</v>
      </c>
      <c r="CS22" s="56">
        <v>0</v>
      </c>
      <c r="CV22" s="56">
        <v>0</v>
      </c>
      <c r="CX22" s="56">
        <v>0</v>
      </c>
      <c r="CY22" s="56">
        <v>0</v>
      </c>
      <c r="CZ22" s="56">
        <v>570.76</v>
      </c>
      <c r="DA22" s="56">
        <v>570.76</v>
      </c>
      <c r="DB22" s="56">
        <v>0</v>
      </c>
      <c r="DC22" s="56">
        <v>5599.62</v>
      </c>
      <c r="DD22" s="56">
        <v>0</v>
      </c>
      <c r="DE22" s="56">
        <v>0</v>
      </c>
      <c r="DF22" s="56">
        <v>0</v>
      </c>
      <c r="DH22" s="56" t="s">
        <v>831</v>
      </c>
      <c r="DI22" s="56" t="s">
        <v>671</v>
      </c>
      <c r="DK22" s="56">
        <v>91.15</v>
      </c>
      <c r="DL22" s="56">
        <v>5876.12</v>
      </c>
      <c r="DO22" s="56" t="s">
        <v>236</v>
      </c>
      <c r="DQ22" s="56" t="s">
        <v>674</v>
      </c>
      <c r="DR22" s="56">
        <v>3</v>
      </c>
      <c r="DX22" s="56" t="s">
        <v>678</v>
      </c>
      <c r="DY22" s="56" t="s">
        <v>679</v>
      </c>
      <c r="EL22" s="56">
        <v>15</v>
      </c>
      <c r="EM22" s="56">
        <v>25</v>
      </c>
      <c r="EN22" s="56">
        <v>2331</v>
      </c>
      <c r="EO22" s="56">
        <v>5173</v>
      </c>
      <c r="EP22" s="56">
        <v>6062</v>
      </c>
      <c r="EQ22" s="56" t="s">
        <v>832</v>
      </c>
      <c r="ER22" s="56" t="s">
        <v>833</v>
      </c>
      <c r="ES22" s="56">
        <v>2</v>
      </c>
      <c r="ET22" s="56" t="s">
        <v>682</v>
      </c>
      <c r="EU22" s="56" t="s">
        <v>683</v>
      </c>
      <c r="EV22" s="56" t="s">
        <v>683</v>
      </c>
      <c r="FD22" s="56" t="s">
        <v>874</v>
      </c>
      <c r="FK22" s="56">
        <v>0</v>
      </c>
    </row>
    <row r="23" spans="1:167" x14ac:dyDescent="0.2">
      <c r="A23" s="56">
        <v>29718</v>
      </c>
      <c r="B23" s="56">
        <v>1</v>
      </c>
      <c r="C23" s="56">
        <v>6351</v>
      </c>
      <c r="D23" s="56" t="s">
        <v>634</v>
      </c>
      <c r="E23" s="56" t="s">
        <v>635</v>
      </c>
      <c r="K23" s="56" t="s">
        <v>875</v>
      </c>
      <c r="L23" s="56" t="s">
        <v>637</v>
      </c>
      <c r="M23" s="56">
        <v>44929</v>
      </c>
      <c r="N23" s="56">
        <v>44931</v>
      </c>
      <c r="O23" s="56">
        <v>2</v>
      </c>
      <c r="P23" s="56" t="s">
        <v>682</v>
      </c>
      <c r="Q23" s="56">
        <v>1</v>
      </c>
      <c r="R23" s="56" t="s">
        <v>809</v>
      </c>
      <c r="S23" s="56" t="s">
        <v>810</v>
      </c>
      <c r="T23" s="56" t="s">
        <v>643</v>
      </c>
      <c r="U23" s="56" t="s">
        <v>640</v>
      </c>
      <c r="V23" s="56" t="s">
        <v>641</v>
      </c>
      <c r="W23" s="56">
        <v>46</v>
      </c>
      <c r="X23" s="56" t="s">
        <v>811</v>
      </c>
      <c r="Y23" s="56">
        <v>465</v>
      </c>
      <c r="Z23" s="56" t="s">
        <v>812</v>
      </c>
      <c r="AA23" s="56" t="s">
        <v>813</v>
      </c>
      <c r="AB23" s="56" t="s">
        <v>814</v>
      </c>
      <c r="AC23" s="56" t="s">
        <v>643</v>
      </c>
      <c r="AD23" s="56" t="s">
        <v>815</v>
      </c>
      <c r="AE23" s="56">
        <v>255</v>
      </c>
      <c r="AF23" s="56" t="s">
        <v>816</v>
      </c>
      <c r="AG23" s="56" t="s">
        <v>817</v>
      </c>
      <c r="AH23" s="56" t="s">
        <v>641</v>
      </c>
      <c r="AI23" s="56" t="s">
        <v>640</v>
      </c>
      <c r="AJ23" s="56">
        <v>1169</v>
      </c>
      <c r="AK23" s="56" t="s">
        <v>818</v>
      </c>
      <c r="AL23" s="56">
        <v>985</v>
      </c>
      <c r="AM23" s="56" t="s">
        <v>819</v>
      </c>
      <c r="AN23" s="56" t="s">
        <v>820</v>
      </c>
      <c r="AO23" s="56" t="s">
        <v>821</v>
      </c>
      <c r="AP23" s="56" t="s">
        <v>641</v>
      </c>
      <c r="AQ23" s="56" t="s">
        <v>822</v>
      </c>
      <c r="AR23" s="56">
        <v>1168</v>
      </c>
      <c r="AS23" s="56" t="s">
        <v>823</v>
      </c>
      <c r="AT23" s="56" t="s">
        <v>824</v>
      </c>
      <c r="AU23" s="56" t="s">
        <v>643</v>
      </c>
      <c r="AV23" s="56" t="s">
        <v>825</v>
      </c>
      <c r="AW23" s="56">
        <v>116</v>
      </c>
      <c r="AX23" s="56" t="s">
        <v>876</v>
      </c>
      <c r="AY23" s="56">
        <v>35</v>
      </c>
      <c r="AZ23" s="56" t="s">
        <v>124</v>
      </c>
      <c r="BA23" s="56" t="s">
        <v>877</v>
      </c>
      <c r="BB23" s="56" t="s">
        <v>770</v>
      </c>
      <c r="BC23" s="56">
        <v>38</v>
      </c>
      <c r="BD23" s="56" t="s">
        <v>289</v>
      </c>
      <c r="BE23" s="56" t="s">
        <v>771</v>
      </c>
      <c r="BF23" s="56">
        <v>2</v>
      </c>
      <c r="BG23" s="56" t="s">
        <v>289</v>
      </c>
      <c r="BH23" s="56" t="s">
        <v>772</v>
      </c>
      <c r="BI23" s="56">
        <v>48.69</v>
      </c>
      <c r="BJ23" s="56">
        <v>75875.25</v>
      </c>
      <c r="BK23" s="56">
        <v>48690</v>
      </c>
      <c r="BL23" s="56" t="s">
        <v>828</v>
      </c>
      <c r="BM23" s="56">
        <v>1005</v>
      </c>
      <c r="BN23" s="56" t="s">
        <v>724</v>
      </c>
      <c r="BO23" s="56" t="s">
        <v>725</v>
      </c>
      <c r="BP23" s="56">
        <v>8457.1299999999992</v>
      </c>
      <c r="BQ23" s="56">
        <v>8101.63</v>
      </c>
      <c r="BR23" s="56">
        <v>0</v>
      </c>
      <c r="BS23" s="56">
        <v>0</v>
      </c>
      <c r="BT23" s="56">
        <v>0</v>
      </c>
      <c r="BU23" s="56">
        <v>43281</v>
      </c>
      <c r="BV23" s="56">
        <v>1168</v>
      </c>
      <c r="BW23" s="56" t="s">
        <v>823</v>
      </c>
      <c r="BX23" s="56" t="s">
        <v>878</v>
      </c>
      <c r="BY23" s="56" t="s">
        <v>663</v>
      </c>
      <c r="BZ23" s="56">
        <v>0.25</v>
      </c>
      <c r="CA23" s="56" t="s">
        <v>664</v>
      </c>
      <c r="CB23" s="56" t="s">
        <v>830</v>
      </c>
      <c r="CD23" s="56" t="s">
        <v>667</v>
      </c>
      <c r="CG23" s="56">
        <v>0</v>
      </c>
      <c r="CH23" s="56">
        <v>8457.1299999999992</v>
      </c>
      <c r="CJ23" s="56">
        <v>100</v>
      </c>
      <c r="CK23" s="56">
        <v>8101.63</v>
      </c>
      <c r="CL23" s="56">
        <v>0</v>
      </c>
      <c r="CN23" s="56">
        <v>0</v>
      </c>
      <c r="CO23" s="56">
        <v>0</v>
      </c>
      <c r="CP23" s="56">
        <v>355.5</v>
      </c>
      <c r="CQ23" s="56" t="s">
        <v>668</v>
      </c>
      <c r="CR23" s="56">
        <v>0</v>
      </c>
      <c r="CS23" s="56">
        <v>0</v>
      </c>
      <c r="CV23" s="56">
        <v>0</v>
      </c>
      <c r="CX23" s="56">
        <v>0</v>
      </c>
      <c r="CY23" s="56">
        <v>0</v>
      </c>
      <c r="CZ23" s="56">
        <v>749.4</v>
      </c>
      <c r="DA23" s="56">
        <v>749.4</v>
      </c>
      <c r="DB23" s="56">
        <v>0</v>
      </c>
      <c r="DC23" s="56">
        <v>7352.23</v>
      </c>
      <c r="DD23" s="56">
        <v>0</v>
      </c>
      <c r="DE23" s="56">
        <v>0</v>
      </c>
      <c r="DF23" s="56">
        <v>0</v>
      </c>
      <c r="DH23" s="56" t="s">
        <v>831</v>
      </c>
      <c r="DI23" s="56" t="s">
        <v>671</v>
      </c>
      <c r="DK23" s="56">
        <v>91.14</v>
      </c>
      <c r="DL23" s="56">
        <v>7707.73</v>
      </c>
      <c r="DO23" s="56" t="s">
        <v>236</v>
      </c>
      <c r="DQ23" s="56" t="s">
        <v>674</v>
      </c>
      <c r="DR23" s="56">
        <v>3</v>
      </c>
      <c r="DX23" s="56" t="s">
        <v>678</v>
      </c>
      <c r="DY23" s="56" t="s">
        <v>679</v>
      </c>
      <c r="EL23" s="56">
        <v>15</v>
      </c>
      <c r="EM23" s="56">
        <v>25</v>
      </c>
      <c r="EN23" s="56">
        <v>2331</v>
      </c>
      <c r="EO23" s="56">
        <v>5173</v>
      </c>
      <c r="EP23" s="56">
        <v>6062</v>
      </c>
      <c r="EQ23" s="56" t="s">
        <v>832</v>
      </c>
      <c r="ER23" s="56" t="s">
        <v>833</v>
      </c>
      <c r="ES23" s="56">
        <v>2</v>
      </c>
      <c r="ET23" s="56" t="s">
        <v>682</v>
      </c>
      <c r="EU23" s="56" t="s">
        <v>683</v>
      </c>
      <c r="EV23" s="56" t="s">
        <v>683</v>
      </c>
      <c r="FD23" s="56" t="s">
        <v>879</v>
      </c>
      <c r="FK23" s="56">
        <v>0</v>
      </c>
    </row>
    <row r="24" spans="1:167" x14ac:dyDescent="0.2">
      <c r="A24" s="56">
        <v>29719</v>
      </c>
      <c r="B24" s="56">
        <v>1</v>
      </c>
      <c r="C24" s="56">
        <v>6351</v>
      </c>
      <c r="D24" s="56" t="s">
        <v>634</v>
      </c>
      <c r="E24" s="56" t="s">
        <v>635</v>
      </c>
      <c r="K24" s="56" t="s">
        <v>880</v>
      </c>
      <c r="L24" s="56" t="s">
        <v>637</v>
      </c>
      <c r="M24" s="56">
        <v>44929</v>
      </c>
      <c r="N24" s="56">
        <v>44931</v>
      </c>
      <c r="O24" s="56">
        <v>2</v>
      </c>
      <c r="P24" s="56" t="s">
        <v>682</v>
      </c>
      <c r="Q24" s="56">
        <v>1</v>
      </c>
      <c r="R24" s="56" t="s">
        <v>809</v>
      </c>
      <c r="S24" s="56" t="s">
        <v>810</v>
      </c>
      <c r="T24" s="56" t="s">
        <v>643</v>
      </c>
      <c r="U24" s="56" t="s">
        <v>640</v>
      </c>
      <c r="V24" s="56" t="s">
        <v>641</v>
      </c>
      <c r="W24" s="56">
        <v>46</v>
      </c>
      <c r="X24" s="56" t="s">
        <v>811</v>
      </c>
      <c r="Y24" s="56">
        <v>465</v>
      </c>
      <c r="Z24" s="56" t="s">
        <v>812</v>
      </c>
      <c r="AA24" s="56" t="s">
        <v>813</v>
      </c>
      <c r="AB24" s="56" t="s">
        <v>814</v>
      </c>
      <c r="AC24" s="56" t="s">
        <v>643</v>
      </c>
      <c r="AD24" s="56" t="s">
        <v>815</v>
      </c>
      <c r="AE24" s="56">
        <v>255</v>
      </c>
      <c r="AF24" s="56" t="s">
        <v>816</v>
      </c>
      <c r="AG24" s="56" t="s">
        <v>817</v>
      </c>
      <c r="AH24" s="56" t="s">
        <v>641</v>
      </c>
      <c r="AI24" s="56" t="s">
        <v>640</v>
      </c>
      <c r="AJ24" s="56">
        <v>1169</v>
      </c>
      <c r="AK24" s="56" t="s">
        <v>818</v>
      </c>
      <c r="AL24" s="56">
        <v>985</v>
      </c>
      <c r="AM24" s="56" t="s">
        <v>819</v>
      </c>
      <c r="AN24" s="56" t="s">
        <v>820</v>
      </c>
      <c r="AO24" s="56" t="s">
        <v>821</v>
      </c>
      <c r="AP24" s="56" t="s">
        <v>641</v>
      </c>
      <c r="AQ24" s="56" t="s">
        <v>822</v>
      </c>
      <c r="AR24" s="56">
        <v>1168</v>
      </c>
      <c r="AS24" s="56" t="s">
        <v>823</v>
      </c>
      <c r="AT24" s="56" t="s">
        <v>824</v>
      </c>
      <c r="AU24" s="56" t="s">
        <v>643</v>
      </c>
      <c r="AV24" s="56" t="s">
        <v>825</v>
      </c>
      <c r="AW24" s="56">
        <v>50</v>
      </c>
      <c r="AX24" s="56" t="s">
        <v>881</v>
      </c>
      <c r="AY24" s="56">
        <v>77</v>
      </c>
      <c r="AZ24" s="56" t="s">
        <v>131</v>
      </c>
      <c r="BA24" s="56" t="s">
        <v>882</v>
      </c>
      <c r="BB24" s="56" t="s">
        <v>770</v>
      </c>
      <c r="BC24" s="56">
        <v>38</v>
      </c>
      <c r="BD24" s="56" t="s">
        <v>289</v>
      </c>
      <c r="BE24" s="56" t="s">
        <v>771</v>
      </c>
      <c r="BF24" s="56">
        <v>2</v>
      </c>
      <c r="BG24" s="56" t="s">
        <v>289</v>
      </c>
      <c r="BH24" s="56" t="s">
        <v>772</v>
      </c>
      <c r="BI24" s="56">
        <v>48.32</v>
      </c>
      <c r="BJ24" s="56">
        <v>75298.67</v>
      </c>
      <c r="BK24" s="56">
        <v>48320</v>
      </c>
      <c r="BL24" s="56" t="s">
        <v>828</v>
      </c>
      <c r="BM24" s="56">
        <v>1005</v>
      </c>
      <c r="BN24" s="56" t="s">
        <v>786</v>
      </c>
      <c r="BO24" s="56" t="s">
        <v>883</v>
      </c>
      <c r="BP24" s="56">
        <v>8392.7900000000009</v>
      </c>
      <c r="BQ24" s="56">
        <v>8037.29</v>
      </c>
      <c r="BR24" s="56">
        <v>0</v>
      </c>
      <c r="BS24" s="56">
        <v>0</v>
      </c>
      <c r="BT24" s="56">
        <v>0</v>
      </c>
      <c r="BU24" s="56">
        <v>43287</v>
      </c>
      <c r="BV24" s="56">
        <v>1168</v>
      </c>
      <c r="BW24" s="56" t="s">
        <v>823</v>
      </c>
      <c r="BX24" s="56" t="s">
        <v>884</v>
      </c>
      <c r="BY24" s="56" t="s">
        <v>663</v>
      </c>
      <c r="BZ24" s="56">
        <v>0.25</v>
      </c>
      <c r="CA24" s="56" t="s">
        <v>664</v>
      </c>
      <c r="CB24" s="56" t="s">
        <v>830</v>
      </c>
      <c r="CD24" s="56" t="s">
        <v>667</v>
      </c>
      <c r="CG24" s="56">
        <v>0</v>
      </c>
      <c r="CH24" s="56">
        <v>8392.7900000000009</v>
      </c>
      <c r="CJ24" s="56">
        <v>100</v>
      </c>
      <c r="CK24" s="56">
        <v>8037.29</v>
      </c>
      <c r="CL24" s="56">
        <v>0</v>
      </c>
      <c r="CN24" s="56">
        <v>0</v>
      </c>
      <c r="CO24" s="56">
        <v>0</v>
      </c>
      <c r="CP24" s="56">
        <v>355.5</v>
      </c>
      <c r="CQ24" s="56" t="s">
        <v>668</v>
      </c>
      <c r="CR24" s="56">
        <v>0</v>
      </c>
      <c r="CS24" s="56">
        <v>0</v>
      </c>
      <c r="CV24" s="56">
        <v>0</v>
      </c>
      <c r="CX24" s="56">
        <v>0</v>
      </c>
      <c r="CY24" s="56">
        <v>0</v>
      </c>
      <c r="CZ24" s="56">
        <v>743.45</v>
      </c>
      <c r="DA24" s="56">
        <v>743.45</v>
      </c>
      <c r="DB24" s="56">
        <v>0</v>
      </c>
      <c r="DC24" s="56">
        <v>7293.84</v>
      </c>
      <c r="DD24" s="56">
        <v>0</v>
      </c>
      <c r="DE24" s="56">
        <v>0</v>
      </c>
      <c r="DF24" s="56">
        <v>0</v>
      </c>
      <c r="DH24" s="56" t="s">
        <v>831</v>
      </c>
      <c r="DI24" s="56" t="s">
        <v>671</v>
      </c>
      <c r="DK24" s="56">
        <v>91.14</v>
      </c>
      <c r="DL24" s="56">
        <v>7649.34</v>
      </c>
      <c r="DO24" s="56" t="s">
        <v>236</v>
      </c>
      <c r="DQ24" s="56" t="s">
        <v>674</v>
      </c>
      <c r="DR24" s="56">
        <v>3</v>
      </c>
      <c r="DX24" s="56" t="s">
        <v>678</v>
      </c>
      <c r="DY24" s="56" t="s">
        <v>679</v>
      </c>
      <c r="EL24" s="56">
        <v>15</v>
      </c>
      <c r="EM24" s="56">
        <v>25</v>
      </c>
      <c r="EN24" s="56">
        <v>2331</v>
      </c>
      <c r="EO24" s="56">
        <v>5173</v>
      </c>
      <c r="EP24" s="56">
        <v>6062</v>
      </c>
      <c r="EQ24" s="56" t="s">
        <v>832</v>
      </c>
      <c r="ER24" s="56" t="s">
        <v>833</v>
      </c>
      <c r="ES24" s="56">
        <v>2</v>
      </c>
      <c r="ET24" s="56" t="s">
        <v>682</v>
      </c>
      <c r="EU24" s="56" t="s">
        <v>683</v>
      </c>
      <c r="EV24" s="56" t="s">
        <v>683</v>
      </c>
      <c r="FD24" s="56" t="s">
        <v>885</v>
      </c>
      <c r="FK24" s="56">
        <v>0</v>
      </c>
    </row>
    <row r="25" spans="1:167" x14ac:dyDescent="0.2">
      <c r="A25" s="56">
        <v>28980</v>
      </c>
      <c r="B25" s="56">
        <v>2</v>
      </c>
      <c r="C25" s="56">
        <v>6352</v>
      </c>
      <c r="D25" s="56" t="s">
        <v>634</v>
      </c>
      <c r="E25" s="56" t="s">
        <v>635</v>
      </c>
      <c r="K25" s="56" t="s">
        <v>886</v>
      </c>
      <c r="L25" s="56" t="s">
        <v>637</v>
      </c>
      <c r="M25" s="56">
        <v>44930</v>
      </c>
      <c r="N25" s="56">
        <v>44932</v>
      </c>
      <c r="O25" s="56">
        <v>38</v>
      </c>
      <c r="P25" s="56" t="s">
        <v>638</v>
      </c>
      <c r="Q25" s="56">
        <v>2</v>
      </c>
      <c r="R25" s="56" t="s">
        <v>639</v>
      </c>
      <c r="S25" s="56" t="s">
        <v>640</v>
      </c>
      <c r="T25" s="56" t="s">
        <v>641</v>
      </c>
      <c r="U25" s="56" t="s">
        <v>735</v>
      </c>
      <c r="V25" s="56" t="s">
        <v>643</v>
      </c>
      <c r="W25" s="56">
        <v>49</v>
      </c>
      <c r="X25" s="56" t="s">
        <v>887</v>
      </c>
      <c r="Y25" s="56">
        <v>98</v>
      </c>
      <c r="Z25" s="56" t="s">
        <v>645</v>
      </c>
      <c r="AA25" s="56" t="s">
        <v>646</v>
      </c>
      <c r="AB25" s="56" t="s">
        <v>647</v>
      </c>
      <c r="AC25" s="56" t="s">
        <v>643</v>
      </c>
      <c r="AD25" s="56" t="s">
        <v>648</v>
      </c>
      <c r="AE25" s="56">
        <v>91</v>
      </c>
      <c r="AF25" s="56" t="s">
        <v>736</v>
      </c>
      <c r="AG25" s="56" t="s">
        <v>737</v>
      </c>
      <c r="AH25" s="56" t="s">
        <v>643</v>
      </c>
      <c r="AI25" s="56" t="s">
        <v>735</v>
      </c>
      <c r="AJ25" s="56">
        <v>139</v>
      </c>
      <c r="AK25" s="56" t="s">
        <v>651</v>
      </c>
      <c r="AL25" s="56">
        <v>91</v>
      </c>
      <c r="AM25" s="56" t="s">
        <v>736</v>
      </c>
      <c r="AN25" s="56" t="s">
        <v>737</v>
      </c>
      <c r="AO25" s="56" t="s">
        <v>738</v>
      </c>
      <c r="AP25" s="56" t="s">
        <v>643</v>
      </c>
      <c r="AQ25" s="56" t="s">
        <v>735</v>
      </c>
      <c r="AR25" s="56">
        <v>98</v>
      </c>
      <c r="AS25" s="56" t="s">
        <v>645</v>
      </c>
      <c r="AT25" s="56" t="s">
        <v>646</v>
      </c>
      <c r="AU25" s="56" t="s">
        <v>643</v>
      </c>
      <c r="AV25" s="56" t="s">
        <v>648</v>
      </c>
      <c r="AW25" s="56">
        <v>172</v>
      </c>
      <c r="AX25" s="56" t="s">
        <v>739</v>
      </c>
      <c r="AY25" s="56">
        <v>153</v>
      </c>
      <c r="AZ25" s="56" t="s">
        <v>740</v>
      </c>
      <c r="BA25" s="56" t="s">
        <v>741</v>
      </c>
      <c r="BB25" s="56" t="s">
        <v>742</v>
      </c>
      <c r="BC25" s="56">
        <v>171</v>
      </c>
      <c r="BD25" s="56" t="s">
        <v>739</v>
      </c>
      <c r="BE25" s="56" t="s">
        <v>743</v>
      </c>
      <c r="BF25" s="56">
        <v>171</v>
      </c>
      <c r="BG25" s="56" t="s">
        <v>739</v>
      </c>
      <c r="BH25" s="56" t="s">
        <v>743</v>
      </c>
      <c r="BI25" s="56">
        <v>38.35</v>
      </c>
      <c r="BJ25" s="56">
        <v>105085.9</v>
      </c>
      <c r="BK25" s="56">
        <v>38.35</v>
      </c>
      <c r="BL25" s="56" t="s">
        <v>659</v>
      </c>
      <c r="BM25" s="56">
        <v>3104</v>
      </c>
      <c r="BN25" s="56" t="s">
        <v>744</v>
      </c>
      <c r="BO25" s="56" t="s">
        <v>745</v>
      </c>
      <c r="BP25" s="56">
        <v>5560.75</v>
      </c>
      <c r="BQ25" s="56">
        <v>4844.8599999999997</v>
      </c>
      <c r="BR25" s="56">
        <v>0</v>
      </c>
      <c r="BS25" s="56">
        <v>0</v>
      </c>
      <c r="BT25" s="56">
        <v>3901.45</v>
      </c>
      <c r="BU25" s="56">
        <v>28295</v>
      </c>
      <c r="BV25" s="56">
        <v>98</v>
      </c>
      <c r="BW25" s="56" t="s">
        <v>645</v>
      </c>
      <c r="BX25" s="56" t="s">
        <v>888</v>
      </c>
      <c r="BY25" s="56" t="s">
        <v>663</v>
      </c>
      <c r="BZ25" s="56">
        <v>0.25</v>
      </c>
      <c r="CA25" s="56" t="s">
        <v>664</v>
      </c>
      <c r="CB25" s="56" t="s">
        <v>665</v>
      </c>
      <c r="CC25" s="56" t="s">
        <v>747</v>
      </c>
      <c r="CD25" s="56" t="s">
        <v>667</v>
      </c>
      <c r="CF25" s="56">
        <v>3121.16</v>
      </c>
      <c r="CG25" s="56">
        <v>80</v>
      </c>
      <c r="CH25" s="56">
        <v>145</v>
      </c>
      <c r="CI25" s="56">
        <v>103</v>
      </c>
      <c r="CJ25" s="56">
        <v>19.47</v>
      </c>
      <c r="CK25" s="56">
        <v>4844.8599999999997</v>
      </c>
      <c r="CL25" s="56">
        <v>3901.45</v>
      </c>
      <c r="CM25" s="56">
        <v>33.9</v>
      </c>
      <c r="CN25" s="56">
        <v>667.29</v>
      </c>
      <c r="CO25" s="56">
        <v>667.29</v>
      </c>
      <c r="CP25" s="56">
        <v>48.6</v>
      </c>
      <c r="CQ25" s="56" t="s">
        <v>668</v>
      </c>
      <c r="CR25" s="56">
        <v>0</v>
      </c>
      <c r="CS25" s="56">
        <v>48.6</v>
      </c>
      <c r="CT25" s="56" t="s">
        <v>669</v>
      </c>
      <c r="CU25" s="56">
        <v>0</v>
      </c>
      <c r="CV25" s="56">
        <v>0</v>
      </c>
      <c r="CX25" s="56">
        <v>924.86</v>
      </c>
      <c r="CY25" s="56">
        <v>0</v>
      </c>
      <c r="CZ25" s="56">
        <v>172.99</v>
      </c>
      <c r="DA25" s="56">
        <v>448.15</v>
      </c>
      <c r="DB25" s="56">
        <v>275.16000000000003</v>
      </c>
      <c r="DC25" s="56">
        <v>4671.87</v>
      </c>
      <c r="DD25" s="56">
        <v>140.12</v>
      </c>
      <c r="DE25" s="56">
        <v>0</v>
      </c>
      <c r="DF25" s="56">
        <v>18.05</v>
      </c>
      <c r="DG25" s="56">
        <v>52.54</v>
      </c>
      <c r="DH25" s="56" t="s">
        <v>670</v>
      </c>
      <c r="DI25" s="56" t="s">
        <v>671</v>
      </c>
      <c r="DK25" s="56">
        <v>11.33</v>
      </c>
      <c r="DL25" s="56">
        <v>630.29999999999995</v>
      </c>
      <c r="DM25" s="56">
        <v>93</v>
      </c>
      <c r="DN25" s="56" t="s">
        <v>748</v>
      </c>
      <c r="DO25" s="56" t="s">
        <v>236</v>
      </c>
      <c r="DP25" s="56" t="s">
        <v>673</v>
      </c>
      <c r="DQ25" s="56" t="s">
        <v>674</v>
      </c>
      <c r="DR25" s="56">
        <v>1</v>
      </c>
      <c r="DS25" s="56" t="s">
        <v>889</v>
      </c>
      <c r="DT25" s="56" t="s">
        <v>890</v>
      </c>
      <c r="DU25" s="56">
        <v>36</v>
      </c>
      <c r="DV25" s="56" t="s">
        <v>677</v>
      </c>
      <c r="DX25" s="56" t="s">
        <v>678</v>
      </c>
      <c r="DY25" s="56" t="s">
        <v>679</v>
      </c>
      <c r="ED25" s="56">
        <v>2</v>
      </c>
      <c r="EE25" s="56" t="s">
        <v>639</v>
      </c>
      <c r="EF25" s="56">
        <v>2</v>
      </c>
      <c r="EG25" s="56" t="s">
        <v>639</v>
      </c>
      <c r="EH25" s="56">
        <v>2</v>
      </c>
      <c r="EI25" s="56" t="s">
        <v>639</v>
      </c>
      <c r="EJ25" s="56">
        <v>2</v>
      </c>
      <c r="EK25" s="56" t="s">
        <v>639</v>
      </c>
      <c r="EL25" s="56">
        <v>25</v>
      </c>
      <c r="EM25" s="56">
        <v>15</v>
      </c>
      <c r="EN25" s="56">
        <v>5173</v>
      </c>
      <c r="EO25" s="56">
        <v>1805</v>
      </c>
      <c r="EP25" s="56">
        <v>6792</v>
      </c>
      <c r="EQ25" s="56" t="s">
        <v>751</v>
      </c>
      <c r="ER25" s="56" t="s">
        <v>752</v>
      </c>
      <c r="ES25" s="56">
        <v>2</v>
      </c>
      <c r="ET25" s="56" t="s">
        <v>682</v>
      </c>
      <c r="EU25" s="56" t="s">
        <v>683</v>
      </c>
      <c r="EV25" s="56" t="s">
        <v>683</v>
      </c>
      <c r="FD25" s="56" t="s">
        <v>891</v>
      </c>
      <c r="FK25" s="56">
        <v>0</v>
      </c>
    </row>
    <row r="26" spans="1:167" x14ac:dyDescent="0.2">
      <c r="A26" s="56">
        <v>28981</v>
      </c>
      <c r="B26" s="56">
        <v>2</v>
      </c>
      <c r="C26" s="56">
        <v>6352</v>
      </c>
      <c r="D26" s="56" t="s">
        <v>634</v>
      </c>
      <c r="E26" s="56" t="s">
        <v>635</v>
      </c>
      <c r="K26" s="56" t="s">
        <v>892</v>
      </c>
      <c r="L26" s="56" t="s">
        <v>637</v>
      </c>
      <c r="M26" s="56">
        <v>44930</v>
      </c>
      <c r="N26" s="56">
        <v>44932</v>
      </c>
      <c r="O26" s="56">
        <v>38</v>
      </c>
      <c r="P26" s="56" t="s">
        <v>638</v>
      </c>
      <c r="Q26" s="56">
        <v>2</v>
      </c>
      <c r="R26" s="56" t="s">
        <v>639</v>
      </c>
      <c r="S26" s="56" t="s">
        <v>893</v>
      </c>
      <c r="T26" s="56" t="s">
        <v>641</v>
      </c>
      <c r="U26" s="56" t="s">
        <v>735</v>
      </c>
      <c r="V26" s="56" t="s">
        <v>643</v>
      </c>
      <c r="W26" s="56">
        <v>49</v>
      </c>
      <c r="X26" s="56" t="s">
        <v>887</v>
      </c>
      <c r="Y26" s="56">
        <v>90</v>
      </c>
      <c r="Z26" s="56" t="s">
        <v>894</v>
      </c>
      <c r="AA26" s="56" t="s">
        <v>895</v>
      </c>
      <c r="AB26" s="56" t="s">
        <v>896</v>
      </c>
      <c r="AC26" s="56" t="s">
        <v>641</v>
      </c>
      <c r="AD26" s="56" t="s">
        <v>893</v>
      </c>
      <c r="AE26" s="56">
        <v>91</v>
      </c>
      <c r="AF26" s="56" t="s">
        <v>736</v>
      </c>
      <c r="AG26" s="56" t="s">
        <v>737</v>
      </c>
      <c r="AH26" s="56" t="s">
        <v>643</v>
      </c>
      <c r="AI26" s="56" t="s">
        <v>735</v>
      </c>
      <c r="AJ26" s="56">
        <v>90</v>
      </c>
      <c r="AK26" s="56" t="s">
        <v>894</v>
      </c>
      <c r="AL26" s="56">
        <v>91</v>
      </c>
      <c r="AM26" s="56" t="s">
        <v>736</v>
      </c>
      <c r="AN26" s="56" t="s">
        <v>737</v>
      </c>
      <c r="AO26" s="56" t="s">
        <v>738</v>
      </c>
      <c r="AP26" s="56" t="s">
        <v>643</v>
      </c>
      <c r="AQ26" s="56" t="s">
        <v>735</v>
      </c>
      <c r="AR26" s="56">
        <v>98</v>
      </c>
      <c r="AS26" s="56" t="s">
        <v>645</v>
      </c>
      <c r="AT26" s="56" t="s">
        <v>646</v>
      </c>
      <c r="AU26" s="56" t="s">
        <v>643</v>
      </c>
      <c r="AV26" s="56" t="s">
        <v>648</v>
      </c>
      <c r="AW26" s="56">
        <v>112</v>
      </c>
      <c r="AX26" s="56" t="s">
        <v>842</v>
      </c>
      <c r="AY26" s="56">
        <v>16</v>
      </c>
      <c r="AZ26" s="56" t="s">
        <v>24</v>
      </c>
      <c r="BA26" s="56" t="s">
        <v>843</v>
      </c>
      <c r="BB26" s="56" t="s">
        <v>844</v>
      </c>
      <c r="BC26" s="56">
        <v>2</v>
      </c>
      <c r="BD26" s="56" t="s">
        <v>289</v>
      </c>
      <c r="BE26" s="56" t="s">
        <v>772</v>
      </c>
      <c r="BF26" s="56">
        <v>2</v>
      </c>
      <c r="BG26" s="56" t="s">
        <v>289</v>
      </c>
      <c r="BH26" s="56" t="s">
        <v>772</v>
      </c>
      <c r="BI26" s="56">
        <v>47.07</v>
      </c>
      <c r="BJ26" s="56">
        <v>121293.74</v>
      </c>
      <c r="BK26" s="56">
        <v>47070</v>
      </c>
      <c r="BL26" s="56" t="s">
        <v>897</v>
      </c>
      <c r="BM26" s="56">
        <v>3102</v>
      </c>
      <c r="BN26" s="56" t="s">
        <v>660</v>
      </c>
      <c r="BO26" s="56" t="s">
        <v>706</v>
      </c>
      <c r="BP26" s="56">
        <v>6825.15</v>
      </c>
      <c r="BQ26" s="56">
        <v>5933.23</v>
      </c>
      <c r="BR26" s="56">
        <v>0</v>
      </c>
      <c r="BS26" s="56">
        <v>0</v>
      </c>
      <c r="BT26" s="56">
        <v>0</v>
      </c>
      <c r="BU26" s="56">
        <v>717269</v>
      </c>
      <c r="BV26" s="56">
        <v>98</v>
      </c>
      <c r="BW26" s="56" t="s">
        <v>645</v>
      </c>
      <c r="BX26" s="56" t="s">
        <v>898</v>
      </c>
      <c r="BY26" s="56" t="s">
        <v>663</v>
      </c>
      <c r="BZ26" s="56">
        <v>0.25</v>
      </c>
      <c r="CA26" s="56" t="s">
        <v>664</v>
      </c>
      <c r="CB26" s="56" t="s">
        <v>899</v>
      </c>
      <c r="CD26" s="56" t="s">
        <v>667</v>
      </c>
      <c r="CG26" s="56">
        <v>0</v>
      </c>
      <c r="CH26" s="56">
        <v>145</v>
      </c>
      <c r="CJ26" s="56">
        <v>100</v>
      </c>
      <c r="CK26" s="56">
        <v>5933.23</v>
      </c>
      <c r="CL26" s="56">
        <v>0</v>
      </c>
      <c r="CN26" s="56">
        <v>819.02</v>
      </c>
      <c r="CO26" s="56">
        <v>819.02</v>
      </c>
      <c r="CP26" s="56">
        <v>72.900000000000006</v>
      </c>
      <c r="CQ26" s="56" t="s">
        <v>668</v>
      </c>
      <c r="CR26" s="56">
        <v>0</v>
      </c>
      <c r="CS26" s="56">
        <v>0</v>
      </c>
      <c r="CV26" s="56">
        <v>0</v>
      </c>
      <c r="CX26" s="56">
        <v>0</v>
      </c>
      <c r="CY26" s="56">
        <v>0</v>
      </c>
      <c r="CZ26" s="56">
        <v>548.83000000000004</v>
      </c>
      <c r="DA26" s="56">
        <v>548.83000000000004</v>
      </c>
      <c r="DB26" s="56">
        <v>0</v>
      </c>
      <c r="DC26" s="56">
        <v>5384.4</v>
      </c>
      <c r="DD26" s="56">
        <v>20.84</v>
      </c>
      <c r="DE26" s="56">
        <v>0</v>
      </c>
      <c r="DF26" s="56">
        <v>20.84</v>
      </c>
      <c r="DH26" s="56" t="s">
        <v>670</v>
      </c>
      <c r="DI26" s="56" t="s">
        <v>671</v>
      </c>
      <c r="DK26" s="56">
        <v>79.650000000000006</v>
      </c>
      <c r="DL26" s="56">
        <v>5436.46</v>
      </c>
      <c r="DM26" s="56">
        <v>67</v>
      </c>
      <c r="DN26" s="56" t="s">
        <v>900</v>
      </c>
      <c r="DO26" s="56" t="s">
        <v>236</v>
      </c>
      <c r="DQ26" s="56" t="s">
        <v>674</v>
      </c>
      <c r="DR26" s="56">
        <v>3</v>
      </c>
      <c r="DW26" s="56">
        <v>280</v>
      </c>
      <c r="DX26" s="56" t="s">
        <v>678</v>
      </c>
      <c r="DY26" s="56" t="s">
        <v>679</v>
      </c>
      <c r="EL26" s="56">
        <v>25</v>
      </c>
      <c r="EM26" s="56">
        <v>15</v>
      </c>
      <c r="EN26" s="56">
        <v>4779</v>
      </c>
      <c r="EO26" s="56">
        <v>1805</v>
      </c>
      <c r="EP26" s="56">
        <v>6792</v>
      </c>
      <c r="EQ26" s="56" t="s">
        <v>901</v>
      </c>
      <c r="ER26" s="56" t="s">
        <v>902</v>
      </c>
      <c r="ES26" s="56">
        <v>2</v>
      </c>
      <c r="ET26" s="56" t="s">
        <v>682</v>
      </c>
      <c r="EU26" s="56" t="s">
        <v>683</v>
      </c>
      <c r="EV26" s="56" t="s">
        <v>683</v>
      </c>
      <c r="FD26" s="56" t="s">
        <v>903</v>
      </c>
      <c r="FK26" s="56">
        <v>0</v>
      </c>
    </row>
    <row r="27" spans="1:167" x14ac:dyDescent="0.2">
      <c r="A27" s="56">
        <v>28982</v>
      </c>
      <c r="B27" s="56">
        <v>2</v>
      </c>
      <c r="C27" s="56">
        <v>6352</v>
      </c>
      <c r="D27" s="56" t="s">
        <v>634</v>
      </c>
      <c r="E27" s="56" t="s">
        <v>635</v>
      </c>
      <c r="K27" s="56" t="s">
        <v>904</v>
      </c>
      <c r="L27" s="56" t="s">
        <v>637</v>
      </c>
      <c r="M27" s="56">
        <v>44930</v>
      </c>
      <c r="N27" s="56">
        <v>44932</v>
      </c>
      <c r="O27" s="56">
        <v>38</v>
      </c>
      <c r="P27" s="56" t="s">
        <v>638</v>
      </c>
      <c r="Q27" s="56">
        <v>2</v>
      </c>
      <c r="R27" s="56" t="s">
        <v>639</v>
      </c>
      <c r="S27" s="56" t="s">
        <v>640</v>
      </c>
      <c r="T27" s="56" t="s">
        <v>641</v>
      </c>
      <c r="U27" s="56" t="s">
        <v>735</v>
      </c>
      <c r="V27" s="56" t="s">
        <v>643</v>
      </c>
      <c r="W27" s="56">
        <v>49</v>
      </c>
      <c r="X27" s="56" t="s">
        <v>887</v>
      </c>
      <c r="Y27" s="56">
        <v>98</v>
      </c>
      <c r="Z27" s="56" t="s">
        <v>645</v>
      </c>
      <c r="AA27" s="56" t="s">
        <v>646</v>
      </c>
      <c r="AB27" s="56" t="s">
        <v>647</v>
      </c>
      <c r="AC27" s="56" t="s">
        <v>643</v>
      </c>
      <c r="AD27" s="56" t="s">
        <v>648</v>
      </c>
      <c r="AE27" s="56">
        <v>91</v>
      </c>
      <c r="AF27" s="56" t="s">
        <v>736</v>
      </c>
      <c r="AG27" s="56" t="s">
        <v>737</v>
      </c>
      <c r="AH27" s="56" t="s">
        <v>643</v>
      </c>
      <c r="AI27" s="56" t="s">
        <v>735</v>
      </c>
      <c r="AJ27" s="56">
        <v>139</v>
      </c>
      <c r="AK27" s="56" t="s">
        <v>651</v>
      </c>
      <c r="AL27" s="56">
        <v>91</v>
      </c>
      <c r="AM27" s="56" t="s">
        <v>736</v>
      </c>
      <c r="AN27" s="56" t="s">
        <v>737</v>
      </c>
      <c r="AO27" s="56" t="s">
        <v>738</v>
      </c>
      <c r="AP27" s="56" t="s">
        <v>643</v>
      </c>
      <c r="AQ27" s="56" t="s">
        <v>735</v>
      </c>
      <c r="AR27" s="56">
        <v>98</v>
      </c>
      <c r="AS27" s="56" t="s">
        <v>645</v>
      </c>
      <c r="AT27" s="56" t="s">
        <v>646</v>
      </c>
      <c r="AU27" s="56" t="s">
        <v>643</v>
      </c>
      <c r="AV27" s="56" t="s">
        <v>648</v>
      </c>
      <c r="AW27" s="56">
        <v>974</v>
      </c>
      <c r="AX27" s="56" t="s">
        <v>905</v>
      </c>
      <c r="AY27" s="56">
        <v>1155</v>
      </c>
      <c r="AZ27" s="56" t="s">
        <v>906</v>
      </c>
      <c r="BA27" s="56" t="s">
        <v>907</v>
      </c>
      <c r="BB27" s="56" t="s">
        <v>908</v>
      </c>
      <c r="BC27" s="56">
        <v>975</v>
      </c>
      <c r="BD27" s="56" t="s">
        <v>909</v>
      </c>
      <c r="BE27" s="56" t="s">
        <v>910</v>
      </c>
      <c r="BF27" s="56">
        <v>975</v>
      </c>
      <c r="BG27" s="56" t="s">
        <v>909</v>
      </c>
      <c r="BH27" s="56" t="s">
        <v>910</v>
      </c>
      <c r="BI27" s="56">
        <v>39.82</v>
      </c>
      <c r="BJ27" s="56">
        <v>109113.97</v>
      </c>
      <c r="BK27" s="56">
        <v>39.82</v>
      </c>
      <c r="BL27" s="56" t="s">
        <v>659</v>
      </c>
      <c r="BM27" s="56">
        <v>3104</v>
      </c>
      <c r="BN27" s="56" t="s">
        <v>786</v>
      </c>
      <c r="BO27" s="56" t="s">
        <v>911</v>
      </c>
      <c r="BP27" s="56">
        <v>5773.9</v>
      </c>
      <c r="BQ27" s="56">
        <v>5024.33</v>
      </c>
      <c r="BR27" s="56">
        <v>0</v>
      </c>
      <c r="BS27" s="56">
        <v>0</v>
      </c>
      <c r="BT27" s="56">
        <v>4323.5</v>
      </c>
      <c r="BU27" s="56">
        <v>28298</v>
      </c>
      <c r="BV27" s="56">
        <v>98</v>
      </c>
      <c r="BW27" s="56" t="s">
        <v>645</v>
      </c>
      <c r="BX27" s="56" t="s">
        <v>912</v>
      </c>
      <c r="BY27" s="56" t="s">
        <v>663</v>
      </c>
      <c r="BZ27" s="56">
        <v>0.25</v>
      </c>
      <c r="CA27" s="56" t="s">
        <v>664</v>
      </c>
      <c r="CB27" s="56" t="s">
        <v>665</v>
      </c>
      <c r="CC27" s="56" t="s">
        <v>763</v>
      </c>
      <c r="CD27" s="56" t="s">
        <v>667</v>
      </c>
      <c r="CF27" s="56">
        <v>0</v>
      </c>
      <c r="CG27" s="56">
        <v>0</v>
      </c>
      <c r="CH27" s="56">
        <v>145</v>
      </c>
      <c r="CI27" s="56">
        <v>110</v>
      </c>
      <c r="CJ27" s="56">
        <v>13.95</v>
      </c>
      <c r="CK27" s="56">
        <v>5024.33</v>
      </c>
      <c r="CL27" s="56">
        <v>4323.5</v>
      </c>
      <c r="CM27" s="56">
        <v>8.5500000000000007</v>
      </c>
      <c r="CN27" s="56">
        <v>692.87</v>
      </c>
      <c r="CO27" s="56">
        <v>692.87</v>
      </c>
      <c r="CP27" s="56">
        <v>56.7</v>
      </c>
      <c r="CQ27" s="56" t="s">
        <v>668</v>
      </c>
      <c r="CR27" s="56">
        <v>0</v>
      </c>
      <c r="CS27" s="56">
        <v>56.7</v>
      </c>
      <c r="CT27" s="56" t="s">
        <v>669</v>
      </c>
      <c r="CU27" s="56">
        <v>0</v>
      </c>
      <c r="CV27" s="56">
        <v>0</v>
      </c>
      <c r="CX27" s="56">
        <v>700.83</v>
      </c>
      <c r="CY27" s="56">
        <v>0</v>
      </c>
      <c r="CZ27" s="56">
        <v>159.56</v>
      </c>
      <c r="DA27" s="56">
        <v>464.75</v>
      </c>
      <c r="DB27" s="56">
        <v>305.19</v>
      </c>
      <c r="DC27" s="56">
        <v>4864.7700000000004</v>
      </c>
      <c r="DD27" s="56">
        <v>-35.81</v>
      </c>
      <c r="DE27" s="56">
        <v>0</v>
      </c>
      <c r="DF27" s="56">
        <v>18.75</v>
      </c>
      <c r="DG27" s="56">
        <v>54.56</v>
      </c>
      <c r="DH27" s="56" t="s">
        <v>670</v>
      </c>
      <c r="DI27" s="56" t="s">
        <v>671</v>
      </c>
      <c r="DK27" s="56">
        <v>9.99</v>
      </c>
      <c r="DL27" s="56">
        <v>577.08000000000004</v>
      </c>
      <c r="DM27" s="56">
        <v>93</v>
      </c>
      <c r="DN27" s="56" t="s">
        <v>748</v>
      </c>
      <c r="DO27" s="56" t="s">
        <v>913</v>
      </c>
      <c r="DP27" s="56" t="s">
        <v>677</v>
      </c>
      <c r="DQ27" s="56" t="s">
        <v>674</v>
      </c>
      <c r="DR27" s="56">
        <v>2</v>
      </c>
      <c r="DX27" s="56" t="s">
        <v>709</v>
      </c>
      <c r="DY27" s="56" t="s">
        <v>679</v>
      </c>
      <c r="ED27" s="56">
        <v>2</v>
      </c>
      <c r="EE27" s="56" t="s">
        <v>639</v>
      </c>
      <c r="EF27" s="56">
        <v>2</v>
      </c>
      <c r="EG27" s="56" t="s">
        <v>639</v>
      </c>
      <c r="EH27" s="56">
        <v>2</v>
      </c>
      <c r="EI27" s="56" t="s">
        <v>639</v>
      </c>
      <c r="EJ27" s="56">
        <v>2</v>
      </c>
      <c r="EK27" s="56" t="s">
        <v>639</v>
      </c>
      <c r="EL27" s="56">
        <v>25</v>
      </c>
      <c r="EM27" s="56">
        <v>15</v>
      </c>
      <c r="EN27" s="56">
        <v>5173</v>
      </c>
      <c r="EO27" s="56">
        <v>1805</v>
      </c>
      <c r="EP27" s="56">
        <v>6792</v>
      </c>
      <c r="EQ27" s="56" t="s">
        <v>751</v>
      </c>
      <c r="ER27" s="56" t="s">
        <v>752</v>
      </c>
      <c r="ES27" s="56">
        <v>2</v>
      </c>
      <c r="ET27" s="56" t="s">
        <v>682</v>
      </c>
      <c r="EU27" s="56" t="s">
        <v>683</v>
      </c>
      <c r="EV27" s="56" t="s">
        <v>683</v>
      </c>
      <c r="FD27" s="56" t="s">
        <v>914</v>
      </c>
      <c r="FK27" s="56">
        <v>0</v>
      </c>
    </row>
    <row r="28" spans="1:167" x14ac:dyDescent="0.2">
      <c r="A28" s="56">
        <v>28983</v>
      </c>
      <c r="B28" s="56">
        <v>2</v>
      </c>
      <c r="C28" s="56">
        <v>6352</v>
      </c>
      <c r="D28" s="56" t="s">
        <v>634</v>
      </c>
      <c r="E28" s="56" t="s">
        <v>635</v>
      </c>
      <c r="K28" s="56" t="s">
        <v>915</v>
      </c>
      <c r="L28" s="56" t="s">
        <v>637</v>
      </c>
      <c r="M28" s="56">
        <v>44930</v>
      </c>
      <c r="N28" s="56">
        <v>44932</v>
      </c>
      <c r="O28" s="56">
        <v>38</v>
      </c>
      <c r="P28" s="56" t="s">
        <v>638</v>
      </c>
      <c r="Q28" s="56">
        <v>2</v>
      </c>
      <c r="R28" s="56" t="s">
        <v>639</v>
      </c>
      <c r="S28" s="56" t="s">
        <v>893</v>
      </c>
      <c r="T28" s="56" t="s">
        <v>641</v>
      </c>
      <c r="U28" s="56" t="s">
        <v>642</v>
      </c>
      <c r="V28" s="56" t="s">
        <v>643</v>
      </c>
      <c r="W28" s="56">
        <v>49</v>
      </c>
      <c r="X28" s="56" t="s">
        <v>887</v>
      </c>
      <c r="Y28" s="56">
        <v>90</v>
      </c>
      <c r="Z28" s="56" t="s">
        <v>894</v>
      </c>
      <c r="AA28" s="56" t="s">
        <v>895</v>
      </c>
      <c r="AB28" s="56" t="s">
        <v>896</v>
      </c>
      <c r="AC28" s="56" t="s">
        <v>641</v>
      </c>
      <c r="AD28" s="56" t="s">
        <v>893</v>
      </c>
      <c r="AE28" s="56">
        <v>141</v>
      </c>
      <c r="AF28" s="56" t="s">
        <v>649</v>
      </c>
      <c r="AG28" s="56" t="s">
        <v>650</v>
      </c>
      <c r="AH28" s="56" t="s">
        <v>643</v>
      </c>
      <c r="AI28" s="56" t="s">
        <v>642</v>
      </c>
      <c r="AJ28" s="56">
        <v>90</v>
      </c>
      <c r="AK28" s="56" t="s">
        <v>894</v>
      </c>
      <c r="AL28" s="56">
        <v>141</v>
      </c>
      <c r="AM28" s="56" t="s">
        <v>649</v>
      </c>
      <c r="AN28" s="56" t="s">
        <v>650</v>
      </c>
      <c r="AO28" s="56" t="s">
        <v>652</v>
      </c>
      <c r="AP28" s="56" t="s">
        <v>643</v>
      </c>
      <c r="AQ28" s="56" t="s">
        <v>642</v>
      </c>
      <c r="AR28" s="56">
        <v>98</v>
      </c>
      <c r="AS28" s="56" t="s">
        <v>645</v>
      </c>
      <c r="AT28" s="56" t="s">
        <v>646</v>
      </c>
      <c r="AU28" s="56" t="s">
        <v>643</v>
      </c>
      <c r="AV28" s="56" t="s">
        <v>648</v>
      </c>
      <c r="AW28" s="56">
        <v>1006</v>
      </c>
      <c r="AX28" s="56" t="s">
        <v>916</v>
      </c>
      <c r="AY28" s="56">
        <v>1183</v>
      </c>
      <c r="AZ28" s="56" t="s">
        <v>917</v>
      </c>
      <c r="BA28" s="56" t="s">
        <v>918</v>
      </c>
      <c r="BB28" s="56" t="s">
        <v>919</v>
      </c>
      <c r="BC28" s="56">
        <v>315</v>
      </c>
      <c r="BD28" s="56" t="s">
        <v>920</v>
      </c>
      <c r="BE28" s="56" t="s">
        <v>921</v>
      </c>
      <c r="BF28" s="56">
        <v>315</v>
      </c>
      <c r="BG28" s="56" t="s">
        <v>920</v>
      </c>
      <c r="BH28" s="56" t="s">
        <v>921</v>
      </c>
      <c r="BI28" s="56">
        <v>48.21</v>
      </c>
      <c r="BJ28" s="56">
        <v>163746.23000000001</v>
      </c>
      <c r="BK28" s="56">
        <v>48210</v>
      </c>
      <c r="BL28" s="56" t="s">
        <v>922</v>
      </c>
      <c r="BM28" s="56">
        <v>3105</v>
      </c>
      <c r="BN28" s="56" t="s">
        <v>786</v>
      </c>
      <c r="BO28" s="56" t="s">
        <v>923</v>
      </c>
      <c r="BP28" s="56">
        <v>6797.61</v>
      </c>
      <c r="BQ28" s="56">
        <v>5909</v>
      </c>
      <c r="BR28" s="56">
        <v>0</v>
      </c>
      <c r="BS28" s="56">
        <v>0</v>
      </c>
      <c r="BT28" s="56">
        <v>4748.1000000000004</v>
      </c>
      <c r="BU28" s="56">
        <v>717285</v>
      </c>
      <c r="BV28" s="56">
        <v>98</v>
      </c>
      <c r="BW28" s="56" t="s">
        <v>645</v>
      </c>
      <c r="BX28" s="56" t="s">
        <v>924</v>
      </c>
      <c r="BY28" s="56" t="s">
        <v>663</v>
      </c>
      <c r="BZ28" s="56">
        <v>0.25</v>
      </c>
      <c r="CA28" s="56" t="s">
        <v>664</v>
      </c>
      <c r="CB28" s="56" t="s">
        <v>925</v>
      </c>
      <c r="CC28" s="56" t="s">
        <v>926</v>
      </c>
      <c r="CD28" s="56" t="s">
        <v>667</v>
      </c>
      <c r="CF28" s="56">
        <v>0</v>
      </c>
      <c r="CG28" s="56">
        <v>0</v>
      </c>
      <c r="CH28" s="56">
        <v>141</v>
      </c>
      <c r="CI28" s="56">
        <v>100</v>
      </c>
      <c r="CJ28" s="56">
        <v>19.649999999999999</v>
      </c>
      <c r="CK28" s="56">
        <v>5909</v>
      </c>
      <c r="CL28" s="56">
        <v>4748.1000000000004</v>
      </c>
      <c r="CM28" s="56">
        <v>8.5500000000000007</v>
      </c>
      <c r="CN28" s="56">
        <v>815.71</v>
      </c>
      <c r="CO28" s="56">
        <v>815.71</v>
      </c>
      <c r="CP28" s="56">
        <v>72.900000000000006</v>
      </c>
      <c r="CQ28" s="56" t="s">
        <v>668</v>
      </c>
      <c r="CR28" s="56">
        <v>0</v>
      </c>
      <c r="CS28" s="56">
        <v>72.900000000000006</v>
      </c>
      <c r="CT28" s="56" t="s">
        <v>669</v>
      </c>
      <c r="CU28" s="56">
        <v>0</v>
      </c>
      <c r="CV28" s="56">
        <v>0</v>
      </c>
      <c r="CX28" s="56">
        <v>1160.9000000000001</v>
      </c>
      <c r="CY28" s="56">
        <v>0</v>
      </c>
      <c r="CZ28" s="56">
        <v>210.44</v>
      </c>
      <c r="DA28" s="56">
        <v>546.58000000000004</v>
      </c>
      <c r="DB28" s="56">
        <v>336.14</v>
      </c>
      <c r="DC28" s="56">
        <v>5698.56</v>
      </c>
      <c r="DD28" s="56">
        <v>-53.74</v>
      </c>
      <c r="DE28" s="56">
        <v>0</v>
      </c>
      <c r="DF28" s="56">
        <v>28.13</v>
      </c>
      <c r="DG28" s="56">
        <v>81.87</v>
      </c>
      <c r="DH28" s="56" t="s">
        <v>670</v>
      </c>
      <c r="DI28" s="56" t="s">
        <v>671</v>
      </c>
      <c r="DK28" s="56">
        <v>14.77</v>
      </c>
      <c r="DL28" s="56">
        <v>1004.2</v>
      </c>
      <c r="DM28" s="56">
        <v>62</v>
      </c>
      <c r="DN28" s="56">
        <v>4500837836</v>
      </c>
      <c r="DO28" s="56" t="s">
        <v>236</v>
      </c>
      <c r="DP28" s="56" t="s">
        <v>673</v>
      </c>
      <c r="DQ28" s="56" t="s">
        <v>674</v>
      </c>
      <c r="DR28" s="56">
        <v>2</v>
      </c>
      <c r="DW28" s="56">
        <v>370</v>
      </c>
      <c r="DX28" s="56" t="s">
        <v>678</v>
      </c>
      <c r="DY28" s="56" t="s">
        <v>679</v>
      </c>
      <c r="ED28" s="56">
        <v>2</v>
      </c>
      <c r="EE28" s="56" t="s">
        <v>639</v>
      </c>
      <c r="EF28" s="56">
        <v>2</v>
      </c>
      <c r="EG28" s="56" t="s">
        <v>639</v>
      </c>
      <c r="EH28" s="56">
        <v>2</v>
      </c>
      <c r="EI28" s="56" t="s">
        <v>639</v>
      </c>
      <c r="EJ28" s="56">
        <v>2</v>
      </c>
      <c r="EK28" s="56" t="s">
        <v>639</v>
      </c>
      <c r="EL28" s="56">
        <v>25</v>
      </c>
      <c r="EM28" s="56">
        <v>15</v>
      </c>
      <c r="EN28" s="56">
        <v>4779</v>
      </c>
      <c r="EO28" s="56">
        <v>1622</v>
      </c>
      <c r="EP28" s="56">
        <v>6803</v>
      </c>
      <c r="EQ28" s="56" t="s">
        <v>927</v>
      </c>
      <c r="ER28" s="56" t="s">
        <v>928</v>
      </c>
      <c r="ES28" s="56">
        <v>2</v>
      </c>
      <c r="ET28" s="56" t="s">
        <v>682</v>
      </c>
      <c r="EU28" s="56" t="s">
        <v>683</v>
      </c>
      <c r="EV28" s="56" t="s">
        <v>683</v>
      </c>
      <c r="FD28" s="56" t="s">
        <v>929</v>
      </c>
      <c r="FK28" s="56">
        <v>0</v>
      </c>
    </row>
    <row r="29" spans="1:167" x14ac:dyDescent="0.2">
      <c r="A29" s="56">
        <v>28984</v>
      </c>
      <c r="B29" s="56">
        <v>2</v>
      </c>
      <c r="C29" s="56">
        <v>6352</v>
      </c>
      <c r="D29" s="56" t="s">
        <v>634</v>
      </c>
      <c r="E29" s="56" t="s">
        <v>635</v>
      </c>
      <c r="K29" s="56" t="s">
        <v>930</v>
      </c>
      <c r="L29" s="56" t="s">
        <v>637</v>
      </c>
      <c r="M29" s="56">
        <v>44930</v>
      </c>
      <c r="N29" s="56">
        <v>44932</v>
      </c>
      <c r="O29" s="56">
        <v>38</v>
      </c>
      <c r="P29" s="56" t="s">
        <v>638</v>
      </c>
      <c r="Q29" s="56">
        <v>2</v>
      </c>
      <c r="R29" s="56" t="s">
        <v>639</v>
      </c>
      <c r="S29" s="56" t="s">
        <v>893</v>
      </c>
      <c r="T29" s="56" t="s">
        <v>641</v>
      </c>
      <c r="U29" s="56" t="s">
        <v>642</v>
      </c>
      <c r="V29" s="56" t="s">
        <v>643</v>
      </c>
      <c r="W29" s="56">
        <v>49</v>
      </c>
      <c r="X29" s="56" t="s">
        <v>887</v>
      </c>
      <c r="Y29" s="56">
        <v>90</v>
      </c>
      <c r="Z29" s="56" t="s">
        <v>894</v>
      </c>
      <c r="AA29" s="56" t="s">
        <v>895</v>
      </c>
      <c r="AB29" s="56" t="s">
        <v>896</v>
      </c>
      <c r="AC29" s="56" t="s">
        <v>641</v>
      </c>
      <c r="AD29" s="56" t="s">
        <v>893</v>
      </c>
      <c r="AE29" s="56">
        <v>141</v>
      </c>
      <c r="AF29" s="56" t="s">
        <v>649</v>
      </c>
      <c r="AG29" s="56" t="s">
        <v>650</v>
      </c>
      <c r="AH29" s="56" t="s">
        <v>643</v>
      </c>
      <c r="AI29" s="56" t="s">
        <v>642</v>
      </c>
      <c r="AJ29" s="56">
        <v>90</v>
      </c>
      <c r="AK29" s="56" t="s">
        <v>894</v>
      </c>
      <c r="AL29" s="56">
        <v>141</v>
      </c>
      <c r="AM29" s="56" t="s">
        <v>649</v>
      </c>
      <c r="AN29" s="56" t="s">
        <v>650</v>
      </c>
      <c r="AO29" s="56" t="s">
        <v>652</v>
      </c>
      <c r="AP29" s="56" t="s">
        <v>643</v>
      </c>
      <c r="AQ29" s="56" t="s">
        <v>642</v>
      </c>
      <c r="AR29" s="56">
        <v>98</v>
      </c>
      <c r="AS29" s="56" t="s">
        <v>645</v>
      </c>
      <c r="AT29" s="56" t="s">
        <v>646</v>
      </c>
      <c r="AU29" s="56" t="s">
        <v>643</v>
      </c>
      <c r="AV29" s="56" t="s">
        <v>648</v>
      </c>
      <c r="AW29" s="56">
        <v>787</v>
      </c>
      <c r="AX29" s="56" t="s">
        <v>931</v>
      </c>
      <c r="AY29" s="56">
        <v>917</v>
      </c>
      <c r="AZ29" s="56" t="s">
        <v>932</v>
      </c>
      <c r="BA29" s="56" t="s">
        <v>933</v>
      </c>
      <c r="BB29" s="56" t="s">
        <v>919</v>
      </c>
      <c r="BC29" s="56">
        <v>315</v>
      </c>
      <c r="BD29" s="56" t="s">
        <v>920</v>
      </c>
      <c r="BE29" s="56" t="s">
        <v>921</v>
      </c>
      <c r="BF29" s="56">
        <v>315</v>
      </c>
      <c r="BG29" s="56" t="s">
        <v>920</v>
      </c>
      <c r="BH29" s="56" t="s">
        <v>921</v>
      </c>
      <c r="BI29" s="56">
        <v>48.61</v>
      </c>
      <c r="BJ29" s="56">
        <v>165104.84</v>
      </c>
      <c r="BK29" s="56">
        <v>48610</v>
      </c>
      <c r="BL29" s="56" t="s">
        <v>922</v>
      </c>
      <c r="BM29" s="56">
        <v>3105</v>
      </c>
      <c r="BN29" s="56" t="s">
        <v>786</v>
      </c>
      <c r="BO29" s="56" t="s">
        <v>911</v>
      </c>
      <c r="BP29" s="56">
        <v>6854.01</v>
      </c>
      <c r="BQ29" s="56">
        <v>5958.63</v>
      </c>
      <c r="BR29" s="56">
        <v>0</v>
      </c>
      <c r="BS29" s="56">
        <v>0</v>
      </c>
      <c r="BT29" s="56">
        <v>4788.1000000000004</v>
      </c>
      <c r="BU29" s="56">
        <v>717289</v>
      </c>
      <c r="BV29" s="56">
        <v>98</v>
      </c>
      <c r="BW29" s="56" t="s">
        <v>645</v>
      </c>
      <c r="BX29" s="56" t="s">
        <v>934</v>
      </c>
      <c r="BY29" s="56" t="s">
        <v>663</v>
      </c>
      <c r="BZ29" s="56">
        <v>0.25</v>
      </c>
      <c r="CA29" s="56" t="s">
        <v>664</v>
      </c>
      <c r="CB29" s="56" t="s">
        <v>925</v>
      </c>
      <c r="CC29" s="56" t="s">
        <v>935</v>
      </c>
      <c r="CD29" s="56" t="s">
        <v>667</v>
      </c>
      <c r="CF29" s="56">
        <v>0</v>
      </c>
      <c r="CG29" s="56">
        <v>0</v>
      </c>
      <c r="CH29" s="56">
        <v>141</v>
      </c>
      <c r="CI29" s="56">
        <v>100</v>
      </c>
      <c r="CJ29" s="56">
        <v>19.64</v>
      </c>
      <c r="CK29" s="56">
        <v>5958.63</v>
      </c>
      <c r="CL29" s="56">
        <v>4788.1000000000004</v>
      </c>
      <c r="CM29" s="56">
        <v>97.96</v>
      </c>
      <c r="CN29" s="56">
        <v>822.48</v>
      </c>
      <c r="CO29" s="56">
        <v>822.48</v>
      </c>
      <c r="CP29" s="56">
        <v>72.900000000000006</v>
      </c>
      <c r="CQ29" s="56" t="s">
        <v>668</v>
      </c>
      <c r="CR29" s="56">
        <v>0</v>
      </c>
      <c r="CS29" s="56">
        <v>72.900000000000006</v>
      </c>
      <c r="CT29" s="56" t="s">
        <v>669</v>
      </c>
      <c r="CU29" s="56">
        <v>0</v>
      </c>
      <c r="CV29" s="56">
        <v>0</v>
      </c>
      <c r="CX29" s="56">
        <v>1170.53</v>
      </c>
      <c r="CY29" s="56">
        <v>0</v>
      </c>
      <c r="CZ29" s="56">
        <v>212.26</v>
      </c>
      <c r="DA29" s="56">
        <v>551.17999999999995</v>
      </c>
      <c r="DB29" s="56">
        <v>338.92</v>
      </c>
      <c r="DC29" s="56">
        <v>5746.37</v>
      </c>
      <c r="DD29" s="56">
        <v>-54.18</v>
      </c>
      <c r="DE29" s="56">
        <v>0</v>
      </c>
      <c r="DF29" s="56">
        <v>28.37</v>
      </c>
      <c r="DG29" s="56">
        <v>82.55</v>
      </c>
      <c r="DH29" s="56" t="s">
        <v>670</v>
      </c>
      <c r="DI29" s="56" t="s">
        <v>671</v>
      </c>
      <c r="DK29" s="56">
        <v>14.77</v>
      </c>
      <c r="DL29" s="56">
        <v>1012.45</v>
      </c>
      <c r="DM29" s="56">
        <v>62</v>
      </c>
      <c r="DN29" s="56">
        <v>4500837836</v>
      </c>
      <c r="DO29" s="56" t="s">
        <v>236</v>
      </c>
      <c r="DP29" s="56" t="s">
        <v>673</v>
      </c>
      <c r="DQ29" s="56" t="s">
        <v>674</v>
      </c>
      <c r="DR29" s="56">
        <v>2</v>
      </c>
      <c r="DW29" s="56">
        <v>370</v>
      </c>
      <c r="DX29" s="56" t="s">
        <v>678</v>
      </c>
      <c r="DY29" s="56" t="s">
        <v>679</v>
      </c>
      <c r="ED29" s="56">
        <v>2</v>
      </c>
      <c r="EE29" s="56" t="s">
        <v>639</v>
      </c>
      <c r="EF29" s="56">
        <v>2</v>
      </c>
      <c r="EG29" s="56" t="s">
        <v>639</v>
      </c>
      <c r="EH29" s="56">
        <v>2</v>
      </c>
      <c r="EI29" s="56" t="s">
        <v>639</v>
      </c>
      <c r="EJ29" s="56">
        <v>2</v>
      </c>
      <c r="EK29" s="56" t="s">
        <v>639</v>
      </c>
      <c r="EL29" s="56">
        <v>25</v>
      </c>
      <c r="EM29" s="56">
        <v>15</v>
      </c>
      <c r="EN29" s="56">
        <v>4779</v>
      </c>
      <c r="EO29" s="56">
        <v>1622</v>
      </c>
      <c r="EP29" s="56">
        <v>6803</v>
      </c>
      <c r="EQ29" s="56" t="s">
        <v>927</v>
      </c>
      <c r="ER29" s="56" t="s">
        <v>928</v>
      </c>
      <c r="ES29" s="56">
        <v>2</v>
      </c>
      <c r="ET29" s="56" t="s">
        <v>682</v>
      </c>
      <c r="EU29" s="56" t="s">
        <v>683</v>
      </c>
      <c r="EV29" s="56" t="s">
        <v>683</v>
      </c>
      <c r="FD29" s="56" t="s">
        <v>936</v>
      </c>
      <c r="FK29" s="56">
        <v>0</v>
      </c>
    </row>
    <row r="30" spans="1:167" x14ac:dyDescent="0.2">
      <c r="A30" s="56">
        <v>28985</v>
      </c>
      <c r="B30" s="56">
        <v>2</v>
      </c>
      <c r="C30" s="56">
        <v>6352</v>
      </c>
      <c r="D30" s="56" t="s">
        <v>634</v>
      </c>
      <c r="E30" s="56" t="s">
        <v>635</v>
      </c>
      <c r="K30" s="56" t="s">
        <v>937</v>
      </c>
      <c r="L30" s="56" t="s">
        <v>637</v>
      </c>
      <c r="M30" s="56">
        <v>44930</v>
      </c>
      <c r="N30" s="56">
        <v>44932</v>
      </c>
      <c r="O30" s="56">
        <v>38</v>
      </c>
      <c r="P30" s="56" t="s">
        <v>638</v>
      </c>
      <c r="Q30" s="56">
        <v>2</v>
      </c>
      <c r="R30" s="56" t="s">
        <v>639</v>
      </c>
      <c r="S30" s="56" t="s">
        <v>893</v>
      </c>
      <c r="T30" s="56" t="s">
        <v>641</v>
      </c>
      <c r="U30" s="56" t="s">
        <v>642</v>
      </c>
      <c r="V30" s="56" t="s">
        <v>643</v>
      </c>
      <c r="W30" s="56">
        <v>49</v>
      </c>
      <c r="X30" s="56" t="s">
        <v>887</v>
      </c>
      <c r="Y30" s="56">
        <v>90</v>
      </c>
      <c r="Z30" s="56" t="s">
        <v>894</v>
      </c>
      <c r="AA30" s="56" t="s">
        <v>895</v>
      </c>
      <c r="AB30" s="56" t="s">
        <v>896</v>
      </c>
      <c r="AC30" s="56" t="s">
        <v>641</v>
      </c>
      <c r="AD30" s="56" t="s">
        <v>893</v>
      </c>
      <c r="AE30" s="56">
        <v>141</v>
      </c>
      <c r="AF30" s="56" t="s">
        <v>649</v>
      </c>
      <c r="AG30" s="56" t="s">
        <v>650</v>
      </c>
      <c r="AH30" s="56" t="s">
        <v>643</v>
      </c>
      <c r="AI30" s="56" t="s">
        <v>642</v>
      </c>
      <c r="AJ30" s="56">
        <v>90</v>
      </c>
      <c r="AK30" s="56" t="s">
        <v>894</v>
      </c>
      <c r="AL30" s="56">
        <v>141</v>
      </c>
      <c r="AM30" s="56" t="s">
        <v>649</v>
      </c>
      <c r="AN30" s="56" t="s">
        <v>650</v>
      </c>
      <c r="AO30" s="56" t="s">
        <v>652</v>
      </c>
      <c r="AP30" s="56" t="s">
        <v>643</v>
      </c>
      <c r="AQ30" s="56" t="s">
        <v>642</v>
      </c>
      <c r="AR30" s="56">
        <v>98</v>
      </c>
      <c r="AS30" s="56" t="s">
        <v>645</v>
      </c>
      <c r="AT30" s="56" t="s">
        <v>646</v>
      </c>
      <c r="AU30" s="56" t="s">
        <v>643</v>
      </c>
      <c r="AV30" s="56" t="s">
        <v>648</v>
      </c>
      <c r="AW30" s="56">
        <v>546</v>
      </c>
      <c r="AX30" s="56" t="s">
        <v>938</v>
      </c>
      <c r="AY30" s="56">
        <v>602</v>
      </c>
      <c r="AZ30" s="56" t="s">
        <v>939</v>
      </c>
      <c r="BA30" s="56" t="s">
        <v>940</v>
      </c>
      <c r="BB30" s="56" t="s">
        <v>941</v>
      </c>
      <c r="BC30" s="56">
        <v>1002</v>
      </c>
      <c r="BD30" s="56" t="s">
        <v>942</v>
      </c>
      <c r="BE30" s="56" t="s">
        <v>943</v>
      </c>
      <c r="BF30" s="56">
        <v>1004</v>
      </c>
      <c r="BG30" s="56" t="s">
        <v>944</v>
      </c>
      <c r="BH30" s="56" t="s">
        <v>945</v>
      </c>
      <c r="BI30" s="56">
        <v>47.99</v>
      </c>
      <c r="BJ30" s="56">
        <v>162998.99</v>
      </c>
      <c r="BK30" s="56">
        <v>47990</v>
      </c>
      <c r="BL30" s="56" t="s">
        <v>922</v>
      </c>
      <c r="BM30" s="56">
        <v>3105</v>
      </c>
      <c r="BN30" s="56" t="s">
        <v>660</v>
      </c>
      <c r="BO30" s="56" t="s">
        <v>706</v>
      </c>
      <c r="BP30" s="56">
        <v>6766.59</v>
      </c>
      <c r="BQ30" s="56">
        <v>5881.7</v>
      </c>
      <c r="BR30" s="56">
        <v>0</v>
      </c>
      <c r="BS30" s="56">
        <v>0</v>
      </c>
      <c r="BT30" s="56">
        <v>4726.1000000000004</v>
      </c>
      <c r="BU30" s="56">
        <v>717312</v>
      </c>
      <c r="BV30" s="56">
        <v>98</v>
      </c>
      <c r="BW30" s="56" t="s">
        <v>645</v>
      </c>
      <c r="BX30" s="56" t="s">
        <v>946</v>
      </c>
      <c r="BY30" s="56" t="s">
        <v>663</v>
      </c>
      <c r="BZ30" s="56">
        <v>0.25</v>
      </c>
      <c r="CA30" s="56" t="s">
        <v>664</v>
      </c>
      <c r="CB30" s="56" t="s">
        <v>925</v>
      </c>
      <c r="CC30" s="56" t="s">
        <v>926</v>
      </c>
      <c r="CD30" s="56" t="s">
        <v>667</v>
      </c>
      <c r="CF30" s="56">
        <v>3780.88</v>
      </c>
      <c r="CG30" s="56">
        <v>80</v>
      </c>
      <c r="CH30" s="56">
        <v>141</v>
      </c>
      <c r="CI30" s="56">
        <v>100</v>
      </c>
      <c r="CJ30" s="56">
        <v>19.649999999999999</v>
      </c>
      <c r="CK30" s="56">
        <v>5881.7</v>
      </c>
      <c r="CL30" s="56">
        <v>4726.1000000000004</v>
      </c>
      <c r="CM30" s="56">
        <v>39.26</v>
      </c>
      <c r="CN30" s="56">
        <v>811.99</v>
      </c>
      <c r="CO30" s="56">
        <v>811.99</v>
      </c>
      <c r="CP30" s="56">
        <v>72.900000000000006</v>
      </c>
      <c r="CQ30" s="56" t="s">
        <v>668</v>
      </c>
      <c r="CR30" s="56">
        <v>0</v>
      </c>
      <c r="CS30" s="56">
        <v>72.900000000000006</v>
      </c>
      <c r="CT30" s="56" t="s">
        <v>669</v>
      </c>
      <c r="CU30" s="56">
        <v>0</v>
      </c>
      <c r="CV30" s="56">
        <v>0</v>
      </c>
      <c r="CX30" s="56">
        <v>1132.57</v>
      </c>
      <c r="CY30" s="56">
        <v>0</v>
      </c>
      <c r="CZ30" s="56">
        <v>209.44</v>
      </c>
      <c r="DA30" s="56">
        <v>544.05999999999995</v>
      </c>
      <c r="DB30" s="56">
        <v>334.62</v>
      </c>
      <c r="DC30" s="56">
        <v>5672.26</v>
      </c>
      <c r="DD30" s="56">
        <v>-30.47</v>
      </c>
      <c r="DE30" s="56">
        <v>0</v>
      </c>
      <c r="DF30" s="56">
        <v>28</v>
      </c>
      <c r="DG30" s="56">
        <v>81.5</v>
      </c>
      <c r="DH30" s="56" t="s">
        <v>670</v>
      </c>
      <c r="DI30" s="56" t="s">
        <v>671</v>
      </c>
      <c r="DK30" s="56">
        <v>14.43</v>
      </c>
      <c r="DL30" s="56">
        <v>976.63</v>
      </c>
      <c r="DM30" s="56">
        <v>62</v>
      </c>
      <c r="DN30" s="56">
        <v>4500837836</v>
      </c>
      <c r="DO30" s="56" t="s">
        <v>236</v>
      </c>
      <c r="DP30" s="56" t="s">
        <v>673</v>
      </c>
      <c r="DQ30" s="56" t="s">
        <v>674</v>
      </c>
      <c r="DR30" s="56">
        <v>2</v>
      </c>
      <c r="DS30" s="56" t="s">
        <v>947</v>
      </c>
      <c r="DT30" s="56" t="s">
        <v>948</v>
      </c>
      <c r="DU30" s="56">
        <v>36</v>
      </c>
      <c r="DV30" s="56" t="s">
        <v>677</v>
      </c>
      <c r="DW30" s="56">
        <v>370</v>
      </c>
      <c r="DX30" s="56" t="s">
        <v>678</v>
      </c>
      <c r="DY30" s="56" t="s">
        <v>679</v>
      </c>
      <c r="ED30" s="56">
        <v>2</v>
      </c>
      <c r="EE30" s="56" t="s">
        <v>639</v>
      </c>
      <c r="EF30" s="56">
        <v>2</v>
      </c>
      <c r="EG30" s="56" t="s">
        <v>639</v>
      </c>
      <c r="EH30" s="56">
        <v>2</v>
      </c>
      <c r="EI30" s="56" t="s">
        <v>639</v>
      </c>
      <c r="EJ30" s="56">
        <v>2</v>
      </c>
      <c r="EK30" s="56" t="s">
        <v>639</v>
      </c>
      <c r="EL30" s="56">
        <v>25</v>
      </c>
      <c r="EM30" s="56">
        <v>15</v>
      </c>
      <c r="EN30" s="56">
        <v>4779</v>
      </c>
      <c r="EO30" s="56">
        <v>1622</v>
      </c>
      <c r="EP30" s="56">
        <v>6803</v>
      </c>
      <c r="EQ30" s="56" t="s">
        <v>927</v>
      </c>
      <c r="ER30" s="56" t="s">
        <v>928</v>
      </c>
      <c r="ES30" s="56">
        <v>2</v>
      </c>
      <c r="ET30" s="56" t="s">
        <v>682</v>
      </c>
      <c r="EU30" s="56" t="s">
        <v>683</v>
      </c>
      <c r="EV30" s="56" t="s">
        <v>683</v>
      </c>
      <c r="FD30" s="56" t="s">
        <v>949</v>
      </c>
      <c r="FK30" s="56">
        <v>0</v>
      </c>
    </row>
    <row r="31" spans="1:167" x14ac:dyDescent="0.2">
      <c r="A31" s="56">
        <v>28986</v>
      </c>
      <c r="B31" s="56">
        <v>2</v>
      </c>
      <c r="C31" s="56">
        <v>6352</v>
      </c>
      <c r="D31" s="56" t="s">
        <v>634</v>
      </c>
      <c r="E31" s="56" t="s">
        <v>635</v>
      </c>
      <c r="K31" s="56" t="s">
        <v>950</v>
      </c>
      <c r="L31" s="56" t="s">
        <v>637</v>
      </c>
      <c r="M31" s="56">
        <v>44930</v>
      </c>
      <c r="N31" s="56">
        <v>44932</v>
      </c>
      <c r="O31" s="56">
        <v>38</v>
      </c>
      <c r="P31" s="56" t="s">
        <v>638</v>
      </c>
      <c r="Q31" s="56">
        <v>2</v>
      </c>
      <c r="R31" s="56" t="s">
        <v>639</v>
      </c>
      <c r="S31" s="56" t="s">
        <v>893</v>
      </c>
      <c r="T31" s="56" t="s">
        <v>641</v>
      </c>
      <c r="U31" s="56" t="s">
        <v>642</v>
      </c>
      <c r="V31" s="56" t="s">
        <v>643</v>
      </c>
      <c r="W31" s="56">
        <v>49</v>
      </c>
      <c r="X31" s="56" t="s">
        <v>887</v>
      </c>
      <c r="Y31" s="56">
        <v>90</v>
      </c>
      <c r="Z31" s="56" t="s">
        <v>894</v>
      </c>
      <c r="AA31" s="56" t="s">
        <v>895</v>
      </c>
      <c r="AB31" s="56" t="s">
        <v>896</v>
      </c>
      <c r="AC31" s="56" t="s">
        <v>641</v>
      </c>
      <c r="AD31" s="56" t="s">
        <v>893</v>
      </c>
      <c r="AE31" s="56">
        <v>141</v>
      </c>
      <c r="AF31" s="56" t="s">
        <v>649</v>
      </c>
      <c r="AG31" s="56" t="s">
        <v>650</v>
      </c>
      <c r="AH31" s="56" t="s">
        <v>643</v>
      </c>
      <c r="AI31" s="56" t="s">
        <v>642</v>
      </c>
      <c r="AJ31" s="56">
        <v>90</v>
      </c>
      <c r="AK31" s="56" t="s">
        <v>894</v>
      </c>
      <c r="AL31" s="56">
        <v>141</v>
      </c>
      <c r="AM31" s="56" t="s">
        <v>649</v>
      </c>
      <c r="AN31" s="56" t="s">
        <v>650</v>
      </c>
      <c r="AO31" s="56" t="s">
        <v>652</v>
      </c>
      <c r="AP31" s="56" t="s">
        <v>643</v>
      </c>
      <c r="AQ31" s="56" t="s">
        <v>642</v>
      </c>
      <c r="AR31" s="56">
        <v>98</v>
      </c>
      <c r="AS31" s="56" t="s">
        <v>645</v>
      </c>
      <c r="AT31" s="56" t="s">
        <v>646</v>
      </c>
      <c r="AU31" s="56" t="s">
        <v>643</v>
      </c>
      <c r="AV31" s="56" t="s">
        <v>648</v>
      </c>
      <c r="AW31" s="56">
        <v>1170</v>
      </c>
      <c r="AX31" s="56" t="s">
        <v>951</v>
      </c>
      <c r="AY31" s="56">
        <v>549</v>
      </c>
      <c r="AZ31" s="56" t="s">
        <v>952</v>
      </c>
      <c r="BA31" s="56" t="s">
        <v>953</v>
      </c>
      <c r="BB31" s="56" t="s">
        <v>941</v>
      </c>
      <c r="BC31" s="56">
        <v>1002</v>
      </c>
      <c r="BD31" s="56" t="s">
        <v>942</v>
      </c>
      <c r="BE31" s="56" t="s">
        <v>943</v>
      </c>
      <c r="BF31" s="56">
        <v>546</v>
      </c>
      <c r="BG31" s="56" t="s">
        <v>938</v>
      </c>
      <c r="BH31" s="56" t="s">
        <v>945</v>
      </c>
      <c r="BI31" s="56">
        <v>48.56</v>
      </c>
      <c r="BJ31" s="56">
        <v>164935.01</v>
      </c>
      <c r="BK31" s="56">
        <v>48560</v>
      </c>
      <c r="BL31" s="56" t="s">
        <v>922</v>
      </c>
      <c r="BM31" s="56">
        <v>3105</v>
      </c>
      <c r="BN31" s="56" t="s">
        <v>660</v>
      </c>
      <c r="BO31" s="56" t="s">
        <v>855</v>
      </c>
      <c r="BP31" s="56">
        <v>6846.96</v>
      </c>
      <c r="BQ31" s="56">
        <v>5952.42</v>
      </c>
      <c r="BR31" s="56">
        <v>0</v>
      </c>
      <c r="BS31" s="56">
        <v>0</v>
      </c>
      <c r="BT31" s="56">
        <v>4783.1000000000004</v>
      </c>
      <c r="BU31" s="56">
        <v>717308</v>
      </c>
      <c r="BV31" s="56">
        <v>98</v>
      </c>
      <c r="BW31" s="56" t="s">
        <v>645</v>
      </c>
      <c r="BX31" s="56" t="s">
        <v>954</v>
      </c>
      <c r="BY31" s="56" t="s">
        <v>663</v>
      </c>
      <c r="BZ31" s="56">
        <v>0.25</v>
      </c>
      <c r="CA31" s="56" t="s">
        <v>664</v>
      </c>
      <c r="CB31" s="56" t="s">
        <v>925</v>
      </c>
      <c r="CC31" s="56" t="s">
        <v>926</v>
      </c>
      <c r="CD31" s="56" t="s">
        <v>667</v>
      </c>
      <c r="CF31" s="56">
        <v>3826.48</v>
      </c>
      <c r="CG31" s="56">
        <v>80</v>
      </c>
      <c r="CH31" s="56">
        <v>141</v>
      </c>
      <c r="CI31" s="56">
        <v>100</v>
      </c>
      <c r="CJ31" s="56">
        <v>19.64</v>
      </c>
      <c r="CK31" s="56">
        <v>5952.42</v>
      </c>
      <c r="CL31" s="56">
        <v>4783.1000000000004</v>
      </c>
      <c r="CM31" s="56">
        <v>129.05000000000001</v>
      </c>
      <c r="CN31" s="56">
        <v>821.64</v>
      </c>
      <c r="CO31" s="56">
        <v>821.64</v>
      </c>
      <c r="CP31" s="56">
        <v>72.900000000000006</v>
      </c>
      <c r="CQ31" s="56" t="s">
        <v>668</v>
      </c>
      <c r="CR31" s="56">
        <v>0</v>
      </c>
      <c r="CS31" s="56">
        <v>72.900000000000006</v>
      </c>
      <c r="CT31" s="56" t="s">
        <v>669</v>
      </c>
      <c r="CU31" s="56">
        <v>0</v>
      </c>
      <c r="CV31" s="56">
        <v>0</v>
      </c>
      <c r="CX31" s="56">
        <v>1146.46</v>
      </c>
      <c r="CY31" s="56">
        <v>0</v>
      </c>
      <c r="CZ31" s="56">
        <v>212.02</v>
      </c>
      <c r="DA31" s="56">
        <v>550.59</v>
      </c>
      <c r="DB31" s="56">
        <v>338.57</v>
      </c>
      <c r="DC31" s="56">
        <v>5740.4</v>
      </c>
      <c r="DD31" s="56">
        <v>-31.27</v>
      </c>
      <c r="DE31" s="56">
        <v>0</v>
      </c>
      <c r="DF31" s="56">
        <v>28.34</v>
      </c>
      <c r="DG31" s="56">
        <v>82.47</v>
      </c>
      <c r="DH31" s="56" t="s">
        <v>670</v>
      </c>
      <c r="DI31" s="56" t="s">
        <v>671</v>
      </c>
      <c r="DK31" s="56">
        <v>14.44</v>
      </c>
      <c r="DL31" s="56">
        <v>988.57</v>
      </c>
      <c r="DM31" s="56">
        <v>62</v>
      </c>
      <c r="DN31" s="56">
        <v>4500837836</v>
      </c>
      <c r="DO31" s="56" t="s">
        <v>955</v>
      </c>
      <c r="DP31" s="56" t="s">
        <v>677</v>
      </c>
      <c r="DQ31" s="56" t="s">
        <v>674</v>
      </c>
      <c r="DR31" s="56">
        <v>2</v>
      </c>
      <c r="DS31" s="56" t="s">
        <v>956</v>
      </c>
      <c r="DT31" s="56" t="s">
        <v>957</v>
      </c>
      <c r="DU31" s="56">
        <v>36</v>
      </c>
      <c r="DV31" s="56" t="s">
        <v>677</v>
      </c>
      <c r="DW31" s="56">
        <v>370</v>
      </c>
      <c r="DX31" s="56" t="s">
        <v>678</v>
      </c>
      <c r="DY31" s="56" t="s">
        <v>679</v>
      </c>
      <c r="ED31" s="56">
        <v>2</v>
      </c>
      <c r="EE31" s="56" t="s">
        <v>639</v>
      </c>
      <c r="EF31" s="56">
        <v>2</v>
      </c>
      <c r="EG31" s="56" t="s">
        <v>639</v>
      </c>
      <c r="EH31" s="56">
        <v>2</v>
      </c>
      <c r="EI31" s="56" t="s">
        <v>639</v>
      </c>
      <c r="EJ31" s="56">
        <v>2</v>
      </c>
      <c r="EK31" s="56" t="s">
        <v>639</v>
      </c>
      <c r="EL31" s="56">
        <v>25</v>
      </c>
      <c r="EM31" s="56">
        <v>15</v>
      </c>
      <c r="EN31" s="56">
        <v>4779</v>
      </c>
      <c r="EO31" s="56">
        <v>1622</v>
      </c>
      <c r="EP31" s="56">
        <v>6803</v>
      </c>
      <c r="EQ31" s="56" t="s">
        <v>927</v>
      </c>
      <c r="ER31" s="56" t="s">
        <v>928</v>
      </c>
      <c r="ES31" s="56">
        <v>2</v>
      </c>
      <c r="ET31" s="56" t="s">
        <v>682</v>
      </c>
      <c r="EU31" s="56" t="s">
        <v>683</v>
      </c>
      <c r="EV31" s="56" t="s">
        <v>683</v>
      </c>
      <c r="FD31" s="56" t="s">
        <v>958</v>
      </c>
      <c r="FK31" s="56">
        <v>0</v>
      </c>
    </row>
    <row r="32" spans="1:167" x14ac:dyDescent="0.2">
      <c r="A32" s="56">
        <v>28987</v>
      </c>
      <c r="B32" s="56">
        <v>2</v>
      </c>
      <c r="C32" s="56">
        <v>6352</v>
      </c>
      <c r="D32" s="56" t="s">
        <v>634</v>
      </c>
      <c r="E32" s="56" t="s">
        <v>635</v>
      </c>
      <c r="K32" s="56" t="s">
        <v>959</v>
      </c>
      <c r="L32" s="56" t="s">
        <v>637</v>
      </c>
      <c r="M32" s="56">
        <v>44930</v>
      </c>
      <c r="N32" s="56">
        <v>44932</v>
      </c>
      <c r="O32" s="56">
        <v>38</v>
      </c>
      <c r="P32" s="56" t="s">
        <v>638</v>
      </c>
      <c r="Q32" s="56">
        <v>2</v>
      </c>
      <c r="R32" s="56" t="s">
        <v>639</v>
      </c>
      <c r="S32" s="56" t="s">
        <v>640</v>
      </c>
      <c r="T32" s="56" t="s">
        <v>641</v>
      </c>
      <c r="U32" s="56" t="s">
        <v>735</v>
      </c>
      <c r="V32" s="56" t="s">
        <v>643</v>
      </c>
      <c r="W32" s="56">
        <v>47</v>
      </c>
      <c r="X32" s="56" t="s">
        <v>644</v>
      </c>
      <c r="Y32" s="56">
        <v>98</v>
      </c>
      <c r="Z32" s="56" t="s">
        <v>645</v>
      </c>
      <c r="AA32" s="56" t="s">
        <v>646</v>
      </c>
      <c r="AB32" s="56" t="s">
        <v>647</v>
      </c>
      <c r="AC32" s="56" t="s">
        <v>643</v>
      </c>
      <c r="AD32" s="56" t="s">
        <v>648</v>
      </c>
      <c r="AE32" s="56">
        <v>91</v>
      </c>
      <c r="AF32" s="56" t="s">
        <v>736</v>
      </c>
      <c r="AG32" s="56" t="s">
        <v>737</v>
      </c>
      <c r="AH32" s="56" t="s">
        <v>643</v>
      </c>
      <c r="AI32" s="56" t="s">
        <v>735</v>
      </c>
      <c r="AJ32" s="56">
        <v>139</v>
      </c>
      <c r="AK32" s="56" t="s">
        <v>651</v>
      </c>
      <c r="AL32" s="56">
        <v>91</v>
      </c>
      <c r="AM32" s="56" t="s">
        <v>736</v>
      </c>
      <c r="AN32" s="56" t="s">
        <v>737</v>
      </c>
      <c r="AO32" s="56" t="s">
        <v>738</v>
      </c>
      <c r="AP32" s="56" t="s">
        <v>643</v>
      </c>
      <c r="AQ32" s="56" t="s">
        <v>735</v>
      </c>
      <c r="AR32" s="56">
        <v>98</v>
      </c>
      <c r="AS32" s="56" t="s">
        <v>645</v>
      </c>
      <c r="AT32" s="56" t="s">
        <v>646</v>
      </c>
      <c r="AU32" s="56" t="s">
        <v>643</v>
      </c>
      <c r="AV32" s="56" t="s">
        <v>648</v>
      </c>
      <c r="AW32" s="56">
        <v>122</v>
      </c>
      <c r="AX32" s="56" t="s">
        <v>768</v>
      </c>
      <c r="AY32" s="56">
        <v>69</v>
      </c>
      <c r="AZ32" s="56" t="s">
        <v>26</v>
      </c>
      <c r="BA32" s="56" t="s">
        <v>769</v>
      </c>
      <c r="BB32" s="56" t="s">
        <v>770</v>
      </c>
      <c r="BC32" s="56">
        <v>38</v>
      </c>
      <c r="BD32" s="56" t="s">
        <v>289</v>
      </c>
      <c r="BE32" s="56" t="s">
        <v>771</v>
      </c>
      <c r="BF32" s="56">
        <v>2</v>
      </c>
      <c r="BG32" s="56" t="s">
        <v>289</v>
      </c>
      <c r="BH32" s="56" t="s">
        <v>772</v>
      </c>
      <c r="BI32" s="56">
        <v>25.32</v>
      </c>
      <c r="BJ32" s="56">
        <v>69381.36</v>
      </c>
      <c r="BK32" s="56">
        <v>25.32</v>
      </c>
      <c r="BL32" s="56" t="s">
        <v>659</v>
      </c>
      <c r="BM32" s="56">
        <v>3104</v>
      </c>
      <c r="BN32" s="56" t="s">
        <v>724</v>
      </c>
      <c r="BO32" s="56" t="s">
        <v>773</v>
      </c>
      <c r="BP32" s="56">
        <v>3671.4</v>
      </c>
      <c r="BQ32" s="56">
        <v>3230.83</v>
      </c>
      <c r="BR32" s="56">
        <v>0</v>
      </c>
      <c r="BS32" s="56">
        <v>0</v>
      </c>
      <c r="BT32" s="56">
        <v>0</v>
      </c>
      <c r="BU32" s="56">
        <v>28311</v>
      </c>
      <c r="BV32" s="56">
        <v>98</v>
      </c>
      <c r="BW32" s="56" t="s">
        <v>645</v>
      </c>
      <c r="BX32" s="56" t="s">
        <v>960</v>
      </c>
      <c r="BY32" s="56" t="s">
        <v>663</v>
      </c>
      <c r="BZ32" s="56">
        <v>0.25</v>
      </c>
      <c r="CA32" s="56" t="s">
        <v>664</v>
      </c>
      <c r="CB32" s="56" t="s">
        <v>665</v>
      </c>
      <c r="CD32" s="56" t="s">
        <v>667</v>
      </c>
      <c r="CG32" s="56">
        <v>0</v>
      </c>
      <c r="CH32" s="56">
        <v>145</v>
      </c>
      <c r="CJ32" s="56">
        <v>100</v>
      </c>
      <c r="CK32" s="56">
        <v>3230.83</v>
      </c>
      <c r="CL32" s="56">
        <v>0</v>
      </c>
      <c r="CN32" s="56">
        <v>440.57</v>
      </c>
      <c r="CO32" s="56">
        <v>440.57</v>
      </c>
      <c r="CP32" s="56">
        <v>0</v>
      </c>
      <c r="CQ32" s="56" t="s">
        <v>708</v>
      </c>
      <c r="CR32" s="56">
        <v>0</v>
      </c>
      <c r="CS32" s="56">
        <v>0</v>
      </c>
      <c r="CV32" s="56">
        <v>0</v>
      </c>
      <c r="CX32" s="56">
        <v>0</v>
      </c>
      <c r="CY32" s="56">
        <v>0</v>
      </c>
      <c r="CZ32" s="56">
        <v>298.85000000000002</v>
      </c>
      <c r="DA32" s="56">
        <v>298.85000000000002</v>
      </c>
      <c r="DB32" s="56">
        <v>0</v>
      </c>
      <c r="DC32" s="56">
        <v>2931.98</v>
      </c>
      <c r="DD32" s="56">
        <v>11.92</v>
      </c>
      <c r="DE32" s="56">
        <v>0</v>
      </c>
      <c r="DF32" s="56">
        <v>11.92</v>
      </c>
      <c r="DH32" s="56" t="s">
        <v>670</v>
      </c>
      <c r="DI32" s="56" t="s">
        <v>671</v>
      </c>
      <c r="DK32" s="56">
        <v>79.540000000000006</v>
      </c>
      <c r="DL32" s="56">
        <v>2920.06</v>
      </c>
      <c r="DM32" s="56">
        <v>93</v>
      </c>
      <c r="DN32" s="56" t="s">
        <v>748</v>
      </c>
      <c r="DO32" s="56" t="s">
        <v>236</v>
      </c>
      <c r="DQ32" s="56" t="s">
        <v>674</v>
      </c>
      <c r="DR32" s="56">
        <v>3</v>
      </c>
      <c r="DX32" s="56" t="s">
        <v>678</v>
      </c>
      <c r="DY32" s="56" t="s">
        <v>679</v>
      </c>
      <c r="EL32" s="56">
        <v>25</v>
      </c>
      <c r="EM32" s="56">
        <v>15</v>
      </c>
      <c r="EN32" s="56">
        <v>5173</v>
      </c>
      <c r="EO32" s="56">
        <v>1805</v>
      </c>
      <c r="EP32" s="56">
        <v>6792</v>
      </c>
      <c r="EQ32" s="56" t="s">
        <v>751</v>
      </c>
      <c r="ER32" s="56" t="s">
        <v>752</v>
      </c>
      <c r="ES32" s="56">
        <v>2</v>
      </c>
      <c r="ET32" s="56" t="s">
        <v>682</v>
      </c>
      <c r="EU32" s="56" t="s">
        <v>683</v>
      </c>
      <c r="EV32" s="56" t="s">
        <v>683</v>
      </c>
      <c r="FD32" s="56" t="s">
        <v>961</v>
      </c>
      <c r="FK32" s="56">
        <v>0</v>
      </c>
    </row>
    <row r="33" spans="1:167" x14ac:dyDescent="0.2">
      <c r="A33" s="56">
        <v>28988</v>
      </c>
      <c r="B33" s="56">
        <v>2</v>
      </c>
      <c r="C33" s="56">
        <v>6352</v>
      </c>
      <c r="D33" s="56" t="s">
        <v>634</v>
      </c>
      <c r="E33" s="56" t="s">
        <v>635</v>
      </c>
      <c r="K33" s="56" t="s">
        <v>962</v>
      </c>
      <c r="L33" s="56" t="s">
        <v>637</v>
      </c>
      <c r="M33" s="56">
        <v>44930</v>
      </c>
      <c r="N33" s="56">
        <v>44932</v>
      </c>
      <c r="O33" s="56">
        <v>38</v>
      </c>
      <c r="P33" s="56" t="s">
        <v>638</v>
      </c>
      <c r="Q33" s="56">
        <v>2</v>
      </c>
      <c r="R33" s="56" t="s">
        <v>639</v>
      </c>
      <c r="S33" s="56" t="s">
        <v>640</v>
      </c>
      <c r="T33" s="56" t="s">
        <v>641</v>
      </c>
      <c r="U33" s="56" t="s">
        <v>735</v>
      </c>
      <c r="V33" s="56" t="s">
        <v>643</v>
      </c>
      <c r="W33" s="56">
        <v>47</v>
      </c>
      <c r="X33" s="56" t="s">
        <v>644</v>
      </c>
      <c r="Y33" s="56">
        <v>98</v>
      </c>
      <c r="Z33" s="56" t="s">
        <v>645</v>
      </c>
      <c r="AA33" s="56" t="s">
        <v>646</v>
      </c>
      <c r="AB33" s="56" t="s">
        <v>647</v>
      </c>
      <c r="AC33" s="56" t="s">
        <v>643</v>
      </c>
      <c r="AD33" s="56" t="s">
        <v>648</v>
      </c>
      <c r="AE33" s="56">
        <v>91</v>
      </c>
      <c r="AF33" s="56" t="s">
        <v>736</v>
      </c>
      <c r="AG33" s="56" t="s">
        <v>737</v>
      </c>
      <c r="AH33" s="56" t="s">
        <v>643</v>
      </c>
      <c r="AI33" s="56" t="s">
        <v>735</v>
      </c>
      <c r="AJ33" s="56">
        <v>139</v>
      </c>
      <c r="AK33" s="56" t="s">
        <v>651</v>
      </c>
      <c r="AL33" s="56">
        <v>91</v>
      </c>
      <c r="AM33" s="56" t="s">
        <v>736</v>
      </c>
      <c r="AN33" s="56" t="s">
        <v>737</v>
      </c>
      <c r="AO33" s="56" t="s">
        <v>738</v>
      </c>
      <c r="AP33" s="56" t="s">
        <v>643</v>
      </c>
      <c r="AQ33" s="56" t="s">
        <v>735</v>
      </c>
      <c r="AR33" s="56">
        <v>98</v>
      </c>
      <c r="AS33" s="56" t="s">
        <v>645</v>
      </c>
      <c r="AT33" s="56" t="s">
        <v>646</v>
      </c>
      <c r="AU33" s="56" t="s">
        <v>643</v>
      </c>
      <c r="AV33" s="56" t="s">
        <v>648</v>
      </c>
      <c r="AW33" s="56">
        <v>122</v>
      </c>
      <c r="AX33" s="56" t="s">
        <v>768</v>
      </c>
      <c r="AY33" s="56">
        <v>69</v>
      </c>
      <c r="AZ33" s="56" t="s">
        <v>26</v>
      </c>
      <c r="BA33" s="56" t="s">
        <v>769</v>
      </c>
      <c r="BB33" s="56" t="s">
        <v>770</v>
      </c>
      <c r="BC33" s="56">
        <v>38</v>
      </c>
      <c r="BD33" s="56" t="s">
        <v>289</v>
      </c>
      <c r="BE33" s="56" t="s">
        <v>771</v>
      </c>
      <c r="BF33" s="56">
        <v>2</v>
      </c>
      <c r="BG33" s="56" t="s">
        <v>289</v>
      </c>
      <c r="BH33" s="56" t="s">
        <v>772</v>
      </c>
      <c r="BI33" s="56">
        <v>22.46</v>
      </c>
      <c r="BJ33" s="56">
        <v>61544.44</v>
      </c>
      <c r="BK33" s="56">
        <v>22.46</v>
      </c>
      <c r="BL33" s="56" t="s">
        <v>659</v>
      </c>
      <c r="BM33" s="56">
        <v>3104</v>
      </c>
      <c r="BN33" s="56" t="s">
        <v>724</v>
      </c>
      <c r="BO33" s="56" t="s">
        <v>773</v>
      </c>
      <c r="BP33" s="56">
        <v>3256.7</v>
      </c>
      <c r="BQ33" s="56">
        <v>2793</v>
      </c>
      <c r="BR33" s="56">
        <v>0</v>
      </c>
      <c r="BS33" s="56">
        <v>0</v>
      </c>
      <c r="BT33" s="56">
        <v>0</v>
      </c>
      <c r="BU33" s="56">
        <v>28310</v>
      </c>
      <c r="BV33" s="56">
        <v>98</v>
      </c>
      <c r="BW33" s="56" t="s">
        <v>645</v>
      </c>
      <c r="BX33" s="56" t="s">
        <v>963</v>
      </c>
      <c r="BY33" s="56" t="s">
        <v>663</v>
      </c>
      <c r="BZ33" s="56">
        <v>0.25</v>
      </c>
      <c r="CA33" s="56" t="s">
        <v>664</v>
      </c>
      <c r="CB33" s="56" t="s">
        <v>665</v>
      </c>
      <c r="CD33" s="56" t="s">
        <v>667</v>
      </c>
      <c r="CG33" s="56">
        <v>0</v>
      </c>
      <c r="CH33" s="56">
        <v>145</v>
      </c>
      <c r="CJ33" s="56">
        <v>100</v>
      </c>
      <c r="CK33" s="56">
        <v>2793</v>
      </c>
      <c r="CL33" s="56">
        <v>0</v>
      </c>
      <c r="CN33" s="56">
        <v>390.8</v>
      </c>
      <c r="CO33" s="56">
        <v>390.8</v>
      </c>
      <c r="CP33" s="56">
        <v>72.900000000000006</v>
      </c>
      <c r="CQ33" s="56" t="s">
        <v>668</v>
      </c>
      <c r="CR33" s="56">
        <v>0</v>
      </c>
      <c r="CS33" s="56">
        <v>0</v>
      </c>
      <c r="CV33" s="56">
        <v>0</v>
      </c>
      <c r="CX33" s="56">
        <v>0</v>
      </c>
      <c r="CY33" s="56">
        <v>0</v>
      </c>
      <c r="CZ33" s="56">
        <v>258.35000000000002</v>
      </c>
      <c r="DA33" s="56">
        <v>258.35000000000002</v>
      </c>
      <c r="DB33" s="56">
        <v>0</v>
      </c>
      <c r="DC33" s="56">
        <v>2534.65</v>
      </c>
      <c r="DD33" s="56">
        <v>10.57</v>
      </c>
      <c r="DE33" s="56">
        <v>0</v>
      </c>
      <c r="DF33" s="56">
        <v>10.57</v>
      </c>
      <c r="DH33" s="56" t="s">
        <v>670</v>
      </c>
      <c r="DI33" s="56" t="s">
        <v>671</v>
      </c>
      <c r="DK33" s="56">
        <v>79.739999999999995</v>
      </c>
      <c r="DL33" s="56">
        <v>2596.98</v>
      </c>
      <c r="DM33" s="56">
        <v>93</v>
      </c>
      <c r="DN33" s="56" t="s">
        <v>748</v>
      </c>
      <c r="DO33" s="56" t="s">
        <v>236</v>
      </c>
      <c r="DQ33" s="56" t="s">
        <v>674</v>
      </c>
      <c r="DR33" s="56">
        <v>3</v>
      </c>
      <c r="DX33" s="56" t="s">
        <v>678</v>
      </c>
      <c r="DY33" s="56" t="s">
        <v>679</v>
      </c>
      <c r="EL33" s="56">
        <v>25</v>
      </c>
      <c r="EM33" s="56">
        <v>15</v>
      </c>
      <c r="EN33" s="56">
        <v>5173</v>
      </c>
      <c r="EO33" s="56">
        <v>1805</v>
      </c>
      <c r="EP33" s="56">
        <v>6792</v>
      </c>
      <c r="EQ33" s="56" t="s">
        <v>751</v>
      </c>
      <c r="ER33" s="56" t="s">
        <v>752</v>
      </c>
      <c r="ES33" s="56">
        <v>2</v>
      </c>
      <c r="ET33" s="56" t="s">
        <v>682</v>
      </c>
      <c r="EU33" s="56" t="s">
        <v>683</v>
      </c>
      <c r="EV33" s="56" t="s">
        <v>683</v>
      </c>
      <c r="FD33" s="56" t="s">
        <v>964</v>
      </c>
      <c r="FK33" s="56">
        <v>0</v>
      </c>
    </row>
    <row r="34" spans="1:167" x14ac:dyDescent="0.2">
      <c r="A34" s="56">
        <v>28989</v>
      </c>
      <c r="B34" s="56">
        <v>2</v>
      </c>
      <c r="C34" s="56">
        <v>6352</v>
      </c>
      <c r="D34" s="56" t="s">
        <v>634</v>
      </c>
      <c r="E34" s="56" t="s">
        <v>635</v>
      </c>
      <c r="K34" s="56" t="s">
        <v>965</v>
      </c>
      <c r="L34" s="56" t="s">
        <v>637</v>
      </c>
      <c r="M34" s="56">
        <v>44930</v>
      </c>
      <c r="N34" s="56">
        <v>44932</v>
      </c>
      <c r="O34" s="56">
        <v>38</v>
      </c>
      <c r="P34" s="56" t="s">
        <v>638</v>
      </c>
      <c r="Q34" s="56">
        <v>2</v>
      </c>
      <c r="R34" s="56" t="s">
        <v>639</v>
      </c>
      <c r="S34" s="56" t="s">
        <v>640</v>
      </c>
      <c r="T34" s="56" t="s">
        <v>641</v>
      </c>
      <c r="U34" s="56" t="s">
        <v>642</v>
      </c>
      <c r="V34" s="56" t="s">
        <v>643</v>
      </c>
      <c r="W34" s="56">
        <v>47</v>
      </c>
      <c r="X34" s="56" t="s">
        <v>644</v>
      </c>
      <c r="Y34" s="56">
        <v>98</v>
      </c>
      <c r="Z34" s="56" t="s">
        <v>645</v>
      </c>
      <c r="AA34" s="56" t="s">
        <v>646</v>
      </c>
      <c r="AB34" s="56" t="s">
        <v>647</v>
      </c>
      <c r="AC34" s="56" t="s">
        <v>643</v>
      </c>
      <c r="AD34" s="56" t="s">
        <v>648</v>
      </c>
      <c r="AE34" s="56">
        <v>141</v>
      </c>
      <c r="AF34" s="56" t="s">
        <v>649</v>
      </c>
      <c r="AG34" s="56" t="s">
        <v>650</v>
      </c>
      <c r="AH34" s="56" t="s">
        <v>643</v>
      </c>
      <c r="AI34" s="56" t="s">
        <v>642</v>
      </c>
      <c r="AJ34" s="56">
        <v>139</v>
      </c>
      <c r="AK34" s="56" t="s">
        <v>651</v>
      </c>
      <c r="AL34" s="56">
        <v>141</v>
      </c>
      <c r="AM34" s="56" t="s">
        <v>649</v>
      </c>
      <c r="AN34" s="56" t="s">
        <v>650</v>
      </c>
      <c r="AO34" s="56" t="s">
        <v>652</v>
      </c>
      <c r="AP34" s="56" t="s">
        <v>643</v>
      </c>
      <c r="AQ34" s="56" t="s">
        <v>642</v>
      </c>
      <c r="AR34" s="56">
        <v>98</v>
      </c>
      <c r="AS34" s="56" t="s">
        <v>645</v>
      </c>
      <c r="AT34" s="56" t="s">
        <v>646</v>
      </c>
      <c r="AU34" s="56" t="s">
        <v>643</v>
      </c>
      <c r="AV34" s="56" t="s">
        <v>648</v>
      </c>
      <c r="AW34" s="56">
        <v>1162</v>
      </c>
      <c r="AX34" s="56" t="s">
        <v>653</v>
      </c>
      <c r="AY34" s="56">
        <v>1409</v>
      </c>
      <c r="AZ34" s="56" t="s">
        <v>654</v>
      </c>
      <c r="BA34" s="56" t="s">
        <v>655</v>
      </c>
      <c r="BB34" s="56" t="s">
        <v>656</v>
      </c>
      <c r="BC34" s="56">
        <v>1163</v>
      </c>
      <c r="BD34" s="56" t="s">
        <v>657</v>
      </c>
      <c r="BE34" s="56" t="s">
        <v>658</v>
      </c>
      <c r="BF34" s="56">
        <v>1163</v>
      </c>
      <c r="BG34" s="56" t="s">
        <v>657</v>
      </c>
      <c r="BH34" s="56" t="s">
        <v>658</v>
      </c>
      <c r="BI34" s="56">
        <v>39.479999999999997</v>
      </c>
      <c r="BJ34" s="56">
        <v>108182.31</v>
      </c>
      <c r="BK34" s="56">
        <v>39.479999999999997</v>
      </c>
      <c r="BL34" s="56" t="s">
        <v>659</v>
      </c>
      <c r="BM34" s="56">
        <v>3104</v>
      </c>
      <c r="BN34" s="56" t="s">
        <v>660</v>
      </c>
      <c r="BO34" s="56" t="s">
        <v>661</v>
      </c>
      <c r="BP34" s="56">
        <v>6356.28</v>
      </c>
      <c r="BQ34" s="56">
        <v>5536.83</v>
      </c>
      <c r="BR34" s="56">
        <v>0</v>
      </c>
      <c r="BS34" s="56">
        <v>0</v>
      </c>
      <c r="BT34" s="56">
        <v>4878.3</v>
      </c>
      <c r="BU34" s="56">
        <v>28312</v>
      </c>
      <c r="BV34" s="56">
        <v>98</v>
      </c>
      <c r="BW34" s="56" t="s">
        <v>645</v>
      </c>
      <c r="BX34" s="56" t="s">
        <v>966</v>
      </c>
      <c r="BY34" s="56" t="s">
        <v>663</v>
      </c>
      <c r="BZ34" s="56">
        <v>0.25</v>
      </c>
      <c r="CA34" s="56" t="s">
        <v>664</v>
      </c>
      <c r="CB34" s="56" t="s">
        <v>665</v>
      </c>
      <c r="CC34" s="56" t="s">
        <v>666</v>
      </c>
      <c r="CD34" s="56" t="s">
        <v>667</v>
      </c>
      <c r="CF34" s="56">
        <v>3902.64</v>
      </c>
      <c r="CG34" s="56">
        <v>80</v>
      </c>
      <c r="CH34" s="56">
        <v>161</v>
      </c>
      <c r="CI34" s="56">
        <v>125</v>
      </c>
      <c r="CJ34" s="56">
        <v>11.89</v>
      </c>
      <c r="CK34" s="56">
        <v>5536.83</v>
      </c>
      <c r="CL34" s="56">
        <v>4878.3</v>
      </c>
      <c r="CM34" s="56">
        <v>40.25</v>
      </c>
      <c r="CN34" s="56">
        <v>762.75</v>
      </c>
      <c r="CO34" s="56">
        <v>762.75</v>
      </c>
      <c r="CP34" s="56">
        <v>56.7</v>
      </c>
      <c r="CQ34" s="56" t="s">
        <v>668</v>
      </c>
      <c r="CR34" s="56">
        <v>0</v>
      </c>
      <c r="CS34" s="56">
        <v>56.7</v>
      </c>
      <c r="CT34" s="56" t="s">
        <v>669</v>
      </c>
      <c r="CU34" s="56">
        <v>0</v>
      </c>
      <c r="CV34" s="56">
        <v>0</v>
      </c>
      <c r="CX34" s="56">
        <v>635.27</v>
      </c>
      <c r="CY34" s="56">
        <v>0</v>
      </c>
      <c r="CZ34" s="56">
        <v>168.49</v>
      </c>
      <c r="DA34" s="56">
        <v>512.16</v>
      </c>
      <c r="DB34" s="56">
        <v>343.67</v>
      </c>
      <c r="DC34" s="56">
        <v>5368.34</v>
      </c>
      <c r="DD34" s="56">
        <v>182.89</v>
      </c>
      <c r="DE34" s="56">
        <v>0</v>
      </c>
      <c r="DF34" s="56">
        <v>18.59</v>
      </c>
      <c r="DG34" s="56">
        <v>54.09</v>
      </c>
      <c r="DH34" s="56" t="s">
        <v>670</v>
      </c>
      <c r="DI34" s="56" t="s">
        <v>671</v>
      </c>
      <c r="DK34" s="56">
        <v>4.83</v>
      </c>
      <c r="DL34" s="56">
        <v>307.14999999999998</v>
      </c>
      <c r="DM34" s="56">
        <v>52</v>
      </c>
      <c r="DN34" s="56" t="s">
        <v>672</v>
      </c>
      <c r="DO34" s="56" t="s">
        <v>236</v>
      </c>
      <c r="DP34" s="56" t="s">
        <v>673</v>
      </c>
      <c r="DQ34" s="56" t="s">
        <v>674</v>
      </c>
      <c r="DR34" s="56">
        <v>1</v>
      </c>
      <c r="DS34" s="56" t="s">
        <v>967</v>
      </c>
      <c r="DT34" s="56" t="s">
        <v>968</v>
      </c>
      <c r="DU34" s="56">
        <v>36</v>
      </c>
      <c r="DV34" s="56" t="s">
        <v>677</v>
      </c>
      <c r="DW34" s="56">
        <v>385</v>
      </c>
      <c r="DX34" s="56" t="s">
        <v>709</v>
      </c>
      <c r="DY34" s="56" t="s">
        <v>679</v>
      </c>
      <c r="ED34" s="56">
        <v>2</v>
      </c>
      <c r="EE34" s="56" t="s">
        <v>639</v>
      </c>
      <c r="EF34" s="56">
        <v>2</v>
      </c>
      <c r="EG34" s="56" t="s">
        <v>639</v>
      </c>
      <c r="EH34" s="56">
        <v>2</v>
      </c>
      <c r="EI34" s="56" t="s">
        <v>639</v>
      </c>
      <c r="EJ34" s="56">
        <v>2</v>
      </c>
      <c r="EK34" s="56" t="s">
        <v>639</v>
      </c>
      <c r="EL34" s="56">
        <v>25</v>
      </c>
      <c r="EM34" s="56">
        <v>15</v>
      </c>
      <c r="EN34" s="56">
        <v>5173</v>
      </c>
      <c r="EO34" s="56">
        <v>1622</v>
      </c>
      <c r="EP34" s="56">
        <v>6792</v>
      </c>
      <c r="EQ34" s="56" t="s">
        <v>680</v>
      </c>
      <c r="ER34" s="56" t="s">
        <v>681</v>
      </c>
      <c r="ES34" s="56">
        <v>2</v>
      </c>
      <c r="ET34" s="56" t="s">
        <v>682</v>
      </c>
      <c r="EU34" s="56" t="s">
        <v>683</v>
      </c>
      <c r="EV34" s="56" t="s">
        <v>683</v>
      </c>
      <c r="FD34" s="56" t="s">
        <v>969</v>
      </c>
      <c r="FK34" s="56">
        <v>0</v>
      </c>
    </row>
    <row r="35" spans="1:167" x14ac:dyDescent="0.2">
      <c r="A35" s="56">
        <v>28990</v>
      </c>
      <c r="B35" s="56">
        <v>2</v>
      </c>
      <c r="C35" s="56">
        <v>6352</v>
      </c>
      <c r="D35" s="56" t="s">
        <v>634</v>
      </c>
      <c r="E35" s="56" t="s">
        <v>635</v>
      </c>
      <c r="K35" s="56" t="s">
        <v>970</v>
      </c>
      <c r="L35" s="56" t="s">
        <v>637</v>
      </c>
      <c r="M35" s="56">
        <v>44930</v>
      </c>
      <c r="N35" s="56">
        <v>44932</v>
      </c>
      <c r="O35" s="56">
        <v>38</v>
      </c>
      <c r="P35" s="56" t="s">
        <v>638</v>
      </c>
      <c r="Q35" s="56">
        <v>2</v>
      </c>
      <c r="R35" s="56" t="s">
        <v>639</v>
      </c>
      <c r="S35" s="56" t="s">
        <v>640</v>
      </c>
      <c r="T35" s="56" t="s">
        <v>641</v>
      </c>
      <c r="U35" s="56" t="s">
        <v>735</v>
      </c>
      <c r="V35" s="56" t="s">
        <v>643</v>
      </c>
      <c r="W35" s="56">
        <v>47</v>
      </c>
      <c r="X35" s="56" t="s">
        <v>644</v>
      </c>
      <c r="Y35" s="56">
        <v>98</v>
      </c>
      <c r="Z35" s="56" t="s">
        <v>645</v>
      </c>
      <c r="AA35" s="56" t="s">
        <v>646</v>
      </c>
      <c r="AB35" s="56" t="s">
        <v>647</v>
      </c>
      <c r="AC35" s="56" t="s">
        <v>643</v>
      </c>
      <c r="AD35" s="56" t="s">
        <v>648</v>
      </c>
      <c r="AE35" s="56">
        <v>91</v>
      </c>
      <c r="AF35" s="56" t="s">
        <v>736</v>
      </c>
      <c r="AG35" s="56" t="s">
        <v>737</v>
      </c>
      <c r="AH35" s="56" t="s">
        <v>643</v>
      </c>
      <c r="AI35" s="56" t="s">
        <v>735</v>
      </c>
      <c r="AJ35" s="56">
        <v>139</v>
      </c>
      <c r="AK35" s="56" t="s">
        <v>651</v>
      </c>
      <c r="AL35" s="56">
        <v>91</v>
      </c>
      <c r="AM35" s="56" t="s">
        <v>736</v>
      </c>
      <c r="AN35" s="56" t="s">
        <v>737</v>
      </c>
      <c r="AO35" s="56" t="s">
        <v>738</v>
      </c>
      <c r="AP35" s="56" t="s">
        <v>643</v>
      </c>
      <c r="AQ35" s="56" t="s">
        <v>735</v>
      </c>
      <c r="AR35" s="56">
        <v>98</v>
      </c>
      <c r="AS35" s="56" t="s">
        <v>645</v>
      </c>
      <c r="AT35" s="56" t="s">
        <v>646</v>
      </c>
      <c r="AU35" s="56" t="s">
        <v>643</v>
      </c>
      <c r="AV35" s="56" t="s">
        <v>648</v>
      </c>
      <c r="AW35" s="56">
        <v>121</v>
      </c>
      <c r="AX35" s="56" t="s">
        <v>859</v>
      </c>
      <c r="AY35" s="56">
        <v>51</v>
      </c>
      <c r="AZ35" s="56" t="s">
        <v>29</v>
      </c>
      <c r="BA35" s="56" t="s">
        <v>860</v>
      </c>
      <c r="BB35" s="56" t="s">
        <v>770</v>
      </c>
      <c r="BC35" s="56">
        <v>38</v>
      </c>
      <c r="BD35" s="56" t="s">
        <v>289</v>
      </c>
      <c r="BE35" s="56" t="s">
        <v>771</v>
      </c>
      <c r="BF35" s="56">
        <v>2</v>
      </c>
      <c r="BG35" s="56" t="s">
        <v>289</v>
      </c>
      <c r="BH35" s="56" t="s">
        <v>772</v>
      </c>
      <c r="BI35" s="56">
        <v>23.21</v>
      </c>
      <c r="BJ35" s="56">
        <v>63599.58</v>
      </c>
      <c r="BK35" s="56">
        <v>23.21</v>
      </c>
      <c r="BL35" s="56" t="s">
        <v>659</v>
      </c>
      <c r="BM35" s="56">
        <v>3104</v>
      </c>
      <c r="BN35" s="56" t="s">
        <v>724</v>
      </c>
      <c r="BO35" s="56" t="s">
        <v>725</v>
      </c>
      <c r="BP35" s="56">
        <v>3365.45</v>
      </c>
      <c r="BQ35" s="56">
        <v>2961.6</v>
      </c>
      <c r="BR35" s="56">
        <v>0</v>
      </c>
      <c r="BS35" s="56">
        <v>0</v>
      </c>
      <c r="BT35" s="56">
        <v>0</v>
      </c>
      <c r="BU35" s="56">
        <v>28314</v>
      </c>
      <c r="BV35" s="56">
        <v>98</v>
      </c>
      <c r="BW35" s="56" t="s">
        <v>645</v>
      </c>
      <c r="BX35" s="56" t="s">
        <v>971</v>
      </c>
      <c r="BY35" s="56" t="s">
        <v>663</v>
      </c>
      <c r="BZ35" s="56">
        <v>0.25</v>
      </c>
      <c r="CA35" s="56" t="s">
        <v>664</v>
      </c>
      <c r="CB35" s="56" t="s">
        <v>665</v>
      </c>
      <c r="CD35" s="56" t="s">
        <v>667</v>
      </c>
      <c r="CG35" s="56">
        <v>0</v>
      </c>
      <c r="CH35" s="56">
        <v>145</v>
      </c>
      <c r="CJ35" s="56">
        <v>100</v>
      </c>
      <c r="CK35" s="56">
        <v>2961.6</v>
      </c>
      <c r="CL35" s="56">
        <v>0</v>
      </c>
      <c r="CN35" s="56">
        <v>403.85</v>
      </c>
      <c r="CO35" s="56">
        <v>403.85</v>
      </c>
      <c r="CP35" s="56">
        <v>0</v>
      </c>
      <c r="CQ35" s="56" t="s">
        <v>708</v>
      </c>
      <c r="CR35" s="56">
        <v>0</v>
      </c>
      <c r="CS35" s="56">
        <v>0</v>
      </c>
      <c r="CV35" s="56">
        <v>0</v>
      </c>
      <c r="CX35" s="56">
        <v>0</v>
      </c>
      <c r="CY35" s="56">
        <v>0</v>
      </c>
      <c r="CZ35" s="56">
        <v>273.95</v>
      </c>
      <c r="DA35" s="56">
        <v>273.95</v>
      </c>
      <c r="DB35" s="56">
        <v>0</v>
      </c>
      <c r="DC35" s="56">
        <v>2687.65</v>
      </c>
      <c r="DD35" s="56">
        <v>10.93</v>
      </c>
      <c r="DE35" s="56">
        <v>0</v>
      </c>
      <c r="DF35" s="56">
        <v>10.93</v>
      </c>
      <c r="DH35" s="56" t="s">
        <v>670</v>
      </c>
      <c r="DI35" s="56" t="s">
        <v>671</v>
      </c>
      <c r="DK35" s="56">
        <v>79.540000000000006</v>
      </c>
      <c r="DL35" s="56">
        <v>2676.72</v>
      </c>
      <c r="DM35" s="56">
        <v>93</v>
      </c>
      <c r="DN35" s="56" t="s">
        <v>748</v>
      </c>
      <c r="DO35" s="56" t="s">
        <v>236</v>
      </c>
      <c r="DQ35" s="56" t="s">
        <v>674</v>
      </c>
      <c r="DR35" s="56">
        <v>3</v>
      </c>
      <c r="DX35" s="56" t="s">
        <v>678</v>
      </c>
      <c r="DY35" s="56" t="s">
        <v>679</v>
      </c>
      <c r="EL35" s="56">
        <v>25</v>
      </c>
      <c r="EM35" s="56">
        <v>15</v>
      </c>
      <c r="EN35" s="56">
        <v>5173</v>
      </c>
      <c r="EO35" s="56">
        <v>1805</v>
      </c>
      <c r="EP35" s="56">
        <v>6792</v>
      </c>
      <c r="EQ35" s="56" t="s">
        <v>751</v>
      </c>
      <c r="ER35" s="56" t="s">
        <v>752</v>
      </c>
      <c r="ES35" s="56">
        <v>2</v>
      </c>
      <c r="ET35" s="56" t="s">
        <v>682</v>
      </c>
      <c r="EU35" s="56" t="s">
        <v>683</v>
      </c>
      <c r="EV35" s="56" t="s">
        <v>683</v>
      </c>
      <c r="FD35" s="56" t="s">
        <v>972</v>
      </c>
      <c r="FK35" s="56">
        <v>0</v>
      </c>
    </row>
    <row r="36" spans="1:167" x14ac:dyDescent="0.2">
      <c r="A36" s="56">
        <v>28991</v>
      </c>
      <c r="B36" s="56">
        <v>2</v>
      </c>
      <c r="C36" s="56">
        <v>6352</v>
      </c>
      <c r="D36" s="56" t="s">
        <v>634</v>
      </c>
      <c r="E36" s="56" t="s">
        <v>635</v>
      </c>
      <c r="K36" s="56" t="s">
        <v>973</v>
      </c>
      <c r="L36" s="56" t="s">
        <v>637</v>
      </c>
      <c r="M36" s="56">
        <v>44930</v>
      </c>
      <c r="N36" s="56">
        <v>44932</v>
      </c>
      <c r="O36" s="56">
        <v>38</v>
      </c>
      <c r="P36" s="56" t="s">
        <v>638</v>
      </c>
      <c r="Q36" s="56">
        <v>2</v>
      </c>
      <c r="R36" s="56" t="s">
        <v>639</v>
      </c>
      <c r="S36" s="56" t="s">
        <v>640</v>
      </c>
      <c r="T36" s="56" t="s">
        <v>641</v>
      </c>
      <c r="U36" s="56" t="s">
        <v>735</v>
      </c>
      <c r="V36" s="56" t="s">
        <v>643</v>
      </c>
      <c r="W36" s="56">
        <v>47</v>
      </c>
      <c r="X36" s="56" t="s">
        <v>644</v>
      </c>
      <c r="Y36" s="56">
        <v>98</v>
      </c>
      <c r="Z36" s="56" t="s">
        <v>645</v>
      </c>
      <c r="AA36" s="56" t="s">
        <v>646</v>
      </c>
      <c r="AB36" s="56" t="s">
        <v>647</v>
      </c>
      <c r="AC36" s="56" t="s">
        <v>643</v>
      </c>
      <c r="AD36" s="56" t="s">
        <v>648</v>
      </c>
      <c r="AE36" s="56">
        <v>91</v>
      </c>
      <c r="AF36" s="56" t="s">
        <v>736</v>
      </c>
      <c r="AG36" s="56" t="s">
        <v>737</v>
      </c>
      <c r="AH36" s="56" t="s">
        <v>643</v>
      </c>
      <c r="AI36" s="56" t="s">
        <v>735</v>
      </c>
      <c r="AJ36" s="56">
        <v>139</v>
      </c>
      <c r="AK36" s="56" t="s">
        <v>651</v>
      </c>
      <c r="AL36" s="56">
        <v>91</v>
      </c>
      <c r="AM36" s="56" t="s">
        <v>736</v>
      </c>
      <c r="AN36" s="56" t="s">
        <v>737</v>
      </c>
      <c r="AO36" s="56" t="s">
        <v>738</v>
      </c>
      <c r="AP36" s="56" t="s">
        <v>643</v>
      </c>
      <c r="AQ36" s="56" t="s">
        <v>735</v>
      </c>
      <c r="AR36" s="56">
        <v>98</v>
      </c>
      <c r="AS36" s="56" t="s">
        <v>645</v>
      </c>
      <c r="AT36" s="56" t="s">
        <v>646</v>
      </c>
      <c r="AU36" s="56" t="s">
        <v>643</v>
      </c>
      <c r="AV36" s="56" t="s">
        <v>648</v>
      </c>
      <c r="AW36" s="56">
        <v>121</v>
      </c>
      <c r="AX36" s="56" t="s">
        <v>859</v>
      </c>
      <c r="AY36" s="56">
        <v>51</v>
      </c>
      <c r="AZ36" s="56" t="s">
        <v>29</v>
      </c>
      <c r="BA36" s="56" t="s">
        <v>860</v>
      </c>
      <c r="BB36" s="56" t="s">
        <v>770</v>
      </c>
      <c r="BC36" s="56">
        <v>38</v>
      </c>
      <c r="BD36" s="56" t="s">
        <v>289</v>
      </c>
      <c r="BE36" s="56" t="s">
        <v>771</v>
      </c>
      <c r="BF36" s="56">
        <v>2</v>
      </c>
      <c r="BG36" s="56" t="s">
        <v>289</v>
      </c>
      <c r="BH36" s="56" t="s">
        <v>772</v>
      </c>
      <c r="BI36" s="56">
        <v>23.93</v>
      </c>
      <c r="BJ36" s="56">
        <v>65572.509999999995</v>
      </c>
      <c r="BK36" s="56">
        <v>23.93</v>
      </c>
      <c r="BL36" s="56" t="s">
        <v>659</v>
      </c>
      <c r="BM36" s="56">
        <v>3104</v>
      </c>
      <c r="BN36" s="56" t="s">
        <v>724</v>
      </c>
      <c r="BO36" s="56" t="s">
        <v>725</v>
      </c>
      <c r="BP36" s="56">
        <v>3469.85</v>
      </c>
      <c r="BQ36" s="56">
        <v>2980.57</v>
      </c>
      <c r="BR36" s="56">
        <v>0</v>
      </c>
      <c r="BS36" s="56">
        <v>0</v>
      </c>
      <c r="BT36" s="56">
        <v>0</v>
      </c>
      <c r="BU36" s="56">
        <v>28315</v>
      </c>
      <c r="BV36" s="56">
        <v>98</v>
      </c>
      <c r="BW36" s="56" t="s">
        <v>645</v>
      </c>
      <c r="BX36" s="56" t="s">
        <v>974</v>
      </c>
      <c r="BY36" s="56" t="s">
        <v>663</v>
      </c>
      <c r="BZ36" s="56">
        <v>0.25</v>
      </c>
      <c r="CA36" s="56" t="s">
        <v>664</v>
      </c>
      <c r="CB36" s="56" t="s">
        <v>665</v>
      </c>
      <c r="CD36" s="56" t="s">
        <v>667</v>
      </c>
      <c r="CG36" s="56">
        <v>0</v>
      </c>
      <c r="CH36" s="56">
        <v>145</v>
      </c>
      <c r="CJ36" s="56">
        <v>100</v>
      </c>
      <c r="CK36" s="56">
        <v>2980.57</v>
      </c>
      <c r="CL36" s="56">
        <v>0</v>
      </c>
      <c r="CN36" s="56">
        <v>416.38</v>
      </c>
      <c r="CO36" s="56">
        <v>416.38</v>
      </c>
      <c r="CP36" s="56">
        <v>72.900000000000006</v>
      </c>
      <c r="CQ36" s="56" t="s">
        <v>668</v>
      </c>
      <c r="CR36" s="56">
        <v>0</v>
      </c>
      <c r="CS36" s="56">
        <v>0</v>
      </c>
      <c r="CV36" s="56">
        <v>0</v>
      </c>
      <c r="CX36" s="56">
        <v>0</v>
      </c>
      <c r="CY36" s="56">
        <v>0</v>
      </c>
      <c r="CZ36" s="56">
        <v>275.7</v>
      </c>
      <c r="DA36" s="56">
        <v>275.7</v>
      </c>
      <c r="DB36" s="56">
        <v>0</v>
      </c>
      <c r="DC36" s="56">
        <v>2704.87</v>
      </c>
      <c r="DD36" s="56">
        <v>11.27</v>
      </c>
      <c r="DE36" s="56">
        <v>0</v>
      </c>
      <c r="DF36" s="56">
        <v>11.27</v>
      </c>
      <c r="DH36" s="56" t="s">
        <v>670</v>
      </c>
      <c r="DI36" s="56" t="s">
        <v>671</v>
      </c>
      <c r="DK36" s="56">
        <v>79.73</v>
      </c>
      <c r="DL36" s="56">
        <v>2766.5</v>
      </c>
      <c r="DM36" s="56">
        <v>93</v>
      </c>
      <c r="DN36" s="56" t="s">
        <v>748</v>
      </c>
      <c r="DO36" s="56" t="s">
        <v>236</v>
      </c>
      <c r="DQ36" s="56" t="s">
        <v>674</v>
      </c>
      <c r="DR36" s="56">
        <v>3</v>
      </c>
      <c r="DX36" s="56" t="s">
        <v>678</v>
      </c>
      <c r="DY36" s="56" t="s">
        <v>679</v>
      </c>
      <c r="EL36" s="56">
        <v>25</v>
      </c>
      <c r="EM36" s="56">
        <v>15</v>
      </c>
      <c r="EN36" s="56">
        <v>5173</v>
      </c>
      <c r="EO36" s="56">
        <v>1805</v>
      </c>
      <c r="EP36" s="56">
        <v>6792</v>
      </c>
      <c r="EQ36" s="56" t="s">
        <v>751</v>
      </c>
      <c r="ER36" s="56" t="s">
        <v>752</v>
      </c>
      <c r="ES36" s="56">
        <v>2</v>
      </c>
      <c r="ET36" s="56" t="s">
        <v>682</v>
      </c>
      <c r="EU36" s="56" t="s">
        <v>683</v>
      </c>
      <c r="EV36" s="56" t="s">
        <v>683</v>
      </c>
      <c r="FD36" s="56" t="s">
        <v>975</v>
      </c>
      <c r="FK36" s="56">
        <v>0</v>
      </c>
    </row>
    <row r="37" spans="1:167" x14ac:dyDescent="0.2">
      <c r="A37" s="56">
        <v>28992</v>
      </c>
      <c r="B37" s="56">
        <v>2</v>
      </c>
      <c r="C37" s="56">
        <v>6352</v>
      </c>
      <c r="D37" s="56" t="s">
        <v>634</v>
      </c>
      <c r="E37" s="56" t="s">
        <v>635</v>
      </c>
      <c r="K37" s="56" t="s">
        <v>976</v>
      </c>
      <c r="L37" s="56" t="s">
        <v>637</v>
      </c>
      <c r="M37" s="56">
        <v>44930</v>
      </c>
      <c r="N37" s="56">
        <v>44932</v>
      </c>
      <c r="O37" s="56">
        <v>38</v>
      </c>
      <c r="P37" s="56" t="s">
        <v>638</v>
      </c>
      <c r="Q37" s="56">
        <v>2</v>
      </c>
      <c r="R37" s="56" t="s">
        <v>639</v>
      </c>
      <c r="S37" s="56" t="s">
        <v>640</v>
      </c>
      <c r="T37" s="56" t="s">
        <v>641</v>
      </c>
      <c r="U37" s="56" t="s">
        <v>735</v>
      </c>
      <c r="V37" s="56" t="s">
        <v>643</v>
      </c>
      <c r="W37" s="56">
        <v>47</v>
      </c>
      <c r="X37" s="56" t="s">
        <v>644</v>
      </c>
      <c r="Y37" s="56">
        <v>98</v>
      </c>
      <c r="Z37" s="56" t="s">
        <v>645</v>
      </c>
      <c r="AA37" s="56" t="s">
        <v>646</v>
      </c>
      <c r="AB37" s="56" t="s">
        <v>647</v>
      </c>
      <c r="AC37" s="56" t="s">
        <v>643</v>
      </c>
      <c r="AD37" s="56" t="s">
        <v>648</v>
      </c>
      <c r="AE37" s="56">
        <v>91</v>
      </c>
      <c r="AF37" s="56" t="s">
        <v>736</v>
      </c>
      <c r="AG37" s="56" t="s">
        <v>737</v>
      </c>
      <c r="AH37" s="56" t="s">
        <v>643</v>
      </c>
      <c r="AI37" s="56" t="s">
        <v>735</v>
      </c>
      <c r="AJ37" s="56">
        <v>139</v>
      </c>
      <c r="AK37" s="56" t="s">
        <v>651</v>
      </c>
      <c r="AL37" s="56">
        <v>91</v>
      </c>
      <c r="AM37" s="56" t="s">
        <v>736</v>
      </c>
      <c r="AN37" s="56" t="s">
        <v>737</v>
      </c>
      <c r="AO37" s="56" t="s">
        <v>738</v>
      </c>
      <c r="AP37" s="56" t="s">
        <v>643</v>
      </c>
      <c r="AQ37" s="56" t="s">
        <v>735</v>
      </c>
      <c r="AR37" s="56">
        <v>98</v>
      </c>
      <c r="AS37" s="56" t="s">
        <v>645</v>
      </c>
      <c r="AT37" s="56" t="s">
        <v>646</v>
      </c>
      <c r="AU37" s="56" t="s">
        <v>643</v>
      </c>
      <c r="AV37" s="56" t="s">
        <v>648</v>
      </c>
      <c r="AW37" s="56">
        <v>108</v>
      </c>
      <c r="AX37" s="56" t="s">
        <v>977</v>
      </c>
      <c r="AY37" s="56">
        <v>47</v>
      </c>
      <c r="AZ37" s="56" t="s">
        <v>32</v>
      </c>
      <c r="BA37" s="56" t="s">
        <v>978</v>
      </c>
      <c r="BB37" s="56" t="s">
        <v>770</v>
      </c>
      <c r="BC37" s="56">
        <v>38</v>
      </c>
      <c r="BD37" s="56" t="s">
        <v>289</v>
      </c>
      <c r="BE37" s="56" t="s">
        <v>771</v>
      </c>
      <c r="BF37" s="56">
        <v>2</v>
      </c>
      <c r="BG37" s="56" t="s">
        <v>289</v>
      </c>
      <c r="BH37" s="56" t="s">
        <v>772</v>
      </c>
      <c r="BI37" s="56">
        <v>24.55</v>
      </c>
      <c r="BJ37" s="56">
        <v>67271.42</v>
      </c>
      <c r="BK37" s="56">
        <v>24.55</v>
      </c>
      <c r="BL37" s="56" t="s">
        <v>659</v>
      </c>
      <c r="BM37" s="56">
        <v>3104</v>
      </c>
      <c r="BN37" s="56" t="s">
        <v>724</v>
      </c>
      <c r="BO37" s="56" t="s">
        <v>725</v>
      </c>
      <c r="BP37" s="56">
        <v>3559.75</v>
      </c>
      <c r="BQ37" s="56">
        <v>3132.58</v>
      </c>
      <c r="BR37" s="56">
        <v>0</v>
      </c>
      <c r="BS37" s="56">
        <v>0</v>
      </c>
      <c r="BT37" s="56">
        <v>0</v>
      </c>
      <c r="BU37" s="56">
        <v>28319</v>
      </c>
      <c r="BV37" s="56">
        <v>98</v>
      </c>
      <c r="BW37" s="56" t="s">
        <v>645</v>
      </c>
      <c r="BX37" s="56" t="s">
        <v>979</v>
      </c>
      <c r="BY37" s="56" t="s">
        <v>663</v>
      </c>
      <c r="BZ37" s="56">
        <v>0.25</v>
      </c>
      <c r="CA37" s="56" t="s">
        <v>664</v>
      </c>
      <c r="CB37" s="56" t="s">
        <v>665</v>
      </c>
      <c r="CD37" s="56" t="s">
        <v>667</v>
      </c>
      <c r="CG37" s="56">
        <v>0</v>
      </c>
      <c r="CH37" s="56">
        <v>145</v>
      </c>
      <c r="CJ37" s="56">
        <v>100</v>
      </c>
      <c r="CK37" s="56">
        <v>3132.58</v>
      </c>
      <c r="CL37" s="56">
        <v>0</v>
      </c>
      <c r="CN37" s="56">
        <v>427.17</v>
      </c>
      <c r="CO37" s="56">
        <v>427.17</v>
      </c>
      <c r="CP37" s="56">
        <v>0</v>
      </c>
      <c r="CQ37" s="56" t="s">
        <v>708</v>
      </c>
      <c r="CR37" s="56">
        <v>0</v>
      </c>
      <c r="CS37" s="56">
        <v>0</v>
      </c>
      <c r="CV37" s="56">
        <v>0</v>
      </c>
      <c r="CX37" s="56">
        <v>0</v>
      </c>
      <c r="CY37" s="56">
        <v>0</v>
      </c>
      <c r="CZ37" s="56">
        <v>289.77</v>
      </c>
      <c r="DA37" s="56">
        <v>289.77</v>
      </c>
      <c r="DB37" s="56">
        <v>0</v>
      </c>
      <c r="DC37" s="56">
        <v>2842.81</v>
      </c>
      <c r="DD37" s="56">
        <v>11.56</v>
      </c>
      <c r="DE37" s="56">
        <v>0</v>
      </c>
      <c r="DF37" s="56">
        <v>11.56</v>
      </c>
      <c r="DH37" s="56" t="s">
        <v>670</v>
      </c>
      <c r="DI37" s="56" t="s">
        <v>671</v>
      </c>
      <c r="DK37" s="56">
        <v>79.540000000000006</v>
      </c>
      <c r="DL37" s="56">
        <v>2831.25</v>
      </c>
      <c r="DM37" s="56">
        <v>93</v>
      </c>
      <c r="DN37" s="56" t="s">
        <v>748</v>
      </c>
      <c r="DO37" s="56" t="s">
        <v>236</v>
      </c>
      <c r="DQ37" s="56" t="s">
        <v>674</v>
      </c>
      <c r="DR37" s="56">
        <v>3</v>
      </c>
      <c r="DX37" s="56" t="s">
        <v>678</v>
      </c>
      <c r="DY37" s="56" t="s">
        <v>679</v>
      </c>
      <c r="EL37" s="56">
        <v>25</v>
      </c>
      <c r="EM37" s="56">
        <v>15</v>
      </c>
      <c r="EN37" s="56">
        <v>5173</v>
      </c>
      <c r="EO37" s="56">
        <v>1805</v>
      </c>
      <c r="EP37" s="56">
        <v>6792</v>
      </c>
      <c r="EQ37" s="56" t="s">
        <v>751</v>
      </c>
      <c r="ER37" s="56" t="s">
        <v>752</v>
      </c>
      <c r="ES37" s="56">
        <v>2</v>
      </c>
      <c r="ET37" s="56" t="s">
        <v>682</v>
      </c>
      <c r="EU37" s="56" t="s">
        <v>683</v>
      </c>
      <c r="EV37" s="56" t="s">
        <v>683</v>
      </c>
      <c r="FD37" s="56" t="s">
        <v>980</v>
      </c>
      <c r="FK37" s="56">
        <v>0</v>
      </c>
    </row>
    <row r="38" spans="1:167" x14ac:dyDescent="0.2">
      <c r="A38" s="56">
        <v>28993</v>
      </c>
      <c r="B38" s="56">
        <v>2</v>
      </c>
      <c r="C38" s="56">
        <v>6352</v>
      </c>
      <c r="D38" s="56" t="s">
        <v>634</v>
      </c>
      <c r="E38" s="56" t="s">
        <v>635</v>
      </c>
      <c r="K38" s="56" t="s">
        <v>981</v>
      </c>
      <c r="L38" s="56" t="s">
        <v>637</v>
      </c>
      <c r="M38" s="56">
        <v>44930</v>
      </c>
      <c r="N38" s="56">
        <v>44932</v>
      </c>
      <c r="O38" s="56">
        <v>38</v>
      </c>
      <c r="P38" s="56" t="s">
        <v>638</v>
      </c>
      <c r="Q38" s="56">
        <v>2</v>
      </c>
      <c r="R38" s="56" t="s">
        <v>639</v>
      </c>
      <c r="S38" s="56" t="s">
        <v>640</v>
      </c>
      <c r="T38" s="56" t="s">
        <v>641</v>
      </c>
      <c r="U38" s="56" t="s">
        <v>735</v>
      </c>
      <c r="V38" s="56" t="s">
        <v>643</v>
      </c>
      <c r="W38" s="56">
        <v>47</v>
      </c>
      <c r="X38" s="56" t="s">
        <v>644</v>
      </c>
      <c r="Y38" s="56">
        <v>98</v>
      </c>
      <c r="Z38" s="56" t="s">
        <v>645</v>
      </c>
      <c r="AA38" s="56" t="s">
        <v>646</v>
      </c>
      <c r="AB38" s="56" t="s">
        <v>647</v>
      </c>
      <c r="AC38" s="56" t="s">
        <v>643</v>
      </c>
      <c r="AD38" s="56" t="s">
        <v>648</v>
      </c>
      <c r="AE38" s="56">
        <v>91</v>
      </c>
      <c r="AF38" s="56" t="s">
        <v>736</v>
      </c>
      <c r="AG38" s="56" t="s">
        <v>737</v>
      </c>
      <c r="AH38" s="56" t="s">
        <v>643</v>
      </c>
      <c r="AI38" s="56" t="s">
        <v>735</v>
      </c>
      <c r="AJ38" s="56">
        <v>139</v>
      </c>
      <c r="AK38" s="56" t="s">
        <v>651</v>
      </c>
      <c r="AL38" s="56">
        <v>91</v>
      </c>
      <c r="AM38" s="56" t="s">
        <v>736</v>
      </c>
      <c r="AN38" s="56" t="s">
        <v>737</v>
      </c>
      <c r="AO38" s="56" t="s">
        <v>738</v>
      </c>
      <c r="AP38" s="56" t="s">
        <v>643</v>
      </c>
      <c r="AQ38" s="56" t="s">
        <v>735</v>
      </c>
      <c r="AR38" s="56">
        <v>98</v>
      </c>
      <c r="AS38" s="56" t="s">
        <v>645</v>
      </c>
      <c r="AT38" s="56" t="s">
        <v>646</v>
      </c>
      <c r="AU38" s="56" t="s">
        <v>643</v>
      </c>
      <c r="AV38" s="56" t="s">
        <v>648</v>
      </c>
      <c r="AW38" s="56">
        <v>108</v>
      </c>
      <c r="AX38" s="56" t="s">
        <v>977</v>
      </c>
      <c r="AY38" s="56">
        <v>47</v>
      </c>
      <c r="AZ38" s="56" t="s">
        <v>32</v>
      </c>
      <c r="BA38" s="56" t="s">
        <v>978</v>
      </c>
      <c r="BB38" s="56" t="s">
        <v>770</v>
      </c>
      <c r="BC38" s="56">
        <v>38</v>
      </c>
      <c r="BD38" s="56" t="s">
        <v>289</v>
      </c>
      <c r="BE38" s="56" t="s">
        <v>771</v>
      </c>
      <c r="BF38" s="56">
        <v>2</v>
      </c>
      <c r="BG38" s="56" t="s">
        <v>289</v>
      </c>
      <c r="BH38" s="56" t="s">
        <v>772</v>
      </c>
      <c r="BI38" s="56">
        <v>23.48</v>
      </c>
      <c r="BJ38" s="56">
        <v>64339.43</v>
      </c>
      <c r="BK38" s="56">
        <v>23.48</v>
      </c>
      <c r="BL38" s="56" t="s">
        <v>659</v>
      </c>
      <c r="BM38" s="56">
        <v>3104</v>
      </c>
      <c r="BN38" s="56" t="s">
        <v>724</v>
      </c>
      <c r="BO38" s="56" t="s">
        <v>725</v>
      </c>
      <c r="BP38" s="56">
        <v>3404.6</v>
      </c>
      <c r="BQ38" s="56">
        <v>2923.15</v>
      </c>
      <c r="BR38" s="56">
        <v>0</v>
      </c>
      <c r="BS38" s="56">
        <v>0</v>
      </c>
      <c r="BT38" s="56">
        <v>0</v>
      </c>
      <c r="BU38" s="56">
        <v>28318</v>
      </c>
      <c r="BV38" s="56">
        <v>98</v>
      </c>
      <c r="BW38" s="56" t="s">
        <v>645</v>
      </c>
      <c r="BX38" s="56" t="s">
        <v>982</v>
      </c>
      <c r="BY38" s="56" t="s">
        <v>663</v>
      </c>
      <c r="BZ38" s="56">
        <v>0.25</v>
      </c>
      <c r="CA38" s="56" t="s">
        <v>664</v>
      </c>
      <c r="CB38" s="56" t="s">
        <v>665</v>
      </c>
      <c r="CD38" s="56" t="s">
        <v>667</v>
      </c>
      <c r="CG38" s="56">
        <v>0</v>
      </c>
      <c r="CH38" s="56">
        <v>145</v>
      </c>
      <c r="CJ38" s="56">
        <v>100</v>
      </c>
      <c r="CK38" s="56">
        <v>2923.15</v>
      </c>
      <c r="CL38" s="56">
        <v>0</v>
      </c>
      <c r="CN38" s="56">
        <v>408.55</v>
      </c>
      <c r="CO38" s="56">
        <v>408.55</v>
      </c>
      <c r="CP38" s="56">
        <v>72.900000000000006</v>
      </c>
      <c r="CQ38" s="56" t="s">
        <v>668</v>
      </c>
      <c r="CR38" s="56">
        <v>0</v>
      </c>
      <c r="CS38" s="56">
        <v>0</v>
      </c>
      <c r="CV38" s="56">
        <v>0</v>
      </c>
      <c r="CX38" s="56">
        <v>0</v>
      </c>
      <c r="CY38" s="56">
        <v>0</v>
      </c>
      <c r="CZ38" s="56">
        <v>270.39</v>
      </c>
      <c r="DA38" s="56">
        <v>270.39</v>
      </c>
      <c r="DB38" s="56">
        <v>0</v>
      </c>
      <c r="DC38" s="56">
        <v>2652.76</v>
      </c>
      <c r="DD38" s="56">
        <v>11.05</v>
      </c>
      <c r="DE38" s="56">
        <v>0</v>
      </c>
      <c r="DF38" s="56">
        <v>11.05</v>
      </c>
      <c r="DH38" s="56" t="s">
        <v>670</v>
      </c>
      <c r="DI38" s="56" t="s">
        <v>671</v>
      </c>
      <c r="DK38" s="56">
        <v>79.73</v>
      </c>
      <c r="DL38" s="56">
        <v>2714.61</v>
      </c>
      <c r="DM38" s="56">
        <v>93</v>
      </c>
      <c r="DN38" s="56" t="s">
        <v>748</v>
      </c>
      <c r="DO38" s="56" t="s">
        <v>236</v>
      </c>
      <c r="DQ38" s="56" t="s">
        <v>674</v>
      </c>
      <c r="DR38" s="56">
        <v>3</v>
      </c>
      <c r="DX38" s="56" t="s">
        <v>678</v>
      </c>
      <c r="DY38" s="56" t="s">
        <v>679</v>
      </c>
      <c r="EL38" s="56">
        <v>25</v>
      </c>
      <c r="EM38" s="56">
        <v>15</v>
      </c>
      <c r="EN38" s="56">
        <v>5173</v>
      </c>
      <c r="EO38" s="56">
        <v>1805</v>
      </c>
      <c r="EP38" s="56">
        <v>6792</v>
      </c>
      <c r="EQ38" s="56" t="s">
        <v>751</v>
      </c>
      <c r="ER38" s="56" t="s">
        <v>752</v>
      </c>
      <c r="ES38" s="56">
        <v>2</v>
      </c>
      <c r="ET38" s="56" t="s">
        <v>682</v>
      </c>
      <c r="EU38" s="56" t="s">
        <v>683</v>
      </c>
      <c r="EV38" s="56" t="s">
        <v>683</v>
      </c>
      <c r="FD38" s="56" t="s">
        <v>983</v>
      </c>
      <c r="FK38" s="56">
        <v>0</v>
      </c>
    </row>
    <row r="39" spans="1:167" x14ac:dyDescent="0.2">
      <c r="A39" s="56">
        <v>28994</v>
      </c>
      <c r="B39" s="56">
        <v>2</v>
      </c>
      <c r="C39" s="56">
        <v>6352</v>
      </c>
      <c r="D39" s="56" t="s">
        <v>634</v>
      </c>
      <c r="E39" s="56" t="s">
        <v>635</v>
      </c>
      <c r="K39" s="56" t="s">
        <v>984</v>
      </c>
      <c r="L39" s="56" t="s">
        <v>637</v>
      </c>
      <c r="M39" s="56">
        <v>44930</v>
      </c>
      <c r="N39" s="56">
        <v>44932</v>
      </c>
      <c r="O39" s="56">
        <v>38</v>
      </c>
      <c r="P39" s="56" t="s">
        <v>638</v>
      </c>
      <c r="Q39" s="56">
        <v>2</v>
      </c>
      <c r="R39" s="56" t="s">
        <v>639</v>
      </c>
      <c r="S39" s="56" t="s">
        <v>640</v>
      </c>
      <c r="T39" s="56" t="s">
        <v>641</v>
      </c>
      <c r="U39" s="56" t="s">
        <v>735</v>
      </c>
      <c r="V39" s="56" t="s">
        <v>643</v>
      </c>
      <c r="W39" s="56">
        <v>47</v>
      </c>
      <c r="X39" s="56" t="s">
        <v>644</v>
      </c>
      <c r="Y39" s="56">
        <v>98</v>
      </c>
      <c r="Z39" s="56" t="s">
        <v>645</v>
      </c>
      <c r="AA39" s="56" t="s">
        <v>646</v>
      </c>
      <c r="AB39" s="56" t="s">
        <v>647</v>
      </c>
      <c r="AC39" s="56" t="s">
        <v>643</v>
      </c>
      <c r="AD39" s="56" t="s">
        <v>648</v>
      </c>
      <c r="AE39" s="56">
        <v>91</v>
      </c>
      <c r="AF39" s="56" t="s">
        <v>736</v>
      </c>
      <c r="AG39" s="56" t="s">
        <v>737</v>
      </c>
      <c r="AH39" s="56" t="s">
        <v>643</v>
      </c>
      <c r="AI39" s="56" t="s">
        <v>735</v>
      </c>
      <c r="AJ39" s="56">
        <v>139</v>
      </c>
      <c r="AK39" s="56" t="s">
        <v>651</v>
      </c>
      <c r="AL39" s="56">
        <v>91</v>
      </c>
      <c r="AM39" s="56" t="s">
        <v>736</v>
      </c>
      <c r="AN39" s="56" t="s">
        <v>737</v>
      </c>
      <c r="AO39" s="56" t="s">
        <v>738</v>
      </c>
      <c r="AP39" s="56" t="s">
        <v>643</v>
      </c>
      <c r="AQ39" s="56" t="s">
        <v>735</v>
      </c>
      <c r="AR39" s="56">
        <v>98</v>
      </c>
      <c r="AS39" s="56" t="s">
        <v>645</v>
      </c>
      <c r="AT39" s="56" t="s">
        <v>646</v>
      </c>
      <c r="AU39" s="56" t="s">
        <v>643</v>
      </c>
      <c r="AV39" s="56" t="s">
        <v>648</v>
      </c>
      <c r="AW39" s="56">
        <v>109</v>
      </c>
      <c r="AX39" s="56" t="s">
        <v>826</v>
      </c>
      <c r="AY39" s="56">
        <v>20</v>
      </c>
      <c r="AZ39" s="56" t="s">
        <v>30</v>
      </c>
      <c r="BA39" s="56" t="s">
        <v>827</v>
      </c>
      <c r="BB39" s="56" t="s">
        <v>770</v>
      </c>
      <c r="BC39" s="56">
        <v>38</v>
      </c>
      <c r="BD39" s="56" t="s">
        <v>289</v>
      </c>
      <c r="BE39" s="56" t="s">
        <v>771</v>
      </c>
      <c r="BF39" s="56">
        <v>2</v>
      </c>
      <c r="BG39" s="56" t="s">
        <v>289</v>
      </c>
      <c r="BH39" s="56" t="s">
        <v>772</v>
      </c>
      <c r="BI39" s="56">
        <v>24.48</v>
      </c>
      <c r="BJ39" s="56">
        <v>67079.61</v>
      </c>
      <c r="BK39" s="56">
        <v>24.48</v>
      </c>
      <c r="BL39" s="56" t="s">
        <v>659</v>
      </c>
      <c r="BM39" s="56">
        <v>3104</v>
      </c>
      <c r="BN39" s="56" t="s">
        <v>724</v>
      </c>
      <c r="BO39" s="56" t="s">
        <v>725</v>
      </c>
      <c r="BP39" s="56">
        <v>3549.6</v>
      </c>
      <c r="BQ39" s="56">
        <v>3123.65</v>
      </c>
      <c r="BR39" s="56">
        <v>0</v>
      </c>
      <c r="BS39" s="56">
        <v>0</v>
      </c>
      <c r="BT39" s="56">
        <v>0</v>
      </c>
      <c r="BU39" s="56">
        <v>28320</v>
      </c>
      <c r="BV39" s="56">
        <v>98</v>
      </c>
      <c r="BW39" s="56" t="s">
        <v>645</v>
      </c>
      <c r="BX39" s="56" t="s">
        <v>985</v>
      </c>
      <c r="BY39" s="56" t="s">
        <v>663</v>
      </c>
      <c r="BZ39" s="56">
        <v>0.25</v>
      </c>
      <c r="CA39" s="56" t="s">
        <v>664</v>
      </c>
      <c r="CB39" s="56" t="s">
        <v>665</v>
      </c>
      <c r="CD39" s="56" t="s">
        <v>667</v>
      </c>
      <c r="CG39" s="56">
        <v>0</v>
      </c>
      <c r="CH39" s="56">
        <v>145</v>
      </c>
      <c r="CJ39" s="56">
        <v>100</v>
      </c>
      <c r="CK39" s="56">
        <v>3123.65</v>
      </c>
      <c r="CL39" s="56">
        <v>0</v>
      </c>
      <c r="CN39" s="56">
        <v>425.95</v>
      </c>
      <c r="CO39" s="56">
        <v>425.95</v>
      </c>
      <c r="CP39" s="56">
        <v>0</v>
      </c>
      <c r="CQ39" s="56" t="s">
        <v>708</v>
      </c>
      <c r="CR39" s="56">
        <v>0</v>
      </c>
      <c r="CS39" s="56">
        <v>0</v>
      </c>
      <c r="CV39" s="56">
        <v>0</v>
      </c>
      <c r="CX39" s="56">
        <v>0</v>
      </c>
      <c r="CY39" s="56">
        <v>0</v>
      </c>
      <c r="CZ39" s="56">
        <v>288.94</v>
      </c>
      <c r="DA39" s="56">
        <v>288.94</v>
      </c>
      <c r="DB39" s="56">
        <v>0</v>
      </c>
      <c r="DC39" s="56">
        <v>2834.71</v>
      </c>
      <c r="DD39" s="56">
        <v>11.52</v>
      </c>
      <c r="DE39" s="56">
        <v>0</v>
      </c>
      <c r="DF39" s="56">
        <v>11.52</v>
      </c>
      <c r="DH39" s="56" t="s">
        <v>670</v>
      </c>
      <c r="DI39" s="56" t="s">
        <v>671</v>
      </c>
      <c r="DK39" s="56">
        <v>79.540000000000006</v>
      </c>
      <c r="DL39" s="56">
        <v>2823.19</v>
      </c>
      <c r="DM39" s="56">
        <v>93</v>
      </c>
      <c r="DN39" s="56" t="s">
        <v>748</v>
      </c>
      <c r="DO39" s="56" t="s">
        <v>236</v>
      </c>
      <c r="DQ39" s="56" t="s">
        <v>674</v>
      </c>
      <c r="DR39" s="56">
        <v>3</v>
      </c>
      <c r="DX39" s="56" t="s">
        <v>678</v>
      </c>
      <c r="DY39" s="56" t="s">
        <v>679</v>
      </c>
      <c r="EL39" s="56">
        <v>25</v>
      </c>
      <c r="EM39" s="56">
        <v>15</v>
      </c>
      <c r="EN39" s="56">
        <v>5173</v>
      </c>
      <c r="EO39" s="56">
        <v>1805</v>
      </c>
      <c r="EP39" s="56">
        <v>6792</v>
      </c>
      <c r="EQ39" s="56" t="s">
        <v>751</v>
      </c>
      <c r="ER39" s="56" t="s">
        <v>752</v>
      </c>
      <c r="ES39" s="56">
        <v>2</v>
      </c>
      <c r="ET39" s="56" t="s">
        <v>682</v>
      </c>
      <c r="EU39" s="56" t="s">
        <v>683</v>
      </c>
      <c r="EV39" s="56" t="s">
        <v>683</v>
      </c>
      <c r="FD39" s="56" t="s">
        <v>986</v>
      </c>
      <c r="FK39" s="56">
        <v>0</v>
      </c>
    </row>
    <row r="40" spans="1:167" x14ac:dyDescent="0.2">
      <c r="A40" s="56">
        <v>28995</v>
      </c>
      <c r="B40" s="56">
        <v>2</v>
      </c>
      <c r="C40" s="56">
        <v>6352</v>
      </c>
      <c r="D40" s="56" t="s">
        <v>634</v>
      </c>
      <c r="E40" s="56" t="s">
        <v>635</v>
      </c>
      <c r="K40" s="56" t="s">
        <v>987</v>
      </c>
      <c r="L40" s="56" t="s">
        <v>637</v>
      </c>
      <c r="M40" s="56">
        <v>44930</v>
      </c>
      <c r="N40" s="56">
        <v>44932</v>
      </c>
      <c r="O40" s="56">
        <v>38</v>
      </c>
      <c r="P40" s="56" t="s">
        <v>638</v>
      </c>
      <c r="Q40" s="56">
        <v>2</v>
      </c>
      <c r="R40" s="56" t="s">
        <v>639</v>
      </c>
      <c r="S40" s="56" t="s">
        <v>640</v>
      </c>
      <c r="T40" s="56" t="s">
        <v>641</v>
      </c>
      <c r="U40" s="56" t="s">
        <v>735</v>
      </c>
      <c r="V40" s="56" t="s">
        <v>643</v>
      </c>
      <c r="W40" s="56">
        <v>47</v>
      </c>
      <c r="X40" s="56" t="s">
        <v>644</v>
      </c>
      <c r="Y40" s="56">
        <v>98</v>
      </c>
      <c r="Z40" s="56" t="s">
        <v>645</v>
      </c>
      <c r="AA40" s="56" t="s">
        <v>646</v>
      </c>
      <c r="AB40" s="56" t="s">
        <v>647</v>
      </c>
      <c r="AC40" s="56" t="s">
        <v>643</v>
      </c>
      <c r="AD40" s="56" t="s">
        <v>648</v>
      </c>
      <c r="AE40" s="56">
        <v>91</v>
      </c>
      <c r="AF40" s="56" t="s">
        <v>736</v>
      </c>
      <c r="AG40" s="56" t="s">
        <v>737</v>
      </c>
      <c r="AH40" s="56" t="s">
        <v>643</v>
      </c>
      <c r="AI40" s="56" t="s">
        <v>735</v>
      </c>
      <c r="AJ40" s="56">
        <v>139</v>
      </c>
      <c r="AK40" s="56" t="s">
        <v>651</v>
      </c>
      <c r="AL40" s="56">
        <v>91</v>
      </c>
      <c r="AM40" s="56" t="s">
        <v>736</v>
      </c>
      <c r="AN40" s="56" t="s">
        <v>737</v>
      </c>
      <c r="AO40" s="56" t="s">
        <v>738</v>
      </c>
      <c r="AP40" s="56" t="s">
        <v>643</v>
      </c>
      <c r="AQ40" s="56" t="s">
        <v>735</v>
      </c>
      <c r="AR40" s="56">
        <v>98</v>
      </c>
      <c r="AS40" s="56" t="s">
        <v>645</v>
      </c>
      <c r="AT40" s="56" t="s">
        <v>646</v>
      </c>
      <c r="AU40" s="56" t="s">
        <v>643</v>
      </c>
      <c r="AV40" s="56" t="s">
        <v>648</v>
      </c>
      <c r="AW40" s="56">
        <v>109</v>
      </c>
      <c r="AX40" s="56" t="s">
        <v>826</v>
      </c>
      <c r="AY40" s="56">
        <v>20</v>
      </c>
      <c r="AZ40" s="56" t="s">
        <v>30</v>
      </c>
      <c r="BA40" s="56" t="s">
        <v>827</v>
      </c>
      <c r="BB40" s="56" t="s">
        <v>770</v>
      </c>
      <c r="BC40" s="56">
        <v>38</v>
      </c>
      <c r="BD40" s="56" t="s">
        <v>289</v>
      </c>
      <c r="BE40" s="56" t="s">
        <v>771</v>
      </c>
      <c r="BF40" s="56">
        <v>2</v>
      </c>
      <c r="BG40" s="56" t="s">
        <v>289</v>
      </c>
      <c r="BH40" s="56" t="s">
        <v>772</v>
      </c>
      <c r="BI40" s="56">
        <v>22.94</v>
      </c>
      <c r="BJ40" s="56">
        <v>62859.73</v>
      </c>
      <c r="BK40" s="56">
        <v>22.94</v>
      </c>
      <c r="BL40" s="56" t="s">
        <v>659</v>
      </c>
      <c r="BM40" s="56">
        <v>3104</v>
      </c>
      <c r="BN40" s="56" t="s">
        <v>724</v>
      </c>
      <c r="BO40" s="56" t="s">
        <v>725</v>
      </c>
      <c r="BP40" s="56">
        <v>3326.3</v>
      </c>
      <c r="BQ40" s="56">
        <v>2854.24</v>
      </c>
      <c r="BR40" s="56">
        <v>0</v>
      </c>
      <c r="BS40" s="56">
        <v>0</v>
      </c>
      <c r="BT40" s="56">
        <v>0</v>
      </c>
      <c r="BU40" s="56">
        <v>28321</v>
      </c>
      <c r="BV40" s="56">
        <v>98</v>
      </c>
      <c r="BW40" s="56" t="s">
        <v>645</v>
      </c>
      <c r="BX40" s="56" t="s">
        <v>988</v>
      </c>
      <c r="BY40" s="56" t="s">
        <v>663</v>
      </c>
      <c r="BZ40" s="56">
        <v>0.25</v>
      </c>
      <c r="CA40" s="56" t="s">
        <v>664</v>
      </c>
      <c r="CB40" s="56" t="s">
        <v>665</v>
      </c>
      <c r="CD40" s="56" t="s">
        <v>667</v>
      </c>
      <c r="CG40" s="56">
        <v>0</v>
      </c>
      <c r="CH40" s="56">
        <v>145</v>
      </c>
      <c r="CJ40" s="56">
        <v>100</v>
      </c>
      <c r="CK40" s="56">
        <v>2854.24</v>
      </c>
      <c r="CL40" s="56">
        <v>0</v>
      </c>
      <c r="CN40" s="56">
        <v>399.16</v>
      </c>
      <c r="CO40" s="56">
        <v>399.16</v>
      </c>
      <c r="CP40" s="56">
        <v>72.900000000000006</v>
      </c>
      <c r="CQ40" s="56" t="s">
        <v>668</v>
      </c>
      <c r="CR40" s="56">
        <v>0</v>
      </c>
      <c r="CS40" s="56">
        <v>0</v>
      </c>
      <c r="CV40" s="56">
        <v>0</v>
      </c>
      <c r="CX40" s="56">
        <v>0</v>
      </c>
      <c r="CY40" s="56">
        <v>0</v>
      </c>
      <c r="CZ40" s="56">
        <v>264.01</v>
      </c>
      <c r="DA40" s="56">
        <v>264.01</v>
      </c>
      <c r="DB40" s="56">
        <v>0</v>
      </c>
      <c r="DC40" s="56">
        <v>2590.23</v>
      </c>
      <c r="DD40" s="56">
        <v>10.8</v>
      </c>
      <c r="DE40" s="56">
        <v>0</v>
      </c>
      <c r="DF40" s="56">
        <v>10.8</v>
      </c>
      <c r="DH40" s="56" t="s">
        <v>670</v>
      </c>
      <c r="DI40" s="56" t="s">
        <v>671</v>
      </c>
      <c r="DK40" s="56">
        <v>79.739999999999995</v>
      </c>
      <c r="DL40" s="56">
        <v>2652.33</v>
      </c>
      <c r="DM40" s="56">
        <v>93</v>
      </c>
      <c r="DN40" s="56" t="s">
        <v>748</v>
      </c>
      <c r="DO40" s="56" t="s">
        <v>236</v>
      </c>
      <c r="DQ40" s="56" t="s">
        <v>674</v>
      </c>
      <c r="DR40" s="56">
        <v>3</v>
      </c>
      <c r="DX40" s="56" t="s">
        <v>678</v>
      </c>
      <c r="DY40" s="56" t="s">
        <v>679</v>
      </c>
      <c r="EL40" s="56">
        <v>25</v>
      </c>
      <c r="EM40" s="56">
        <v>15</v>
      </c>
      <c r="EN40" s="56">
        <v>5173</v>
      </c>
      <c r="EO40" s="56">
        <v>1805</v>
      </c>
      <c r="EP40" s="56">
        <v>6792</v>
      </c>
      <c r="EQ40" s="56" t="s">
        <v>751</v>
      </c>
      <c r="ER40" s="56" t="s">
        <v>752</v>
      </c>
      <c r="ES40" s="56">
        <v>2</v>
      </c>
      <c r="ET40" s="56" t="s">
        <v>682</v>
      </c>
      <c r="EU40" s="56" t="s">
        <v>683</v>
      </c>
      <c r="EV40" s="56" t="s">
        <v>683</v>
      </c>
      <c r="FD40" s="56" t="s">
        <v>989</v>
      </c>
      <c r="FK40" s="56">
        <v>0</v>
      </c>
    </row>
    <row r="41" spans="1:167" x14ac:dyDescent="0.2">
      <c r="A41" s="56">
        <v>28996</v>
      </c>
      <c r="B41" s="56">
        <v>2</v>
      </c>
      <c r="C41" s="56">
        <v>6352</v>
      </c>
      <c r="D41" s="56" t="s">
        <v>634</v>
      </c>
      <c r="E41" s="56" t="s">
        <v>635</v>
      </c>
      <c r="K41" s="56" t="s">
        <v>990</v>
      </c>
      <c r="L41" s="56" t="s">
        <v>637</v>
      </c>
      <c r="M41" s="56">
        <v>44930</v>
      </c>
      <c r="N41" s="56">
        <v>44932</v>
      </c>
      <c r="O41" s="56">
        <v>38</v>
      </c>
      <c r="P41" s="56" t="s">
        <v>638</v>
      </c>
      <c r="Q41" s="56">
        <v>2</v>
      </c>
      <c r="R41" s="56" t="s">
        <v>639</v>
      </c>
      <c r="S41" s="56" t="s">
        <v>893</v>
      </c>
      <c r="T41" s="56" t="s">
        <v>641</v>
      </c>
      <c r="U41" s="56" t="s">
        <v>735</v>
      </c>
      <c r="V41" s="56" t="s">
        <v>643</v>
      </c>
      <c r="W41" s="56">
        <v>48</v>
      </c>
      <c r="X41" s="56" t="s">
        <v>699</v>
      </c>
      <c r="Y41" s="56">
        <v>90</v>
      </c>
      <c r="Z41" s="56" t="s">
        <v>894</v>
      </c>
      <c r="AA41" s="56" t="s">
        <v>895</v>
      </c>
      <c r="AB41" s="56" t="s">
        <v>896</v>
      </c>
      <c r="AC41" s="56" t="s">
        <v>641</v>
      </c>
      <c r="AD41" s="56" t="s">
        <v>893</v>
      </c>
      <c r="AE41" s="56">
        <v>91</v>
      </c>
      <c r="AF41" s="56" t="s">
        <v>736</v>
      </c>
      <c r="AG41" s="56" t="s">
        <v>737</v>
      </c>
      <c r="AH41" s="56" t="s">
        <v>643</v>
      </c>
      <c r="AI41" s="56" t="s">
        <v>735</v>
      </c>
      <c r="AJ41" s="56">
        <v>90</v>
      </c>
      <c r="AK41" s="56" t="s">
        <v>894</v>
      </c>
      <c r="AL41" s="56">
        <v>91</v>
      </c>
      <c r="AM41" s="56" t="s">
        <v>736</v>
      </c>
      <c r="AN41" s="56" t="s">
        <v>737</v>
      </c>
      <c r="AO41" s="56" t="s">
        <v>738</v>
      </c>
      <c r="AP41" s="56" t="s">
        <v>643</v>
      </c>
      <c r="AQ41" s="56" t="s">
        <v>735</v>
      </c>
      <c r="AR41" s="56">
        <v>98</v>
      </c>
      <c r="AS41" s="56" t="s">
        <v>645</v>
      </c>
      <c r="AT41" s="56" t="s">
        <v>646</v>
      </c>
      <c r="AU41" s="56" t="s">
        <v>643</v>
      </c>
      <c r="AV41" s="56" t="s">
        <v>648</v>
      </c>
      <c r="AW41" s="56">
        <v>110</v>
      </c>
      <c r="AX41" s="56" t="s">
        <v>864</v>
      </c>
      <c r="AY41" s="56">
        <v>68</v>
      </c>
      <c r="AZ41" s="56" t="s">
        <v>25</v>
      </c>
      <c r="BA41" s="56" t="s">
        <v>865</v>
      </c>
      <c r="BB41" s="56" t="s">
        <v>844</v>
      </c>
      <c r="BC41" s="56">
        <v>2</v>
      </c>
      <c r="BD41" s="56" t="s">
        <v>289</v>
      </c>
      <c r="BE41" s="56" t="s">
        <v>772</v>
      </c>
      <c r="BF41" s="56">
        <v>2</v>
      </c>
      <c r="BG41" s="56" t="s">
        <v>289</v>
      </c>
      <c r="BH41" s="56" t="s">
        <v>772</v>
      </c>
      <c r="BI41" s="56">
        <v>48.35</v>
      </c>
      <c r="BJ41" s="56">
        <v>124592.15</v>
      </c>
      <c r="BK41" s="56">
        <v>48350</v>
      </c>
      <c r="BL41" s="56" t="s">
        <v>897</v>
      </c>
      <c r="BM41" s="56">
        <v>3102</v>
      </c>
      <c r="BN41" s="56" t="s">
        <v>660</v>
      </c>
      <c r="BO41" s="56" t="s">
        <v>866</v>
      </c>
      <c r="BP41" s="56">
        <v>7010.75</v>
      </c>
      <c r="BQ41" s="56">
        <v>6096.56</v>
      </c>
      <c r="BR41" s="56">
        <v>0</v>
      </c>
      <c r="BS41" s="56">
        <v>0</v>
      </c>
      <c r="BT41" s="56">
        <v>0</v>
      </c>
      <c r="BU41" s="56">
        <v>717553</v>
      </c>
      <c r="BV41" s="56">
        <v>98</v>
      </c>
      <c r="BW41" s="56" t="s">
        <v>645</v>
      </c>
      <c r="BX41" s="56" t="s">
        <v>991</v>
      </c>
      <c r="BY41" s="56" t="s">
        <v>663</v>
      </c>
      <c r="BZ41" s="56">
        <v>0.25</v>
      </c>
      <c r="CA41" s="56" t="s">
        <v>664</v>
      </c>
      <c r="CB41" s="56" t="s">
        <v>899</v>
      </c>
      <c r="CD41" s="56" t="s">
        <v>667</v>
      </c>
      <c r="CG41" s="56">
        <v>0</v>
      </c>
      <c r="CH41" s="56">
        <v>145</v>
      </c>
      <c r="CJ41" s="56">
        <v>100</v>
      </c>
      <c r="CK41" s="56">
        <v>6096.56</v>
      </c>
      <c r="CL41" s="56">
        <v>0</v>
      </c>
      <c r="CN41" s="56">
        <v>841.29</v>
      </c>
      <c r="CO41" s="56">
        <v>841.29</v>
      </c>
      <c r="CP41" s="56">
        <v>72.900000000000006</v>
      </c>
      <c r="CQ41" s="56" t="s">
        <v>668</v>
      </c>
      <c r="CR41" s="56">
        <v>0</v>
      </c>
      <c r="CS41" s="56">
        <v>0</v>
      </c>
      <c r="CV41" s="56">
        <v>0</v>
      </c>
      <c r="CX41" s="56">
        <v>0</v>
      </c>
      <c r="CY41" s="56">
        <v>0</v>
      </c>
      <c r="CZ41" s="56">
        <v>563.92999999999995</v>
      </c>
      <c r="DA41" s="56">
        <v>563.92999999999995</v>
      </c>
      <c r="DB41" s="56">
        <v>0</v>
      </c>
      <c r="DC41" s="56">
        <v>5532.63</v>
      </c>
      <c r="DD41" s="56">
        <v>21.41</v>
      </c>
      <c r="DE41" s="56">
        <v>0</v>
      </c>
      <c r="DF41" s="56">
        <v>21.41</v>
      </c>
      <c r="DH41" s="56" t="s">
        <v>670</v>
      </c>
      <c r="DI41" s="56" t="s">
        <v>671</v>
      </c>
      <c r="DK41" s="56">
        <v>79.650000000000006</v>
      </c>
      <c r="DL41" s="56">
        <v>5584.12</v>
      </c>
      <c r="DM41" s="56">
        <v>67</v>
      </c>
      <c r="DN41" s="56" t="s">
        <v>900</v>
      </c>
      <c r="DO41" s="56" t="s">
        <v>236</v>
      </c>
      <c r="DQ41" s="56" t="s">
        <v>674</v>
      </c>
      <c r="DR41" s="56">
        <v>3</v>
      </c>
      <c r="DW41" s="56">
        <v>280</v>
      </c>
      <c r="DX41" s="56" t="s">
        <v>678</v>
      </c>
      <c r="DY41" s="56" t="s">
        <v>679</v>
      </c>
      <c r="EL41" s="56">
        <v>25</v>
      </c>
      <c r="EM41" s="56">
        <v>15</v>
      </c>
      <c r="EN41" s="56">
        <v>4779</v>
      </c>
      <c r="EO41" s="56">
        <v>1805</v>
      </c>
      <c r="EP41" s="56">
        <v>6792</v>
      </c>
      <c r="EQ41" s="56" t="s">
        <v>901</v>
      </c>
      <c r="ER41" s="56" t="s">
        <v>902</v>
      </c>
      <c r="ES41" s="56">
        <v>2</v>
      </c>
      <c r="ET41" s="56" t="s">
        <v>682</v>
      </c>
      <c r="EU41" s="56" t="s">
        <v>683</v>
      </c>
      <c r="EV41" s="56" t="s">
        <v>683</v>
      </c>
      <c r="FD41" s="56" t="s">
        <v>992</v>
      </c>
      <c r="FK41" s="56">
        <v>0</v>
      </c>
    </row>
    <row r="42" spans="1:167" x14ac:dyDescent="0.2">
      <c r="A42" s="56">
        <v>28997</v>
      </c>
      <c r="B42" s="56">
        <v>2</v>
      </c>
      <c r="C42" s="56">
        <v>6352</v>
      </c>
      <c r="D42" s="56" t="s">
        <v>634</v>
      </c>
      <c r="E42" s="56" t="s">
        <v>635</v>
      </c>
      <c r="K42" s="56" t="s">
        <v>993</v>
      </c>
      <c r="L42" s="56" t="s">
        <v>637</v>
      </c>
      <c r="M42" s="56">
        <v>44930</v>
      </c>
      <c r="N42" s="56">
        <v>44932</v>
      </c>
      <c r="O42" s="56">
        <v>38</v>
      </c>
      <c r="P42" s="56" t="s">
        <v>638</v>
      </c>
      <c r="Q42" s="56">
        <v>2</v>
      </c>
      <c r="R42" s="56" t="s">
        <v>639</v>
      </c>
      <c r="S42" s="56" t="s">
        <v>893</v>
      </c>
      <c r="T42" s="56" t="s">
        <v>641</v>
      </c>
      <c r="U42" s="56" t="s">
        <v>735</v>
      </c>
      <c r="V42" s="56" t="s">
        <v>643</v>
      </c>
      <c r="W42" s="56">
        <v>48</v>
      </c>
      <c r="X42" s="56" t="s">
        <v>699</v>
      </c>
      <c r="Y42" s="56">
        <v>90</v>
      </c>
      <c r="Z42" s="56" t="s">
        <v>894</v>
      </c>
      <c r="AA42" s="56" t="s">
        <v>895</v>
      </c>
      <c r="AB42" s="56" t="s">
        <v>896</v>
      </c>
      <c r="AC42" s="56" t="s">
        <v>641</v>
      </c>
      <c r="AD42" s="56" t="s">
        <v>893</v>
      </c>
      <c r="AE42" s="56">
        <v>91</v>
      </c>
      <c r="AF42" s="56" t="s">
        <v>736</v>
      </c>
      <c r="AG42" s="56" t="s">
        <v>737</v>
      </c>
      <c r="AH42" s="56" t="s">
        <v>643</v>
      </c>
      <c r="AI42" s="56" t="s">
        <v>735</v>
      </c>
      <c r="AJ42" s="56">
        <v>90</v>
      </c>
      <c r="AK42" s="56" t="s">
        <v>894</v>
      </c>
      <c r="AL42" s="56">
        <v>91</v>
      </c>
      <c r="AM42" s="56" t="s">
        <v>736</v>
      </c>
      <c r="AN42" s="56" t="s">
        <v>737</v>
      </c>
      <c r="AO42" s="56" t="s">
        <v>738</v>
      </c>
      <c r="AP42" s="56" t="s">
        <v>643</v>
      </c>
      <c r="AQ42" s="56" t="s">
        <v>735</v>
      </c>
      <c r="AR42" s="56">
        <v>98</v>
      </c>
      <c r="AS42" s="56" t="s">
        <v>645</v>
      </c>
      <c r="AT42" s="56" t="s">
        <v>646</v>
      </c>
      <c r="AU42" s="56" t="s">
        <v>643</v>
      </c>
      <c r="AV42" s="56" t="s">
        <v>648</v>
      </c>
      <c r="AW42" s="56">
        <v>118</v>
      </c>
      <c r="AX42" s="56" t="s">
        <v>870</v>
      </c>
      <c r="AY42" s="56">
        <v>59</v>
      </c>
      <c r="AZ42" s="56" t="s">
        <v>127</v>
      </c>
      <c r="BA42" s="56" t="s">
        <v>871</v>
      </c>
      <c r="BB42" s="56" t="s">
        <v>844</v>
      </c>
      <c r="BC42" s="56">
        <v>2</v>
      </c>
      <c r="BD42" s="56" t="s">
        <v>289</v>
      </c>
      <c r="BE42" s="56" t="s">
        <v>772</v>
      </c>
      <c r="BF42" s="56">
        <v>2</v>
      </c>
      <c r="BG42" s="56" t="s">
        <v>289</v>
      </c>
      <c r="BH42" s="56" t="s">
        <v>772</v>
      </c>
      <c r="BI42" s="56">
        <v>35.19</v>
      </c>
      <c r="BJ42" s="56">
        <v>90680.41</v>
      </c>
      <c r="BK42" s="56">
        <v>35190</v>
      </c>
      <c r="BL42" s="56" t="s">
        <v>897</v>
      </c>
      <c r="BM42" s="56">
        <v>3102</v>
      </c>
      <c r="BN42" s="56" t="s">
        <v>660</v>
      </c>
      <c r="BO42" s="56" t="s">
        <v>872</v>
      </c>
      <c r="BP42" s="56">
        <v>5102.55</v>
      </c>
      <c r="BQ42" s="56">
        <v>4433.54</v>
      </c>
      <c r="BR42" s="56">
        <v>0</v>
      </c>
      <c r="BS42" s="56">
        <v>0</v>
      </c>
      <c r="BT42" s="56">
        <v>0</v>
      </c>
      <c r="BU42" s="56">
        <v>717556</v>
      </c>
      <c r="BV42" s="56">
        <v>98</v>
      </c>
      <c r="BW42" s="56" t="s">
        <v>645</v>
      </c>
      <c r="BX42" s="56" t="s">
        <v>994</v>
      </c>
      <c r="BY42" s="56" t="s">
        <v>663</v>
      </c>
      <c r="BZ42" s="56">
        <v>0.25</v>
      </c>
      <c r="CA42" s="56" t="s">
        <v>664</v>
      </c>
      <c r="CB42" s="56" t="s">
        <v>899</v>
      </c>
      <c r="CD42" s="56" t="s">
        <v>667</v>
      </c>
      <c r="CG42" s="56">
        <v>0</v>
      </c>
      <c r="CH42" s="56">
        <v>145</v>
      </c>
      <c r="CJ42" s="56">
        <v>100</v>
      </c>
      <c r="CK42" s="56">
        <v>4433.54</v>
      </c>
      <c r="CL42" s="56">
        <v>0</v>
      </c>
      <c r="CN42" s="56">
        <v>612.30999999999995</v>
      </c>
      <c r="CO42" s="56">
        <v>612.30999999999995</v>
      </c>
      <c r="CP42" s="56">
        <v>56.7</v>
      </c>
      <c r="CQ42" s="56" t="s">
        <v>668</v>
      </c>
      <c r="CR42" s="56">
        <v>0</v>
      </c>
      <c r="CS42" s="56">
        <v>0</v>
      </c>
      <c r="CV42" s="56">
        <v>0</v>
      </c>
      <c r="CX42" s="56">
        <v>0</v>
      </c>
      <c r="CY42" s="56">
        <v>0</v>
      </c>
      <c r="CZ42" s="56">
        <v>410.1</v>
      </c>
      <c r="DA42" s="56">
        <v>410.1</v>
      </c>
      <c r="DB42" s="56">
        <v>0</v>
      </c>
      <c r="DC42" s="56">
        <v>4023.44</v>
      </c>
      <c r="DD42" s="56">
        <v>15.58</v>
      </c>
      <c r="DE42" s="56">
        <v>0</v>
      </c>
      <c r="DF42" s="56">
        <v>15.58</v>
      </c>
      <c r="DH42" s="56" t="s">
        <v>670</v>
      </c>
      <c r="DI42" s="56" t="s">
        <v>671</v>
      </c>
      <c r="DK42" s="56">
        <v>79.66</v>
      </c>
      <c r="DL42" s="56">
        <v>4064.56</v>
      </c>
      <c r="DM42" s="56">
        <v>67</v>
      </c>
      <c r="DN42" s="56" t="s">
        <v>900</v>
      </c>
      <c r="DO42" s="56" t="s">
        <v>236</v>
      </c>
      <c r="DQ42" s="56" t="s">
        <v>674</v>
      </c>
      <c r="DR42" s="56">
        <v>3</v>
      </c>
      <c r="DW42" s="56">
        <v>280</v>
      </c>
      <c r="DX42" s="56" t="s">
        <v>678</v>
      </c>
      <c r="DY42" s="56" t="s">
        <v>679</v>
      </c>
      <c r="EL42" s="56">
        <v>25</v>
      </c>
      <c r="EM42" s="56">
        <v>15</v>
      </c>
      <c r="EN42" s="56">
        <v>4779</v>
      </c>
      <c r="EO42" s="56">
        <v>1805</v>
      </c>
      <c r="EP42" s="56">
        <v>6792</v>
      </c>
      <c r="EQ42" s="56" t="s">
        <v>901</v>
      </c>
      <c r="ER42" s="56" t="s">
        <v>902</v>
      </c>
      <c r="ES42" s="56">
        <v>2</v>
      </c>
      <c r="ET42" s="56" t="s">
        <v>682</v>
      </c>
      <c r="EU42" s="56" t="s">
        <v>683</v>
      </c>
      <c r="EV42" s="56" t="s">
        <v>683</v>
      </c>
      <c r="FD42" s="56" t="s">
        <v>995</v>
      </c>
      <c r="FK42" s="56">
        <v>0</v>
      </c>
    </row>
    <row r="43" spans="1:167" x14ac:dyDescent="0.2">
      <c r="A43" s="56">
        <v>28998</v>
      </c>
      <c r="B43" s="56">
        <v>2</v>
      </c>
      <c r="C43" s="56">
        <v>6352</v>
      </c>
      <c r="D43" s="56" t="s">
        <v>634</v>
      </c>
      <c r="E43" s="56" t="s">
        <v>635</v>
      </c>
      <c r="K43" s="56" t="s">
        <v>996</v>
      </c>
      <c r="L43" s="56" t="s">
        <v>637</v>
      </c>
      <c r="M43" s="56">
        <v>44930</v>
      </c>
      <c r="N43" s="56">
        <v>44932</v>
      </c>
      <c r="O43" s="56">
        <v>38</v>
      </c>
      <c r="P43" s="56" t="s">
        <v>638</v>
      </c>
      <c r="Q43" s="56">
        <v>2</v>
      </c>
      <c r="R43" s="56" t="s">
        <v>639</v>
      </c>
      <c r="S43" s="56" t="s">
        <v>893</v>
      </c>
      <c r="T43" s="56" t="s">
        <v>641</v>
      </c>
      <c r="U43" s="56" t="s">
        <v>735</v>
      </c>
      <c r="V43" s="56" t="s">
        <v>643</v>
      </c>
      <c r="W43" s="56">
        <v>48</v>
      </c>
      <c r="X43" s="56" t="s">
        <v>699</v>
      </c>
      <c r="Y43" s="56">
        <v>90</v>
      </c>
      <c r="Z43" s="56" t="s">
        <v>894</v>
      </c>
      <c r="AA43" s="56" t="s">
        <v>895</v>
      </c>
      <c r="AB43" s="56" t="s">
        <v>896</v>
      </c>
      <c r="AC43" s="56" t="s">
        <v>641</v>
      </c>
      <c r="AD43" s="56" t="s">
        <v>893</v>
      </c>
      <c r="AE43" s="56">
        <v>91</v>
      </c>
      <c r="AF43" s="56" t="s">
        <v>736</v>
      </c>
      <c r="AG43" s="56" t="s">
        <v>737</v>
      </c>
      <c r="AH43" s="56" t="s">
        <v>643</v>
      </c>
      <c r="AI43" s="56" t="s">
        <v>735</v>
      </c>
      <c r="AJ43" s="56">
        <v>90</v>
      </c>
      <c r="AK43" s="56" t="s">
        <v>894</v>
      </c>
      <c r="AL43" s="56">
        <v>91</v>
      </c>
      <c r="AM43" s="56" t="s">
        <v>736</v>
      </c>
      <c r="AN43" s="56" t="s">
        <v>737</v>
      </c>
      <c r="AO43" s="56" t="s">
        <v>738</v>
      </c>
      <c r="AP43" s="56" t="s">
        <v>643</v>
      </c>
      <c r="AQ43" s="56" t="s">
        <v>735</v>
      </c>
      <c r="AR43" s="56">
        <v>98</v>
      </c>
      <c r="AS43" s="56" t="s">
        <v>645</v>
      </c>
      <c r="AT43" s="56" t="s">
        <v>646</v>
      </c>
      <c r="AU43" s="56" t="s">
        <v>643</v>
      </c>
      <c r="AV43" s="56" t="s">
        <v>648</v>
      </c>
      <c r="AW43" s="56">
        <v>117</v>
      </c>
      <c r="AX43" s="56" t="s">
        <v>848</v>
      </c>
      <c r="AY43" s="56">
        <v>1</v>
      </c>
      <c r="AZ43" s="56" t="s">
        <v>28</v>
      </c>
      <c r="BA43" s="56" t="s">
        <v>849</v>
      </c>
      <c r="BB43" s="56" t="s">
        <v>770</v>
      </c>
      <c r="BC43" s="56">
        <v>38</v>
      </c>
      <c r="BD43" s="56" t="s">
        <v>289</v>
      </c>
      <c r="BE43" s="56" t="s">
        <v>771</v>
      </c>
      <c r="BF43" s="56">
        <v>2</v>
      </c>
      <c r="BG43" s="56" t="s">
        <v>289</v>
      </c>
      <c r="BH43" s="56" t="s">
        <v>772</v>
      </c>
      <c r="BI43" s="56">
        <v>46.16</v>
      </c>
      <c r="BJ43" s="56">
        <v>118948.78</v>
      </c>
      <c r="BK43" s="56">
        <v>46160</v>
      </c>
      <c r="BL43" s="56" t="s">
        <v>897</v>
      </c>
      <c r="BM43" s="56">
        <v>3102</v>
      </c>
      <c r="BN43" s="56" t="s">
        <v>724</v>
      </c>
      <c r="BO43" s="56" t="s">
        <v>725</v>
      </c>
      <c r="BP43" s="56">
        <v>6693.2</v>
      </c>
      <c r="BQ43" s="56">
        <v>5817.12</v>
      </c>
      <c r="BR43" s="56">
        <v>0</v>
      </c>
      <c r="BS43" s="56">
        <v>0</v>
      </c>
      <c r="BT43" s="56">
        <v>0</v>
      </c>
      <c r="BU43" s="56">
        <v>717569</v>
      </c>
      <c r="BV43" s="56">
        <v>98</v>
      </c>
      <c r="BW43" s="56" t="s">
        <v>645</v>
      </c>
      <c r="BX43" s="56" t="s">
        <v>997</v>
      </c>
      <c r="BY43" s="56" t="s">
        <v>663</v>
      </c>
      <c r="BZ43" s="56">
        <v>0.25</v>
      </c>
      <c r="CA43" s="56" t="s">
        <v>664</v>
      </c>
      <c r="CB43" s="56" t="s">
        <v>899</v>
      </c>
      <c r="CD43" s="56" t="s">
        <v>667</v>
      </c>
      <c r="CG43" s="56">
        <v>0</v>
      </c>
      <c r="CH43" s="56">
        <v>145</v>
      </c>
      <c r="CJ43" s="56">
        <v>100</v>
      </c>
      <c r="CK43" s="56">
        <v>5817.12</v>
      </c>
      <c r="CL43" s="56">
        <v>0</v>
      </c>
      <c r="CN43" s="56">
        <v>803.18</v>
      </c>
      <c r="CO43" s="56">
        <v>803.18</v>
      </c>
      <c r="CP43" s="56">
        <v>72.900000000000006</v>
      </c>
      <c r="CQ43" s="56" t="s">
        <v>668</v>
      </c>
      <c r="CR43" s="56">
        <v>0</v>
      </c>
      <c r="CS43" s="56">
        <v>0</v>
      </c>
      <c r="CV43" s="56">
        <v>0</v>
      </c>
      <c r="CX43" s="56">
        <v>0</v>
      </c>
      <c r="CY43" s="56">
        <v>0</v>
      </c>
      <c r="CZ43" s="56">
        <v>538.08000000000004</v>
      </c>
      <c r="DA43" s="56">
        <v>538.08000000000004</v>
      </c>
      <c r="DB43" s="56">
        <v>0</v>
      </c>
      <c r="DC43" s="56">
        <v>5279.04</v>
      </c>
      <c r="DD43" s="56">
        <v>20.440000000000001</v>
      </c>
      <c r="DE43" s="56">
        <v>0</v>
      </c>
      <c r="DF43" s="56">
        <v>20.440000000000001</v>
      </c>
      <c r="DH43" s="56" t="s">
        <v>670</v>
      </c>
      <c r="DI43" s="56" t="s">
        <v>671</v>
      </c>
      <c r="DK43" s="56">
        <v>79.66</v>
      </c>
      <c r="DL43" s="56">
        <v>5331.5</v>
      </c>
      <c r="DM43" s="56">
        <v>67</v>
      </c>
      <c r="DN43" s="56" t="s">
        <v>900</v>
      </c>
      <c r="DO43" s="56" t="s">
        <v>236</v>
      </c>
      <c r="DQ43" s="56" t="s">
        <v>674</v>
      </c>
      <c r="DR43" s="56">
        <v>3</v>
      </c>
      <c r="DW43" s="56">
        <v>280</v>
      </c>
      <c r="DX43" s="56" t="s">
        <v>678</v>
      </c>
      <c r="DY43" s="56" t="s">
        <v>679</v>
      </c>
      <c r="EL43" s="56">
        <v>25</v>
      </c>
      <c r="EM43" s="56">
        <v>15</v>
      </c>
      <c r="EN43" s="56">
        <v>4779</v>
      </c>
      <c r="EO43" s="56">
        <v>1805</v>
      </c>
      <c r="EP43" s="56">
        <v>6792</v>
      </c>
      <c r="EQ43" s="56" t="s">
        <v>901</v>
      </c>
      <c r="ER43" s="56" t="s">
        <v>902</v>
      </c>
      <c r="ES43" s="56">
        <v>2</v>
      </c>
      <c r="ET43" s="56" t="s">
        <v>682</v>
      </c>
      <c r="EU43" s="56" t="s">
        <v>683</v>
      </c>
      <c r="EV43" s="56" t="s">
        <v>683</v>
      </c>
      <c r="FD43" s="56" t="s">
        <v>998</v>
      </c>
      <c r="FK43" s="56">
        <v>0</v>
      </c>
    </row>
    <row r="44" spans="1:167" x14ac:dyDescent="0.2">
      <c r="A44" s="56">
        <v>28999</v>
      </c>
      <c r="B44" s="56">
        <v>2</v>
      </c>
      <c r="C44" s="56">
        <v>6352</v>
      </c>
      <c r="D44" s="56" t="s">
        <v>634</v>
      </c>
      <c r="E44" s="56" t="s">
        <v>635</v>
      </c>
      <c r="K44" s="56" t="s">
        <v>999</v>
      </c>
      <c r="L44" s="56" t="s">
        <v>637</v>
      </c>
      <c r="M44" s="56">
        <v>44930</v>
      </c>
      <c r="N44" s="56">
        <v>44932</v>
      </c>
      <c r="O44" s="56">
        <v>38</v>
      </c>
      <c r="P44" s="56" t="s">
        <v>638</v>
      </c>
      <c r="Q44" s="56">
        <v>2</v>
      </c>
      <c r="R44" s="56" t="s">
        <v>639</v>
      </c>
      <c r="S44" s="56" t="s">
        <v>893</v>
      </c>
      <c r="T44" s="56" t="s">
        <v>641</v>
      </c>
      <c r="U44" s="56" t="s">
        <v>735</v>
      </c>
      <c r="V44" s="56" t="s">
        <v>643</v>
      </c>
      <c r="W44" s="56">
        <v>48</v>
      </c>
      <c r="X44" s="56" t="s">
        <v>699</v>
      </c>
      <c r="Y44" s="56">
        <v>90</v>
      </c>
      <c r="Z44" s="56" t="s">
        <v>894</v>
      </c>
      <c r="AA44" s="56" t="s">
        <v>895</v>
      </c>
      <c r="AB44" s="56" t="s">
        <v>896</v>
      </c>
      <c r="AC44" s="56" t="s">
        <v>641</v>
      </c>
      <c r="AD44" s="56" t="s">
        <v>893</v>
      </c>
      <c r="AE44" s="56">
        <v>91</v>
      </c>
      <c r="AF44" s="56" t="s">
        <v>736</v>
      </c>
      <c r="AG44" s="56" t="s">
        <v>737</v>
      </c>
      <c r="AH44" s="56" t="s">
        <v>643</v>
      </c>
      <c r="AI44" s="56" t="s">
        <v>735</v>
      </c>
      <c r="AJ44" s="56">
        <v>90</v>
      </c>
      <c r="AK44" s="56" t="s">
        <v>894</v>
      </c>
      <c r="AL44" s="56">
        <v>91</v>
      </c>
      <c r="AM44" s="56" t="s">
        <v>736</v>
      </c>
      <c r="AN44" s="56" t="s">
        <v>737</v>
      </c>
      <c r="AO44" s="56" t="s">
        <v>738</v>
      </c>
      <c r="AP44" s="56" t="s">
        <v>643</v>
      </c>
      <c r="AQ44" s="56" t="s">
        <v>735</v>
      </c>
      <c r="AR44" s="56">
        <v>98</v>
      </c>
      <c r="AS44" s="56" t="s">
        <v>645</v>
      </c>
      <c r="AT44" s="56" t="s">
        <v>646</v>
      </c>
      <c r="AU44" s="56" t="s">
        <v>643</v>
      </c>
      <c r="AV44" s="56" t="s">
        <v>648</v>
      </c>
      <c r="AW44" s="56">
        <v>50</v>
      </c>
      <c r="AX44" s="56" t="s">
        <v>881</v>
      </c>
      <c r="AY44" s="56">
        <v>77</v>
      </c>
      <c r="AZ44" s="56" t="s">
        <v>131</v>
      </c>
      <c r="BA44" s="56" t="s">
        <v>882</v>
      </c>
      <c r="BB44" s="56" t="s">
        <v>770</v>
      </c>
      <c r="BC44" s="56">
        <v>38</v>
      </c>
      <c r="BD44" s="56" t="s">
        <v>289</v>
      </c>
      <c r="BE44" s="56" t="s">
        <v>771</v>
      </c>
      <c r="BF44" s="56">
        <v>2</v>
      </c>
      <c r="BG44" s="56" t="s">
        <v>289</v>
      </c>
      <c r="BH44" s="56" t="s">
        <v>772</v>
      </c>
      <c r="BI44" s="56">
        <v>46.2</v>
      </c>
      <c r="BJ44" s="56">
        <v>119051.86</v>
      </c>
      <c r="BK44" s="56">
        <v>46200</v>
      </c>
      <c r="BL44" s="56" t="s">
        <v>897</v>
      </c>
      <c r="BM44" s="56">
        <v>3102</v>
      </c>
      <c r="BN44" s="56" t="s">
        <v>786</v>
      </c>
      <c r="BO44" s="56" t="s">
        <v>883</v>
      </c>
      <c r="BP44" s="56">
        <v>6699</v>
      </c>
      <c r="BQ44" s="56">
        <v>5822.22</v>
      </c>
      <c r="BR44" s="56">
        <v>0</v>
      </c>
      <c r="BS44" s="56">
        <v>0</v>
      </c>
      <c r="BT44" s="56">
        <v>0</v>
      </c>
      <c r="BU44" s="56">
        <v>717577</v>
      </c>
      <c r="BV44" s="56">
        <v>98</v>
      </c>
      <c r="BW44" s="56" t="s">
        <v>645</v>
      </c>
      <c r="BX44" s="56" t="s">
        <v>1000</v>
      </c>
      <c r="BY44" s="56" t="s">
        <v>663</v>
      </c>
      <c r="BZ44" s="56">
        <v>0.25</v>
      </c>
      <c r="CA44" s="56" t="s">
        <v>664</v>
      </c>
      <c r="CB44" s="56" t="s">
        <v>899</v>
      </c>
      <c r="CD44" s="56" t="s">
        <v>667</v>
      </c>
      <c r="CG44" s="56">
        <v>0</v>
      </c>
      <c r="CH44" s="56">
        <v>145</v>
      </c>
      <c r="CJ44" s="56">
        <v>100</v>
      </c>
      <c r="CK44" s="56">
        <v>5822.22</v>
      </c>
      <c r="CL44" s="56">
        <v>0</v>
      </c>
      <c r="CN44" s="56">
        <v>803.88</v>
      </c>
      <c r="CO44" s="56">
        <v>803.88</v>
      </c>
      <c r="CP44" s="56">
        <v>72.900000000000006</v>
      </c>
      <c r="CQ44" s="56" t="s">
        <v>668</v>
      </c>
      <c r="CR44" s="56">
        <v>0</v>
      </c>
      <c r="CS44" s="56">
        <v>0</v>
      </c>
      <c r="CV44" s="56">
        <v>0</v>
      </c>
      <c r="CX44" s="56">
        <v>0</v>
      </c>
      <c r="CY44" s="56">
        <v>0</v>
      </c>
      <c r="CZ44" s="56">
        <v>538.55999999999995</v>
      </c>
      <c r="DA44" s="56">
        <v>538.55999999999995</v>
      </c>
      <c r="DB44" s="56">
        <v>0</v>
      </c>
      <c r="DC44" s="56">
        <v>5283.66</v>
      </c>
      <c r="DD44" s="56">
        <v>20.45</v>
      </c>
      <c r="DE44" s="56">
        <v>0</v>
      </c>
      <c r="DF44" s="56">
        <v>20.45</v>
      </c>
      <c r="DH44" s="56" t="s">
        <v>670</v>
      </c>
      <c r="DI44" s="56" t="s">
        <v>671</v>
      </c>
      <c r="DK44" s="56">
        <v>79.66</v>
      </c>
      <c r="DL44" s="56">
        <v>5336.11</v>
      </c>
      <c r="DM44" s="56">
        <v>67</v>
      </c>
      <c r="DN44" s="56" t="s">
        <v>900</v>
      </c>
      <c r="DO44" s="56" t="s">
        <v>236</v>
      </c>
      <c r="DQ44" s="56" t="s">
        <v>674</v>
      </c>
      <c r="DR44" s="56">
        <v>3</v>
      </c>
      <c r="DW44" s="56">
        <v>280</v>
      </c>
      <c r="DX44" s="56" t="s">
        <v>678</v>
      </c>
      <c r="DY44" s="56" t="s">
        <v>679</v>
      </c>
      <c r="EL44" s="56">
        <v>25</v>
      </c>
      <c r="EM44" s="56">
        <v>15</v>
      </c>
      <c r="EN44" s="56">
        <v>4779</v>
      </c>
      <c r="EO44" s="56">
        <v>1805</v>
      </c>
      <c r="EP44" s="56">
        <v>6792</v>
      </c>
      <c r="EQ44" s="56" t="s">
        <v>901</v>
      </c>
      <c r="ER44" s="56" t="s">
        <v>902</v>
      </c>
      <c r="ES44" s="56">
        <v>2</v>
      </c>
      <c r="ET44" s="56" t="s">
        <v>682</v>
      </c>
      <c r="EU44" s="56" t="s">
        <v>683</v>
      </c>
      <c r="EV44" s="56" t="s">
        <v>683</v>
      </c>
      <c r="FD44" s="56" t="s">
        <v>1001</v>
      </c>
      <c r="FK44" s="56">
        <v>0</v>
      </c>
    </row>
    <row r="45" spans="1:167" x14ac:dyDescent="0.2">
      <c r="A45" s="56">
        <v>29000</v>
      </c>
      <c r="B45" s="56">
        <v>2</v>
      </c>
      <c r="C45" s="56">
        <v>6352</v>
      </c>
      <c r="D45" s="56" t="s">
        <v>634</v>
      </c>
      <c r="E45" s="56" t="s">
        <v>635</v>
      </c>
      <c r="K45" s="56" t="s">
        <v>1002</v>
      </c>
      <c r="L45" s="56" t="s">
        <v>637</v>
      </c>
      <c r="M45" s="56">
        <v>44930</v>
      </c>
      <c r="N45" s="56">
        <v>44932</v>
      </c>
      <c r="O45" s="56">
        <v>38</v>
      </c>
      <c r="P45" s="56" t="s">
        <v>638</v>
      </c>
      <c r="Q45" s="56">
        <v>2</v>
      </c>
      <c r="R45" s="56" t="s">
        <v>639</v>
      </c>
      <c r="S45" s="56" t="s">
        <v>893</v>
      </c>
      <c r="T45" s="56" t="s">
        <v>641</v>
      </c>
      <c r="U45" s="56" t="s">
        <v>735</v>
      </c>
      <c r="V45" s="56" t="s">
        <v>643</v>
      </c>
      <c r="W45" s="56">
        <v>48</v>
      </c>
      <c r="X45" s="56" t="s">
        <v>699</v>
      </c>
      <c r="Y45" s="56">
        <v>90</v>
      </c>
      <c r="Z45" s="56" t="s">
        <v>894</v>
      </c>
      <c r="AA45" s="56" t="s">
        <v>895</v>
      </c>
      <c r="AB45" s="56" t="s">
        <v>896</v>
      </c>
      <c r="AC45" s="56" t="s">
        <v>641</v>
      </c>
      <c r="AD45" s="56" t="s">
        <v>893</v>
      </c>
      <c r="AE45" s="56">
        <v>91</v>
      </c>
      <c r="AF45" s="56" t="s">
        <v>736</v>
      </c>
      <c r="AG45" s="56" t="s">
        <v>737</v>
      </c>
      <c r="AH45" s="56" t="s">
        <v>643</v>
      </c>
      <c r="AI45" s="56" t="s">
        <v>735</v>
      </c>
      <c r="AJ45" s="56">
        <v>90</v>
      </c>
      <c r="AK45" s="56" t="s">
        <v>894</v>
      </c>
      <c r="AL45" s="56">
        <v>91</v>
      </c>
      <c r="AM45" s="56" t="s">
        <v>736</v>
      </c>
      <c r="AN45" s="56" t="s">
        <v>737</v>
      </c>
      <c r="AO45" s="56" t="s">
        <v>738</v>
      </c>
      <c r="AP45" s="56" t="s">
        <v>643</v>
      </c>
      <c r="AQ45" s="56" t="s">
        <v>735</v>
      </c>
      <c r="AR45" s="56">
        <v>98</v>
      </c>
      <c r="AS45" s="56" t="s">
        <v>645</v>
      </c>
      <c r="AT45" s="56" t="s">
        <v>646</v>
      </c>
      <c r="AU45" s="56" t="s">
        <v>643</v>
      </c>
      <c r="AV45" s="56" t="s">
        <v>648</v>
      </c>
      <c r="AW45" s="56">
        <v>107</v>
      </c>
      <c r="AX45" s="56" t="s">
        <v>1003</v>
      </c>
      <c r="AY45" s="56">
        <v>39</v>
      </c>
      <c r="AZ45" s="56" t="s">
        <v>27</v>
      </c>
      <c r="BA45" s="56" t="s">
        <v>1004</v>
      </c>
      <c r="BB45" s="56" t="s">
        <v>770</v>
      </c>
      <c r="BC45" s="56">
        <v>38</v>
      </c>
      <c r="BD45" s="56" t="s">
        <v>289</v>
      </c>
      <c r="BE45" s="56" t="s">
        <v>771</v>
      </c>
      <c r="BF45" s="56">
        <v>2</v>
      </c>
      <c r="BG45" s="56" t="s">
        <v>289</v>
      </c>
      <c r="BH45" s="56" t="s">
        <v>772</v>
      </c>
      <c r="BI45" s="56">
        <v>45.67</v>
      </c>
      <c r="BJ45" s="56">
        <v>117686.11</v>
      </c>
      <c r="BK45" s="56">
        <v>45670</v>
      </c>
      <c r="BL45" s="56" t="s">
        <v>897</v>
      </c>
      <c r="BM45" s="56">
        <v>3102</v>
      </c>
      <c r="BN45" s="56" t="s">
        <v>786</v>
      </c>
      <c r="BO45" s="56" t="s">
        <v>911</v>
      </c>
      <c r="BP45" s="56">
        <v>6622.15</v>
      </c>
      <c r="BQ45" s="56">
        <v>5754.59</v>
      </c>
      <c r="BR45" s="56">
        <v>0</v>
      </c>
      <c r="BS45" s="56">
        <v>0</v>
      </c>
      <c r="BT45" s="56">
        <v>0</v>
      </c>
      <c r="BU45" s="56">
        <v>717580</v>
      </c>
      <c r="BV45" s="56">
        <v>98</v>
      </c>
      <c r="BW45" s="56" t="s">
        <v>645</v>
      </c>
      <c r="BX45" s="56" t="s">
        <v>1005</v>
      </c>
      <c r="BY45" s="56" t="s">
        <v>663</v>
      </c>
      <c r="BZ45" s="56">
        <v>0.25</v>
      </c>
      <c r="CA45" s="56" t="s">
        <v>664</v>
      </c>
      <c r="CB45" s="56" t="s">
        <v>899</v>
      </c>
      <c r="CD45" s="56" t="s">
        <v>667</v>
      </c>
      <c r="CG45" s="56">
        <v>0</v>
      </c>
      <c r="CH45" s="56">
        <v>145</v>
      </c>
      <c r="CJ45" s="56">
        <v>100</v>
      </c>
      <c r="CK45" s="56">
        <v>5754.59</v>
      </c>
      <c r="CL45" s="56">
        <v>0</v>
      </c>
      <c r="CN45" s="56">
        <v>794.66</v>
      </c>
      <c r="CO45" s="56">
        <v>794.66</v>
      </c>
      <c r="CP45" s="56">
        <v>72.900000000000006</v>
      </c>
      <c r="CQ45" s="56" t="s">
        <v>668</v>
      </c>
      <c r="CR45" s="56">
        <v>0</v>
      </c>
      <c r="CS45" s="56">
        <v>0</v>
      </c>
      <c r="CV45" s="56">
        <v>0</v>
      </c>
      <c r="CX45" s="56">
        <v>0</v>
      </c>
      <c r="CY45" s="56">
        <v>0</v>
      </c>
      <c r="CZ45" s="56">
        <v>532.29999999999995</v>
      </c>
      <c r="DA45" s="56">
        <v>532.29999999999995</v>
      </c>
      <c r="DB45" s="56">
        <v>0</v>
      </c>
      <c r="DC45" s="56">
        <v>5222.29</v>
      </c>
      <c r="DD45" s="56">
        <v>20.22</v>
      </c>
      <c r="DE45" s="56">
        <v>0</v>
      </c>
      <c r="DF45" s="56">
        <v>20.22</v>
      </c>
      <c r="DH45" s="56" t="s">
        <v>670</v>
      </c>
      <c r="DI45" s="56" t="s">
        <v>671</v>
      </c>
      <c r="DK45" s="56">
        <v>79.66</v>
      </c>
      <c r="DL45" s="56">
        <v>5274.97</v>
      </c>
      <c r="DM45" s="56">
        <v>67</v>
      </c>
      <c r="DN45" s="56" t="s">
        <v>900</v>
      </c>
      <c r="DO45" s="56" t="s">
        <v>236</v>
      </c>
      <c r="DQ45" s="56" t="s">
        <v>674</v>
      </c>
      <c r="DR45" s="56">
        <v>3</v>
      </c>
      <c r="DW45" s="56">
        <v>280</v>
      </c>
      <c r="DX45" s="56" t="s">
        <v>678</v>
      </c>
      <c r="DY45" s="56" t="s">
        <v>679</v>
      </c>
      <c r="EL45" s="56">
        <v>25</v>
      </c>
      <c r="EM45" s="56">
        <v>15</v>
      </c>
      <c r="EN45" s="56">
        <v>4779</v>
      </c>
      <c r="EO45" s="56">
        <v>1805</v>
      </c>
      <c r="EP45" s="56">
        <v>6792</v>
      </c>
      <c r="EQ45" s="56" t="s">
        <v>901</v>
      </c>
      <c r="ER45" s="56" t="s">
        <v>902</v>
      </c>
      <c r="ES45" s="56">
        <v>2</v>
      </c>
      <c r="ET45" s="56" t="s">
        <v>682</v>
      </c>
      <c r="EU45" s="56" t="s">
        <v>683</v>
      </c>
      <c r="EV45" s="56" t="s">
        <v>683</v>
      </c>
      <c r="FD45" s="56" t="s">
        <v>1006</v>
      </c>
      <c r="FK45" s="56">
        <v>0</v>
      </c>
    </row>
    <row r="46" spans="1:167" x14ac:dyDescent="0.2">
      <c r="A46" s="56">
        <v>29001</v>
      </c>
      <c r="B46" s="56">
        <v>2</v>
      </c>
      <c r="C46" s="56">
        <v>6352</v>
      </c>
      <c r="D46" s="56" t="s">
        <v>634</v>
      </c>
      <c r="E46" s="56" t="s">
        <v>635</v>
      </c>
      <c r="K46" s="56" t="s">
        <v>1007</v>
      </c>
      <c r="L46" s="56" t="s">
        <v>637</v>
      </c>
      <c r="M46" s="56">
        <v>44930</v>
      </c>
      <c r="N46" s="56">
        <v>44932</v>
      </c>
      <c r="O46" s="56">
        <v>38</v>
      </c>
      <c r="P46" s="56" t="s">
        <v>638</v>
      </c>
      <c r="Q46" s="56">
        <v>2</v>
      </c>
      <c r="R46" s="56" t="s">
        <v>639</v>
      </c>
      <c r="S46" s="56" t="s">
        <v>893</v>
      </c>
      <c r="T46" s="56" t="s">
        <v>641</v>
      </c>
      <c r="U46" s="56" t="s">
        <v>642</v>
      </c>
      <c r="V46" s="56" t="s">
        <v>643</v>
      </c>
      <c r="W46" s="56">
        <v>48</v>
      </c>
      <c r="X46" s="56" t="s">
        <v>699</v>
      </c>
      <c r="Y46" s="56">
        <v>90</v>
      </c>
      <c r="Z46" s="56" t="s">
        <v>894</v>
      </c>
      <c r="AA46" s="56" t="s">
        <v>895</v>
      </c>
      <c r="AB46" s="56" t="s">
        <v>896</v>
      </c>
      <c r="AC46" s="56" t="s">
        <v>641</v>
      </c>
      <c r="AD46" s="56" t="s">
        <v>893</v>
      </c>
      <c r="AE46" s="56">
        <v>141</v>
      </c>
      <c r="AF46" s="56" t="s">
        <v>649</v>
      </c>
      <c r="AG46" s="56" t="s">
        <v>650</v>
      </c>
      <c r="AH46" s="56" t="s">
        <v>643</v>
      </c>
      <c r="AI46" s="56" t="s">
        <v>642</v>
      </c>
      <c r="AJ46" s="56">
        <v>90</v>
      </c>
      <c r="AK46" s="56" t="s">
        <v>894</v>
      </c>
      <c r="AL46" s="56">
        <v>141</v>
      </c>
      <c r="AM46" s="56" t="s">
        <v>649</v>
      </c>
      <c r="AN46" s="56" t="s">
        <v>650</v>
      </c>
      <c r="AO46" s="56" t="s">
        <v>652</v>
      </c>
      <c r="AP46" s="56" t="s">
        <v>643</v>
      </c>
      <c r="AQ46" s="56" t="s">
        <v>642</v>
      </c>
      <c r="AR46" s="56">
        <v>98</v>
      </c>
      <c r="AS46" s="56" t="s">
        <v>645</v>
      </c>
      <c r="AT46" s="56" t="s">
        <v>646</v>
      </c>
      <c r="AU46" s="56" t="s">
        <v>643</v>
      </c>
      <c r="AV46" s="56" t="s">
        <v>648</v>
      </c>
      <c r="AW46" s="56">
        <v>99</v>
      </c>
      <c r="AX46" s="56" t="s">
        <v>1008</v>
      </c>
      <c r="AY46" s="56">
        <v>1003</v>
      </c>
      <c r="AZ46" s="56" t="s">
        <v>1009</v>
      </c>
      <c r="BA46" s="56" t="s">
        <v>1010</v>
      </c>
      <c r="BB46" s="56" t="s">
        <v>1011</v>
      </c>
      <c r="BC46" s="56">
        <v>93</v>
      </c>
      <c r="BD46" s="56" t="s">
        <v>1012</v>
      </c>
      <c r="BE46" s="56" t="s">
        <v>1013</v>
      </c>
      <c r="BF46" s="56">
        <v>843</v>
      </c>
      <c r="BG46" s="56" t="s">
        <v>1014</v>
      </c>
      <c r="BH46" s="56" t="s">
        <v>1015</v>
      </c>
      <c r="BI46" s="56">
        <v>47.84</v>
      </c>
      <c r="BJ46" s="56">
        <v>162489.51999999999</v>
      </c>
      <c r="BK46" s="56">
        <v>47840</v>
      </c>
      <c r="BL46" s="56" t="s">
        <v>922</v>
      </c>
      <c r="BM46" s="56">
        <v>3105</v>
      </c>
      <c r="BN46" s="56" t="s">
        <v>660</v>
      </c>
      <c r="BO46" s="56" t="s">
        <v>706</v>
      </c>
      <c r="BP46" s="56">
        <v>6745.44</v>
      </c>
      <c r="BQ46" s="56">
        <v>5863.09</v>
      </c>
      <c r="BR46" s="56">
        <v>0</v>
      </c>
      <c r="BS46" s="56">
        <v>0</v>
      </c>
      <c r="BT46" s="56">
        <v>4711.1000000000004</v>
      </c>
      <c r="BU46" s="56">
        <v>717591</v>
      </c>
      <c r="BV46" s="56">
        <v>98</v>
      </c>
      <c r="BW46" s="56" t="s">
        <v>645</v>
      </c>
      <c r="BX46" s="56" t="s">
        <v>1016</v>
      </c>
      <c r="BY46" s="56" t="s">
        <v>663</v>
      </c>
      <c r="BZ46" s="56">
        <v>0.25</v>
      </c>
      <c r="CA46" s="56" t="s">
        <v>664</v>
      </c>
      <c r="CB46" s="56" t="s">
        <v>925</v>
      </c>
      <c r="CC46" s="56" t="s">
        <v>926</v>
      </c>
      <c r="CD46" s="56" t="s">
        <v>667</v>
      </c>
      <c r="CF46" s="56">
        <v>0</v>
      </c>
      <c r="CG46" s="56">
        <v>0</v>
      </c>
      <c r="CH46" s="56">
        <v>141</v>
      </c>
      <c r="CI46" s="56">
        <v>100</v>
      </c>
      <c r="CJ46" s="56">
        <v>19.649999999999999</v>
      </c>
      <c r="CK46" s="56">
        <v>5863.09</v>
      </c>
      <c r="CL46" s="56">
        <v>4711.1000000000004</v>
      </c>
      <c r="CM46" s="56">
        <v>8.5500000000000007</v>
      </c>
      <c r="CN46" s="56">
        <v>809.45</v>
      </c>
      <c r="CO46" s="56">
        <v>809.45</v>
      </c>
      <c r="CP46" s="56">
        <v>72.900000000000006</v>
      </c>
      <c r="CQ46" s="56" t="s">
        <v>668</v>
      </c>
      <c r="CR46" s="56">
        <v>0</v>
      </c>
      <c r="CS46" s="56">
        <v>72.900000000000006</v>
      </c>
      <c r="CT46" s="56" t="s">
        <v>669</v>
      </c>
      <c r="CU46" s="56">
        <v>0</v>
      </c>
      <c r="CV46" s="56">
        <v>0</v>
      </c>
      <c r="CX46" s="56">
        <v>1151.99</v>
      </c>
      <c r="CY46" s="56">
        <v>0</v>
      </c>
      <c r="CZ46" s="56">
        <v>208.76</v>
      </c>
      <c r="DA46" s="56">
        <v>542.33000000000004</v>
      </c>
      <c r="DB46" s="56">
        <v>333.57</v>
      </c>
      <c r="DC46" s="56">
        <v>5654.33</v>
      </c>
      <c r="DD46" s="56">
        <v>-53.32</v>
      </c>
      <c r="DE46" s="56">
        <v>0</v>
      </c>
      <c r="DF46" s="56">
        <v>27.92</v>
      </c>
      <c r="DG46" s="56">
        <v>81.239999999999995</v>
      </c>
      <c r="DH46" s="56" t="s">
        <v>670</v>
      </c>
      <c r="DI46" s="56" t="s">
        <v>671</v>
      </c>
      <c r="DK46" s="56">
        <v>14.77</v>
      </c>
      <c r="DL46" s="56">
        <v>996.55</v>
      </c>
      <c r="DM46" s="56">
        <v>62</v>
      </c>
      <c r="DN46" s="56">
        <v>4500837836</v>
      </c>
      <c r="DO46" s="56" t="s">
        <v>236</v>
      </c>
      <c r="DP46" s="56" t="s">
        <v>673</v>
      </c>
      <c r="DQ46" s="56" t="s">
        <v>674</v>
      </c>
      <c r="DR46" s="56">
        <v>2</v>
      </c>
      <c r="DW46" s="56">
        <v>370</v>
      </c>
      <c r="DX46" s="56" t="s">
        <v>678</v>
      </c>
      <c r="DY46" s="56" t="s">
        <v>679</v>
      </c>
      <c r="ED46" s="56">
        <v>2</v>
      </c>
      <c r="EE46" s="56" t="s">
        <v>639</v>
      </c>
      <c r="EF46" s="56">
        <v>2</v>
      </c>
      <c r="EG46" s="56" t="s">
        <v>639</v>
      </c>
      <c r="EH46" s="56">
        <v>2</v>
      </c>
      <c r="EI46" s="56" t="s">
        <v>639</v>
      </c>
      <c r="EJ46" s="56">
        <v>2</v>
      </c>
      <c r="EK46" s="56" t="s">
        <v>639</v>
      </c>
      <c r="EL46" s="56">
        <v>25</v>
      </c>
      <c r="EM46" s="56">
        <v>15</v>
      </c>
      <c r="EN46" s="56">
        <v>4779</v>
      </c>
      <c r="EO46" s="56">
        <v>1622</v>
      </c>
      <c r="EP46" s="56">
        <v>6803</v>
      </c>
      <c r="EQ46" s="56" t="s">
        <v>927</v>
      </c>
      <c r="ER46" s="56" t="s">
        <v>928</v>
      </c>
      <c r="ES46" s="56">
        <v>2</v>
      </c>
      <c r="ET46" s="56" t="s">
        <v>682</v>
      </c>
      <c r="EU46" s="56" t="s">
        <v>683</v>
      </c>
      <c r="EV46" s="56" t="s">
        <v>683</v>
      </c>
      <c r="FD46" s="56" t="s">
        <v>1017</v>
      </c>
      <c r="FK46" s="56">
        <v>0</v>
      </c>
    </row>
    <row r="47" spans="1:167" x14ac:dyDescent="0.2">
      <c r="A47" s="56">
        <v>29002</v>
      </c>
      <c r="B47" s="56">
        <v>2</v>
      </c>
      <c r="C47" s="56">
        <v>6352</v>
      </c>
      <c r="D47" s="56" t="s">
        <v>634</v>
      </c>
      <c r="E47" s="56" t="s">
        <v>635</v>
      </c>
      <c r="K47" s="56" t="s">
        <v>1018</v>
      </c>
      <c r="L47" s="56" t="s">
        <v>637</v>
      </c>
      <c r="M47" s="56">
        <v>44930</v>
      </c>
      <c r="N47" s="56">
        <v>44932</v>
      </c>
      <c r="O47" s="56">
        <v>38</v>
      </c>
      <c r="P47" s="56" t="s">
        <v>638</v>
      </c>
      <c r="Q47" s="56">
        <v>2</v>
      </c>
      <c r="R47" s="56" t="s">
        <v>639</v>
      </c>
      <c r="S47" s="56" t="s">
        <v>893</v>
      </c>
      <c r="T47" s="56" t="s">
        <v>641</v>
      </c>
      <c r="U47" s="56" t="s">
        <v>642</v>
      </c>
      <c r="V47" s="56" t="s">
        <v>643</v>
      </c>
      <c r="W47" s="56">
        <v>48</v>
      </c>
      <c r="X47" s="56" t="s">
        <v>699</v>
      </c>
      <c r="Y47" s="56">
        <v>90</v>
      </c>
      <c r="Z47" s="56" t="s">
        <v>894</v>
      </c>
      <c r="AA47" s="56" t="s">
        <v>895</v>
      </c>
      <c r="AB47" s="56" t="s">
        <v>896</v>
      </c>
      <c r="AC47" s="56" t="s">
        <v>641</v>
      </c>
      <c r="AD47" s="56" t="s">
        <v>893</v>
      </c>
      <c r="AE47" s="56">
        <v>141</v>
      </c>
      <c r="AF47" s="56" t="s">
        <v>649</v>
      </c>
      <c r="AG47" s="56" t="s">
        <v>650</v>
      </c>
      <c r="AH47" s="56" t="s">
        <v>643</v>
      </c>
      <c r="AI47" s="56" t="s">
        <v>642</v>
      </c>
      <c r="AJ47" s="56">
        <v>90</v>
      </c>
      <c r="AK47" s="56" t="s">
        <v>894</v>
      </c>
      <c r="AL47" s="56">
        <v>141</v>
      </c>
      <c r="AM47" s="56" t="s">
        <v>649</v>
      </c>
      <c r="AN47" s="56" t="s">
        <v>650</v>
      </c>
      <c r="AO47" s="56" t="s">
        <v>652</v>
      </c>
      <c r="AP47" s="56" t="s">
        <v>643</v>
      </c>
      <c r="AQ47" s="56" t="s">
        <v>642</v>
      </c>
      <c r="AR47" s="56">
        <v>98</v>
      </c>
      <c r="AS47" s="56" t="s">
        <v>645</v>
      </c>
      <c r="AT47" s="56" t="s">
        <v>646</v>
      </c>
      <c r="AU47" s="56" t="s">
        <v>643</v>
      </c>
      <c r="AV47" s="56" t="s">
        <v>648</v>
      </c>
      <c r="AW47" s="56">
        <v>316</v>
      </c>
      <c r="AX47" s="56" t="s">
        <v>1019</v>
      </c>
      <c r="AY47" s="56">
        <v>1384</v>
      </c>
      <c r="AZ47" s="56" t="s">
        <v>1020</v>
      </c>
      <c r="BA47" s="56" t="s">
        <v>1021</v>
      </c>
      <c r="BB47" s="56" t="s">
        <v>919</v>
      </c>
      <c r="BC47" s="56">
        <v>315</v>
      </c>
      <c r="BD47" s="56" t="s">
        <v>920</v>
      </c>
      <c r="BE47" s="56" t="s">
        <v>921</v>
      </c>
      <c r="BF47" s="56">
        <v>315</v>
      </c>
      <c r="BG47" s="56" t="s">
        <v>920</v>
      </c>
      <c r="BH47" s="56" t="s">
        <v>921</v>
      </c>
      <c r="BI47" s="56">
        <v>47</v>
      </c>
      <c r="BJ47" s="56">
        <v>159636.44</v>
      </c>
      <c r="BK47" s="56">
        <v>47000</v>
      </c>
      <c r="BL47" s="56" t="s">
        <v>922</v>
      </c>
      <c r="BM47" s="56">
        <v>3105</v>
      </c>
      <c r="BN47" s="56" t="s">
        <v>724</v>
      </c>
      <c r="BO47" s="56" t="s">
        <v>725</v>
      </c>
      <c r="BP47" s="56">
        <v>6627</v>
      </c>
      <c r="BQ47" s="56">
        <v>5758.86</v>
      </c>
      <c r="BR47" s="56">
        <v>0</v>
      </c>
      <c r="BS47" s="56">
        <v>0</v>
      </c>
      <c r="BT47" s="56">
        <v>4627.1000000000004</v>
      </c>
      <c r="BU47" s="56">
        <v>717608</v>
      </c>
      <c r="BV47" s="56">
        <v>98</v>
      </c>
      <c r="BW47" s="56" t="s">
        <v>645</v>
      </c>
      <c r="BX47" s="56" t="s">
        <v>1022</v>
      </c>
      <c r="BY47" s="56" t="s">
        <v>663</v>
      </c>
      <c r="BZ47" s="56">
        <v>0.25</v>
      </c>
      <c r="CA47" s="56" t="s">
        <v>664</v>
      </c>
      <c r="CB47" s="56" t="s">
        <v>925</v>
      </c>
      <c r="CC47" s="56" t="s">
        <v>926</v>
      </c>
      <c r="CD47" s="56" t="s">
        <v>667</v>
      </c>
      <c r="CF47" s="56">
        <v>0</v>
      </c>
      <c r="CG47" s="56">
        <v>0</v>
      </c>
      <c r="CH47" s="56">
        <v>141</v>
      </c>
      <c r="CI47" s="56">
        <v>100</v>
      </c>
      <c r="CJ47" s="56">
        <v>19.649999999999999</v>
      </c>
      <c r="CK47" s="56">
        <v>5758.86</v>
      </c>
      <c r="CL47" s="56">
        <v>4627.1000000000004</v>
      </c>
      <c r="CM47" s="56">
        <v>8.5500000000000007</v>
      </c>
      <c r="CN47" s="56">
        <v>795.24</v>
      </c>
      <c r="CO47" s="56">
        <v>795.24</v>
      </c>
      <c r="CP47" s="56">
        <v>72.900000000000006</v>
      </c>
      <c r="CQ47" s="56" t="s">
        <v>668</v>
      </c>
      <c r="CR47" s="56">
        <v>0</v>
      </c>
      <c r="CS47" s="56">
        <v>72.900000000000006</v>
      </c>
      <c r="CT47" s="56" t="s">
        <v>669</v>
      </c>
      <c r="CU47" s="56">
        <v>0</v>
      </c>
      <c r="CV47" s="56">
        <v>0</v>
      </c>
      <c r="CX47" s="56">
        <v>1131.76</v>
      </c>
      <c r="CY47" s="56">
        <v>0</v>
      </c>
      <c r="CZ47" s="56">
        <v>204.94</v>
      </c>
      <c r="DA47" s="56">
        <v>532.69000000000005</v>
      </c>
      <c r="DB47" s="56">
        <v>327.75</v>
      </c>
      <c r="DC47" s="56">
        <v>5553.92</v>
      </c>
      <c r="DD47" s="56">
        <v>-52.39</v>
      </c>
      <c r="DE47" s="56">
        <v>0</v>
      </c>
      <c r="DF47" s="56">
        <v>27.43</v>
      </c>
      <c r="DG47" s="56">
        <v>79.819999999999993</v>
      </c>
      <c r="DH47" s="56" t="s">
        <v>670</v>
      </c>
      <c r="DI47" s="56" t="s">
        <v>671</v>
      </c>
      <c r="DK47" s="56">
        <v>14.78</v>
      </c>
      <c r="DL47" s="56">
        <v>979.21</v>
      </c>
      <c r="DM47" s="56">
        <v>62</v>
      </c>
      <c r="DN47" s="56">
        <v>4500837836</v>
      </c>
      <c r="DO47" s="56" t="s">
        <v>236</v>
      </c>
      <c r="DP47" s="56" t="s">
        <v>673</v>
      </c>
      <c r="DQ47" s="56" t="s">
        <v>674</v>
      </c>
      <c r="DR47" s="56">
        <v>2</v>
      </c>
      <c r="DW47" s="56">
        <v>370</v>
      </c>
      <c r="DX47" s="56" t="s">
        <v>678</v>
      </c>
      <c r="DY47" s="56" t="s">
        <v>679</v>
      </c>
      <c r="ED47" s="56">
        <v>2</v>
      </c>
      <c r="EE47" s="56" t="s">
        <v>639</v>
      </c>
      <c r="EF47" s="56">
        <v>2</v>
      </c>
      <c r="EG47" s="56" t="s">
        <v>639</v>
      </c>
      <c r="EH47" s="56">
        <v>2</v>
      </c>
      <c r="EI47" s="56" t="s">
        <v>639</v>
      </c>
      <c r="EJ47" s="56">
        <v>2</v>
      </c>
      <c r="EK47" s="56" t="s">
        <v>639</v>
      </c>
      <c r="EL47" s="56">
        <v>25</v>
      </c>
      <c r="EM47" s="56">
        <v>15</v>
      </c>
      <c r="EN47" s="56">
        <v>4779</v>
      </c>
      <c r="EO47" s="56">
        <v>1622</v>
      </c>
      <c r="EP47" s="56">
        <v>6803</v>
      </c>
      <c r="EQ47" s="56" t="s">
        <v>927</v>
      </c>
      <c r="ER47" s="56" t="s">
        <v>928</v>
      </c>
      <c r="ES47" s="56">
        <v>2</v>
      </c>
      <c r="ET47" s="56" t="s">
        <v>682</v>
      </c>
      <c r="EU47" s="56" t="s">
        <v>683</v>
      </c>
      <c r="EV47" s="56" t="s">
        <v>683</v>
      </c>
      <c r="FD47" s="56" t="s">
        <v>1023</v>
      </c>
      <c r="FK47" s="56">
        <v>0</v>
      </c>
    </row>
    <row r="48" spans="1:167" x14ac:dyDescent="0.2">
      <c r="A48" s="56">
        <v>29003</v>
      </c>
      <c r="B48" s="56">
        <v>2</v>
      </c>
      <c r="C48" s="56">
        <v>6352</v>
      </c>
      <c r="D48" s="56" t="s">
        <v>634</v>
      </c>
      <c r="E48" s="56" t="s">
        <v>635</v>
      </c>
      <c r="K48" s="56" t="s">
        <v>1024</v>
      </c>
      <c r="L48" s="56" t="s">
        <v>637</v>
      </c>
      <c r="M48" s="56">
        <v>44930</v>
      </c>
      <c r="N48" s="56">
        <v>44932</v>
      </c>
      <c r="O48" s="56">
        <v>38</v>
      </c>
      <c r="P48" s="56" t="s">
        <v>638</v>
      </c>
      <c r="Q48" s="56">
        <v>2</v>
      </c>
      <c r="R48" s="56" t="s">
        <v>639</v>
      </c>
      <c r="S48" s="56" t="s">
        <v>893</v>
      </c>
      <c r="T48" s="56" t="s">
        <v>641</v>
      </c>
      <c r="U48" s="56" t="s">
        <v>642</v>
      </c>
      <c r="V48" s="56" t="s">
        <v>643</v>
      </c>
      <c r="W48" s="56">
        <v>48</v>
      </c>
      <c r="X48" s="56" t="s">
        <v>699</v>
      </c>
      <c r="Y48" s="56">
        <v>90</v>
      </c>
      <c r="Z48" s="56" t="s">
        <v>894</v>
      </c>
      <c r="AA48" s="56" t="s">
        <v>895</v>
      </c>
      <c r="AB48" s="56" t="s">
        <v>896</v>
      </c>
      <c r="AC48" s="56" t="s">
        <v>641</v>
      </c>
      <c r="AD48" s="56" t="s">
        <v>893</v>
      </c>
      <c r="AE48" s="56">
        <v>141</v>
      </c>
      <c r="AF48" s="56" t="s">
        <v>649</v>
      </c>
      <c r="AG48" s="56" t="s">
        <v>650</v>
      </c>
      <c r="AH48" s="56" t="s">
        <v>643</v>
      </c>
      <c r="AI48" s="56" t="s">
        <v>642</v>
      </c>
      <c r="AJ48" s="56">
        <v>90</v>
      </c>
      <c r="AK48" s="56" t="s">
        <v>894</v>
      </c>
      <c r="AL48" s="56">
        <v>141</v>
      </c>
      <c r="AM48" s="56" t="s">
        <v>649</v>
      </c>
      <c r="AN48" s="56" t="s">
        <v>650</v>
      </c>
      <c r="AO48" s="56" t="s">
        <v>652</v>
      </c>
      <c r="AP48" s="56" t="s">
        <v>643</v>
      </c>
      <c r="AQ48" s="56" t="s">
        <v>642</v>
      </c>
      <c r="AR48" s="56">
        <v>98</v>
      </c>
      <c r="AS48" s="56" t="s">
        <v>645</v>
      </c>
      <c r="AT48" s="56" t="s">
        <v>646</v>
      </c>
      <c r="AU48" s="56" t="s">
        <v>643</v>
      </c>
      <c r="AV48" s="56" t="s">
        <v>648</v>
      </c>
      <c r="AW48" s="56">
        <v>113</v>
      </c>
      <c r="AX48" s="56" t="s">
        <v>1025</v>
      </c>
      <c r="AY48" s="56">
        <v>43</v>
      </c>
      <c r="AZ48" s="56" t="s">
        <v>126</v>
      </c>
      <c r="BA48" s="56" t="s">
        <v>1026</v>
      </c>
      <c r="BB48" s="56" t="s">
        <v>770</v>
      </c>
      <c r="BC48" s="56">
        <v>38</v>
      </c>
      <c r="BD48" s="56" t="s">
        <v>289</v>
      </c>
      <c r="BE48" s="56" t="s">
        <v>771</v>
      </c>
      <c r="BF48" s="56">
        <v>2</v>
      </c>
      <c r="BG48" s="56" t="s">
        <v>289</v>
      </c>
      <c r="BH48" s="56" t="s">
        <v>772</v>
      </c>
      <c r="BI48" s="56">
        <v>46.66</v>
      </c>
      <c r="BJ48" s="56">
        <v>158481.62</v>
      </c>
      <c r="BK48" s="56">
        <v>46660</v>
      </c>
      <c r="BL48" s="56" t="s">
        <v>922</v>
      </c>
      <c r="BM48" s="56">
        <v>3105</v>
      </c>
      <c r="BN48" s="56" t="s">
        <v>786</v>
      </c>
      <c r="BO48" s="56" t="s">
        <v>911</v>
      </c>
      <c r="BP48" s="56">
        <v>6579.06</v>
      </c>
      <c r="BQ48" s="56">
        <v>5716.67</v>
      </c>
      <c r="BR48" s="56">
        <v>0</v>
      </c>
      <c r="BS48" s="56">
        <v>0</v>
      </c>
      <c r="BT48" s="56">
        <v>0</v>
      </c>
      <c r="BU48" s="56">
        <v>717627</v>
      </c>
      <c r="BV48" s="56">
        <v>98</v>
      </c>
      <c r="BW48" s="56" t="s">
        <v>645</v>
      </c>
      <c r="BX48" s="56" t="s">
        <v>1027</v>
      </c>
      <c r="BY48" s="56" t="s">
        <v>663</v>
      </c>
      <c r="BZ48" s="56">
        <v>0.25</v>
      </c>
      <c r="CA48" s="56" t="s">
        <v>664</v>
      </c>
      <c r="CB48" s="56" t="s">
        <v>925</v>
      </c>
      <c r="CD48" s="56" t="s">
        <v>667</v>
      </c>
      <c r="CG48" s="56">
        <v>0</v>
      </c>
      <c r="CH48" s="56">
        <v>141</v>
      </c>
      <c r="CJ48" s="56">
        <v>100</v>
      </c>
      <c r="CK48" s="56">
        <v>5716.67</v>
      </c>
      <c r="CL48" s="56">
        <v>0</v>
      </c>
      <c r="CN48" s="56">
        <v>789.49</v>
      </c>
      <c r="CO48" s="56">
        <v>789.49</v>
      </c>
      <c r="CP48" s="56">
        <v>72.900000000000006</v>
      </c>
      <c r="CQ48" s="56" t="s">
        <v>668</v>
      </c>
      <c r="CR48" s="56">
        <v>0</v>
      </c>
      <c r="CS48" s="56">
        <v>0</v>
      </c>
      <c r="CV48" s="56">
        <v>0</v>
      </c>
      <c r="CX48" s="56">
        <v>0</v>
      </c>
      <c r="CY48" s="56">
        <v>0</v>
      </c>
      <c r="CZ48" s="56">
        <v>528.79999999999995</v>
      </c>
      <c r="DA48" s="56">
        <v>528.79999999999995</v>
      </c>
      <c r="DB48" s="56">
        <v>0</v>
      </c>
      <c r="DC48" s="56">
        <v>5187.87</v>
      </c>
      <c r="DD48" s="56">
        <v>27.23</v>
      </c>
      <c r="DE48" s="56">
        <v>0</v>
      </c>
      <c r="DF48" s="56">
        <v>27.23</v>
      </c>
      <c r="DH48" s="56" t="s">
        <v>670</v>
      </c>
      <c r="DI48" s="56" t="s">
        <v>671</v>
      </c>
      <c r="DK48" s="56">
        <v>79.55</v>
      </c>
      <c r="DL48" s="56">
        <v>5233.54</v>
      </c>
      <c r="DM48" s="56">
        <v>62</v>
      </c>
      <c r="DN48" s="56">
        <v>4500837836</v>
      </c>
      <c r="DO48" s="56" t="s">
        <v>236</v>
      </c>
      <c r="DQ48" s="56" t="s">
        <v>674</v>
      </c>
      <c r="DR48" s="56">
        <v>3</v>
      </c>
      <c r="DX48" s="56" t="s">
        <v>678</v>
      </c>
      <c r="DY48" s="56" t="s">
        <v>679</v>
      </c>
      <c r="EL48" s="56">
        <v>25</v>
      </c>
      <c r="EM48" s="56">
        <v>15</v>
      </c>
      <c r="EN48" s="56">
        <v>4779</v>
      </c>
      <c r="EO48" s="56">
        <v>1622</v>
      </c>
      <c r="EP48" s="56">
        <v>6803</v>
      </c>
      <c r="EQ48" s="56" t="s">
        <v>927</v>
      </c>
      <c r="ER48" s="56" t="s">
        <v>928</v>
      </c>
      <c r="ES48" s="56">
        <v>2</v>
      </c>
      <c r="ET48" s="56" t="s">
        <v>682</v>
      </c>
      <c r="EU48" s="56" t="s">
        <v>683</v>
      </c>
      <c r="EV48" s="56" t="s">
        <v>683</v>
      </c>
      <c r="FD48" s="56" t="s">
        <v>1028</v>
      </c>
      <c r="FK48" s="56">
        <v>0</v>
      </c>
    </row>
    <row r="49" spans="1:167" x14ac:dyDescent="0.2">
      <c r="A49" s="56">
        <v>29004</v>
      </c>
      <c r="B49" s="56">
        <v>2</v>
      </c>
      <c r="C49" s="56">
        <v>6352</v>
      </c>
      <c r="D49" s="56" t="s">
        <v>634</v>
      </c>
      <c r="E49" s="56" t="s">
        <v>635</v>
      </c>
      <c r="K49" s="56" t="s">
        <v>1029</v>
      </c>
      <c r="L49" s="56" t="s">
        <v>637</v>
      </c>
      <c r="M49" s="56">
        <v>44931</v>
      </c>
      <c r="N49" s="56">
        <v>44933</v>
      </c>
      <c r="O49" s="56">
        <v>38</v>
      </c>
      <c r="P49" s="56" t="s">
        <v>638</v>
      </c>
      <c r="Q49" s="56">
        <v>2</v>
      </c>
      <c r="R49" s="56" t="s">
        <v>639</v>
      </c>
      <c r="S49" s="56" t="s">
        <v>893</v>
      </c>
      <c r="T49" s="56" t="s">
        <v>641</v>
      </c>
      <c r="U49" s="56" t="s">
        <v>735</v>
      </c>
      <c r="V49" s="56" t="s">
        <v>643</v>
      </c>
      <c r="W49" s="56">
        <v>47</v>
      </c>
      <c r="X49" s="56" t="s">
        <v>644</v>
      </c>
      <c r="Y49" s="56">
        <v>162</v>
      </c>
      <c r="Z49" s="56" t="s">
        <v>1030</v>
      </c>
      <c r="AA49" s="56" t="s">
        <v>1031</v>
      </c>
      <c r="AB49" s="56" t="s">
        <v>1032</v>
      </c>
      <c r="AC49" s="56" t="s">
        <v>641</v>
      </c>
      <c r="AD49" s="56" t="s">
        <v>893</v>
      </c>
      <c r="AE49" s="56">
        <v>91</v>
      </c>
      <c r="AF49" s="56" t="s">
        <v>736</v>
      </c>
      <c r="AG49" s="56" t="s">
        <v>737</v>
      </c>
      <c r="AH49" s="56" t="s">
        <v>643</v>
      </c>
      <c r="AI49" s="56" t="s">
        <v>735</v>
      </c>
      <c r="AJ49" s="56">
        <v>162</v>
      </c>
      <c r="AK49" s="56" t="s">
        <v>1030</v>
      </c>
      <c r="AL49" s="56">
        <v>98</v>
      </c>
      <c r="AM49" s="56" t="s">
        <v>645</v>
      </c>
      <c r="AN49" s="56" t="s">
        <v>646</v>
      </c>
      <c r="AO49" s="56" t="s">
        <v>647</v>
      </c>
      <c r="AP49" s="56" t="s">
        <v>643</v>
      </c>
      <c r="AQ49" s="56" t="s">
        <v>648</v>
      </c>
      <c r="AR49" s="56">
        <v>162</v>
      </c>
      <c r="AS49" s="56" t="s">
        <v>1030</v>
      </c>
      <c r="AT49" s="56" t="s">
        <v>1031</v>
      </c>
      <c r="AU49" s="56" t="s">
        <v>641</v>
      </c>
      <c r="AV49" s="56" t="s">
        <v>893</v>
      </c>
      <c r="AW49" s="56">
        <v>180</v>
      </c>
      <c r="AX49" s="56" t="s">
        <v>1033</v>
      </c>
      <c r="AY49" s="56">
        <v>338</v>
      </c>
      <c r="AZ49" s="56" t="s">
        <v>1034</v>
      </c>
      <c r="BA49" s="56" t="s">
        <v>1035</v>
      </c>
      <c r="BB49" s="56" t="s">
        <v>1036</v>
      </c>
      <c r="BC49" s="56">
        <v>334</v>
      </c>
      <c r="BD49" s="56" t="s">
        <v>1037</v>
      </c>
      <c r="BE49" s="56" t="s">
        <v>1038</v>
      </c>
      <c r="BF49" s="56">
        <v>334</v>
      </c>
      <c r="BG49" s="56" t="s">
        <v>1037</v>
      </c>
      <c r="BH49" s="56" t="s">
        <v>1038</v>
      </c>
      <c r="BI49" s="56">
        <v>46.62</v>
      </c>
      <c r="BJ49" s="56">
        <v>186582.56</v>
      </c>
      <c r="BK49" s="56">
        <v>46.62</v>
      </c>
      <c r="BL49" s="56" t="s">
        <v>1039</v>
      </c>
      <c r="BM49" s="56">
        <v>3105</v>
      </c>
      <c r="BN49" s="56" t="s">
        <v>660</v>
      </c>
      <c r="BO49" s="56" t="s">
        <v>706</v>
      </c>
      <c r="BP49" s="56">
        <v>5967.36</v>
      </c>
      <c r="BQ49" s="56">
        <v>5178.38</v>
      </c>
      <c r="BR49" s="56">
        <v>0</v>
      </c>
      <c r="BS49" s="56">
        <v>0</v>
      </c>
      <c r="BT49" s="56">
        <v>4216.1400000000003</v>
      </c>
      <c r="BU49" s="56">
        <v>37033</v>
      </c>
      <c r="BV49" s="56">
        <v>162</v>
      </c>
      <c r="BW49" s="56" t="s">
        <v>1030</v>
      </c>
      <c r="BX49" s="56" t="s">
        <v>1040</v>
      </c>
      <c r="BY49" s="56" t="s">
        <v>663</v>
      </c>
      <c r="BZ49" s="56">
        <v>0.25</v>
      </c>
      <c r="CA49" s="56" t="s">
        <v>664</v>
      </c>
      <c r="CB49" s="56" t="s">
        <v>1041</v>
      </c>
      <c r="CC49" s="56" t="s">
        <v>1042</v>
      </c>
      <c r="CD49" s="56" t="s">
        <v>667</v>
      </c>
      <c r="CF49" s="56">
        <v>3372.91</v>
      </c>
      <c r="CG49" s="56">
        <v>80</v>
      </c>
      <c r="CH49" s="56">
        <v>128</v>
      </c>
      <c r="CI49" s="56">
        <v>92</v>
      </c>
      <c r="CJ49" s="56">
        <v>18.579999999999998</v>
      </c>
      <c r="CK49" s="56">
        <v>5178.38</v>
      </c>
      <c r="CL49" s="56">
        <v>4216.1400000000003</v>
      </c>
      <c r="CM49" s="56">
        <v>35.950000000000003</v>
      </c>
      <c r="CN49" s="56">
        <v>716.08</v>
      </c>
      <c r="CO49" s="56">
        <v>716.08</v>
      </c>
      <c r="CP49" s="56">
        <v>72.900000000000006</v>
      </c>
      <c r="CQ49" s="56" t="s">
        <v>668</v>
      </c>
      <c r="CR49" s="56">
        <v>0</v>
      </c>
      <c r="CS49" s="56">
        <v>72.900000000000006</v>
      </c>
      <c r="CT49" s="56" t="s">
        <v>669</v>
      </c>
      <c r="CU49" s="56">
        <v>0</v>
      </c>
      <c r="CV49" s="56">
        <v>0</v>
      </c>
      <c r="CX49" s="56">
        <v>941.81</v>
      </c>
      <c r="CY49" s="56">
        <v>0</v>
      </c>
      <c r="CZ49" s="56">
        <v>179.76</v>
      </c>
      <c r="DA49" s="56">
        <v>479</v>
      </c>
      <c r="DB49" s="56">
        <v>299.24</v>
      </c>
      <c r="DC49" s="56">
        <v>4998.62</v>
      </c>
      <c r="DD49" s="56">
        <v>-40.799999999999997</v>
      </c>
      <c r="DE49" s="56">
        <v>0</v>
      </c>
      <c r="DF49" s="56">
        <v>32.06</v>
      </c>
      <c r="DG49" s="56">
        <v>93.29</v>
      </c>
      <c r="DH49" s="56" t="s">
        <v>670</v>
      </c>
      <c r="DI49" s="56" t="s">
        <v>671</v>
      </c>
      <c r="DK49" s="56">
        <v>14.14</v>
      </c>
      <c r="DL49" s="56">
        <v>843.71</v>
      </c>
      <c r="DM49" s="56">
        <v>9</v>
      </c>
      <c r="DN49" s="56">
        <v>4500914985</v>
      </c>
      <c r="DO49" s="56" t="s">
        <v>1043</v>
      </c>
      <c r="DP49" s="56" t="s">
        <v>677</v>
      </c>
      <c r="DQ49" s="56" t="s">
        <v>674</v>
      </c>
      <c r="DR49" s="56">
        <v>2</v>
      </c>
      <c r="DS49" s="56" t="s">
        <v>1044</v>
      </c>
      <c r="DT49" s="56" t="s">
        <v>1045</v>
      </c>
      <c r="DU49" s="56">
        <v>36</v>
      </c>
      <c r="DV49" s="56" t="s">
        <v>677</v>
      </c>
      <c r="DW49" s="56">
        <v>280</v>
      </c>
      <c r="DX49" s="56" t="s">
        <v>678</v>
      </c>
      <c r="DY49" s="56" t="s">
        <v>679</v>
      </c>
      <c r="ED49" s="56">
        <v>2</v>
      </c>
      <c r="EE49" s="56" t="s">
        <v>639</v>
      </c>
      <c r="EF49" s="56">
        <v>2</v>
      </c>
      <c r="EG49" s="56" t="s">
        <v>639</v>
      </c>
      <c r="EH49" s="56">
        <v>2</v>
      </c>
      <c r="EI49" s="56" t="s">
        <v>639</v>
      </c>
      <c r="EJ49" s="56">
        <v>2</v>
      </c>
      <c r="EK49" s="56" t="s">
        <v>639</v>
      </c>
      <c r="EL49" s="56">
        <v>25</v>
      </c>
      <c r="EM49" s="56">
        <v>15</v>
      </c>
      <c r="EN49" s="56">
        <v>4779</v>
      </c>
      <c r="EO49" s="56">
        <v>1805</v>
      </c>
      <c r="EP49" s="56">
        <v>6793</v>
      </c>
      <c r="EQ49" s="56" t="s">
        <v>1046</v>
      </c>
      <c r="ER49" s="56" t="s">
        <v>902</v>
      </c>
      <c r="ES49" s="56">
        <v>2</v>
      </c>
      <c r="ET49" s="56" t="s">
        <v>682</v>
      </c>
      <c r="EU49" s="56" t="s">
        <v>683</v>
      </c>
      <c r="EV49" s="56" t="s">
        <v>683</v>
      </c>
      <c r="FD49" s="56" t="s">
        <v>1047</v>
      </c>
      <c r="FK49" s="56">
        <v>0</v>
      </c>
    </row>
    <row r="50" spans="1:167" x14ac:dyDescent="0.2">
      <c r="A50" s="56">
        <v>29005</v>
      </c>
      <c r="B50" s="56">
        <v>2</v>
      </c>
      <c r="C50" s="56">
        <v>6352</v>
      </c>
      <c r="D50" s="56" t="s">
        <v>634</v>
      </c>
      <c r="E50" s="56" t="s">
        <v>635</v>
      </c>
      <c r="K50" s="56" t="s">
        <v>1048</v>
      </c>
      <c r="L50" s="56" t="s">
        <v>637</v>
      </c>
      <c r="M50" s="56">
        <v>44931</v>
      </c>
      <c r="N50" s="56">
        <v>44933</v>
      </c>
      <c r="O50" s="56">
        <v>38</v>
      </c>
      <c r="P50" s="56" t="s">
        <v>638</v>
      </c>
      <c r="Q50" s="56">
        <v>2</v>
      </c>
      <c r="R50" s="56" t="s">
        <v>639</v>
      </c>
      <c r="S50" s="56" t="s">
        <v>893</v>
      </c>
      <c r="T50" s="56" t="s">
        <v>641</v>
      </c>
      <c r="U50" s="56" t="s">
        <v>642</v>
      </c>
      <c r="V50" s="56" t="s">
        <v>643</v>
      </c>
      <c r="W50" s="56">
        <v>47</v>
      </c>
      <c r="X50" s="56" t="s">
        <v>644</v>
      </c>
      <c r="Y50" s="56">
        <v>90</v>
      </c>
      <c r="Z50" s="56" t="s">
        <v>894</v>
      </c>
      <c r="AA50" s="56" t="s">
        <v>895</v>
      </c>
      <c r="AB50" s="56" t="s">
        <v>896</v>
      </c>
      <c r="AC50" s="56" t="s">
        <v>641</v>
      </c>
      <c r="AD50" s="56" t="s">
        <v>893</v>
      </c>
      <c r="AE50" s="56">
        <v>141</v>
      </c>
      <c r="AF50" s="56" t="s">
        <v>649</v>
      </c>
      <c r="AG50" s="56" t="s">
        <v>650</v>
      </c>
      <c r="AH50" s="56" t="s">
        <v>643</v>
      </c>
      <c r="AI50" s="56" t="s">
        <v>642</v>
      </c>
      <c r="AJ50" s="56">
        <v>90</v>
      </c>
      <c r="AK50" s="56" t="s">
        <v>894</v>
      </c>
      <c r="AL50" s="56">
        <v>141</v>
      </c>
      <c r="AM50" s="56" t="s">
        <v>649</v>
      </c>
      <c r="AN50" s="56" t="s">
        <v>650</v>
      </c>
      <c r="AO50" s="56" t="s">
        <v>652</v>
      </c>
      <c r="AP50" s="56" t="s">
        <v>643</v>
      </c>
      <c r="AQ50" s="56" t="s">
        <v>642</v>
      </c>
      <c r="AR50" s="56">
        <v>98</v>
      </c>
      <c r="AS50" s="56" t="s">
        <v>645</v>
      </c>
      <c r="AT50" s="56" t="s">
        <v>646</v>
      </c>
      <c r="AU50" s="56" t="s">
        <v>643</v>
      </c>
      <c r="AV50" s="56" t="s">
        <v>648</v>
      </c>
      <c r="AW50" s="56">
        <v>270</v>
      </c>
      <c r="AX50" s="56" t="s">
        <v>1049</v>
      </c>
      <c r="AY50" s="56">
        <v>6</v>
      </c>
      <c r="AZ50" s="56" t="s">
        <v>1050</v>
      </c>
      <c r="BA50" s="56" t="s">
        <v>1051</v>
      </c>
      <c r="BB50" s="56" t="s">
        <v>1011</v>
      </c>
      <c r="BC50" s="56">
        <v>93</v>
      </c>
      <c r="BD50" s="56" t="s">
        <v>1012</v>
      </c>
      <c r="BE50" s="56" t="s">
        <v>1013</v>
      </c>
      <c r="BF50" s="56">
        <v>93</v>
      </c>
      <c r="BG50" s="56" t="s">
        <v>1012</v>
      </c>
      <c r="BH50" s="56" t="s">
        <v>1013</v>
      </c>
      <c r="BI50" s="56">
        <v>46.76</v>
      </c>
      <c r="BJ50" s="56">
        <v>158821.28</v>
      </c>
      <c r="BK50" s="56">
        <v>46760</v>
      </c>
      <c r="BL50" s="56" t="s">
        <v>922</v>
      </c>
      <c r="BM50" s="56">
        <v>3105</v>
      </c>
      <c r="BN50" s="56" t="s">
        <v>1052</v>
      </c>
      <c r="BO50" s="56" t="s">
        <v>1053</v>
      </c>
      <c r="BP50" s="56">
        <v>6593.16</v>
      </c>
      <c r="BQ50" s="56">
        <v>5729.08</v>
      </c>
      <c r="BR50" s="56">
        <v>0</v>
      </c>
      <c r="BS50" s="56">
        <v>0</v>
      </c>
      <c r="BT50" s="56">
        <v>4603.1000000000004</v>
      </c>
      <c r="BU50" s="56">
        <v>717766</v>
      </c>
      <c r="BV50" s="56">
        <v>98</v>
      </c>
      <c r="BW50" s="56" t="s">
        <v>645</v>
      </c>
      <c r="BX50" s="56" t="s">
        <v>1054</v>
      </c>
      <c r="BY50" s="56" t="s">
        <v>663</v>
      </c>
      <c r="BZ50" s="56">
        <v>0.25</v>
      </c>
      <c r="CA50" s="56" t="s">
        <v>664</v>
      </c>
      <c r="CB50" s="56" t="s">
        <v>925</v>
      </c>
      <c r="CC50" s="56" t="s">
        <v>926</v>
      </c>
      <c r="CD50" s="56" t="s">
        <v>667</v>
      </c>
      <c r="CF50" s="56">
        <v>0</v>
      </c>
      <c r="CG50" s="56">
        <v>0</v>
      </c>
      <c r="CH50" s="56">
        <v>141</v>
      </c>
      <c r="CI50" s="56">
        <v>100</v>
      </c>
      <c r="CJ50" s="56">
        <v>19.649999999999999</v>
      </c>
      <c r="CK50" s="56">
        <v>5729.08</v>
      </c>
      <c r="CL50" s="56">
        <v>4603.1000000000004</v>
      </c>
      <c r="CM50" s="56">
        <v>48.98</v>
      </c>
      <c r="CN50" s="56">
        <v>791.18</v>
      </c>
      <c r="CO50" s="56">
        <v>791.18</v>
      </c>
      <c r="CP50" s="56">
        <v>72.900000000000006</v>
      </c>
      <c r="CQ50" s="56" t="s">
        <v>668</v>
      </c>
      <c r="CR50" s="56">
        <v>0</v>
      </c>
      <c r="CS50" s="56">
        <v>72.900000000000006</v>
      </c>
      <c r="CT50" s="56" t="s">
        <v>669</v>
      </c>
      <c r="CU50" s="56">
        <v>0</v>
      </c>
      <c r="CV50" s="56">
        <v>0</v>
      </c>
      <c r="CX50" s="56">
        <v>1125.98</v>
      </c>
      <c r="CY50" s="56">
        <v>0</v>
      </c>
      <c r="CZ50" s="56">
        <v>203.85</v>
      </c>
      <c r="DA50" s="56">
        <v>529.94000000000005</v>
      </c>
      <c r="DB50" s="56">
        <v>326.08999999999997</v>
      </c>
      <c r="DC50" s="56">
        <v>5525.23</v>
      </c>
      <c r="DD50" s="56">
        <v>-52.12</v>
      </c>
      <c r="DE50" s="56">
        <v>0</v>
      </c>
      <c r="DF50" s="56">
        <v>27.29</v>
      </c>
      <c r="DG50" s="56">
        <v>79.41</v>
      </c>
      <c r="DH50" s="56" t="s">
        <v>670</v>
      </c>
      <c r="DI50" s="56" t="s">
        <v>671</v>
      </c>
      <c r="DK50" s="56">
        <v>14.78</v>
      </c>
      <c r="DL50" s="56">
        <v>974.25</v>
      </c>
      <c r="DM50" s="56">
        <v>62</v>
      </c>
      <c r="DN50" s="56">
        <v>4500837836</v>
      </c>
      <c r="DO50" s="56" t="s">
        <v>236</v>
      </c>
      <c r="DP50" s="56" t="s">
        <v>673</v>
      </c>
      <c r="DQ50" s="56" t="s">
        <v>674</v>
      </c>
      <c r="DR50" s="56">
        <v>2</v>
      </c>
      <c r="DW50" s="56">
        <v>370</v>
      </c>
      <c r="DX50" s="56" t="s">
        <v>678</v>
      </c>
      <c r="DY50" s="56" t="s">
        <v>679</v>
      </c>
      <c r="ED50" s="56">
        <v>2</v>
      </c>
      <c r="EE50" s="56" t="s">
        <v>639</v>
      </c>
      <c r="EF50" s="56">
        <v>2</v>
      </c>
      <c r="EG50" s="56" t="s">
        <v>639</v>
      </c>
      <c r="EH50" s="56">
        <v>2</v>
      </c>
      <c r="EI50" s="56" t="s">
        <v>639</v>
      </c>
      <c r="EJ50" s="56">
        <v>2</v>
      </c>
      <c r="EK50" s="56" t="s">
        <v>639</v>
      </c>
      <c r="EL50" s="56">
        <v>25</v>
      </c>
      <c r="EM50" s="56">
        <v>15</v>
      </c>
      <c r="EN50" s="56">
        <v>4779</v>
      </c>
      <c r="EO50" s="56">
        <v>1622</v>
      </c>
      <c r="EP50" s="56">
        <v>6803</v>
      </c>
      <c r="EQ50" s="56" t="s">
        <v>927</v>
      </c>
      <c r="ER50" s="56" t="s">
        <v>928</v>
      </c>
      <c r="ES50" s="56">
        <v>2</v>
      </c>
      <c r="ET50" s="56" t="s">
        <v>682</v>
      </c>
      <c r="EU50" s="56" t="s">
        <v>683</v>
      </c>
      <c r="EV50" s="56" t="s">
        <v>683</v>
      </c>
      <c r="FD50" s="56" t="s">
        <v>1055</v>
      </c>
      <c r="FK50" s="56">
        <v>0</v>
      </c>
    </row>
    <row r="51" spans="1:167" x14ac:dyDescent="0.2">
      <c r="A51" s="56">
        <v>29006</v>
      </c>
      <c r="B51" s="56">
        <v>2</v>
      </c>
      <c r="C51" s="56">
        <v>6352</v>
      </c>
      <c r="D51" s="56" t="s">
        <v>634</v>
      </c>
      <c r="E51" s="56" t="s">
        <v>635</v>
      </c>
      <c r="K51" s="56" t="s">
        <v>1056</v>
      </c>
      <c r="L51" s="56" t="s">
        <v>637</v>
      </c>
      <c r="M51" s="56">
        <v>44931</v>
      </c>
      <c r="N51" s="56">
        <v>44933</v>
      </c>
      <c r="O51" s="56">
        <v>38</v>
      </c>
      <c r="P51" s="56" t="s">
        <v>638</v>
      </c>
      <c r="Q51" s="56">
        <v>2</v>
      </c>
      <c r="R51" s="56" t="s">
        <v>639</v>
      </c>
      <c r="S51" s="56" t="s">
        <v>1057</v>
      </c>
      <c r="T51" s="56" t="s">
        <v>641</v>
      </c>
      <c r="U51" s="56" t="s">
        <v>1058</v>
      </c>
      <c r="V51" s="56" t="s">
        <v>643</v>
      </c>
      <c r="W51" s="56">
        <v>46</v>
      </c>
      <c r="X51" s="56" t="s">
        <v>811</v>
      </c>
      <c r="Y51" s="56">
        <v>278</v>
      </c>
      <c r="Z51" s="56" t="s">
        <v>1059</v>
      </c>
      <c r="AA51" s="56" t="s">
        <v>1060</v>
      </c>
      <c r="AB51" s="56" t="s">
        <v>1061</v>
      </c>
      <c r="AC51" s="56" t="s">
        <v>641</v>
      </c>
      <c r="AD51" s="56" t="s">
        <v>1057</v>
      </c>
      <c r="AL51" s="56">
        <v>208</v>
      </c>
      <c r="AM51" s="56" t="s">
        <v>1062</v>
      </c>
      <c r="AN51" s="56" t="s">
        <v>1063</v>
      </c>
      <c r="AO51" s="56" t="s">
        <v>1064</v>
      </c>
      <c r="AP51" s="56" t="s">
        <v>643</v>
      </c>
      <c r="AQ51" s="56" t="s">
        <v>1058</v>
      </c>
      <c r="AR51" s="56">
        <v>208</v>
      </c>
      <c r="AS51" s="56" t="s">
        <v>1062</v>
      </c>
      <c r="AT51" s="56" t="s">
        <v>1063</v>
      </c>
      <c r="AU51" s="56" t="s">
        <v>643</v>
      </c>
      <c r="AV51" s="56" t="s">
        <v>1058</v>
      </c>
      <c r="AW51" s="56">
        <v>1066</v>
      </c>
      <c r="AX51" s="56" t="s">
        <v>1065</v>
      </c>
      <c r="AY51" s="56">
        <v>1254</v>
      </c>
      <c r="AZ51" s="56" t="s">
        <v>1066</v>
      </c>
      <c r="BA51" s="56" t="s">
        <v>1067</v>
      </c>
      <c r="BB51" s="56" t="s">
        <v>1068</v>
      </c>
      <c r="BC51" s="56">
        <v>929</v>
      </c>
      <c r="BD51" s="56" t="s">
        <v>1069</v>
      </c>
      <c r="BE51" s="56" t="s">
        <v>1070</v>
      </c>
      <c r="BF51" s="56">
        <v>929</v>
      </c>
      <c r="BG51" s="56" t="s">
        <v>1069</v>
      </c>
      <c r="BH51" s="56" t="s">
        <v>1070</v>
      </c>
      <c r="BI51" s="56">
        <v>36.06</v>
      </c>
      <c r="BJ51" s="56">
        <v>2992.98</v>
      </c>
      <c r="BK51" s="56">
        <v>36.06</v>
      </c>
      <c r="BL51" s="56" t="s">
        <v>1071</v>
      </c>
      <c r="BM51" s="56">
        <v>2518</v>
      </c>
      <c r="BN51" s="56" t="s">
        <v>786</v>
      </c>
      <c r="BO51" s="56">
        <v>2544</v>
      </c>
      <c r="BP51" s="56">
        <v>4146.8999999999996</v>
      </c>
      <c r="BQ51" s="56">
        <v>3630.37</v>
      </c>
      <c r="BR51" s="56">
        <v>0</v>
      </c>
      <c r="BS51" s="56">
        <v>0</v>
      </c>
      <c r="BT51" s="56">
        <v>3298.62</v>
      </c>
      <c r="BU51" s="56">
        <v>271597</v>
      </c>
      <c r="BV51" s="56">
        <v>208</v>
      </c>
      <c r="BW51" s="56" t="s">
        <v>1062</v>
      </c>
      <c r="BX51" s="56" t="s">
        <v>1072</v>
      </c>
      <c r="BY51" s="56" t="s">
        <v>663</v>
      </c>
      <c r="BZ51" s="56">
        <v>0.5</v>
      </c>
      <c r="CA51" s="56" t="s">
        <v>664</v>
      </c>
      <c r="CB51" s="56" t="s">
        <v>1073</v>
      </c>
      <c r="CC51" s="56" t="s">
        <v>1074</v>
      </c>
      <c r="CD51" s="56" t="s">
        <v>667</v>
      </c>
      <c r="CF51" s="56">
        <v>2640</v>
      </c>
      <c r="CG51" s="56">
        <v>80.03</v>
      </c>
      <c r="CH51" s="56">
        <v>115</v>
      </c>
      <c r="CI51" s="56">
        <v>92</v>
      </c>
      <c r="CJ51" s="56">
        <v>9.14</v>
      </c>
      <c r="CK51" s="56">
        <v>3630.37</v>
      </c>
      <c r="CL51" s="56">
        <v>3298.62</v>
      </c>
      <c r="CM51" s="56">
        <v>40.43</v>
      </c>
      <c r="CN51" s="56">
        <v>497.63</v>
      </c>
      <c r="CO51" s="56">
        <v>497.63</v>
      </c>
      <c r="CP51" s="56">
        <v>18.899999999999999</v>
      </c>
      <c r="CQ51" s="56" t="s">
        <v>668</v>
      </c>
      <c r="CR51" s="56">
        <v>0</v>
      </c>
      <c r="CS51" s="56">
        <v>18.899999999999999</v>
      </c>
      <c r="CT51" s="56" t="s">
        <v>669</v>
      </c>
      <c r="CU51" s="56">
        <v>0</v>
      </c>
      <c r="CV51" s="56">
        <v>0</v>
      </c>
      <c r="CX51" s="56">
        <v>331.75</v>
      </c>
      <c r="CY51" s="56">
        <v>0</v>
      </c>
      <c r="CZ51" s="56">
        <v>28.94</v>
      </c>
      <c r="DA51" s="56">
        <v>335.81</v>
      </c>
      <c r="DB51" s="56">
        <v>306.87</v>
      </c>
      <c r="DC51" s="56">
        <v>3601.43</v>
      </c>
      <c r="DD51" s="56">
        <v>-0.99</v>
      </c>
      <c r="DE51" s="56">
        <v>0</v>
      </c>
      <c r="DF51" s="56">
        <v>0.51</v>
      </c>
      <c r="DG51" s="56">
        <v>1.5</v>
      </c>
      <c r="DH51" s="56" t="s">
        <v>670</v>
      </c>
      <c r="DI51" s="56" t="s">
        <v>671</v>
      </c>
      <c r="DK51" s="56">
        <v>7.33</v>
      </c>
      <c r="DL51" s="56">
        <v>303.8</v>
      </c>
      <c r="DO51" s="56" t="s">
        <v>236</v>
      </c>
      <c r="DP51" s="56" t="s">
        <v>673</v>
      </c>
      <c r="DQ51" s="56" t="s">
        <v>674</v>
      </c>
      <c r="DR51" s="56">
        <v>3</v>
      </c>
      <c r="DX51" s="56" t="s">
        <v>678</v>
      </c>
      <c r="DY51" s="56" t="s">
        <v>679</v>
      </c>
      <c r="ED51" s="56">
        <v>1</v>
      </c>
      <c r="EE51" s="56" t="s">
        <v>809</v>
      </c>
      <c r="EF51" s="56">
        <v>1</v>
      </c>
      <c r="EG51" s="56" t="s">
        <v>809</v>
      </c>
      <c r="EH51" s="56">
        <v>1</v>
      </c>
      <c r="EI51" s="56" t="s">
        <v>809</v>
      </c>
      <c r="EJ51" s="56">
        <v>1</v>
      </c>
      <c r="EK51" s="56" t="s">
        <v>809</v>
      </c>
      <c r="EL51" s="56">
        <v>25</v>
      </c>
      <c r="EM51" s="56">
        <v>15</v>
      </c>
      <c r="EN51" s="56">
        <v>5235</v>
      </c>
      <c r="EO51" s="56">
        <v>2441</v>
      </c>
      <c r="EP51" s="56">
        <v>6158</v>
      </c>
      <c r="ER51" s="56" t="s">
        <v>1075</v>
      </c>
      <c r="ES51" s="56">
        <v>2</v>
      </c>
      <c r="ET51" s="56" t="s">
        <v>682</v>
      </c>
      <c r="EU51" s="56" t="s">
        <v>683</v>
      </c>
      <c r="EV51" s="56" t="s">
        <v>683</v>
      </c>
      <c r="FD51" s="56" t="s">
        <v>1076</v>
      </c>
      <c r="FK51" s="56">
        <v>0</v>
      </c>
    </row>
    <row r="52" spans="1:167" x14ac:dyDescent="0.2">
      <c r="A52" s="56">
        <v>29007</v>
      </c>
      <c r="B52" s="56">
        <v>2</v>
      </c>
      <c r="C52" s="56">
        <v>6352</v>
      </c>
      <c r="D52" s="56" t="s">
        <v>634</v>
      </c>
      <c r="E52" s="56" t="s">
        <v>635</v>
      </c>
      <c r="K52" s="56" t="s">
        <v>1077</v>
      </c>
      <c r="L52" s="56" t="s">
        <v>637</v>
      </c>
      <c r="M52" s="56">
        <v>44931</v>
      </c>
      <c r="N52" s="56">
        <v>44933</v>
      </c>
      <c r="O52" s="56">
        <v>38</v>
      </c>
      <c r="P52" s="56" t="s">
        <v>638</v>
      </c>
      <c r="Q52" s="56">
        <v>2</v>
      </c>
      <c r="R52" s="56" t="s">
        <v>639</v>
      </c>
      <c r="S52" s="56" t="s">
        <v>893</v>
      </c>
      <c r="T52" s="56" t="s">
        <v>641</v>
      </c>
      <c r="U52" s="56" t="s">
        <v>642</v>
      </c>
      <c r="V52" s="56" t="s">
        <v>643</v>
      </c>
      <c r="W52" s="56">
        <v>47</v>
      </c>
      <c r="X52" s="56" t="s">
        <v>644</v>
      </c>
      <c r="Y52" s="56">
        <v>90</v>
      </c>
      <c r="Z52" s="56" t="s">
        <v>894</v>
      </c>
      <c r="AA52" s="56" t="s">
        <v>895</v>
      </c>
      <c r="AB52" s="56" t="s">
        <v>896</v>
      </c>
      <c r="AC52" s="56" t="s">
        <v>641</v>
      </c>
      <c r="AD52" s="56" t="s">
        <v>893</v>
      </c>
      <c r="AE52" s="56">
        <v>141</v>
      </c>
      <c r="AF52" s="56" t="s">
        <v>649</v>
      </c>
      <c r="AG52" s="56" t="s">
        <v>650</v>
      </c>
      <c r="AH52" s="56" t="s">
        <v>643</v>
      </c>
      <c r="AI52" s="56" t="s">
        <v>642</v>
      </c>
      <c r="AJ52" s="56">
        <v>90</v>
      </c>
      <c r="AK52" s="56" t="s">
        <v>894</v>
      </c>
      <c r="AL52" s="56">
        <v>141</v>
      </c>
      <c r="AM52" s="56" t="s">
        <v>649</v>
      </c>
      <c r="AN52" s="56" t="s">
        <v>650</v>
      </c>
      <c r="AO52" s="56" t="s">
        <v>652</v>
      </c>
      <c r="AP52" s="56" t="s">
        <v>643</v>
      </c>
      <c r="AQ52" s="56" t="s">
        <v>642</v>
      </c>
      <c r="AR52" s="56">
        <v>98</v>
      </c>
      <c r="AS52" s="56" t="s">
        <v>645</v>
      </c>
      <c r="AT52" s="56" t="s">
        <v>646</v>
      </c>
      <c r="AU52" s="56" t="s">
        <v>643</v>
      </c>
      <c r="AV52" s="56" t="s">
        <v>648</v>
      </c>
      <c r="AW52" s="56">
        <v>317</v>
      </c>
      <c r="AX52" s="56" t="s">
        <v>1078</v>
      </c>
      <c r="AY52" s="56">
        <v>979</v>
      </c>
      <c r="AZ52" s="56" t="s">
        <v>1079</v>
      </c>
      <c r="BA52" s="56" t="s">
        <v>1080</v>
      </c>
      <c r="BB52" s="56" t="s">
        <v>1011</v>
      </c>
      <c r="BC52" s="56">
        <v>93</v>
      </c>
      <c r="BD52" s="56" t="s">
        <v>1012</v>
      </c>
      <c r="BE52" s="56" t="s">
        <v>1013</v>
      </c>
      <c r="BF52" s="56">
        <v>93</v>
      </c>
      <c r="BG52" s="56" t="s">
        <v>1012</v>
      </c>
      <c r="BH52" s="56" t="s">
        <v>1013</v>
      </c>
      <c r="BI52" s="56">
        <v>46.13</v>
      </c>
      <c r="BJ52" s="56">
        <v>156681.47</v>
      </c>
      <c r="BK52" s="56">
        <v>46130</v>
      </c>
      <c r="BL52" s="56" t="s">
        <v>922</v>
      </c>
      <c r="BM52" s="56">
        <v>3105</v>
      </c>
      <c r="BN52" s="56" t="s">
        <v>1052</v>
      </c>
      <c r="BO52" s="56" t="s">
        <v>1081</v>
      </c>
      <c r="BP52" s="56">
        <v>6504.33</v>
      </c>
      <c r="BQ52" s="56">
        <v>5650.91</v>
      </c>
      <c r="BR52" s="56">
        <v>0</v>
      </c>
      <c r="BS52" s="56">
        <v>0</v>
      </c>
      <c r="BT52" s="56">
        <v>4540.1000000000004</v>
      </c>
      <c r="BU52" s="56">
        <v>717776</v>
      </c>
      <c r="BV52" s="56">
        <v>98</v>
      </c>
      <c r="BW52" s="56" t="s">
        <v>645</v>
      </c>
      <c r="BX52" s="56" t="s">
        <v>1082</v>
      </c>
      <c r="BY52" s="56" t="s">
        <v>663</v>
      </c>
      <c r="BZ52" s="56">
        <v>0.25</v>
      </c>
      <c r="CA52" s="56" t="s">
        <v>664</v>
      </c>
      <c r="CB52" s="56" t="s">
        <v>925</v>
      </c>
      <c r="CC52" s="56" t="s">
        <v>926</v>
      </c>
      <c r="CD52" s="56" t="s">
        <v>667</v>
      </c>
      <c r="CF52" s="56">
        <v>0</v>
      </c>
      <c r="CG52" s="56">
        <v>0</v>
      </c>
      <c r="CH52" s="56">
        <v>141</v>
      </c>
      <c r="CI52" s="56">
        <v>100</v>
      </c>
      <c r="CJ52" s="56">
        <v>19.66</v>
      </c>
      <c r="CK52" s="56">
        <v>5650.91</v>
      </c>
      <c r="CL52" s="56">
        <v>4540.1000000000004</v>
      </c>
      <c r="CM52" s="56">
        <v>8.5500000000000007</v>
      </c>
      <c r="CN52" s="56">
        <v>780.52</v>
      </c>
      <c r="CO52" s="56">
        <v>780.52</v>
      </c>
      <c r="CP52" s="56">
        <v>72.900000000000006</v>
      </c>
      <c r="CQ52" s="56" t="s">
        <v>668</v>
      </c>
      <c r="CR52" s="56">
        <v>0</v>
      </c>
      <c r="CS52" s="56">
        <v>72.900000000000006</v>
      </c>
      <c r="CT52" s="56" t="s">
        <v>669</v>
      </c>
      <c r="CU52" s="56">
        <v>0</v>
      </c>
      <c r="CV52" s="56">
        <v>0</v>
      </c>
      <c r="CX52" s="56">
        <v>1110.81</v>
      </c>
      <c r="CY52" s="56">
        <v>0</v>
      </c>
      <c r="CZ52" s="56">
        <v>200.99</v>
      </c>
      <c r="DA52" s="56">
        <v>522.71</v>
      </c>
      <c r="DB52" s="56">
        <v>321.72000000000003</v>
      </c>
      <c r="DC52" s="56">
        <v>5449.92</v>
      </c>
      <c r="DD52" s="56">
        <v>-51.42</v>
      </c>
      <c r="DE52" s="56">
        <v>0</v>
      </c>
      <c r="DF52" s="56">
        <v>26.92</v>
      </c>
      <c r="DG52" s="56">
        <v>78.34</v>
      </c>
      <c r="DH52" s="56" t="s">
        <v>670</v>
      </c>
      <c r="DI52" s="56" t="s">
        <v>671</v>
      </c>
      <c r="DK52" s="56">
        <v>14.78</v>
      </c>
      <c r="DL52" s="56">
        <v>961.24</v>
      </c>
      <c r="DM52" s="56">
        <v>62</v>
      </c>
      <c r="DN52" s="56">
        <v>4500837836</v>
      </c>
      <c r="DO52" s="56" t="s">
        <v>236</v>
      </c>
      <c r="DP52" s="56" t="s">
        <v>673</v>
      </c>
      <c r="DQ52" s="56" t="s">
        <v>674</v>
      </c>
      <c r="DR52" s="56">
        <v>2</v>
      </c>
      <c r="DW52" s="56">
        <v>370</v>
      </c>
      <c r="DX52" s="56" t="s">
        <v>678</v>
      </c>
      <c r="DY52" s="56" t="s">
        <v>679</v>
      </c>
      <c r="ED52" s="56">
        <v>2</v>
      </c>
      <c r="EE52" s="56" t="s">
        <v>639</v>
      </c>
      <c r="EF52" s="56">
        <v>2</v>
      </c>
      <c r="EG52" s="56" t="s">
        <v>639</v>
      </c>
      <c r="EH52" s="56">
        <v>2</v>
      </c>
      <c r="EI52" s="56" t="s">
        <v>639</v>
      </c>
      <c r="EJ52" s="56">
        <v>2</v>
      </c>
      <c r="EK52" s="56" t="s">
        <v>639</v>
      </c>
      <c r="EL52" s="56">
        <v>25</v>
      </c>
      <c r="EM52" s="56">
        <v>15</v>
      </c>
      <c r="EN52" s="56">
        <v>4779</v>
      </c>
      <c r="EO52" s="56">
        <v>1622</v>
      </c>
      <c r="EP52" s="56">
        <v>6803</v>
      </c>
      <c r="EQ52" s="56" t="s">
        <v>927</v>
      </c>
      <c r="ER52" s="56" t="s">
        <v>928</v>
      </c>
      <c r="ES52" s="56">
        <v>2</v>
      </c>
      <c r="ET52" s="56" t="s">
        <v>682</v>
      </c>
      <c r="EU52" s="56" t="s">
        <v>683</v>
      </c>
      <c r="EV52" s="56" t="s">
        <v>683</v>
      </c>
      <c r="FD52" s="56" t="s">
        <v>1083</v>
      </c>
      <c r="FK52" s="56">
        <v>0</v>
      </c>
    </row>
    <row r="53" spans="1:167" x14ac:dyDescent="0.2">
      <c r="A53" s="56">
        <v>29008</v>
      </c>
      <c r="B53" s="56">
        <v>2</v>
      </c>
      <c r="C53" s="56">
        <v>6352</v>
      </c>
      <c r="D53" s="56" t="s">
        <v>634</v>
      </c>
      <c r="E53" s="56" t="s">
        <v>635</v>
      </c>
      <c r="K53" s="56" t="s">
        <v>1084</v>
      </c>
      <c r="L53" s="56" t="s">
        <v>637</v>
      </c>
      <c r="M53" s="56">
        <v>44931</v>
      </c>
      <c r="N53" s="56">
        <v>44933</v>
      </c>
      <c r="O53" s="56">
        <v>38</v>
      </c>
      <c r="P53" s="56" t="s">
        <v>638</v>
      </c>
      <c r="Q53" s="56">
        <v>2</v>
      </c>
      <c r="R53" s="56" t="s">
        <v>639</v>
      </c>
      <c r="S53" s="56" t="s">
        <v>893</v>
      </c>
      <c r="T53" s="56" t="s">
        <v>641</v>
      </c>
      <c r="U53" s="56" t="s">
        <v>642</v>
      </c>
      <c r="V53" s="56" t="s">
        <v>643</v>
      </c>
      <c r="W53" s="56">
        <v>47</v>
      </c>
      <c r="X53" s="56" t="s">
        <v>644</v>
      </c>
      <c r="Y53" s="56">
        <v>90</v>
      </c>
      <c r="Z53" s="56" t="s">
        <v>894</v>
      </c>
      <c r="AA53" s="56" t="s">
        <v>895</v>
      </c>
      <c r="AB53" s="56" t="s">
        <v>896</v>
      </c>
      <c r="AC53" s="56" t="s">
        <v>641</v>
      </c>
      <c r="AD53" s="56" t="s">
        <v>893</v>
      </c>
      <c r="AE53" s="56">
        <v>141</v>
      </c>
      <c r="AF53" s="56" t="s">
        <v>649</v>
      </c>
      <c r="AG53" s="56" t="s">
        <v>650</v>
      </c>
      <c r="AH53" s="56" t="s">
        <v>643</v>
      </c>
      <c r="AI53" s="56" t="s">
        <v>642</v>
      </c>
      <c r="AJ53" s="56">
        <v>90</v>
      </c>
      <c r="AK53" s="56" t="s">
        <v>894</v>
      </c>
      <c r="AL53" s="56">
        <v>141</v>
      </c>
      <c r="AM53" s="56" t="s">
        <v>649</v>
      </c>
      <c r="AN53" s="56" t="s">
        <v>650</v>
      </c>
      <c r="AO53" s="56" t="s">
        <v>652</v>
      </c>
      <c r="AP53" s="56" t="s">
        <v>643</v>
      </c>
      <c r="AQ53" s="56" t="s">
        <v>642</v>
      </c>
      <c r="AR53" s="56">
        <v>98</v>
      </c>
      <c r="AS53" s="56" t="s">
        <v>645</v>
      </c>
      <c r="AT53" s="56" t="s">
        <v>646</v>
      </c>
      <c r="AU53" s="56" t="s">
        <v>643</v>
      </c>
      <c r="AV53" s="56" t="s">
        <v>648</v>
      </c>
      <c r="AW53" s="56">
        <v>858</v>
      </c>
      <c r="AX53" s="56" t="s">
        <v>1085</v>
      </c>
      <c r="AY53" s="56">
        <v>281</v>
      </c>
      <c r="AZ53" s="56" t="s">
        <v>1086</v>
      </c>
      <c r="BA53" s="56" t="s">
        <v>1087</v>
      </c>
      <c r="BB53" s="56" t="s">
        <v>1011</v>
      </c>
      <c r="BC53" s="56">
        <v>93</v>
      </c>
      <c r="BD53" s="56" t="s">
        <v>1012</v>
      </c>
      <c r="BE53" s="56" t="s">
        <v>1013</v>
      </c>
      <c r="BF53" s="56">
        <v>93</v>
      </c>
      <c r="BG53" s="56" t="s">
        <v>1012</v>
      </c>
      <c r="BH53" s="56" t="s">
        <v>1013</v>
      </c>
      <c r="BI53" s="56">
        <v>47.14</v>
      </c>
      <c r="BJ53" s="56">
        <v>160111.95000000001</v>
      </c>
      <c r="BK53" s="56">
        <v>47140</v>
      </c>
      <c r="BL53" s="56" t="s">
        <v>922</v>
      </c>
      <c r="BM53" s="56">
        <v>3105</v>
      </c>
      <c r="BN53" s="56" t="s">
        <v>1052</v>
      </c>
      <c r="BO53" s="56" t="s">
        <v>706</v>
      </c>
      <c r="BP53" s="56">
        <v>6646.74</v>
      </c>
      <c r="BQ53" s="56">
        <v>5776.23</v>
      </c>
      <c r="BR53" s="56">
        <v>0</v>
      </c>
      <c r="BS53" s="56">
        <v>0</v>
      </c>
      <c r="BT53" s="56">
        <v>4641.1000000000004</v>
      </c>
      <c r="BU53" s="56">
        <v>717791</v>
      </c>
      <c r="BV53" s="56">
        <v>98</v>
      </c>
      <c r="BW53" s="56" t="s">
        <v>645</v>
      </c>
      <c r="BX53" s="56" t="s">
        <v>1088</v>
      </c>
      <c r="BY53" s="56" t="s">
        <v>663</v>
      </c>
      <c r="BZ53" s="56">
        <v>0.25</v>
      </c>
      <c r="CA53" s="56" t="s">
        <v>664</v>
      </c>
      <c r="CB53" s="56" t="s">
        <v>925</v>
      </c>
      <c r="CC53" s="56" t="s">
        <v>926</v>
      </c>
      <c r="CD53" s="56" t="s">
        <v>667</v>
      </c>
      <c r="CF53" s="56">
        <v>0</v>
      </c>
      <c r="CG53" s="56">
        <v>0</v>
      </c>
      <c r="CH53" s="56">
        <v>141</v>
      </c>
      <c r="CI53" s="56">
        <v>100</v>
      </c>
      <c r="CJ53" s="56">
        <v>19.649999999999999</v>
      </c>
      <c r="CK53" s="56">
        <v>5776.23</v>
      </c>
      <c r="CL53" s="56">
        <v>4641.1000000000004</v>
      </c>
      <c r="CM53" s="56">
        <v>8.5500000000000007</v>
      </c>
      <c r="CN53" s="56">
        <v>797.61</v>
      </c>
      <c r="CO53" s="56">
        <v>797.61</v>
      </c>
      <c r="CP53" s="56">
        <v>72.900000000000006</v>
      </c>
      <c r="CQ53" s="56" t="s">
        <v>668</v>
      </c>
      <c r="CR53" s="56">
        <v>0</v>
      </c>
      <c r="CS53" s="56">
        <v>72.900000000000006</v>
      </c>
      <c r="CT53" s="56" t="s">
        <v>669</v>
      </c>
      <c r="CU53" s="56">
        <v>0</v>
      </c>
      <c r="CV53" s="56">
        <v>0</v>
      </c>
      <c r="CX53" s="56">
        <v>1135.1300000000001</v>
      </c>
      <c r="CY53" s="56">
        <v>0</v>
      </c>
      <c r="CZ53" s="56">
        <v>205.58</v>
      </c>
      <c r="DA53" s="56">
        <v>534.29999999999995</v>
      </c>
      <c r="DB53" s="56">
        <v>328.72</v>
      </c>
      <c r="DC53" s="56">
        <v>5570.65</v>
      </c>
      <c r="DD53" s="56">
        <v>-52.55</v>
      </c>
      <c r="DE53" s="56">
        <v>0</v>
      </c>
      <c r="DF53" s="56">
        <v>27.51</v>
      </c>
      <c r="DG53" s="56">
        <v>80.06</v>
      </c>
      <c r="DH53" s="56" t="s">
        <v>670</v>
      </c>
      <c r="DI53" s="56" t="s">
        <v>671</v>
      </c>
      <c r="DK53" s="56">
        <v>14.78</v>
      </c>
      <c r="DL53" s="56">
        <v>982.1</v>
      </c>
      <c r="DM53" s="56">
        <v>62</v>
      </c>
      <c r="DN53" s="56">
        <v>4500837836</v>
      </c>
      <c r="DO53" s="56" t="s">
        <v>236</v>
      </c>
      <c r="DP53" s="56" t="s">
        <v>673</v>
      </c>
      <c r="DQ53" s="56" t="s">
        <v>674</v>
      </c>
      <c r="DR53" s="56">
        <v>2</v>
      </c>
      <c r="DW53" s="56">
        <v>370</v>
      </c>
      <c r="DX53" s="56" t="s">
        <v>678</v>
      </c>
      <c r="DY53" s="56" t="s">
        <v>679</v>
      </c>
      <c r="ED53" s="56">
        <v>2</v>
      </c>
      <c r="EE53" s="56" t="s">
        <v>639</v>
      </c>
      <c r="EF53" s="56">
        <v>2</v>
      </c>
      <c r="EG53" s="56" t="s">
        <v>639</v>
      </c>
      <c r="EH53" s="56">
        <v>2</v>
      </c>
      <c r="EI53" s="56" t="s">
        <v>639</v>
      </c>
      <c r="EJ53" s="56">
        <v>2</v>
      </c>
      <c r="EK53" s="56" t="s">
        <v>639</v>
      </c>
      <c r="EL53" s="56">
        <v>25</v>
      </c>
      <c r="EM53" s="56">
        <v>15</v>
      </c>
      <c r="EN53" s="56">
        <v>4779</v>
      </c>
      <c r="EO53" s="56">
        <v>1622</v>
      </c>
      <c r="EP53" s="56">
        <v>6803</v>
      </c>
      <c r="EQ53" s="56" t="s">
        <v>927</v>
      </c>
      <c r="ER53" s="56" t="s">
        <v>928</v>
      </c>
      <c r="ES53" s="56">
        <v>2</v>
      </c>
      <c r="ET53" s="56" t="s">
        <v>682</v>
      </c>
      <c r="EU53" s="56" t="s">
        <v>683</v>
      </c>
      <c r="EV53" s="56" t="s">
        <v>683</v>
      </c>
      <c r="FD53" s="56" t="s">
        <v>1089</v>
      </c>
      <c r="FK53" s="56">
        <v>0</v>
      </c>
    </row>
    <row r="54" spans="1:167" x14ac:dyDescent="0.2">
      <c r="A54" s="56">
        <v>29010</v>
      </c>
      <c r="B54" s="56">
        <v>2</v>
      </c>
      <c r="C54" s="56">
        <v>6352</v>
      </c>
      <c r="D54" s="56" t="s">
        <v>634</v>
      </c>
      <c r="E54" s="56" t="s">
        <v>635</v>
      </c>
      <c r="K54" s="56" t="s">
        <v>1090</v>
      </c>
      <c r="L54" s="56" t="s">
        <v>637</v>
      </c>
      <c r="M54" s="56">
        <v>44931</v>
      </c>
      <c r="N54" s="56">
        <v>44933</v>
      </c>
      <c r="O54" s="56">
        <v>38</v>
      </c>
      <c r="P54" s="56" t="s">
        <v>638</v>
      </c>
      <c r="Q54" s="56">
        <v>2</v>
      </c>
      <c r="R54" s="56" t="s">
        <v>639</v>
      </c>
      <c r="S54" s="56" t="s">
        <v>893</v>
      </c>
      <c r="T54" s="56" t="s">
        <v>641</v>
      </c>
      <c r="U54" s="56" t="s">
        <v>642</v>
      </c>
      <c r="V54" s="56" t="s">
        <v>643</v>
      </c>
      <c r="W54" s="56">
        <v>48</v>
      </c>
      <c r="X54" s="56" t="s">
        <v>699</v>
      </c>
      <c r="Y54" s="56">
        <v>90</v>
      </c>
      <c r="Z54" s="56" t="s">
        <v>894</v>
      </c>
      <c r="AA54" s="56" t="s">
        <v>895</v>
      </c>
      <c r="AB54" s="56" t="s">
        <v>896</v>
      </c>
      <c r="AC54" s="56" t="s">
        <v>641</v>
      </c>
      <c r="AD54" s="56" t="s">
        <v>893</v>
      </c>
      <c r="AE54" s="56">
        <v>141</v>
      </c>
      <c r="AF54" s="56" t="s">
        <v>649</v>
      </c>
      <c r="AG54" s="56" t="s">
        <v>650</v>
      </c>
      <c r="AH54" s="56" t="s">
        <v>643</v>
      </c>
      <c r="AI54" s="56" t="s">
        <v>642</v>
      </c>
      <c r="AJ54" s="56">
        <v>90</v>
      </c>
      <c r="AK54" s="56" t="s">
        <v>894</v>
      </c>
      <c r="AL54" s="56">
        <v>141</v>
      </c>
      <c r="AM54" s="56" t="s">
        <v>649</v>
      </c>
      <c r="AN54" s="56" t="s">
        <v>650</v>
      </c>
      <c r="AO54" s="56" t="s">
        <v>652</v>
      </c>
      <c r="AP54" s="56" t="s">
        <v>643</v>
      </c>
      <c r="AQ54" s="56" t="s">
        <v>642</v>
      </c>
      <c r="AR54" s="56">
        <v>98</v>
      </c>
      <c r="AS54" s="56" t="s">
        <v>645</v>
      </c>
      <c r="AT54" s="56" t="s">
        <v>646</v>
      </c>
      <c r="AU54" s="56" t="s">
        <v>643</v>
      </c>
      <c r="AV54" s="56" t="s">
        <v>648</v>
      </c>
      <c r="AW54" s="56">
        <v>115</v>
      </c>
      <c r="AX54" s="56" t="s">
        <v>853</v>
      </c>
      <c r="AY54" s="56">
        <v>55</v>
      </c>
      <c r="AZ54" s="56" t="s">
        <v>23</v>
      </c>
      <c r="BA54" s="56" t="s">
        <v>854</v>
      </c>
      <c r="BB54" s="56" t="s">
        <v>844</v>
      </c>
      <c r="BC54" s="56">
        <v>2</v>
      </c>
      <c r="BD54" s="56" t="s">
        <v>289</v>
      </c>
      <c r="BE54" s="56" t="s">
        <v>772</v>
      </c>
      <c r="BF54" s="56">
        <v>2</v>
      </c>
      <c r="BG54" s="56" t="s">
        <v>289</v>
      </c>
      <c r="BH54" s="56" t="s">
        <v>772</v>
      </c>
      <c r="BI54" s="56">
        <v>46.92</v>
      </c>
      <c r="BJ54" s="56">
        <v>120907.21</v>
      </c>
      <c r="BK54" s="56">
        <v>46920</v>
      </c>
      <c r="BL54" s="56" t="s">
        <v>897</v>
      </c>
      <c r="BM54" s="56">
        <v>3102</v>
      </c>
      <c r="BN54" s="56" t="s">
        <v>660</v>
      </c>
      <c r="BO54" s="56" t="s">
        <v>855</v>
      </c>
      <c r="BP54" s="56">
        <v>7741.8</v>
      </c>
      <c r="BQ54" s="56">
        <v>6739.88</v>
      </c>
      <c r="BR54" s="56">
        <v>0</v>
      </c>
      <c r="BS54" s="56">
        <v>0</v>
      </c>
      <c r="BT54" s="56">
        <v>0</v>
      </c>
      <c r="BU54" s="56">
        <v>717833</v>
      </c>
      <c r="BV54" s="56">
        <v>98</v>
      </c>
      <c r="BW54" s="56" t="s">
        <v>645</v>
      </c>
      <c r="BX54" s="56" t="s">
        <v>1091</v>
      </c>
      <c r="BY54" s="56" t="s">
        <v>663</v>
      </c>
      <c r="BZ54" s="56">
        <v>0.25</v>
      </c>
      <c r="CA54" s="56" t="s">
        <v>664</v>
      </c>
      <c r="CB54" s="56" t="s">
        <v>899</v>
      </c>
      <c r="CD54" s="56" t="s">
        <v>667</v>
      </c>
      <c r="CG54" s="56">
        <v>0</v>
      </c>
      <c r="CH54" s="56">
        <v>165</v>
      </c>
      <c r="CJ54" s="56">
        <v>100</v>
      </c>
      <c r="CK54" s="56">
        <v>6739.88</v>
      </c>
      <c r="CL54" s="56">
        <v>0</v>
      </c>
      <c r="CN54" s="56">
        <v>929.02</v>
      </c>
      <c r="CO54" s="56">
        <v>929.02</v>
      </c>
      <c r="CP54" s="56">
        <v>72.900000000000006</v>
      </c>
      <c r="CQ54" s="56" t="s">
        <v>668</v>
      </c>
      <c r="CR54" s="56">
        <v>0</v>
      </c>
      <c r="CS54" s="56">
        <v>0</v>
      </c>
      <c r="CV54" s="56">
        <v>0</v>
      </c>
      <c r="CX54" s="56">
        <v>0</v>
      </c>
      <c r="CY54" s="56">
        <v>0</v>
      </c>
      <c r="CZ54" s="56">
        <v>623.44000000000005</v>
      </c>
      <c r="DA54" s="56">
        <v>623.44000000000005</v>
      </c>
      <c r="DB54" s="56">
        <v>0</v>
      </c>
      <c r="DC54" s="56">
        <v>6116.44</v>
      </c>
      <c r="DD54" s="56">
        <v>20.77</v>
      </c>
      <c r="DE54" s="56">
        <v>0</v>
      </c>
      <c r="DF54" s="56">
        <v>20.77</v>
      </c>
      <c r="DH54" s="56" t="s">
        <v>670</v>
      </c>
      <c r="DI54" s="56" t="s">
        <v>671</v>
      </c>
      <c r="DK54" s="56">
        <v>79.680000000000007</v>
      </c>
      <c r="DL54" s="56">
        <v>6168.57</v>
      </c>
      <c r="DM54" s="56">
        <v>40</v>
      </c>
      <c r="DN54" s="56">
        <v>761806</v>
      </c>
      <c r="DO54" s="56" t="s">
        <v>236</v>
      </c>
      <c r="DQ54" s="56" t="s">
        <v>674</v>
      </c>
      <c r="DR54" s="56">
        <v>3</v>
      </c>
      <c r="DW54" s="56">
        <v>370</v>
      </c>
      <c r="DX54" s="56" t="s">
        <v>678</v>
      </c>
      <c r="DY54" s="56" t="s">
        <v>679</v>
      </c>
      <c r="EL54" s="56">
        <v>25</v>
      </c>
      <c r="EM54" s="56">
        <v>15</v>
      </c>
      <c r="EN54" s="56">
        <v>4779</v>
      </c>
      <c r="EO54" s="56">
        <v>1622</v>
      </c>
      <c r="EP54" s="56">
        <v>6792</v>
      </c>
      <c r="EQ54" s="56" t="s">
        <v>1092</v>
      </c>
      <c r="ER54" s="56" t="s">
        <v>928</v>
      </c>
      <c r="ES54" s="56">
        <v>2</v>
      </c>
      <c r="ET54" s="56" t="s">
        <v>682</v>
      </c>
      <c r="EU54" s="56" t="s">
        <v>683</v>
      </c>
      <c r="EV54" s="56" t="s">
        <v>683</v>
      </c>
      <c r="FD54" s="56" t="s">
        <v>1093</v>
      </c>
      <c r="FK54" s="56">
        <v>0</v>
      </c>
    </row>
    <row r="55" spans="1:167" x14ac:dyDescent="0.2">
      <c r="A55" s="56">
        <v>29011</v>
      </c>
      <c r="B55" s="56">
        <v>2</v>
      </c>
      <c r="C55" s="56">
        <v>6352</v>
      </c>
      <c r="D55" s="56" t="s">
        <v>634</v>
      </c>
      <c r="E55" s="56" t="s">
        <v>635</v>
      </c>
      <c r="K55" s="56" t="s">
        <v>1094</v>
      </c>
      <c r="L55" s="56" t="s">
        <v>637</v>
      </c>
      <c r="M55" s="56">
        <v>44931</v>
      </c>
      <c r="N55" s="56">
        <v>44933</v>
      </c>
      <c r="O55" s="56">
        <v>38</v>
      </c>
      <c r="P55" s="56" t="s">
        <v>638</v>
      </c>
      <c r="Q55" s="56">
        <v>2</v>
      </c>
      <c r="R55" s="56" t="s">
        <v>639</v>
      </c>
      <c r="S55" s="56" t="s">
        <v>893</v>
      </c>
      <c r="T55" s="56" t="s">
        <v>641</v>
      </c>
      <c r="U55" s="56" t="s">
        <v>642</v>
      </c>
      <c r="V55" s="56" t="s">
        <v>643</v>
      </c>
      <c r="W55" s="56">
        <v>48</v>
      </c>
      <c r="X55" s="56" t="s">
        <v>699</v>
      </c>
      <c r="Y55" s="56">
        <v>90</v>
      </c>
      <c r="Z55" s="56" t="s">
        <v>894</v>
      </c>
      <c r="AA55" s="56" t="s">
        <v>895</v>
      </c>
      <c r="AB55" s="56" t="s">
        <v>896</v>
      </c>
      <c r="AC55" s="56" t="s">
        <v>641</v>
      </c>
      <c r="AD55" s="56" t="s">
        <v>893</v>
      </c>
      <c r="AE55" s="56">
        <v>141</v>
      </c>
      <c r="AF55" s="56" t="s">
        <v>649</v>
      </c>
      <c r="AG55" s="56" t="s">
        <v>650</v>
      </c>
      <c r="AH55" s="56" t="s">
        <v>643</v>
      </c>
      <c r="AI55" s="56" t="s">
        <v>642</v>
      </c>
      <c r="AJ55" s="56">
        <v>90</v>
      </c>
      <c r="AK55" s="56" t="s">
        <v>894</v>
      </c>
      <c r="AL55" s="56">
        <v>141</v>
      </c>
      <c r="AM55" s="56" t="s">
        <v>649</v>
      </c>
      <c r="AN55" s="56" t="s">
        <v>650</v>
      </c>
      <c r="AO55" s="56" t="s">
        <v>652</v>
      </c>
      <c r="AP55" s="56" t="s">
        <v>643</v>
      </c>
      <c r="AQ55" s="56" t="s">
        <v>642</v>
      </c>
      <c r="AR55" s="56">
        <v>98</v>
      </c>
      <c r="AS55" s="56" t="s">
        <v>645</v>
      </c>
      <c r="AT55" s="56" t="s">
        <v>646</v>
      </c>
      <c r="AU55" s="56" t="s">
        <v>643</v>
      </c>
      <c r="AV55" s="56" t="s">
        <v>648</v>
      </c>
      <c r="AW55" s="56">
        <v>112</v>
      </c>
      <c r="AX55" s="56" t="s">
        <v>842</v>
      </c>
      <c r="AY55" s="56">
        <v>16</v>
      </c>
      <c r="AZ55" s="56" t="s">
        <v>24</v>
      </c>
      <c r="BA55" s="56" t="s">
        <v>843</v>
      </c>
      <c r="BB55" s="56" t="s">
        <v>844</v>
      </c>
      <c r="BC55" s="56">
        <v>2</v>
      </c>
      <c r="BD55" s="56" t="s">
        <v>289</v>
      </c>
      <c r="BE55" s="56" t="s">
        <v>772</v>
      </c>
      <c r="BF55" s="56">
        <v>2</v>
      </c>
      <c r="BG55" s="56" t="s">
        <v>289</v>
      </c>
      <c r="BH55" s="56" t="s">
        <v>772</v>
      </c>
      <c r="BI55" s="56">
        <v>46.96</v>
      </c>
      <c r="BJ55" s="56">
        <v>121010.28</v>
      </c>
      <c r="BK55" s="56">
        <v>46960</v>
      </c>
      <c r="BL55" s="56" t="s">
        <v>897</v>
      </c>
      <c r="BM55" s="56">
        <v>3102</v>
      </c>
      <c r="BN55" s="56" t="s">
        <v>660</v>
      </c>
      <c r="BO55" s="56" t="s">
        <v>706</v>
      </c>
      <c r="BP55" s="56">
        <v>7748.4</v>
      </c>
      <c r="BQ55" s="56">
        <v>6745.69</v>
      </c>
      <c r="BR55" s="56">
        <v>0</v>
      </c>
      <c r="BS55" s="56">
        <v>0</v>
      </c>
      <c r="BT55" s="56">
        <v>0</v>
      </c>
      <c r="BU55" s="56">
        <v>717835</v>
      </c>
      <c r="BV55" s="56">
        <v>98</v>
      </c>
      <c r="BW55" s="56" t="s">
        <v>645</v>
      </c>
      <c r="BX55" s="56" t="s">
        <v>1095</v>
      </c>
      <c r="BY55" s="56" t="s">
        <v>663</v>
      </c>
      <c r="BZ55" s="56">
        <v>0.25</v>
      </c>
      <c r="CA55" s="56" t="s">
        <v>664</v>
      </c>
      <c r="CB55" s="56" t="s">
        <v>899</v>
      </c>
      <c r="CD55" s="56" t="s">
        <v>667</v>
      </c>
      <c r="CG55" s="56">
        <v>0</v>
      </c>
      <c r="CH55" s="56">
        <v>165</v>
      </c>
      <c r="CJ55" s="56">
        <v>100</v>
      </c>
      <c r="CK55" s="56">
        <v>6745.69</v>
      </c>
      <c r="CL55" s="56">
        <v>0</v>
      </c>
      <c r="CN55" s="56">
        <v>929.81</v>
      </c>
      <c r="CO55" s="56">
        <v>929.81</v>
      </c>
      <c r="CP55" s="56">
        <v>72.900000000000006</v>
      </c>
      <c r="CQ55" s="56" t="s">
        <v>668</v>
      </c>
      <c r="CR55" s="56">
        <v>0</v>
      </c>
      <c r="CS55" s="56">
        <v>0</v>
      </c>
      <c r="CV55" s="56">
        <v>0</v>
      </c>
      <c r="CX55" s="56">
        <v>0</v>
      </c>
      <c r="CY55" s="56">
        <v>0</v>
      </c>
      <c r="CZ55" s="56">
        <v>623.97</v>
      </c>
      <c r="DA55" s="56">
        <v>623.97</v>
      </c>
      <c r="DB55" s="56">
        <v>0</v>
      </c>
      <c r="DC55" s="56">
        <v>6121.72</v>
      </c>
      <c r="DD55" s="56">
        <v>20.79</v>
      </c>
      <c r="DE55" s="56">
        <v>0</v>
      </c>
      <c r="DF55" s="56">
        <v>20.79</v>
      </c>
      <c r="DH55" s="56" t="s">
        <v>670</v>
      </c>
      <c r="DI55" s="56" t="s">
        <v>671</v>
      </c>
      <c r="DK55" s="56">
        <v>79.680000000000007</v>
      </c>
      <c r="DL55" s="56">
        <v>6173.83</v>
      </c>
      <c r="DM55" s="56">
        <v>40</v>
      </c>
      <c r="DN55" s="56">
        <v>761806</v>
      </c>
      <c r="DO55" s="56" t="s">
        <v>236</v>
      </c>
      <c r="DQ55" s="56" t="s">
        <v>674</v>
      </c>
      <c r="DR55" s="56">
        <v>3</v>
      </c>
      <c r="DW55" s="56">
        <v>370</v>
      </c>
      <c r="DX55" s="56" t="s">
        <v>678</v>
      </c>
      <c r="DY55" s="56" t="s">
        <v>679</v>
      </c>
      <c r="EL55" s="56">
        <v>25</v>
      </c>
      <c r="EM55" s="56">
        <v>15</v>
      </c>
      <c r="EN55" s="56">
        <v>4779</v>
      </c>
      <c r="EO55" s="56">
        <v>1622</v>
      </c>
      <c r="EP55" s="56">
        <v>6792</v>
      </c>
      <c r="EQ55" s="56" t="s">
        <v>1092</v>
      </c>
      <c r="ER55" s="56" t="s">
        <v>928</v>
      </c>
      <c r="ES55" s="56">
        <v>2</v>
      </c>
      <c r="ET55" s="56" t="s">
        <v>682</v>
      </c>
      <c r="EU55" s="56" t="s">
        <v>683</v>
      </c>
      <c r="EV55" s="56" t="s">
        <v>683</v>
      </c>
      <c r="FD55" s="56" t="s">
        <v>1096</v>
      </c>
      <c r="FK55" s="56">
        <v>0</v>
      </c>
    </row>
    <row r="56" spans="1:167" x14ac:dyDescent="0.2">
      <c r="A56" s="56">
        <v>29012</v>
      </c>
      <c r="B56" s="56">
        <v>2</v>
      </c>
      <c r="C56" s="56">
        <v>6352</v>
      </c>
      <c r="D56" s="56" t="s">
        <v>634</v>
      </c>
      <c r="E56" s="56" t="s">
        <v>635</v>
      </c>
      <c r="K56" s="56" t="s">
        <v>1097</v>
      </c>
      <c r="L56" s="56" t="s">
        <v>637</v>
      </c>
      <c r="M56" s="56">
        <v>44931</v>
      </c>
      <c r="N56" s="56">
        <v>44933</v>
      </c>
      <c r="O56" s="56">
        <v>38</v>
      </c>
      <c r="P56" s="56" t="s">
        <v>638</v>
      </c>
      <c r="Q56" s="56">
        <v>2</v>
      </c>
      <c r="R56" s="56" t="s">
        <v>639</v>
      </c>
      <c r="S56" s="56" t="s">
        <v>893</v>
      </c>
      <c r="T56" s="56" t="s">
        <v>641</v>
      </c>
      <c r="U56" s="56" t="s">
        <v>642</v>
      </c>
      <c r="V56" s="56" t="s">
        <v>643</v>
      </c>
      <c r="W56" s="56">
        <v>48</v>
      </c>
      <c r="X56" s="56" t="s">
        <v>699</v>
      </c>
      <c r="Y56" s="56">
        <v>90</v>
      </c>
      <c r="Z56" s="56" t="s">
        <v>894</v>
      </c>
      <c r="AA56" s="56" t="s">
        <v>895</v>
      </c>
      <c r="AB56" s="56" t="s">
        <v>896</v>
      </c>
      <c r="AC56" s="56" t="s">
        <v>641</v>
      </c>
      <c r="AD56" s="56" t="s">
        <v>893</v>
      </c>
      <c r="AE56" s="56">
        <v>141</v>
      </c>
      <c r="AF56" s="56" t="s">
        <v>649</v>
      </c>
      <c r="AG56" s="56" t="s">
        <v>650</v>
      </c>
      <c r="AH56" s="56" t="s">
        <v>643</v>
      </c>
      <c r="AI56" s="56" t="s">
        <v>642</v>
      </c>
      <c r="AJ56" s="56">
        <v>90</v>
      </c>
      <c r="AK56" s="56" t="s">
        <v>894</v>
      </c>
      <c r="AL56" s="56">
        <v>141</v>
      </c>
      <c r="AM56" s="56" t="s">
        <v>649</v>
      </c>
      <c r="AN56" s="56" t="s">
        <v>650</v>
      </c>
      <c r="AO56" s="56" t="s">
        <v>652</v>
      </c>
      <c r="AP56" s="56" t="s">
        <v>643</v>
      </c>
      <c r="AQ56" s="56" t="s">
        <v>642</v>
      </c>
      <c r="AR56" s="56">
        <v>98</v>
      </c>
      <c r="AS56" s="56" t="s">
        <v>645</v>
      </c>
      <c r="AT56" s="56" t="s">
        <v>646</v>
      </c>
      <c r="AU56" s="56" t="s">
        <v>643</v>
      </c>
      <c r="AV56" s="56" t="s">
        <v>648</v>
      </c>
      <c r="AW56" s="56">
        <v>116</v>
      </c>
      <c r="AX56" s="56" t="s">
        <v>876</v>
      </c>
      <c r="AY56" s="56">
        <v>35</v>
      </c>
      <c r="AZ56" s="56" t="s">
        <v>124</v>
      </c>
      <c r="BA56" s="56" t="s">
        <v>877</v>
      </c>
      <c r="BB56" s="56" t="s">
        <v>770</v>
      </c>
      <c r="BC56" s="56">
        <v>38</v>
      </c>
      <c r="BD56" s="56" t="s">
        <v>289</v>
      </c>
      <c r="BE56" s="56" t="s">
        <v>771</v>
      </c>
      <c r="BF56" s="56">
        <v>2</v>
      </c>
      <c r="BG56" s="56" t="s">
        <v>289</v>
      </c>
      <c r="BH56" s="56" t="s">
        <v>772</v>
      </c>
      <c r="BI56" s="56">
        <v>45.7</v>
      </c>
      <c r="BJ56" s="56">
        <v>117763.42</v>
      </c>
      <c r="BK56" s="56">
        <v>45700</v>
      </c>
      <c r="BL56" s="56" t="s">
        <v>897</v>
      </c>
      <c r="BM56" s="56">
        <v>3102</v>
      </c>
      <c r="BN56" s="56" t="s">
        <v>724</v>
      </c>
      <c r="BO56" s="56" t="s">
        <v>725</v>
      </c>
      <c r="BP56" s="56">
        <v>7540.5</v>
      </c>
      <c r="BQ56" s="56">
        <v>6562.74</v>
      </c>
      <c r="BR56" s="56">
        <v>0</v>
      </c>
      <c r="BS56" s="56">
        <v>0</v>
      </c>
      <c r="BT56" s="56">
        <v>0</v>
      </c>
      <c r="BU56" s="56">
        <v>717850</v>
      </c>
      <c r="BV56" s="56">
        <v>98</v>
      </c>
      <c r="BW56" s="56" t="s">
        <v>645</v>
      </c>
      <c r="BX56" s="56" t="s">
        <v>1098</v>
      </c>
      <c r="BY56" s="56" t="s">
        <v>663</v>
      </c>
      <c r="BZ56" s="56">
        <v>0.25</v>
      </c>
      <c r="CA56" s="56" t="s">
        <v>664</v>
      </c>
      <c r="CB56" s="56" t="s">
        <v>899</v>
      </c>
      <c r="CD56" s="56" t="s">
        <v>667</v>
      </c>
      <c r="CG56" s="56">
        <v>0</v>
      </c>
      <c r="CH56" s="56">
        <v>165</v>
      </c>
      <c r="CJ56" s="56">
        <v>100</v>
      </c>
      <c r="CK56" s="56">
        <v>6562.74</v>
      </c>
      <c r="CL56" s="56">
        <v>0</v>
      </c>
      <c r="CN56" s="56">
        <v>904.86</v>
      </c>
      <c r="CO56" s="56">
        <v>904.86</v>
      </c>
      <c r="CP56" s="56">
        <v>72.900000000000006</v>
      </c>
      <c r="CQ56" s="56" t="s">
        <v>668</v>
      </c>
      <c r="CR56" s="56">
        <v>0</v>
      </c>
      <c r="CS56" s="56">
        <v>0</v>
      </c>
      <c r="CV56" s="56">
        <v>0</v>
      </c>
      <c r="CX56" s="56">
        <v>0</v>
      </c>
      <c r="CY56" s="56">
        <v>0</v>
      </c>
      <c r="CZ56" s="56">
        <v>607.05999999999995</v>
      </c>
      <c r="DA56" s="56">
        <v>607.05999999999995</v>
      </c>
      <c r="DB56" s="56">
        <v>0</v>
      </c>
      <c r="DC56" s="56">
        <v>5955.68</v>
      </c>
      <c r="DD56" s="56">
        <v>20.23</v>
      </c>
      <c r="DE56" s="56">
        <v>0</v>
      </c>
      <c r="DF56" s="56">
        <v>20.23</v>
      </c>
      <c r="DH56" s="56" t="s">
        <v>670</v>
      </c>
      <c r="DI56" s="56" t="s">
        <v>671</v>
      </c>
      <c r="DK56" s="56">
        <v>79.680000000000007</v>
      </c>
      <c r="DL56" s="56">
        <v>6008.35</v>
      </c>
      <c r="DM56" s="56">
        <v>40</v>
      </c>
      <c r="DN56" s="56">
        <v>761806</v>
      </c>
      <c r="DO56" s="56" t="s">
        <v>236</v>
      </c>
      <c r="DQ56" s="56" t="s">
        <v>674</v>
      </c>
      <c r="DR56" s="56">
        <v>3</v>
      </c>
      <c r="DW56" s="56">
        <v>370</v>
      </c>
      <c r="DX56" s="56" t="s">
        <v>678</v>
      </c>
      <c r="DY56" s="56" t="s">
        <v>679</v>
      </c>
      <c r="EL56" s="56">
        <v>25</v>
      </c>
      <c r="EM56" s="56">
        <v>15</v>
      </c>
      <c r="EN56" s="56">
        <v>4779</v>
      </c>
      <c r="EO56" s="56">
        <v>1622</v>
      </c>
      <c r="EP56" s="56">
        <v>6792</v>
      </c>
      <c r="EQ56" s="56" t="s">
        <v>1092</v>
      </c>
      <c r="ER56" s="56" t="s">
        <v>928</v>
      </c>
      <c r="ES56" s="56">
        <v>2</v>
      </c>
      <c r="ET56" s="56" t="s">
        <v>682</v>
      </c>
      <c r="EU56" s="56" t="s">
        <v>683</v>
      </c>
      <c r="EV56" s="56" t="s">
        <v>683</v>
      </c>
      <c r="FD56" s="56" t="s">
        <v>1099</v>
      </c>
      <c r="FK56" s="56">
        <v>0</v>
      </c>
    </row>
    <row r="57" spans="1:167" x14ac:dyDescent="0.2">
      <c r="A57" s="56">
        <v>29013</v>
      </c>
      <c r="B57" s="56">
        <v>2</v>
      </c>
      <c r="C57" s="56">
        <v>6352</v>
      </c>
      <c r="D57" s="56" t="s">
        <v>634</v>
      </c>
      <c r="E57" s="56" t="s">
        <v>635</v>
      </c>
      <c r="K57" s="56" t="s">
        <v>1100</v>
      </c>
      <c r="L57" s="56" t="s">
        <v>637</v>
      </c>
      <c r="M57" s="56">
        <v>44931</v>
      </c>
      <c r="N57" s="56">
        <v>44933</v>
      </c>
      <c r="O57" s="56">
        <v>38</v>
      </c>
      <c r="P57" s="56" t="s">
        <v>638</v>
      </c>
      <c r="Q57" s="56">
        <v>2</v>
      </c>
      <c r="R57" s="56" t="s">
        <v>639</v>
      </c>
      <c r="S57" s="56" t="s">
        <v>893</v>
      </c>
      <c r="T57" s="56" t="s">
        <v>641</v>
      </c>
      <c r="U57" s="56" t="s">
        <v>735</v>
      </c>
      <c r="V57" s="56" t="s">
        <v>643</v>
      </c>
      <c r="W57" s="56">
        <v>48</v>
      </c>
      <c r="X57" s="56" t="s">
        <v>699</v>
      </c>
      <c r="Y57" s="56">
        <v>162</v>
      </c>
      <c r="Z57" s="56" t="s">
        <v>1030</v>
      </c>
      <c r="AA57" s="56" t="s">
        <v>1031</v>
      </c>
      <c r="AB57" s="56" t="s">
        <v>1032</v>
      </c>
      <c r="AC57" s="56" t="s">
        <v>641</v>
      </c>
      <c r="AD57" s="56" t="s">
        <v>893</v>
      </c>
      <c r="AE57" s="56">
        <v>91</v>
      </c>
      <c r="AF57" s="56" t="s">
        <v>736</v>
      </c>
      <c r="AG57" s="56" t="s">
        <v>737</v>
      </c>
      <c r="AH57" s="56" t="s">
        <v>643</v>
      </c>
      <c r="AI57" s="56" t="s">
        <v>735</v>
      </c>
      <c r="AJ57" s="56">
        <v>162</v>
      </c>
      <c r="AK57" s="56" t="s">
        <v>1030</v>
      </c>
      <c r="AL57" s="56">
        <v>98</v>
      </c>
      <c r="AM57" s="56" t="s">
        <v>645</v>
      </c>
      <c r="AN57" s="56" t="s">
        <v>646</v>
      </c>
      <c r="AO57" s="56" t="s">
        <v>647</v>
      </c>
      <c r="AP57" s="56" t="s">
        <v>643</v>
      </c>
      <c r="AQ57" s="56" t="s">
        <v>648</v>
      </c>
      <c r="AR57" s="56">
        <v>162</v>
      </c>
      <c r="AS57" s="56" t="s">
        <v>1030</v>
      </c>
      <c r="AT57" s="56" t="s">
        <v>1031</v>
      </c>
      <c r="AU57" s="56" t="s">
        <v>641</v>
      </c>
      <c r="AV57" s="56" t="s">
        <v>893</v>
      </c>
      <c r="AW57" s="56">
        <v>122</v>
      </c>
      <c r="AX57" s="56" t="s">
        <v>768</v>
      </c>
      <c r="AY57" s="56">
        <v>69</v>
      </c>
      <c r="AZ57" s="56" t="s">
        <v>26</v>
      </c>
      <c r="BA57" s="56" t="s">
        <v>769</v>
      </c>
      <c r="BB57" s="56" t="s">
        <v>770</v>
      </c>
      <c r="BC57" s="56">
        <v>38</v>
      </c>
      <c r="BD57" s="56" t="s">
        <v>289</v>
      </c>
      <c r="BE57" s="56" t="s">
        <v>771</v>
      </c>
      <c r="BF57" s="56">
        <v>2</v>
      </c>
      <c r="BG57" s="56" t="s">
        <v>289</v>
      </c>
      <c r="BH57" s="56" t="s">
        <v>772</v>
      </c>
      <c r="BI57" s="56">
        <v>47.49</v>
      </c>
      <c r="BJ57" s="56">
        <v>190064.48</v>
      </c>
      <c r="BK57" s="56">
        <v>47.49</v>
      </c>
      <c r="BL57" s="56" t="s">
        <v>1039</v>
      </c>
      <c r="BM57" s="56">
        <v>3105</v>
      </c>
      <c r="BN57" s="56" t="s">
        <v>724</v>
      </c>
      <c r="BO57" s="56" t="s">
        <v>773</v>
      </c>
      <c r="BP57" s="56">
        <v>6078.72</v>
      </c>
      <c r="BQ57" s="56">
        <v>5276.37</v>
      </c>
      <c r="BR57" s="56">
        <v>0</v>
      </c>
      <c r="BS57" s="56">
        <v>0</v>
      </c>
      <c r="BT57" s="56">
        <v>0</v>
      </c>
      <c r="BU57" s="56">
        <v>37055</v>
      </c>
      <c r="BV57" s="56">
        <v>162</v>
      </c>
      <c r="BW57" s="56" t="s">
        <v>1030</v>
      </c>
      <c r="BX57" s="56" t="s">
        <v>1101</v>
      </c>
      <c r="BY57" s="56" t="s">
        <v>663</v>
      </c>
      <c r="BZ57" s="56">
        <v>0.25</v>
      </c>
      <c r="CA57" s="56" t="s">
        <v>664</v>
      </c>
      <c r="CB57" s="56" t="s">
        <v>1041</v>
      </c>
      <c r="CD57" s="56" t="s">
        <v>667</v>
      </c>
      <c r="CG57" s="56">
        <v>0</v>
      </c>
      <c r="CH57" s="56">
        <v>128</v>
      </c>
      <c r="CJ57" s="56">
        <v>100</v>
      </c>
      <c r="CK57" s="56">
        <v>5276.37</v>
      </c>
      <c r="CL57" s="56">
        <v>0</v>
      </c>
      <c r="CN57" s="56">
        <v>729.45</v>
      </c>
      <c r="CO57" s="56">
        <v>729.45</v>
      </c>
      <c r="CP57" s="56">
        <v>72.900000000000006</v>
      </c>
      <c r="CQ57" s="56" t="s">
        <v>668</v>
      </c>
      <c r="CR57" s="56">
        <v>0</v>
      </c>
      <c r="CS57" s="56">
        <v>0</v>
      </c>
      <c r="CV57" s="56">
        <v>0</v>
      </c>
      <c r="CX57" s="56">
        <v>0</v>
      </c>
      <c r="CY57" s="56">
        <v>0</v>
      </c>
      <c r="CZ57" s="56">
        <v>488.06</v>
      </c>
      <c r="DA57" s="56">
        <v>488.06</v>
      </c>
      <c r="DB57" s="56">
        <v>0</v>
      </c>
      <c r="DC57" s="56">
        <v>4788.3100000000004</v>
      </c>
      <c r="DD57" s="56">
        <v>32.65</v>
      </c>
      <c r="DE57" s="56">
        <v>0</v>
      </c>
      <c r="DF57" s="56">
        <v>32.65</v>
      </c>
      <c r="DH57" s="56" t="s">
        <v>670</v>
      </c>
      <c r="DI57" s="56" t="s">
        <v>671</v>
      </c>
      <c r="DK57" s="56">
        <v>79.430000000000007</v>
      </c>
      <c r="DL57" s="56">
        <v>4828.5600000000004</v>
      </c>
      <c r="DM57" s="56">
        <v>9</v>
      </c>
      <c r="DN57" s="56">
        <v>4500914985</v>
      </c>
      <c r="DO57" s="56" t="s">
        <v>236</v>
      </c>
      <c r="DQ57" s="56" t="s">
        <v>674</v>
      </c>
      <c r="DR57" s="56">
        <v>3</v>
      </c>
      <c r="DW57" s="56">
        <v>280</v>
      </c>
      <c r="DX57" s="56" t="s">
        <v>678</v>
      </c>
      <c r="DY57" s="56" t="s">
        <v>679</v>
      </c>
      <c r="EL57" s="56">
        <v>25</v>
      </c>
      <c r="EM57" s="56">
        <v>15</v>
      </c>
      <c r="EN57" s="56">
        <v>4779</v>
      </c>
      <c r="EO57" s="56">
        <v>1805</v>
      </c>
      <c r="EP57" s="56">
        <v>6793</v>
      </c>
      <c r="EQ57" s="56" t="s">
        <v>1046</v>
      </c>
      <c r="ER57" s="56" t="s">
        <v>902</v>
      </c>
      <c r="ES57" s="56">
        <v>2</v>
      </c>
      <c r="ET57" s="56" t="s">
        <v>682</v>
      </c>
      <c r="EU57" s="56" t="s">
        <v>683</v>
      </c>
      <c r="EV57" s="56" t="s">
        <v>683</v>
      </c>
      <c r="FD57" s="56" t="s">
        <v>1102</v>
      </c>
      <c r="FK57" s="56">
        <v>0</v>
      </c>
    </row>
    <row r="58" spans="1:167" x14ac:dyDescent="0.2">
      <c r="A58" s="56">
        <v>29014</v>
      </c>
      <c r="B58" s="56">
        <v>2</v>
      </c>
      <c r="C58" s="56">
        <v>6352</v>
      </c>
      <c r="D58" s="56" t="s">
        <v>634</v>
      </c>
      <c r="E58" s="56" t="s">
        <v>635</v>
      </c>
      <c r="K58" s="56" t="s">
        <v>1103</v>
      </c>
      <c r="L58" s="56" t="s">
        <v>637</v>
      </c>
      <c r="M58" s="56">
        <v>44931</v>
      </c>
      <c r="N58" s="56">
        <v>44933</v>
      </c>
      <c r="O58" s="56">
        <v>38</v>
      </c>
      <c r="P58" s="56" t="s">
        <v>638</v>
      </c>
      <c r="Q58" s="56">
        <v>2</v>
      </c>
      <c r="R58" s="56" t="s">
        <v>639</v>
      </c>
      <c r="S58" s="56" t="s">
        <v>893</v>
      </c>
      <c r="T58" s="56" t="s">
        <v>641</v>
      </c>
      <c r="U58" s="56" t="s">
        <v>735</v>
      </c>
      <c r="V58" s="56" t="s">
        <v>643</v>
      </c>
      <c r="W58" s="56">
        <v>48</v>
      </c>
      <c r="X58" s="56" t="s">
        <v>699</v>
      </c>
      <c r="Y58" s="56">
        <v>162</v>
      </c>
      <c r="Z58" s="56" t="s">
        <v>1030</v>
      </c>
      <c r="AA58" s="56" t="s">
        <v>1031</v>
      </c>
      <c r="AB58" s="56" t="s">
        <v>1032</v>
      </c>
      <c r="AC58" s="56" t="s">
        <v>641</v>
      </c>
      <c r="AD58" s="56" t="s">
        <v>893</v>
      </c>
      <c r="AE58" s="56">
        <v>91</v>
      </c>
      <c r="AF58" s="56" t="s">
        <v>736</v>
      </c>
      <c r="AG58" s="56" t="s">
        <v>737</v>
      </c>
      <c r="AH58" s="56" t="s">
        <v>643</v>
      </c>
      <c r="AI58" s="56" t="s">
        <v>735</v>
      </c>
      <c r="AJ58" s="56">
        <v>162</v>
      </c>
      <c r="AK58" s="56" t="s">
        <v>1030</v>
      </c>
      <c r="AL58" s="56">
        <v>98</v>
      </c>
      <c r="AM58" s="56" t="s">
        <v>645</v>
      </c>
      <c r="AN58" s="56" t="s">
        <v>646</v>
      </c>
      <c r="AO58" s="56" t="s">
        <v>647</v>
      </c>
      <c r="AP58" s="56" t="s">
        <v>643</v>
      </c>
      <c r="AQ58" s="56" t="s">
        <v>648</v>
      </c>
      <c r="AR58" s="56">
        <v>162</v>
      </c>
      <c r="AS58" s="56" t="s">
        <v>1030</v>
      </c>
      <c r="AT58" s="56" t="s">
        <v>1031</v>
      </c>
      <c r="AU58" s="56" t="s">
        <v>641</v>
      </c>
      <c r="AV58" s="56" t="s">
        <v>893</v>
      </c>
      <c r="AW58" s="56">
        <v>109</v>
      </c>
      <c r="AX58" s="56" t="s">
        <v>826</v>
      </c>
      <c r="AY58" s="56">
        <v>20</v>
      </c>
      <c r="AZ58" s="56" t="s">
        <v>30</v>
      </c>
      <c r="BA58" s="56" t="s">
        <v>827</v>
      </c>
      <c r="BB58" s="56" t="s">
        <v>770</v>
      </c>
      <c r="BC58" s="56">
        <v>38</v>
      </c>
      <c r="BD58" s="56" t="s">
        <v>289</v>
      </c>
      <c r="BE58" s="56" t="s">
        <v>771</v>
      </c>
      <c r="BF58" s="56">
        <v>2</v>
      </c>
      <c r="BG58" s="56" t="s">
        <v>289</v>
      </c>
      <c r="BH58" s="56" t="s">
        <v>772</v>
      </c>
      <c r="BI58" s="56">
        <v>46.13</v>
      </c>
      <c r="BJ58" s="56">
        <v>184621.49</v>
      </c>
      <c r="BK58" s="56">
        <v>46.13</v>
      </c>
      <c r="BL58" s="56" t="s">
        <v>1039</v>
      </c>
      <c r="BM58" s="56">
        <v>3105</v>
      </c>
      <c r="BN58" s="56" t="s">
        <v>724</v>
      </c>
      <c r="BO58" s="56" t="s">
        <v>725</v>
      </c>
      <c r="BP58" s="56">
        <v>5904.64</v>
      </c>
      <c r="BQ58" s="56">
        <v>5123.18</v>
      </c>
      <c r="BR58" s="56">
        <v>0</v>
      </c>
      <c r="BS58" s="56">
        <v>0</v>
      </c>
      <c r="BT58" s="56">
        <v>0</v>
      </c>
      <c r="BU58" s="56">
        <v>37068</v>
      </c>
      <c r="BV58" s="56">
        <v>162</v>
      </c>
      <c r="BW58" s="56" t="s">
        <v>1030</v>
      </c>
      <c r="BX58" s="56" t="s">
        <v>1104</v>
      </c>
      <c r="BY58" s="56" t="s">
        <v>663</v>
      </c>
      <c r="BZ58" s="56">
        <v>0.25</v>
      </c>
      <c r="CA58" s="56" t="s">
        <v>664</v>
      </c>
      <c r="CB58" s="56" t="s">
        <v>1041</v>
      </c>
      <c r="CD58" s="56" t="s">
        <v>667</v>
      </c>
      <c r="CG58" s="56">
        <v>0</v>
      </c>
      <c r="CH58" s="56">
        <v>128</v>
      </c>
      <c r="CJ58" s="56">
        <v>100</v>
      </c>
      <c r="CK58" s="56">
        <v>5123.18</v>
      </c>
      <c r="CL58" s="56">
        <v>0</v>
      </c>
      <c r="CN58" s="56">
        <v>708.56</v>
      </c>
      <c r="CO58" s="56">
        <v>708.56</v>
      </c>
      <c r="CP58" s="56">
        <v>72.900000000000006</v>
      </c>
      <c r="CQ58" s="56" t="s">
        <v>668</v>
      </c>
      <c r="CR58" s="56">
        <v>0</v>
      </c>
      <c r="CS58" s="56">
        <v>0</v>
      </c>
      <c r="CV58" s="56">
        <v>0</v>
      </c>
      <c r="CX58" s="56">
        <v>0</v>
      </c>
      <c r="CY58" s="56">
        <v>0</v>
      </c>
      <c r="CZ58" s="56">
        <v>473.89</v>
      </c>
      <c r="DA58" s="56">
        <v>473.89</v>
      </c>
      <c r="DB58" s="56">
        <v>0</v>
      </c>
      <c r="DC58" s="56">
        <v>4649.29</v>
      </c>
      <c r="DD58" s="56">
        <v>31.72</v>
      </c>
      <c r="DE58" s="56">
        <v>0</v>
      </c>
      <c r="DF58" s="56">
        <v>31.72</v>
      </c>
      <c r="DH58" s="56" t="s">
        <v>670</v>
      </c>
      <c r="DI58" s="56" t="s">
        <v>671</v>
      </c>
      <c r="DK58" s="56">
        <v>79.44</v>
      </c>
      <c r="DL58" s="56">
        <v>4690.47</v>
      </c>
      <c r="DM58" s="56">
        <v>9</v>
      </c>
      <c r="DN58" s="56">
        <v>4500914985</v>
      </c>
      <c r="DO58" s="56" t="s">
        <v>236</v>
      </c>
      <c r="DQ58" s="56" t="s">
        <v>674</v>
      </c>
      <c r="DR58" s="56">
        <v>3</v>
      </c>
      <c r="DW58" s="56">
        <v>280</v>
      </c>
      <c r="DX58" s="56" t="s">
        <v>678</v>
      </c>
      <c r="DY58" s="56" t="s">
        <v>679</v>
      </c>
      <c r="EL58" s="56">
        <v>25</v>
      </c>
      <c r="EM58" s="56">
        <v>15</v>
      </c>
      <c r="EN58" s="56">
        <v>4779</v>
      </c>
      <c r="EO58" s="56">
        <v>1805</v>
      </c>
      <c r="EP58" s="56">
        <v>6793</v>
      </c>
      <c r="EQ58" s="56" t="s">
        <v>1046</v>
      </c>
      <c r="ER58" s="56" t="s">
        <v>902</v>
      </c>
      <c r="ES58" s="56">
        <v>2</v>
      </c>
      <c r="ET58" s="56" t="s">
        <v>682</v>
      </c>
      <c r="EU58" s="56" t="s">
        <v>683</v>
      </c>
      <c r="EV58" s="56" t="s">
        <v>683</v>
      </c>
      <c r="FD58" s="56" t="s">
        <v>1105</v>
      </c>
      <c r="FK58" s="56">
        <v>0</v>
      </c>
    </row>
    <row r="59" spans="1:167" x14ac:dyDescent="0.2">
      <c r="A59" s="56">
        <v>29015</v>
      </c>
      <c r="B59" s="56">
        <v>2</v>
      </c>
      <c r="C59" s="56">
        <v>6352</v>
      </c>
      <c r="D59" s="56" t="s">
        <v>634</v>
      </c>
      <c r="E59" s="56" t="s">
        <v>635</v>
      </c>
      <c r="K59" s="56" t="s">
        <v>1106</v>
      </c>
      <c r="L59" s="56" t="s">
        <v>637</v>
      </c>
      <c r="M59" s="56">
        <v>44931</v>
      </c>
      <c r="N59" s="56">
        <v>44933</v>
      </c>
      <c r="O59" s="56">
        <v>38</v>
      </c>
      <c r="P59" s="56" t="s">
        <v>638</v>
      </c>
      <c r="Q59" s="56">
        <v>2</v>
      </c>
      <c r="R59" s="56" t="s">
        <v>639</v>
      </c>
      <c r="S59" s="56" t="s">
        <v>893</v>
      </c>
      <c r="T59" s="56" t="s">
        <v>641</v>
      </c>
      <c r="U59" s="56" t="s">
        <v>735</v>
      </c>
      <c r="V59" s="56" t="s">
        <v>643</v>
      </c>
      <c r="W59" s="56">
        <v>48</v>
      </c>
      <c r="X59" s="56" t="s">
        <v>699</v>
      </c>
      <c r="Y59" s="56">
        <v>162</v>
      </c>
      <c r="Z59" s="56" t="s">
        <v>1030</v>
      </c>
      <c r="AA59" s="56" t="s">
        <v>1031</v>
      </c>
      <c r="AB59" s="56" t="s">
        <v>1032</v>
      </c>
      <c r="AC59" s="56" t="s">
        <v>641</v>
      </c>
      <c r="AD59" s="56" t="s">
        <v>893</v>
      </c>
      <c r="AE59" s="56">
        <v>91</v>
      </c>
      <c r="AF59" s="56" t="s">
        <v>736</v>
      </c>
      <c r="AG59" s="56" t="s">
        <v>737</v>
      </c>
      <c r="AH59" s="56" t="s">
        <v>643</v>
      </c>
      <c r="AI59" s="56" t="s">
        <v>735</v>
      </c>
      <c r="AJ59" s="56">
        <v>162</v>
      </c>
      <c r="AK59" s="56" t="s">
        <v>1030</v>
      </c>
      <c r="AL59" s="56">
        <v>98</v>
      </c>
      <c r="AM59" s="56" t="s">
        <v>645</v>
      </c>
      <c r="AN59" s="56" t="s">
        <v>646</v>
      </c>
      <c r="AO59" s="56" t="s">
        <v>647</v>
      </c>
      <c r="AP59" s="56" t="s">
        <v>643</v>
      </c>
      <c r="AQ59" s="56" t="s">
        <v>648</v>
      </c>
      <c r="AR59" s="56">
        <v>162</v>
      </c>
      <c r="AS59" s="56" t="s">
        <v>1030</v>
      </c>
      <c r="AT59" s="56" t="s">
        <v>1031</v>
      </c>
      <c r="AU59" s="56" t="s">
        <v>641</v>
      </c>
      <c r="AV59" s="56" t="s">
        <v>893</v>
      </c>
      <c r="AW59" s="56">
        <v>108</v>
      </c>
      <c r="AX59" s="56" t="s">
        <v>977</v>
      </c>
      <c r="AY59" s="56">
        <v>47</v>
      </c>
      <c r="AZ59" s="56" t="s">
        <v>32</v>
      </c>
      <c r="BA59" s="56" t="s">
        <v>978</v>
      </c>
      <c r="BB59" s="56" t="s">
        <v>770</v>
      </c>
      <c r="BC59" s="56">
        <v>38</v>
      </c>
      <c r="BD59" s="56" t="s">
        <v>289</v>
      </c>
      <c r="BE59" s="56" t="s">
        <v>771</v>
      </c>
      <c r="BF59" s="56">
        <v>2</v>
      </c>
      <c r="BG59" s="56" t="s">
        <v>289</v>
      </c>
      <c r="BH59" s="56" t="s">
        <v>772</v>
      </c>
      <c r="BI59" s="56">
        <v>46.54</v>
      </c>
      <c r="BJ59" s="56">
        <v>186262.39</v>
      </c>
      <c r="BK59" s="56">
        <v>46.54</v>
      </c>
      <c r="BL59" s="56" t="s">
        <v>1039</v>
      </c>
      <c r="BM59" s="56">
        <v>3105</v>
      </c>
      <c r="BN59" s="56" t="s">
        <v>724</v>
      </c>
      <c r="BO59" s="56" t="s">
        <v>725</v>
      </c>
      <c r="BP59" s="56">
        <v>5957.12</v>
      </c>
      <c r="BQ59" s="56">
        <v>5169.37</v>
      </c>
      <c r="BR59" s="56">
        <v>0</v>
      </c>
      <c r="BS59" s="56">
        <v>0</v>
      </c>
      <c r="BT59" s="56">
        <v>0</v>
      </c>
      <c r="BU59" s="56">
        <v>37075</v>
      </c>
      <c r="BV59" s="56">
        <v>162</v>
      </c>
      <c r="BW59" s="56" t="s">
        <v>1030</v>
      </c>
      <c r="BX59" s="56" t="s">
        <v>1107</v>
      </c>
      <c r="BY59" s="56" t="s">
        <v>663</v>
      </c>
      <c r="BZ59" s="56">
        <v>0.25</v>
      </c>
      <c r="CA59" s="56" t="s">
        <v>664</v>
      </c>
      <c r="CB59" s="56" t="s">
        <v>1041</v>
      </c>
      <c r="CD59" s="56" t="s">
        <v>667</v>
      </c>
      <c r="CG59" s="56">
        <v>0</v>
      </c>
      <c r="CH59" s="56">
        <v>128</v>
      </c>
      <c r="CJ59" s="56">
        <v>100</v>
      </c>
      <c r="CK59" s="56">
        <v>5169.37</v>
      </c>
      <c r="CL59" s="56">
        <v>0</v>
      </c>
      <c r="CN59" s="56">
        <v>714.85</v>
      </c>
      <c r="CO59" s="56">
        <v>714.85</v>
      </c>
      <c r="CP59" s="56">
        <v>72.900000000000006</v>
      </c>
      <c r="CQ59" s="56" t="s">
        <v>668</v>
      </c>
      <c r="CR59" s="56">
        <v>0</v>
      </c>
      <c r="CS59" s="56">
        <v>0</v>
      </c>
      <c r="CV59" s="56">
        <v>0</v>
      </c>
      <c r="CX59" s="56">
        <v>0</v>
      </c>
      <c r="CY59" s="56">
        <v>0</v>
      </c>
      <c r="CZ59" s="56">
        <v>478.16</v>
      </c>
      <c r="DA59" s="56">
        <v>478.16</v>
      </c>
      <c r="DB59" s="56">
        <v>0</v>
      </c>
      <c r="DC59" s="56">
        <v>4691.21</v>
      </c>
      <c r="DD59" s="56">
        <v>32</v>
      </c>
      <c r="DE59" s="56">
        <v>0</v>
      </c>
      <c r="DF59" s="56">
        <v>32</v>
      </c>
      <c r="DH59" s="56" t="s">
        <v>670</v>
      </c>
      <c r="DI59" s="56" t="s">
        <v>671</v>
      </c>
      <c r="DK59" s="56">
        <v>79.44</v>
      </c>
      <c r="DL59" s="56">
        <v>4732.1099999999997</v>
      </c>
      <c r="DM59" s="56">
        <v>9</v>
      </c>
      <c r="DN59" s="56">
        <v>4500914985</v>
      </c>
      <c r="DO59" s="56" t="s">
        <v>236</v>
      </c>
      <c r="DQ59" s="56" t="s">
        <v>674</v>
      </c>
      <c r="DR59" s="56">
        <v>3</v>
      </c>
      <c r="DW59" s="56">
        <v>280</v>
      </c>
      <c r="DX59" s="56" t="s">
        <v>678</v>
      </c>
      <c r="DY59" s="56" t="s">
        <v>679</v>
      </c>
      <c r="EL59" s="56">
        <v>25</v>
      </c>
      <c r="EM59" s="56">
        <v>15</v>
      </c>
      <c r="EN59" s="56">
        <v>4779</v>
      </c>
      <c r="EO59" s="56">
        <v>1805</v>
      </c>
      <c r="EP59" s="56">
        <v>6793</v>
      </c>
      <c r="EQ59" s="56" t="s">
        <v>1046</v>
      </c>
      <c r="ER59" s="56" t="s">
        <v>902</v>
      </c>
      <c r="ES59" s="56">
        <v>2</v>
      </c>
      <c r="ET59" s="56" t="s">
        <v>682</v>
      </c>
      <c r="EU59" s="56" t="s">
        <v>683</v>
      </c>
      <c r="EV59" s="56" t="s">
        <v>683</v>
      </c>
      <c r="FD59" s="56" t="s">
        <v>1108</v>
      </c>
      <c r="FK59" s="56">
        <v>0</v>
      </c>
    </row>
    <row r="60" spans="1:167" x14ac:dyDescent="0.2">
      <c r="A60" s="56">
        <v>29016</v>
      </c>
      <c r="B60" s="56">
        <v>2</v>
      </c>
      <c r="C60" s="56">
        <v>6352</v>
      </c>
      <c r="D60" s="56" t="s">
        <v>634</v>
      </c>
      <c r="E60" s="56" t="s">
        <v>635</v>
      </c>
      <c r="K60" s="56" t="s">
        <v>1109</v>
      </c>
      <c r="L60" s="56" t="s">
        <v>637</v>
      </c>
      <c r="M60" s="56">
        <v>44931</v>
      </c>
      <c r="N60" s="56">
        <v>44933</v>
      </c>
      <c r="O60" s="56">
        <v>38</v>
      </c>
      <c r="P60" s="56" t="s">
        <v>638</v>
      </c>
      <c r="Q60" s="56">
        <v>2</v>
      </c>
      <c r="R60" s="56" t="s">
        <v>639</v>
      </c>
      <c r="S60" s="56" t="s">
        <v>893</v>
      </c>
      <c r="T60" s="56" t="s">
        <v>641</v>
      </c>
      <c r="U60" s="56" t="s">
        <v>735</v>
      </c>
      <c r="V60" s="56" t="s">
        <v>643</v>
      </c>
      <c r="W60" s="56">
        <v>48</v>
      </c>
      <c r="X60" s="56" t="s">
        <v>699</v>
      </c>
      <c r="Y60" s="56">
        <v>162</v>
      </c>
      <c r="Z60" s="56" t="s">
        <v>1030</v>
      </c>
      <c r="AA60" s="56" t="s">
        <v>1031</v>
      </c>
      <c r="AB60" s="56" t="s">
        <v>1032</v>
      </c>
      <c r="AC60" s="56" t="s">
        <v>641</v>
      </c>
      <c r="AD60" s="56" t="s">
        <v>893</v>
      </c>
      <c r="AE60" s="56">
        <v>91</v>
      </c>
      <c r="AF60" s="56" t="s">
        <v>736</v>
      </c>
      <c r="AG60" s="56" t="s">
        <v>737</v>
      </c>
      <c r="AH60" s="56" t="s">
        <v>643</v>
      </c>
      <c r="AI60" s="56" t="s">
        <v>735</v>
      </c>
      <c r="AJ60" s="56">
        <v>162</v>
      </c>
      <c r="AK60" s="56" t="s">
        <v>1030</v>
      </c>
      <c r="AL60" s="56">
        <v>98</v>
      </c>
      <c r="AM60" s="56" t="s">
        <v>645</v>
      </c>
      <c r="AN60" s="56" t="s">
        <v>646</v>
      </c>
      <c r="AO60" s="56" t="s">
        <v>647</v>
      </c>
      <c r="AP60" s="56" t="s">
        <v>643</v>
      </c>
      <c r="AQ60" s="56" t="s">
        <v>648</v>
      </c>
      <c r="AR60" s="56">
        <v>162</v>
      </c>
      <c r="AS60" s="56" t="s">
        <v>1030</v>
      </c>
      <c r="AT60" s="56" t="s">
        <v>1031</v>
      </c>
      <c r="AU60" s="56" t="s">
        <v>641</v>
      </c>
      <c r="AV60" s="56" t="s">
        <v>893</v>
      </c>
      <c r="AW60" s="56">
        <v>107</v>
      </c>
      <c r="AX60" s="56" t="s">
        <v>1003</v>
      </c>
      <c r="AY60" s="56">
        <v>39</v>
      </c>
      <c r="AZ60" s="56" t="s">
        <v>27</v>
      </c>
      <c r="BA60" s="56" t="s">
        <v>1004</v>
      </c>
      <c r="BB60" s="56" t="s">
        <v>770</v>
      </c>
      <c r="BC60" s="56">
        <v>38</v>
      </c>
      <c r="BD60" s="56" t="s">
        <v>289</v>
      </c>
      <c r="BE60" s="56" t="s">
        <v>771</v>
      </c>
      <c r="BF60" s="56">
        <v>2</v>
      </c>
      <c r="BG60" s="56" t="s">
        <v>289</v>
      </c>
      <c r="BH60" s="56" t="s">
        <v>772</v>
      </c>
      <c r="BI60" s="56">
        <v>46.25</v>
      </c>
      <c r="BJ60" s="56">
        <v>179054.56</v>
      </c>
      <c r="BK60" s="56">
        <v>46.25</v>
      </c>
      <c r="BL60" s="56" t="s">
        <v>1110</v>
      </c>
      <c r="BM60" s="56">
        <v>3105</v>
      </c>
      <c r="BN60" s="56" t="s">
        <v>786</v>
      </c>
      <c r="BO60" s="56" t="s">
        <v>911</v>
      </c>
      <c r="BP60" s="56">
        <v>5920</v>
      </c>
      <c r="BQ60" s="56">
        <v>5136.7</v>
      </c>
      <c r="BR60" s="56">
        <v>0</v>
      </c>
      <c r="BS60" s="56">
        <v>0</v>
      </c>
      <c r="BT60" s="56">
        <v>0</v>
      </c>
      <c r="BU60" s="56">
        <v>37079</v>
      </c>
      <c r="BV60" s="56">
        <v>162</v>
      </c>
      <c r="BW60" s="56" t="s">
        <v>1030</v>
      </c>
      <c r="BX60" s="56" t="s">
        <v>1111</v>
      </c>
      <c r="BY60" s="56" t="s">
        <v>663</v>
      </c>
      <c r="BZ60" s="56">
        <v>0.25</v>
      </c>
      <c r="CA60" s="56" t="s">
        <v>664</v>
      </c>
      <c r="CB60" s="56" t="s">
        <v>1112</v>
      </c>
      <c r="CD60" s="56" t="s">
        <v>667</v>
      </c>
      <c r="CG60" s="56">
        <v>0</v>
      </c>
      <c r="CH60" s="56">
        <v>128</v>
      </c>
      <c r="CJ60" s="56">
        <v>100</v>
      </c>
      <c r="CK60" s="56">
        <v>5136.7</v>
      </c>
      <c r="CL60" s="56">
        <v>0</v>
      </c>
      <c r="CN60" s="56">
        <v>710.4</v>
      </c>
      <c r="CO60" s="56">
        <v>710.4</v>
      </c>
      <c r="CP60" s="56">
        <v>72.900000000000006</v>
      </c>
      <c r="CQ60" s="56" t="s">
        <v>668</v>
      </c>
      <c r="CR60" s="56">
        <v>0</v>
      </c>
      <c r="CS60" s="56">
        <v>0</v>
      </c>
      <c r="CV60" s="56">
        <v>0</v>
      </c>
      <c r="CX60" s="56">
        <v>0</v>
      </c>
      <c r="CY60" s="56">
        <v>0</v>
      </c>
      <c r="CZ60" s="56">
        <v>475.15</v>
      </c>
      <c r="DA60" s="56">
        <v>475.15</v>
      </c>
      <c r="DB60" s="56">
        <v>0</v>
      </c>
      <c r="DC60" s="56">
        <v>4661.55</v>
      </c>
      <c r="DD60" s="56">
        <v>30.76</v>
      </c>
      <c r="DE60" s="56">
        <v>0</v>
      </c>
      <c r="DF60" s="56">
        <v>30.76</v>
      </c>
      <c r="DH60" s="56" t="s">
        <v>670</v>
      </c>
      <c r="DI60" s="56" t="s">
        <v>671</v>
      </c>
      <c r="DK60" s="56">
        <v>79.45</v>
      </c>
      <c r="DL60" s="56">
        <v>4703.6899999999996</v>
      </c>
      <c r="DM60" s="56">
        <v>26</v>
      </c>
      <c r="DN60" s="56">
        <v>4500914986</v>
      </c>
      <c r="DO60" s="56" t="s">
        <v>236</v>
      </c>
      <c r="DQ60" s="56" t="s">
        <v>674</v>
      </c>
      <c r="DR60" s="56">
        <v>3</v>
      </c>
      <c r="DW60" s="56">
        <v>280</v>
      </c>
      <c r="DX60" s="56" t="s">
        <v>678</v>
      </c>
      <c r="DY60" s="56" t="s">
        <v>679</v>
      </c>
      <c r="EL60" s="56">
        <v>25</v>
      </c>
      <c r="EM60" s="56">
        <v>15</v>
      </c>
      <c r="EN60" s="56">
        <v>4779</v>
      </c>
      <c r="EO60" s="56">
        <v>1805</v>
      </c>
      <c r="EP60" s="56">
        <v>6793</v>
      </c>
      <c r="EQ60" s="56" t="s">
        <v>1113</v>
      </c>
      <c r="ER60" s="56" t="s">
        <v>902</v>
      </c>
      <c r="ES60" s="56">
        <v>2</v>
      </c>
      <c r="ET60" s="56" t="s">
        <v>682</v>
      </c>
      <c r="EU60" s="56" t="s">
        <v>683</v>
      </c>
      <c r="EV60" s="56" t="s">
        <v>683</v>
      </c>
      <c r="FD60" s="56" t="s">
        <v>1114</v>
      </c>
      <c r="FK60" s="56">
        <v>0</v>
      </c>
    </row>
    <row r="61" spans="1:167" x14ac:dyDescent="0.2">
      <c r="A61" s="56">
        <v>29017</v>
      </c>
      <c r="B61" s="56">
        <v>2</v>
      </c>
      <c r="C61" s="56">
        <v>6352</v>
      </c>
      <c r="D61" s="56" t="s">
        <v>634</v>
      </c>
      <c r="E61" s="56" t="s">
        <v>635</v>
      </c>
      <c r="K61" s="56" t="s">
        <v>1115</v>
      </c>
      <c r="L61" s="56" t="s">
        <v>637</v>
      </c>
      <c r="M61" s="56">
        <v>44931</v>
      </c>
      <c r="N61" s="56">
        <v>44933</v>
      </c>
      <c r="O61" s="56">
        <v>38</v>
      </c>
      <c r="P61" s="56" t="s">
        <v>638</v>
      </c>
      <c r="Q61" s="56">
        <v>2</v>
      </c>
      <c r="R61" s="56" t="s">
        <v>639</v>
      </c>
      <c r="S61" s="56" t="s">
        <v>893</v>
      </c>
      <c r="T61" s="56" t="s">
        <v>641</v>
      </c>
      <c r="U61" s="56" t="s">
        <v>735</v>
      </c>
      <c r="V61" s="56" t="s">
        <v>643</v>
      </c>
      <c r="W61" s="56">
        <v>48</v>
      </c>
      <c r="X61" s="56" t="s">
        <v>699</v>
      </c>
      <c r="Y61" s="56">
        <v>162</v>
      </c>
      <c r="Z61" s="56" t="s">
        <v>1030</v>
      </c>
      <c r="AA61" s="56" t="s">
        <v>1031</v>
      </c>
      <c r="AB61" s="56" t="s">
        <v>1032</v>
      </c>
      <c r="AC61" s="56" t="s">
        <v>641</v>
      </c>
      <c r="AD61" s="56" t="s">
        <v>893</v>
      </c>
      <c r="AE61" s="56">
        <v>91</v>
      </c>
      <c r="AF61" s="56" t="s">
        <v>736</v>
      </c>
      <c r="AG61" s="56" t="s">
        <v>737</v>
      </c>
      <c r="AH61" s="56" t="s">
        <v>643</v>
      </c>
      <c r="AI61" s="56" t="s">
        <v>735</v>
      </c>
      <c r="AJ61" s="56">
        <v>162</v>
      </c>
      <c r="AK61" s="56" t="s">
        <v>1030</v>
      </c>
      <c r="AL61" s="56">
        <v>98</v>
      </c>
      <c r="AM61" s="56" t="s">
        <v>645</v>
      </c>
      <c r="AN61" s="56" t="s">
        <v>646</v>
      </c>
      <c r="AO61" s="56" t="s">
        <v>647</v>
      </c>
      <c r="AP61" s="56" t="s">
        <v>643</v>
      </c>
      <c r="AQ61" s="56" t="s">
        <v>648</v>
      </c>
      <c r="AR61" s="56">
        <v>162</v>
      </c>
      <c r="AS61" s="56" t="s">
        <v>1030</v>
      </c>
      <c r="AT61" s="56" t="s">
        <v>1031</v>
      </c>
      <c r="AU61" s="56" t="s">
        <v>641</v>
      </c>
      <c r="AV61" s="56" t="s">
        <v>893</v>
      </c>
      <c r="AW61" s="56">
        <v>110</v>
      </c>
      <c r="AX61" s="56" t="s">
        <v>864</v>
      </c>
      <c r="AY61" s="56">
        <v>68</v>
      </c>
      <c r="AZ61" s="56" t="s">
        <v>25</v>
      </c>
      <c r="BA61" s="56" t="s">
        <v>865</v>
      </c>
      <c r="BB61" s="56" t="s">
        <v>844</v>
      </c>
      <c r="BC61" s="56">
        <v>2</v>
      </c>
      <c r="BD61" s="56" t="s">
        <v>289</v>
      </c>
      <c r="BE61" s="56" t="s">
        <v>772</v>
      </c>
      <c r="BF61" s="56">
        <v>2</v>
      </c>
      <c r="BG61" s="56" t="s">
        <v>289</v>
      </c>
      <c r="BH61" s="56" t="s">
        <v>772</v>
      </c>
      <c r="BI61" s="56">
        <v>48.22</v>
      </c>
      <c r="BJ61" s="56">
        <v>186681.32</v>
      </c>
      <c r="BK61" s="56">
        <v>48.22</v>
      </c>
      <c r="BL61" s="56" t="s">
        <v>1110</v>
      </c>
      <c r="BM61" s="56">
        <v>3105</v>
      </c>
      <c r="BN61" s="56" t="s">
        <v>660</v>
      </c>
      <c r="BO61" s="56" t="s">
        <v>866</v>
      </c>
      <c r="BP61" s="56">
        <v>6172.16</v>
      </c>
      <c r="BQ61" s="56">
        <v>5358.6</v>
      </c>
      <c r="BR61" s="56">
        <v>0</v>
      </c>
      <c r="BS61" s="56">
        <v>0</v>
      </c>
      <c r="BT61" s="56">
        <v>0</v>
      </c>
      <c r="BU61" s="56">
        <v>37083</v>
      </c>
      <c r="BV61" s="56">
        <v>162</v>
      </c>
      <c r="BW61" s="56" t="s">
        <v>1030</v>
      </c>
      <c r="BX61" s="56" t="s">
        <v>1116</v>
      </c>
      <c r="BY61" s="56" t="s">
        <v>663</v>
      </c>
      <c r="BZ61" s="56">
        <v>0.25</v>
      </c>
      <c r="CA61" s="56" t="s">
        <v>664</v>
      </c>
      <c r="CB61" s="56" t="s">
        <v>1117</v>
      </c>
      <c r="CD61" s="56" t="s">
        <v>667</v>
      </c>
      <c r="CG61" s="56">
        <v>0</v>
      </c>
      <c r="CH61" s="56">
        <v>128</v>
      </c>
      <c r="CJ61" s="56">
        <v>100</v>
      </c>
      <c r="CK61" s="56">
        <v>5358.6</v>
      </c>
      <c r="CL61" s="56">
        <v>0</v>
      </c>
      <c r="CN61" s="56">
        <v>740.66</v>
      </c>
      <c r="CO61" s="56">
        <v>740.66</v>
      </c>
      <c r="CP61" s="56">
        <v>72.900000000000006</v>
      </c>
      <c r="CQ61" s="56" t="s">
        <v>668</v>
      </c>
      <c r="CR61" s="56">
        <v>0</v>
      </c>
      <c r="CS61" s="56">
        <v>0</v>
      </c>
      <c r="CV61" s="56">
        <v>0</v>
      </c>
      <c r="CX61" s="56">
        <v>0</v>
      </c>
      <c r="CY61" s="56">
        <v>0</v>
      </c>
      <c r="CZ61" s="56">
        <v>495.67</v>
      </c>
      <c r="DA61" s="56">
        <v>495.67</v>
      </c>
      <c r="DB61" s="56">
        <v>0</v>
      </c>
      <c r="DC61" s="56">
        <v>4862.93</v>
      </c>
      <c r="DD61" s="56">
        <v>32.07</v>
      </c>
      <c r="DE61" s="56">
        <v>0</v>
      </c>
      <c r="DF61" s="56">
        <v>32.07</v>
      </c>
      <c r="DH61" s="56" t="s">
        <v>670</v>
      </c>
      <c r="DI61" s="56" t="s">
        <v>671</v>
      </c>
      <c r="DK61" s="56">
        <v>79.45</v>
      </c>
      <c r="DL61" s="56">
        <v>4903.76</v>
      </c>
      <c r="DM61" s="56">
        <v>26</v>
      </c>
      <c r="DN61" s="56">
        <v>4500914986</v>
      </c>
      <c r="DO61" s="56" t="s">
        <v>236</v>
      </c>
      <c r="DQ61" s="56" t="s">
        <v>674</v>
      </c>
      <c r="DR61" s="56">
        <v>3</v>
      </c>
      <c r="DX61" s="56" t="s">
        <v>678</v>
      </c>
      <c r="DY61" s="56" t="s">
        <v>679</v>
      </c>
      <c r="EL61" s="56">
        <v>25</v>
      </c>
      <c r="EM61" s="56">
        <v>15</v>
      </c>
      <c r="EN61" s="56">
        <v>4779</v>
      </c>
      <c r="EO61" s="56">
        <v>1805</v>
      </c>
      <c r="EP61" s="56">
        <v>6793</v>
      </c>
      <c r="EQ61" s="56" t="s">
        <v>1113</v>
      </c>
      <c r="ER61" s="56" t="s">
        <v>902</v>
      </c>
      <c r="ES61" s="56">
        <v>2</v>
      </c>
      <c r="ET61" s="56" t="s">
        <v>682</v>
      </c>
      <c r="EU61" s="56" t="s">
        <v>683</v>
      </c>
      <c r="EV61" s="56" t="s">
        <v>683</v>
      </c>
      <c r="FD61" s="56" t="s">
        <v>1118</v>
      </c>
      <c r="FK61" s="56">
        <v>0</v>
      </c>
    </row>
    <row r="62" spans="1:167" x14ac:dyDescent="0.2">
      <c r="A62" s="56">
        <v>29018</v>
      </c>
      <c r="B62" s="56">
        <v>2</v>
      </c>
      <c r="C62" s="56">
        <v>6352</v>
      </c>
      <c r="D62" s="56" t="s">
        <v>634</v>
      </c>
      <c r="E62" s="56" t="s">
        <v>635</v>
      </c>
      <c r="K62" s="56" t="s">
        <v>1119</v>
      </c>
      <c r="L62" s="56" t="s">
        <v>637</v>
      </c>
      <c r="M62" s="56">
        <v>44931</v>
      </c>
      <c r="N62" s="56">
        <v>44933</v>
      </c>
      <c r="O62" s="56">
        <v>38</v>
      </c>
      <c r="P62" s="56" t="s">
        <v>638</v>
      </c>
      <c r="Q62" s="56">
        <v>2</v>
      </c>
      <c r="R62" s="56" t="s">
        <v>639</v>
      </c>
      <c r="S62" s="56" t="s">
        <v>893</v>
      </c>
      <c r="T62" s="56" t="s">
        <v>641</v>
      </c>
      <c r="U62" s="56" t="s">
        <v>735</v>
      </c>
      <c r="V62" s="56" t="s">
        <v>643</v>
      </c>
      <c r="W62" s="56">
        <v>48</v>
      </c>
      <c r="X62" s="56" t="s">
        <v>699</v>
      </c>
      <c r="Y62" s="56">
        <v>162</v>
      </c>
      <c r="Z62" s="56" t="s">
        <v>1030</v>
      </c>
      <c r="AA62" s="56" t="s">
        <v>1031</v>
      </c>
      <c r="AB62" s="56" t="s">
        <v>1032</v>
      </c>
      <c r="AC62" s="56" t="s">
        <v>641</v>
      </c>
      <c r="AD62" s="56" t="s">
        <v>893</v>
      </c>
      <c r="AE62" s="56">
        <v>91</v>
      </c>
      <c r="AF62" s="56" t="s">
        <v>736</v>
      </c>
      <c r="AG62" s="56" t="s">
        <v>737</v>
      </c>
      <c r="AH62" s="56" t="s">
        <v>643</v>
      </c>
      <c r="AI62" s="56" t="s">
        <v>735</v>
      </c>
      <c r="AJ62" s="56">
        <v>162</v>
      </c>
      <c r="AK62" s="56" t="s">
        <v>1030</v>
      </c>
      <c r="AL62" s="56">
        <v>98</v>
      </c>
      <c r="AM62" s="56" t="s">
        <v>645</v>
      </c>
      <c r="AN62" s="56" t="s">
        <v>646</v>
      </c>
      <c r="AO62" s="56" t="s">
        <v>647</v>
      </c>
      <c r="AP62" s="56" t="s">
        <v>643</v>
      </c>
      <c r="AQ62" s="56" t="s">
        <v>648</v>
      </c>
      <c r="AR62" s="56">
        <v>162</v>
      </c>
      <c r="AS62" s="56" t="s">
        <v>1030</v>
      </c>
      <c r="AT62" s="56" t="s">
        <v>1031</v>
      </c>
      <c r="AU62" s="56" t="s">
        <v>641</v>
      </c>
      <c r="AV62" s="56" t="s">
        <v>893</v>
      </c>
      <c r="AW62" s="56">
        <v>50</v>
      </c>
      <c r="AX62" s="56" t="s">
        <v>881</v>
      </c>
      <c r="AY62" s="56">
        <v>77</v>
      </c>
      <c r="AZ62" s="56" t="s">
        <v>131</v>
      </c>
      <c r="BA62" s="56" t="s">
        <v>882</v>
      </c>
      <c r="BB62" s="56" t="s">
        <v>770</v>
      </c>
      <c r="BC62" s="56">
        <v>38</v>
      </c>
      <c r="BD62" s="56" t="s">
        <v>289</v>
      </c>
      <c r="BE62" s="56" t="s">
        <v>771</v>
      </c>
      <c r="BF62" s="56">
        <v>2</v>
      </c>
      <c r="BG62" s="56" t="s">
        <v>289</v>
      </c>
      <c r="BH62" s="56" t="s">
        <v>772</v>
      </c>
      <c r="BI62" s="56">
        <v>46.46</v>
      </c>
      <c r="BJ62" s="56">
        <v>179867.57</v>
      </c>
      <c r="BK62" s="56">
        <v>46.46</v>
      </c>
      <c r="BL62" s="56" t="s">
        <v>1110</v>
      </c>
      <c r="BM62" s="56">
        <v>3105</v>
      </c>
      <c r="BN62" s="56" t="s">
        <v>786</v>
      </c>
      <c r="BO62" s="56" t="s">
        <v>883</v>
      </c>
      <c r="BP62" s="56">
        <v>5946.88</v>
      </c>
      <c r="BQ62" s="56">
        <v>5160.3500000000004</v>
      </c>
      <c r="BR62" s="56">
        <v>0</v>
      </c>
      <c r="BS62" s="56">
        <v>0</v>
      </c>
      <c r="BT62" s="56">
        <v>0</v>
      </c>
      <c r="BU62" s="56">
        <v>37089</v>
      </c>
      <c r="BV62" s="56">
        <v>162</v>
      </c>
      <c r="BW62" s="56" t="s">
        <v>1030</v>
      </c>
      <c r="BX62" s="56" t="s">
        <v>1120</v>
      </c>
      <c r="BY62" s="56" t="s">
        <v>663</v>
      </c>
      <c r="BZ62" s="56">
        <v>0.25</v>
      </c>
      <c r="CA62" s="56" t="s">
        <v>664</v>
      </c>
      <c r="CB62" s="56" t="s">
        <v>1117</v>
      </c>
      <c r="CD62" s="56" t="s">
        <v>667</v>
      </c>
      <c r="CG62" s="56">
        <v>0</v>
      </c>
      <c r="CH62" s="56">
        <v>128</v>
      </c>
      <c r="CJ62" s="56">
        <v>100</v>
      </c>
      <c r="CK62" s="56">
        <v>5160.3500000000004</v>
      </c>
      <c r="CL62" s="56">
        <v>0</v>
      </c>
      <c r="CN62" s="56">
        <v>713.63</v>
      </c>
      <c r="CO62" s="56">
        <v>713.63</v>
      </c>
      <c r="CP62" s="56">
        <v>72.900000000000006</v>
      </c>
      <c r="CQ62" s="56" t="s">
        <v>668</v>
      </c>
      <c r="CR62" s="56">
        <v>0</v>
      </c>
      <c r="CS62" s="56">
        <v>0</v>
      </c>
      <c r="CV62" s="56">
        <v>0</v>
      </c>
      <c r="CX62" s="56">
        <v>0</v>
      </c>
      <c r="CY62" s="56">
        <v>0</v>
      </c>
      <c r="CZ62" s="56">
        <v>477.34</v>
      </c>
      <c r="DA62" s="56">
        <v>477.34</v>
      </c>
      <c r="DB62" s="56">
        <v>0</v>
      </c>
      <c r="DC62" s="56">
        <v>4683.01</v>
      </c>
      <c r="DD62" s="56">
        <v>30.9</v>
      </c>
      <c r="DE62" s="56">
        <v>0</v>
      </c>
      <c r="DF62" s="56">
        <v>30.9</v>
      </c>
      <c r="DH62" s="56" t="s">
        <v>670</v>
      </c>
      <c r="DI62" s="56" t="s">
        <v>671</v>
      </c>
      <c r="DK62" s="56">
        <v>79.45</v>
      </c>
      <c r="DL62" s="56">
        <v>4725.01</v>
      </c>
      <c r="DM62" s="56">
        <v>26</v>
      </c>
      <c r="DN62" s="56">
        <v>4500914986</v>
      </c>
      <c r="DO62" s="56" t="s">
        <v>236</v>
      </c>
      <c r="DQ62" s="56" t="s">
        <v>674</v>
      </c>
      <c r="DR62" s="56">
        <v>3</v>
      </c>
      <c r="DW62" s="56">
        <v>280</v>
      </c>
      <c r="DX62" s="56" t="s">
        <v>678</v>
      </c>
      <c r="DY62" s="56" t="s">
        <v>679</v>
      </c>
      <c r="EL62" s="56">
        <v>25</v>
      </c>
      <c r="EM62" s="56">
        <v>15</v>
      </c>
      <c r="EN62" s="56">
        <v>4779</v>
      </c>
      <c r="EO62" s="56">
        <v>1805</v>
      </c>
      <c r="EP62" s="56">
        <v>6793</v>
      </c>
      <c r="EQ62" s="56" t="s">
        <v>1113</v>
      </c>
      <c r="ER62" s="56" t="s">
        <v>902</v>
      </c>
      <c r="ES62" s="56">
        <v>2</v>
      </c>
      <c r="ET62" s="56" t="s">
        <v>682</v>
      </c>
      <c r="EU62" s="56" t="s">
        <v>683</v>
      </c>
      <c r="EV62" s="56" t="s">
        <v>683</v>
      </c>
      <c r="FD62" s="56" t="s">
        <v>1121</v>
      </c>
      <c r="FK62" s="56">
        <v>0</v>
      </c>
    </row>
    <row r="63" spans="1:167" x14ac:dyDescent="0.2">
      <c r="A63" s="56">
        <v>29019</v>
      </c>
      <c r="B63" s="56">
        <v>2</v>
      </c>
      <c r="C63" s="56">
        <v>6352</v>
      </c>
      <c r="D63" s="56" t="s">
        <v>634</v>
      </c>
      <c r="E63" s="56" t="s">
        <v>635</v>
      </c>
      <c r="K63" s="56" t="s">
        <v>1122</v>
      </c>
      <c r="L63" s="56" t="s">
        <v>637</v>
      </c>
      <c r="M63" s="56">
        <v>44931</v>
      </c>
      <c r="N63" s="56">
        <v>44933</v>
      </c>
      <c r="O63" s="56">
        <v>38</v>
      </c>
      <c r="P63" s="56" t="s">
        <v>638</v>
      </c>
      <c r="Q63" s="56">
        <v>2</v>
      </c>
      <c r="R63" s="56" t="s">
        <v>639</v>
      </c>
      <c r="S63" s="56" t="s">
        <v>893</v>
      </c>
      <c r="T63" s="56" t="s">
        <v>641</v>
      </c>
      <c r="U63" s="56" t="s">
        <v>735</v>
      </c>
      <c r="V63" s="56" t="s">
        <v>643</v>
      </c>
      <c r="W63" s="56">
        <v>48</v>
      </c>
      <c r="X63" s="56" t="s">
        <v>699</v>
      </c>
      <c r="Y63" s="56">
        <v>162</v>
      </c>
      <c r="Z63" s="56" t="s">
        <v>1030</v>
      </c>
      <c r="AA63" s="56" t="s">
        <v>1031</v>
      </c>
      <c r="AB63" s="56" t="s">
        <v>1032</v>
      </c>
      <c r="AC63" s="56" t="s">
        <v>641</v>
      </c>
      <c r="AD63" s="56" t="s">
        <v>893</v>
      </c>
      <c r="AE63" s="56">
        <v>91</v>
      </c>
      <c r="AF63" s="56" t="s">
        <v>736</v>
      </c>
      <c r="AG63" s="56" t="s">
        <v>737</v>
      </c>
      <c r="AH63" s="56" t="s">
        <v>643</v>
      </c>
      <c r="AI63" s="56" t="s">
        <v>735</v>
      </c>
      <c r="AJ63" s="56">
        <v>162</v>
      </c>
      <c r="AK63" s="56" t="s">
        <v>1030</v>
      </c>
      <c r="AL63" s="56">
        <v>98</v>
      </c>
      <c r="AM63" s="56" t="s">
        <v>645</v>
      </c>
      <c r="AN63" s="56" t="s">
        <v>646</v>
      </c>
      <c r="AO63" s="56" t="s">
        <v>647</v>
      </c>
      <c r="AP63" s="56" t="s">
        <v>643</v>
      </c>
      <c r="AQ63" s="56" t="s">
        <v>648</v>
      </c>
      <c r="AR63" s="56">
        <v>162</v>
      </c>
      <c r="AS63" s="56" t="s">
        <v>1030</v>
      </c>
      <c r="AT63" s="56" t="s">
        <v>1031</v>
      </c>
      <c r="AU63" s="56" t="s">
        <v>641</v>
      </c>
      <c r="AV63" s="56" t="s">
        <v>893</v>
      </c>
      <c r="AW63" s="56">
        <v>120</v>
      </c>
      <c r="AX63" s="56" t="s">
        <v>836</v>
      </c>
      <c r="AY63" s="56">
        <v>7</v>
      </c>
      <c r="AZ63" s="56" t="s">
        <v>128</v>
      </c>
      <c r="BA63" s="56" t="s">
        <v>837</v>
      </c>
      <c r="BB63" s="56" t="s">
        <v>770</v>
      </c>
      <c r="BC63" s="56">
        <v>38</v>
      </c>
      <c r="BD63" s="56" t="s">
        <v>289</v>
      </c>
      <c r="BE63" s="56" t="s">
        <v>771</v>
      </c>
      <c r="BF63" s="56">
        <v>2</v>
      </c>
      <c r="BG63" s="56" t="s">
        <v>289</v>
      </c>
      <c r="BH63" s="56" t="s">
        <v>772</v>
      </c>
      <c r="BI63" s="56">
        <v>46.48</v>
      </c>
      <c r="BJ63" s="56">
        <v>179944.99</v>
      </c>
      <c r="BK63" s="56">
        <v>46.48</v>
      </c>
      <c r="BL63" s="56" t="s">
        <v>1110</v>
      </c>
      <c r="BM63" s="56">
        <v>3105</v>
      </c>
      <c r="BN63" s="56" t="s">
        <v>724</v>
      </c>
      <c r="BO63" s="56" t="s">
        <v>725</v>
      </c>
      <c r="BP63" s="56">
        <v>5949.44</v>
      </c>
      <c r="BQ63" s="56">
        <v>5162.6099999999997</v>
      </c>
      <c r="BR63" s="56">
        <v>0</v>
      </c>
      <c r="BS63" s="56">
        <v>0</v>
      </c>
      <c r="BT63" s="56">
        <v>0</v>
      </c>
      <c r="BU63" s="56">
        <v>37099</v>
      </c>
      <c r="BV63" s="56">
        <v>162</v>
      </c>
      <c r="BW63" s="56" t="s">
        <v>1030</v>
      </c>
      <c r="BX63" s="56" t="s">
        <v>1123</v>
      </c>
      <c r="BY63" s="56" t="s">
        <v>663</v>
      </c>
      <c r="BZ63" s="56">
        <v>0.25</v>
      </c>
      <c r="CA63" s="56" t="s">
        <v>664</v>
      </c>
      <c r="CB63" s="56" t="s">
        <v>1112</v>
      </c>
      <c r="CD63" s="56" t="s">
        <v>667</v>
      </c>
      <c r="CG63" s="56">
        <v>0</v>
      </c>
      <c r="CH63" s="56">
        <v>128</v>
      </c>
      <c r="CJ63" s="56">
        <v>100</v>
      </c>
      <c r="CK63" s="56">
        <v>5162.6099999999997</v>
      </c>
      <c r="CL63" s="56">
        <v>0</v>
      </c>
      <c r="CN63" s="56">
        <v>713.93</v>
      </c>
      <c r="CO63" s="56">
        <v>713.93</v>
      </c>
      <c r="CP63" s="56">
        <v>72.900000000000006</v>
      </c>
      <c r="CQ63" s="56" t="s">
        <v>668</v>
      </c>
      <c r="CR63" s="56">
        <v>0</v>
      </c>
      <c r="CS63" s="56">
        <v>0</v>
      </c>
      <c r="CV63" s="56">
        <v>0</v>
      </c>
      <c r="CX63" s="56">
        <v>0</v>
      </c>
      <c r="CY63" s="56">
        <v>0</v>
      </c>
      <c r="CZ63" s="56">
        <v>477.54</v>
      </c>
      <c r="DA63" s="56">
        <v>477.54</v>
      </c>
      <c r="DB63" s="56">
        <v>0</v>
      </c>
      <c r="DC63" s="56">
        <v>4685.07</v>
      </c>
      <c r="DD63" s="56">
        <v>30.92</v>
      </c>
      <c r="DE63" s="56">
        <v>0</v>
      </c>
      <c r="DF63" s="56">
        <v>30.92</v>
      </c>
      <c r="DH63" s="56" t="s">
        <v>670</v>
      </c>
      <c r="DI63" s="56" t="s">
        <v>671</v>
      </c>
      <c r="DK63" s="56">
        <v>79.45</v>
      </c>
      <c r="DL63" s="56">
        <v>4727.05</v>
      </c>
      <c r="DM63" s="56">
        <v>26</v>
      </c>
      <c r="DN63" s="56">
        <v>4500914986</v>
      </c>
      <c r="DO63" s="56" t="s">
        <v>236</v>
      </c>
      <c r="DQ63" s="56" t="s">
        <v>674</v>
      </c>
      <c r="DR63" s="56">
        <v>3</v>
      </c>
      <c r="DW63" s="56">
        <v>280</v>
      </c>
      <c r="DX63" s="56" t="s">
        <v>678</v>
      </c>
      <c r="DY63" s="56" t="s">
        <v>679</v>
      </c>
      <c r="EL63" s="56">
        <v>25</v>
      </c>
      <c r="EM63" s="56">
        <v>15</v>
      </c>
      <c r="EN63" s="56">
        <v>4779</v>
      </c>
      <c r="EO63" s="56">
        <v>1805</v>
      </c>
      <c r="EP63" s="56">
        <v>6793</v>
      </c>
      <c r="EQ63" s="56" t="s">
        <v>1113</v>
      </c>
      <c r="ER63" s="56" t="s">
        <v>902</v>
      </c>
      <c r="ES63" s="56">
        <v>2</v>
      </c>
      <c r="ET63" s="56" t="s">
        <v>682</v>
      </c>
      <c r="EU63" s="56" t="s">
        <v>683</v>
      </c>
      <c r="EV63" s="56" t="s">
        <v>683</v>
      </c>
      <c r="FD63" s="56" t="s">
        <v>1124</v>
      </c>
      <c r="FK63" s="56">
        <v>0</v>
      </c>
    </row>
    <row r="64" spans="1:167" x14ac:dyDescent="0.2">
      <c r="A64" s="56">
        <v>29720</v>
      </c>
      <c r="B64" s="56">
        <v>1</v>
      </c>
      <c r="C64" s="56">
        <v>6351</v>
      </c>
      <c r="D64" s="56" t="s">
        <v>634</v>
      </c>
      <c r="E64" s="56" t="s">
        <v>635</v>
      </c>
      <c r="K64" s="56" t="s">
        <v>1125</v>
      </c>
      <c r="L64" s="56" t="s">
        <v>637</v>
      </c>
      <c r="M64" s="56">
        <v>44931</v>
      </c>
      <c r="N64" s="56">
        <v>44933</v>
      </c>
      <c r="O64" s="56">
        <v>2</v>
      </c>
      <c r="P64" s="56" t="s">
        <v>682</v>
      </c>
      <c r="Q64" s="56">
        <v>1</v>
      </c>
      <c r="R64" s="56" t="s">
        <v>809</v>
      </c>
      <c r="S64" s="56" t="s">
        <v>810</v>
      </c>
      <c r="T64" s="56" t="s">
        <v>643</v>
      </c>
      <c r="U64" s="56" t="s">
        <v>640</v>
      </c>
      <c r="V64" s="56" t="s">
        <v>641</v>
      </c>
      <c r="W64" s="56">
        <v>46</v>
      </c>
      <c r="X64" s="56" t="s">
        <v>811</v>
      </c>
      <c r="Y64" s="56">
        <v>465</v>
      </c>
      <c r="Z64" s="56" t="s">
        <v>812</v>
      </c>
      <c r="AA64" s="56" t="s">
        <v>813</v>
      </c>
      <c r="AB64" s="56" t="s">
        <v>814</v>
      </c>
      <c r="AC64" s="56" t="s">
        <v>643</v>
      </c>
      <c r="AD64" s="56" t="s">
        <v>815</v>
      </c>
      <c r="AE64" s="56">
        <v>255</v>
      </c>
      <c r="AF64" s="56" t="s">
        <v>816</v>
      </c>
      <c r="AG64" s="56" t="s">
        <v>817</v>
      </c>
      <c r="AH64" s="56" t="s">
        <v>641</v>
      </c>
      <c r="AI64" s="56" t="s">
        <v>640</v>
      </c>
      <c r="AJ64" s="56">
        <v>1169</v>
      </c>
      <c r="AK64" s="56" t="s">
        <v>818</v>
      </c>
      <c r="AL64" s="56">
        <v>985</v>
      </c>
      <c r="AM64" s="56" t="s">
        <v>819</v>
      </c>
      <c r="AN64" s="56" t="s">
        <v>820</v>
      </c>
      <c r="AO64" s="56" t="s">
        <v>821</v>
      </c>
      <c r="AP64" s="56" t="s">
        <v>641</v>
      </c>
      <c r="AQ64" s="56" t="s">
        <v>822</v>
      </c>
      <c r="AR64" s="56">
        <v>1168</v>
      </c>
      <c r="AS64" s="56" t="s">
        <v>823</v>
      </c>
      <c r="AT64" s="56" t="s">
        <v>824</v>
      </c>
      <c r="AU64" s="56" t="s">
        <v>643</v>
      </c>
      <c r="AV64" s="56" t="s">
        <v>825</v>
      </c>
      <c r="AW64" s="56">
        <v>107</v>
      </c>
      <c r="AX64" s="56" t="s">
        <v>1003</v>
      </c>
      <c r="AY64" s="56">
        <v>39</v>
      </c>
      <c r="AZ64" s="56" t="s">
        <v>27</v>
      </c>
      <c r="BA64" s="56" t="s">
        <v>1004</v>
      </c>
      <c r="BB64" s="56" t="s">
        <v>770</v>
      </c>
      <c r="BC64" s="56">
        <v>38</v>
      </c>
      <c r="BD64" s="56" t="s">
        <v>289</v>
      </c>
      <c r="BE64" s="56" t="s">
        <v>771</v>
      </c>
      <c r="BF64" s="56">
        <v>2</v>
      </c>
      <c r="BG64" s="56" t="s">
        <v>289</v>
      </c>
      <c r="BH64" s="56" t="s">
        <v>772</v>
      </c>
      <c r="BI64" s="56">
        <v>48.21</v>
      </c>
      <c r="BJ64" s="56">
        <v>75127.25</v>
      </c>
      <c r="BK64" s="56">
        <v>48210</v>
      </c>
      <c r="BL64" s="56" t="s">
        <v>828</v>
      </c>
      <c r="BM64" s="56">
        <v>1005</v>
      </c>
      <c r="BN64" s="56" t="s">
        <v>786</v>
      </c>
      <c r="BO64" s="56" t="s">
        <v>911</v>
      </c>
      <c r="BP64" s="56">
        <v>8373.66</v>
      </c>
      <c r="BQ64" s="56">
        <v>8018.16</v>
      </c>
      <c r="BR64" s="56">
        <v>0</v>
      </c>
      <c r="BS64" s="56">
        <v>0</v>
      </c>
      <c r="BT64" s="56">
        <v>0</v>
      </c>
      <c r="BU64" s="56">
        <v>43272</v>
      </c>
      <c r="BV64" s="56">
        <v>1168</v>
      </c>
      <c r="BW64" s="56" t="s">
        <v>823</v>
      </c>
      <c r="BX64" s="56" t="s">
        <v>1126</v>
      </c>
      <c r="BY64" s="56" t="s">
        <v>663</v>
      </c>
      <c r="BZ64" s="56">
        <v>0.25</v>
      </c>
      <c r="CA64" s="56" t="s">
        <v>664</v>
      </c>
      <c r="CB64" s="56" t="s">
        <v>830</v>
      </c>
      <c r="CD64" s="56" t="s">
        <v>667</v>
      </c>
      <c r="CG64" s="56">
        <v>0</v>
      </c>
      <c r="CH64" s="56">
        <v>8373.66</v>
      </c>
      <c r="CJ64" s="56">
        <v>100</v>
      </c>
      <c r="CK64" s="56">
        <v>8018.16</v>
      </c>
      <c r="CL64" s="56">
        <v>0</v>
      </c>
      <c r="CN64" s="56">
        <v>0</v>
      </c>
      <c r="CO64" s="56">
        <v>0</v>
      </c>
      <c r="CP64" s="56">
        <v>355.5</v>
      </c>
      <c r="CQ64" s="56" t="s">
        <v>668</v>
      </c>
      <c r="CR64" s="56">
        <v>0</v>
      </c>
      <c r="CS64" s="56">
        <v>0</v>
      </c>
      <c r="CV64" s="56">
        <v>0</v>
      </c>
      <c r="CX64" s="56">
        <v>0</v>
      </c>
      <c r="CY64" s="56">
        <v>0</v>
      </c>
      <c r="CZ64" s="56">
        <v>741.68</v>
      </c>
      <c r="DA64" s="56">
        <v>741.68</v>
      </c>
      <c r="DB64" s="56">
        <v>0</v>
      </c>
      <c r="DC64" s="56">
        <v>7276.48</v>
      </c>
      <c r="DD64" s="56">
        <v>0</v>
      </c>
      <c r="DE64" s="56">
        <v>0</v>
      </c>
      <c r="DF64" s="56">
        <v>0</v>
      </c>
      <c r="DH64" s="56" t="s">
        <v>831</v>
      </c>
      <c r="DI64" s="56" t="s">
        <v>671</v>
      </c>
      <c r="DK64" s="56">
        <v>91.14</v>
      </c>
      <c r="DL64" s="56">
        <v>7631.98</v>
      </c>
      <c r="DO64" s="56" t="s">
        <v>236</v>
      </c>
      <c r="DQ64" s="56" t="s">
        <v>674</v>
      </c>
      <c r="DR64" s="56">
        <v>3</v>
      </c>
      <c r="DX64" s="56" t="s">
        <v>678</v>
      </c>
      <c r="DY64" s="56" t="s">
        <v>679</v>
      </c>
      <c r="EL64" s="56">
        <v>15</v>
      </c>
      <c r="EM64" s="56">
        <v>25</v>
      </c>
      <c r="EN64" s="56">
        <v>2331</v>
      </c>
      <c r="EO64" s="56">
        <v>5173</v>
      </c>
      <c r="EP64" s="56">
        <v>6062</v>
      </c>
      <c r="EQ64" s="56" t="s">
        <v>832</v>
      </c>
      <c r="ER64" s="56" t="s">
        <v>833</v>
      </c>
      <c r="ES64" s="56">
        <v>2</v>
      </c>
      <c r="ET64" s="56" t="s">
        <v>682</v>
      </c>
      <c r="EU64" s="56" t="s">
        <v>683</v>
      </c>
      <c r="EV64" s="56" t="s">
        <v>683</v>
      </c>
      <c r="FD64" s="56" t="s">
        <v>1127</v>
      </c>
      <c r="FK64" s="56">
        <v>0</v>
      </c>
    </row>
    <row r="65" spans="1:167" x14ac:dyDescent="0.2">
      <c r="A65" s="56">
        <v>29721</v>
      </c>
      <c r="B65" s="56">
        <v>1</v>
      </c>
      <c r="C65" s="56">
        <v>6351</v>
      </c>
      <c r="D65" s="56" t="s">
        <v>634</v>
      </c>
      <c r="E65" s="56" t="s">
        <v>635</v>
      </c>
      <c r="K65" s="56" t="s">
        <v>1128</v>
      </c>
      <c r="L65" s="56" t="s">
        <v>637</v>
      </c>
      <c r="M65" s="56">
        <v>44931</v>
      </c>
      <c r="N65" s="56">
        <v>44933</v>
      </c>
      <c r="O65" s="56">
        <v>2</v>
      </c>
      <c r="P65" s="56" t="s">
        <v>682</v>
      </c>
      <c r="Q65" s="56">
        <v>1</v>
      </c>
      <c r="R65" s="56" t="s">
        <v>809</v>
      </c>
      <c r="S65" s="56" t="s">
        <v>810</v>
      </c>
      <c r="T65" s="56" t="s">
        <v>643</v>
      </c>
      <c r="U65" s="56" t="s">
        <v>640</v>
      </c>
      <c r="V65" s="56" t="s">
        <v>641</v>
      </c>
      <c r="W65" s="56">
        <v>46</v>
      </c>
      <c r="X65" s="56" t="s">
        <v>811</v>
      </c>
      <c r="Y65" s="56">
        <v>465</v>
      </c>
      <c r="Z65" s="56" t="s">
        <v>812</v>
      </c>
      <c r="AA65" s="56" t="s">
        <v>813</v>
      </c>
      <c r="AB65" s="56" t="s">
        <v>814</v>
      </c>
      <c r="AC65" s="56" t="s">
        <v>643</v>
      </c>
      <c r="AD65" s="56" t="s">
        <v>815</v>
      </c>
      <c r="AE65" s="56">
        <v>255</v>
      </c>
      <c r="AF65" s="56" t="s">
        <v>816</v>
      </c>
      <c r="AG65" s="56" t="s">
        <v>817</v>
      </c>
      <c r="AH65" s="56" t="s">
        <v>641</v>
      </c>
      <c r="AI65" s="56" t="s">
        <v>640</v>
      </c>
      <c r="AJ65" s="56">
        <v>1169</v>
      </c>
      <c r="AK65" s="56" t="s">
        <v>818</v>
      </c>
      <c r="AL65" s="56">
        <v>985</v>
      </c>
      <c r="AM65" s="56" t="s">
        <v>819</v>
      </c>
      <c r="AN65" s="56" t="s">
        <v>820</v>
      </c>
      <c r="AO65" s="56" t="s">
        <v>821</v>
      </c>
      <c r="AP65" s="56" t="s">
        <v>641</v>
      </c>
      <c r="AQ65" s="56" t="s">
        <v>822</v>
      </c>
      <c r="AR65" s="56">
        <v>1168</v>
      </c>
      <c r="AS65" s="56" t="s">
        <v>823</v>
      </c>
      <c r="AT65" s="56" t="s">
        <v>824</v>
      </c>
      <c r="AU65" s="56" t="s">
        <v>643</v>
      </c>
      <c r="AV65" s="56" t="s">
        <v>825</v>
      </c>
      <c r="AW65" s="56">
        <v>113</v>
      </c>
      <c r="AX65" s="56" t="s">
        <v>1025</v>
      </c>
      <c r="AY65" s="56">
        <v>43</v>
      </c>
      <c r="AZ65" s="56" t="s">
        <v>126</v>
      </c>
      <c r="BA65" s="56" t="s">
        <v>1026</v>
      </c>
      <c r="BB65" s="56" t="s">
        <v>770</v>
      </c>
      <c r="BC65" s="56">
        <v>38</v>
      </c>
      <c r="BD65" s="56" t="s">
        <v>289</v>
      </c>
      <c r="BE65" s="56" t="s">
        <v>771</v>
      </c>
      <c r="BF65" s="56">
        <v>2</v>
      </c>
      <c r="BG65" s="56" t="s">
        <v>289</v>
      </c>
      <c r="BH65" s="56" t="s">
        <v>772</v>
      </c>
      <c r="BI65" s="56">
        <v>47.34</v>
      </c>
      <c r="BJ65" s="56">
        <v>73771.5</v>
      </c>
      <c r="BK65" s="56">
        <v>47.34</v>
      </c>
      <c r="BL65" s="56" t="s">
        <v>828</v>
      </c>
      <c r="BM65" s="56">
        <v>1005</v>
      </c>
      <c r="BN65" s="56" t="s">
        <v>786</v>
      </c>
      <c r="BO65" s="56" t="s">
        <v>911</v>
      </c>
      <c r="BP65" s="56">
        <v>8222.3700000000008</v>
      </c>
      <c r="BQ65" s="56">
        <v>7866.87</v>
      </c>
      <c r="BR65" s="56">
        <v>0</v>
      </c>
      <c r="BS65" s="56">
        <v>0</v>
      </c>
      <c r="BT65" s="56">
        <v>0</v>
      </c>
      <c r="BU65" s="56">
        <v>43269</v>
      </c>
      <c r="BV65" s="56">
        <v>1168</v>
      </c>
      <c r="BW65" s="56" t="s">
        <v>823</v>
      </c>
      <c r="BX65" s="56" t="s">
        <v>1129</v>
      </c>
      <c r="BY65" s="56" t="s">
        <v>663</v>
      </c>
      <c r="BZ65" s="56">
        <v>0.25</v>
      </c>
      <c r="CA65" s="56" t="s">
        <v>664</v>
      </c>
      <c r="CB65" s="56" t="s">
        <v>830</v>
      </c>
      <c r="CD65" s="56" t="s">
        <v>667</v>
      </c>
      <c r="CG65" s="56">
        <v>0</v>
      </c>
      <c r="CH65" s="56">
        <v>8222.3700000000008</v>
      </c>
      <c r="CJ65" s="56">
        <v>100</v>
      </c>
      <c r="CK65" s="56">
        <v>7866.87</v>
      </c>
      <c r="CL65" s="56">
        <v>0</v>
      </c>
      <c r="CN65" s="56">
        <v>0</v>
      </c>
      <c r="CO65" s="56">
        <v>0</v>
      </c>
      <c r="CP65" s="56">
        <v>355.5</v>
      </c>
      <c r="CQ65" s="56" t="s">
        <v>668</v>
      </c>
      <c r="CR65" s="56">
        <v>0</v>
      </c>
      <c r="CS65" s="56">
        <v>0</v>
      </c>
      <c r="CV65" s="56">
        <v>0</v>
      </c>
      <c r="CX65" s="56">
        <v>0</v>
      </c>
      <c r="CY65" s="56">
        <v>0</v>
      </c>
      <c r="CZ65" s="56">
        <v>727.68</v>
      </c>
      <c r="DA65" s="56">
        <v>727.68</v>
      </c>
      <c r="DB65" s="56">
        <v>0</v>
      </c>
      <c r="DC65" s="56">
        <v>7139.19</v>
      </c>
      <c r="DD65" s="56">
        <v>0</v>
      </c>
      <c r="DE65" s="56">
        <v>0</v>
      </c>
      <c r="DF65" s="56">
        <v>0</v>
      </c>
      <c r="DH65" s="56" t="s">
        <v>831</v>
      </c>
      <c r="DI65" s="56" t="s">
        <v>671</v>
      </c>
      <c r="DK65" s="56">
        <v>91.15</v>
      </c>
      <c r="DL65" s="56">
        <v>7494.69</v>
      </c>
      <c r="DO65" s="56" t="s">
        <v>236</v>
      </c>
      <c r="DQ65" s="56" t="s">
        <v>674</v>
      </c>
      <c r="DR65" s="56">
        <v>3</v>
      </c>
      <c r="DX65" s="56" t="s">
        <v>678</v>
      </c>
      <c r="DY65" s="56" t="s">
        <v>679</v>
      </c>
      <c r="EL65" s="56">
        <v>15</v>
      </c>
      <c r="EM65" s="56">
        <v>25</v>
      </c>
      <c r="EN65" s="56">
        <v>2331</v>
      </c>
      <c r="EO65" s="56">
        <v>5173</v>
      </c>
      <c r="EP65" s="56">
        <v>6062</v>
      </c>
      <c r="EQ65" s="56" t="s">
        <v>832</v>
      </c>
      <c r="ER65" s="56" t="s">
        <v>833</v>
      </c>
      <c r="ES65" s="56">
        <v>2</v>
      </c>
      <c r="ET65" s="56" t="s">
        <v>682</v>
      </c>
      <c r="EU65" s="56" t="s">
        <v>683</v>
      </c>
      <c r="EV65" s="56" t="s">
        <v>683</v>
      </c>
      <c r="FD65" s="56" t="s">
        <v>1130</v>
      </c>
      <c r="FK65" s="56">
        <v>0</v>
      </c>
    </row>
    <row r="66" spans="1:167" x14ac:dyDescent="0.2">
      <c r="A66" s="56">
        <v>29722</v>
      </c>
      <c r="B66" s="56">
        <v>1</v>
      </c>
      <c r="C66" s="56">
        <v>6351</v>
      </c>
      <c r="D66" s="56" t="s">
        <v>634</v>
      </c>
      <c r="E66" s="56" t="s">
        <v>635</v>
      </c>
      <c r="K66" s="56" t="s">
        <v>1131</v>
      </c>
      <c r="L66" s="56" t="s">
        <v>637</v>
      </c>
      <c r="M66" s="56">
        <v>44931</v>
      </c>
      <c r="N66" s="56">
        <v>44933</v>
      </c>
      <c r="O66" s="56">
        <v>2</v>
      </c>
      <c r="P66" s="56" t="s">
        <v>682</v>
      </c>
      <c r="Q66" s="56">
        <v>1</v>
      </c>
      <c r="R66" s="56" t="s">
        <v>809</v>
      </c>
      <c r="S66" s="56" t="s">
        <v>810</v>
      </c>
      <c r="T66" s="56" t="s">
        <v>643</v>
      </c>
      <c r="U66" s="56" t="s">
        <v>640</v>
      </c>
      <c r="V66" s="56" t="s">
        <v>641</v>
      </c>
      <c r="W66" s="56">
        <v>46</v>
      </c>
      <c r="X66" s="56" t="s">
        <v>811</v>
      </c>
      <c r="Y66" s="56">
        <v>465</v>
      </c>
      <c r="Z66" s="56" t="s">
        <v>812</v>
      </c>
      <c r="AA66" s="56" t="s">
        <v>813</v>
      </c>
      <c r="AB66" s="56" t="s">
        <v>814</v>
      </c>
      <c r="AC66" s="56" t="s">
        <v>643</v>
      </c>
      <c r="AD66" s="56" t="s">
        <v>815</v>
      </c>
      <c r="AE66" s="56">
        <v>255</v>
      </c>
      <c r="AF66" s="56" t="s">
        <v>816</v>
      </c>
      <c r="AG66" s="56" t="s">
        <v>817</v>
      </c>
      <c r="AH66" s="56" t="s">
        <v>641</v>
      </c>
      <c r="AI66" s="56" t="s">
        <v>640</v>
      </c>
      <c r="AJ66" s="56">
        <v>1169</v>
      </c>
      <c r="AK66" s="56" t="s">
        <v>818</v>
      </c>
      <c r="AL66" s="56">
        <v>985</v>
      </c>
      <c r="AM66" s="56" t="s">
        <v>819</v>
      </c>
      <c r="AN66" s="56" t="s">
        <v>820</v>
      </c>
      <c r="AO66" s="56" t="s">
        <v>821</v>
      </c>
      <c r="AP66" s="56" t="s">
        <v>641</v>
      </c>
      <c r="AQ66" s="56" t="s">
        <v>822</v>
      </c>
      <c r="AR66" s="56">
        <v>1168</v>
      </c>
      <c r="AS66" s="56" t="s">
        <v>823</v>
      </c>
      <c r="AT66" s="56" t="s">
        <v>824</v>
      </c>
      <c r="AU66" s="56" t="s">
        <v>643</v>
      </c>
      <c r="AV66" s="56" t="s">
        <v>825</v>
      </c>
      <c r="AW66" s="56">
        <v>108</v>
      </c>
      <c r="AX66" s="56" t="s">
        <v>977</v>
      </c>
      <c r="AY66" s="56">
        <v>47</v>
      </c>
      <c r="AZ66" s="56" t="s">
        <v>32</v>
      </c>
      <c r="BA66" s="56" t="s">
        <v>978</v>
      </c>
      <c r="BB66" s="56" t="s">
        <v>770</v>
      </c>
      <c r="BC66" s="56">
        <v>38</v>
      </c>
      <c r="BD66" s="56" t="s">
        <v>289</v>
      </c>
      <c r="BE66" s="56" t="s">
        <v>771</v>
      </c>
      <c r="BF66" s="56">
        <v>2</v>
      </c>
      <c r="BG66" s="56" t="s">
        <v>289</v>
      </c>
      <c r="BH66" s="56" t="s">
        <v>772</v>
      </c>
      <c r="BI66" s="56">
        <v>47.54</v>
      </c>
      <c r="BJ66" s="56">
        <v>74083.17</v>
      </c>
      <c r="BK66" s="56">
        <v>47.54</v>
      </c>
      <c r="BL66" s="56" t="s">
        <v>828</v>
      </c>
      <c r="BM66" s="56">
        <v>1005</v>
      </c>
      <c r="BN66" s="56" t="s">
        <v>724</v>
      </c>
      <c r="BO66" s="56" t="s">
        <v>725</v>
      </c>
      <c r="BP66" s="56">
        <v>8257.15</v>
      </c>
      <c r="BQ66" s="56">
        <v>7901.65</v>
      </c>
      <c r="BR66" s="56">
        <v>0</v>
      </c>
      <c r="BS66" s="56">
        <v>0</v>
      </c>
      <c r="BT66" s="56">
        <v>0</v>
      </c>
      <c r="BU66" s="56">
        <v>43265</v>
      </c>
      <c r="BV66" s="56">
        <v>1168</v>
      </c>
      <c r="BW66" s="56" t="s">
        <v>823</v>
      </c>
      <c r="BX66" s="56" t="s">
        <v>1132</v>
      </c>
      <c r="BY66" s="56" t="s">
        <v>663</v>
      </c>
      <c r="BZ66" s="56">
        <v>0.25</v>
      </c>
      <c r="CA66" s="56" t="s">
        <v>664</v>
      </c>
      <c r="CB66" s="56" t="s">
        <v>830</v>
      </c>
      <c r="CD66" s="56" t="s">
        <v>667</v>
      </c>
      <c r="CG66" s="56">
        <v>0</v>
      </c>
      <c r="CH66" s="56">
        <v>8257.15</v>
      </c>
      <c r="CJ66" s="56">
        <v>100</v>
      </c>
      <c r="CK66" s="56">
        <v>7901.65</v>
      </c>
      <c r="CL66" s="56">
        <v>0</v>
      </c>
      <c r="CN66" s="56">
        <v>0</v>
      </c>
      <c r="CO66" s="56">
        <v>0</v>
      </c>
      <c r="CP66" s="56">
        <v>355.5</v>
      </c>
      <c r="CQ66" s="56" t="s">
        <v>668</v>
      </c>
      <c r="CR66" s="56">
        <v>0</v>
      </c>
      <c r="CS66" s="56">
        <v>0</v>
      </c>
      <c r="CV66" s="56">
        <v>0</v>
      </c>
      <c r="CX66" s="56">
        <v>0</v>
      </c>
      <c r="CY66" s="56">
        <v>0</v>
      </c>
      <c r="CZ66" s="56">
        <v>730.91</v>
      </c>
      <c r="DA66" s="56">
        <v>730.91</v>
      </c>
      <c r="DB66" s="56">
        <v>0</v>
      </c>
      <c r="DC66" s="56">
        <v>7170.74</v>
      </c>
      <c r="DD66" s="56">
        <v>0</v>
      </c>
      <c r="DE66" s="56">
        <v>0</v>
      </c>
      <c r="DF66" s="56">
        <v>0</v>
      </c>
      <c r="DH66" s="56" t="s">
        <v>831</v>
      </c>
      <c r="DI66" s="56" t="s">
        <v>671</v>
      </c>
      <c r="DK66" s="56">
        <v>91.15</v>
      </c>
      <c r="DL66" s="56">
        <v>7526.24</v>
      </c>
      <c r="DO66" s="56" t="s">
        <v>236</v>
      </c>
      <c r="DQ66" s="56" t="s">
        <v>674</v>
      </c>
      <c r="DR66" s="56">
        <v>3</v>
      </c>
      <c r="DX66" s="56" t="s">
        <v>678</v>
      </c>
      <c r="DY66" s="56" t="s">
        <v>679</v>
      </c>
      <c r="EL66" s="56">
        <v>15</v>
      </c>
      <c r="EM66" s="56">
        <v>25</v>
      </c>
      <c r="EN66" s="56">
        <v>2331</v>
      </c>
      <c r="EO66" s="56">
        <v>5173</v>
      </c>
      <c r="EP66" s="56">
        <v>6062</v>
      </c>
      <c r="EQ66" s="56" t="s">
        <v>832</v>
      </c>
      <c r="ER66" s="56" t="s">
        <v>833</v>
      </c>
      <c r="ES66" s="56">
        <v>2</v>
      </c>
      <c r="ET66" s="56" t="s">
        <v>682</v>
      </c>
      <c r="EU66" s="56" t="s">
        <v>683</v>
      </c>
      <c r="EV66" s="56" t="s">
        <v>683</v>
      </c>
      <c r="FD66" s="56" t="s">
        <v>1133</v>
      </c>
      <c r="FK66" s="56">
        <v>0</v>
      </c>
    </row>
    <row r="67" spans="1:167" x14ac:dyDescent="0.2">
      <c r="A67" s="56">
        <v>29020</v>
      </c>
      <c r="B67" s="56">
        <v>2</v>
      </c>
      <c r="C67" s="56">
        <v>6352</v>
      </c>
      <c r="D67" s="56" t="s">
        <v>634</v>
      </c>
      <c r="E67" s="56" t="s">
        <v>635</v>
      </c>
      <c r="K67" s="56" t="s">
        <v>1134</v>
      </c>
      <c r="L67" s="56" t="s">
        <v>637</v>
      </c>
      <c r="M67" s="56">
        <v>44932</v>
      </c>
      <c r="N67" s="56">
        <v>44934</v>
      </c>
      <c r="O67" s="56">
        <v>38</v>
      </c>
      <c r="P67" s="56" t="s">
        <v>638</v>
      </c>
      <c r="Q67" s="56">
        <v>2</v>
      </c>
      <c r="R67" s="56" t="s">
        <v>639</v>
      </c>
      <c r="S67" s="56" t="s">
        <v>893</v>
      </c>
      <c r="T67" s="56" t="s">
        <v>641</v>
      </c>
      <c r="U67" s="56" t="s">
        <v>735</v>
      </c>
      <c r="V67" s="56" t="s">
        <v>643</v>
      </c>
      <c r="W67" s="56">
        <v>49</v>
      </c>
      <c r="X67" s="56" t="s">
        <v>887</v>
      </c>
      <c r="Y67" s="56">
        <v>162</v>
      </c>
      <c r="Z67" s="56" t="s">
        <v>1030</v>
      </c>
      <c r="AA67" s="56" t="s">
        <v>1031</v>
      </c>
      <c r="AB67" s="56" t="s">
        <v>1032</v>
      </c>
      <c r="AC67" s="56" t="s">
        <v>641</v>
      </c>
      <c r="AD67" s="56" t="s">
        <v>893</v>
      </c>
      <c r="AE67" s="56">
        <v>91</v>
      </c>
      <c r="AF67" s="56" t="s">
        <v>736</v>
      </c>
      <c r="AG67" s="56" t="s">
        <v>737</v>
      </c>
      <c r="AH67" s="56" t="s">
        <v>643</v>
      </c>
      <c r="AI67" s="56" t="s">
        <v>735</v>
      </c>
      <c r="AJ67" s="56">
        <v>162</v>
      </c>
      <c r="AK67" s="56" t="s">
        <v>1030</v>
      </c>
      <c r="AL67" s="56">
        <v>98</v>
      </c>
      <c r="AM67" s="56" t="s">
        <v>645</v>
      </c>
      <c r="AN67" s="56" t="s">
        <v>646</v>
      </c>
      <c r="AO67" s="56" t="s">
        <v>647</v>
      </c>
      <c r="AP67" s="56" t="s">
        <v>643</v>
      </c>
      <c r="AQ67" s="56" t="s">
        <v>648</v>
      </c>
      <c r="AR67" s="56">
        <v>162</v>
      </c>
      <c r="AS67" s="56" t="s">
        <v>1030</v>
      </c>
      <c r="AT67" s="56" t="s">
        <v>1031</v>
      </c>
      <c r="AU67" s="56" t="s">
        <v>641</v>
      </c>
      <c r="AV67" s="56" t="s">
        <v>893</v>
      </c>
      <c r="AW67" s="56">
        <v>117</v>
      </c>
      <c r="AX67" s="56" t="s">
        <v>848</v>
      </c>
      <c r="AY67" s="56">
        <v>1</v>
      </c>
      <c r="AZ67" s="56" t="s">
        <v>28</v>
      </c>
      <c r="BA67" s="56" t="s">
        <v>849</v>
      </c>
      <c r="BB67" s="56" t="s">
        <v>770</v>
      </c>
      <c r="BC67" s="56">
        <v>38</v>
      </c>
      <c r="BD67" s="56" t="s">
        <v>289</v>
      </c>
      <c r="BE67" s="56" t="s">
        <v>771</v>
      </c>
      <c r="BF67" s="56">
        <v>2</v>
      </c>
      <c r="BG67" s="56" t="s">
        <v>289</v>
      </c>
      <c r="BH67" s="56" t="s">
        <v>772</v>
      </c>
      <c r="BI67" s="56">
        <v>46.42</v>
      </c>
      <c r="BJ67" s="56">
        <v>185782.12</v>
      </c>
      <c r="BK67" s="56">
        <v>46.42</v>
      </c>
      <c r="BL67" s="56" t="s">
        <v>1039</v>
      </c>
      <c r="BM67" s="56">
        <v>3105</v>
      </c>
      <c r="BN67" s="56" t="s">
        <v>724</v>
      </c>
      <c r="BO67" s="56" t="s">
        <v>725</v>
      </c>
      <c r="BP67" s="56">
        <v>5941.76</v>
      </c>
      <c r="BQ67" s="56">
        <v>5155.8500000000004</v>
      </c>
      <c r="BR67" s="56">
        <v>0</v>
      </c>
      <c r="BS67" s="56">
        <v>0</v>
      </c>
      <c r="BT67" s="56">
        <v>0</v>
      </c>
      <c r="BU67" s="56">
        <v>37104</v>
      </c>
      <c r="BV67" s="56">
        <v>162</v>
      </c>
      <c r="BW67" s="56" t="s">
        <v>1030</v>
      </c>
      <c r="BX67" s="56" t="s">
        <v>1135</v>
      </c>
      <c r="BY67" s="56" t="s">
        <v>663</v>
      </c>
      <c r="BZ67" s="56">
        <v>0.25</v>
      </c>
      <c r="CA67" s="56" t="s">
        <v>664</v>
      </c>
      <c r="CB67" s="56" t="s">
        <v>1041</v>
      </c>
      <c r="CD67" s="56" t="s">
        <v>667</v>
      </c>
      <c r="CG67" s="56">
        <v>0</v>
      </c>
      <c r="CH67" s="56">
        <v>128</v>
      </c>
      <c r="CJ67" s="56">
        <v>100</v>
      </c>
      <c r="CK67" s="56">
        <v>5155.8500000000004</v>
      </c>
      <c r="CL67" s="56">
        <v>0</v>
      </c>
      <c r="CN67" s="56">
        <v>713.01</v>
      </c>
      <c r="CO67" s="56">
        <v>713.01</v>
      </c>
      <c r="CP67" s="56">
        <v>72.900000000000006</v>
      </c>
      <c r="CQ67" s="56" t="s">
        <v>668</v>
      </c>
      <c r="CR67" s="56">
        <v>0</v>
      </c>
      <c r="CS67" s="56">
        <v>0</v>
      </c>
      <c r="CV67" s="56">
        <v>0</v>
      </c>
      <c r="CX67" s="56">
        <v>0</v>
      </c>
      <c r="CY67" s="56">
        <v>0</v>
      </c>
      <c r="CZ67" s="56">
        <v>476.91</v>
      </c>
      <c r="DA67" s="56">
        <v>476.91</v>
      </c>
      <c r="DB67" s="56">
        <v>0</v>
      </c>
      <c r="DC67" s="56">
        <v>4678.9399999999996</v>
      </c>
      <c r="DD67" s="56">
        <v>31.92</v>
      </c>
      <c r="DE67" s="56">
        <v>0</v>
      </c>
      <c r="DF67" s="56">
        <v>31.92</v>
      </c>
      <c r="DH67" s="56" t="s">
        <v>670</v>
      </c>
      <c r="DI67" s="56" t="s">
        <v>671</v>
      </c>
      <c r="DK67" s="56">
        <v>79.44</v>
      </c>
      <c r="DL67" s="56">
        <v>4719.92</v>
      </c>
      <c r="DM67" s="56">
        <v>9</v>
      </c>
      <c r="DN67" s="56">
        <v>4500914985</v>
      </c>
      <c r="DO67" s="56" t="s">
        <v>236</v>
      </c>
      <c r="DQ67" s="56" t="s">
        <v>674</v>
      </c>
      <c r="DR67" s="56">
        <v>3</v>
      </c>
      <c r="DW67" s="56">
        <v>280</v>
      </c>
      <c r="DX67" s="56" t="s">
        <v>678</v>
      </c>
      <c r="DY67" s="56" t="s">
        <v>679</v>
      </c>
      <c r="EL67" s="56">
        <v>25</v>
      </c>
      <c r="EM67" s="56">
        <v>15</v>
      </c>
      <c r="EN67" s="56">
        <v>4779</v>
      </c>
      <c r="EO67" s="56">
        <v>1805</v>
      </c>
      <c r="EP67" s="56">
        <v>6793</v>
      </c>
      <c r="EQ67" s="56" t="s">
        <v>1046</v>
      </c>
      <c r="ER67" s="56" t="s">
        <v>902</v>
      </c>
      <c r="ES67" s="56">
        <v>2</v>
      </c>
      <c r="ET67" s="56" t="s">
        <v>682</v>
      </c>
      <c r="EU67" s="56" t="s">
        <v>683</v>
      </c>
      <c r="EV67" s="56" t="s">
        <v>683</v>
      </c>
      <c r="FD67" s="56" t="s">
        <v>1136</v>
      </c>
      <c r="FK67" s="56">
        <v>0</v>
      </c>
    </row>
    <row r="68" spans="1:167" x14ac:dyDescent="0.2">
      <c r="A68" s="56">
        <v>29021</v>
      </c>
      <c r="B68" s="56">
        <v>2</v>
      </c>
      <c r="C68" s="56">
        <v>6352</v>
      </c>
      <c r="D68" s="56" t="s">
        <v>634</v>
      </c>
      <c r="E68" s="56" t="s">
        <v>635</v>
      </c>
      <c r="K68" s="56" t="s">
        <v>1137</v>
      </c>
      <c r="L68" s="56" t="s">
        <v>637</v>
      </c>
      <c r="M68" s="56">
        <v>44932</v>
      </c>
      <c r="N68" s="56">
        <v>44934</v>
      </c>
      <c r="O68" s="56">
        <v>38</v>
      </c>
      <c r="P68" s="56" t="s">
        <v>638</v>
      </c>
      <c r="Q68" s="56">
        <v>2</v>
      </c>
      <c r="R68" s="56" t="s">
        <v>639</v>
      </c>
      <c r="S68" s="56" t="s">
        <v>893</v>
      </c>
      <c r="T68" s="56" t="s">
        <v>641</v>
      </c>
      <c r="U68" s="56" t="s">
        <v>735</v>
      </c>
      <c r="V68" s="56" t="s">
        <v>643</v>
      </c>
      <c r="W68" s="56">
        <v>49</v>
      </c>
      <c r="X68" s="56" t="s">
        <v>887</v>
      </c>
      <c r="Y68" s="56">
        <v>162</v>
      </c>
      <c r="Z68" s="56" t="s">
        <v>1030</v>
      </c>
      <c r="AA68" s="56" t="s">
        <v>1031</v>
      </c>
      <c r="AB68" s="56" t="s">
        <v>1032</v>
      </c>
      <c r="AC68" s="56" t="s">
        <v>641</v>
      </c>
      <c r="AD68" s="56" t="s">
        <v>893</v>
      </c>
      <c r="AE68" s="56">
        <v>91</v>
      </c>
      <c r="AF68" s="56" t="s">
        <v>736</v>
      </c>
      <c r="AG68" s="56" t="s">
        <v>737</v>
      </c>
      <c r="AH68" s="56" t="s">
        <v>643</v>
      </c>
      <c r="AI68" s="56" t="s">
        <v>735</v>
      </c>
      <c r="AJ68" s="56">
        <v>162</v>
      </c>
      <c r="AK68" s="56" t="s">
        <v>1030</v>
      </c>
      <c r="AL68" s="56">
        <v>98</v>
      </c>
      <c r="AM68" s="56" t="s">
        <v>645</v>
      </c>
      <c r="AN68" s="56" t="s">
        <v>646</v>
      </c>
      <c r="AO68" s="56" t="s">
        <v>647</v>
      </c>
      <c r="AP68" s="56" t="s">
        <v>643</v>
      </c>
      <c r="AQ68" s="56" t="s">
        <v>648</v>
      </c>
      <c r="AR68" s="56">
        <v>162</v>
      </c>
      <c r="AS68" s="56" t="s">
        <v>1030</v>
      </c>
      <c r="AT68" s="56" t="s">
        <v>1031</v>
      </c>
      <c r="AU68" s="56" t="s">
        <v>641</v>
      </c>
      <c r="AV68" s="56" t="s">
        <v>893</v>
      </c>
      <c r="AW68" s="56">
        <v>113</v>
      </c>
      <c r="AX68" s="56" t="s">
        <v>1025</v>
      </c>
      <c r="AY68" s="56">
        <v>43</v>
      </c>
      <c r="AZ68" s="56" t="s">
        <v>126</v>
      </c>
      <c r="BA68" s="56" t="s">
        <v>1026</v>
      </c>
      <c r="BB68" s="56" t="s">
        <v>770</v>
      </c>
      <c r="BC68" s="56">
        <v>38</v>
      </c>
      <c r="BD68" s="56" t="s">
        <v>289</v>
      </c>
      <c r="BE68" s="56" t="s">
        <v>771</v>
      </c>
      <c r="BF68" s="56">
        <v>2</v>
      </c>
      <c r="BG68" s="56" t="s">
        <v>289</v>
      </c>
      <c r="BH68" s="56" t="s">
        <v>772</v>
      </c>
      <c r="BI68" s="56">
        <v>46.55</v>
      </c>
      <c r="BJ68" s="56">
        <v>186302.41</v>
      </c>
      <c r="BK68" s="56">
        <v>46.55</v>
      </c>
      <c r="BL68" s="56" t="s">
        <v>1039</v>
      </c>
      <c r="BM68" s="56">
        <v>3105</v>
      </c>
      <c r="BN68" s="56" t="s">
        <v>786</v>
      </c>
      <c r="BO68" s="56" t="s">
        <v>911</v>
      </c>
      <c r="BP68" s="56">
        <v>5958.4</v>
      </c>
      <c r="BQ68" s="56">
        <v>5170.49</v>
      </c>
      <c r="BR68" s="56">
        <v>0</v>
      </c>
      <c r="BS68" s="56">
        <v>0</v>
      </c>
      <c r="BT68" s="56">
        <v>0</v>
      </c>
      <c r="BU68" s="56">
        <v>37107</v>
      </c>
      <c r="BV68" s="56">
        <v>162</v>
      </c>
      <c r="BW68" s="56" t="s">
        <v>1030</v>
      </c>
      <c r="BX68" s="56" t="s">
        <v>1138</v>
      </c>
      <c r="BY68" s="56" t="s">
        <v>663</v>
      </c>
      <c r="BZ68" s="56">
        <v>0.25</v>
      </c>
      <c r="CA68" s="56" t="s">
        <v>664</v>
      </c>
      <c r="CB68" s="56" t="s">
        <v>1041</v>
      </c>
      <c r="CD68" s="56" t="s">
        <v>667</v>
      </c>
      <c r="CG68" s="56">
        <v>0</v>
      </c>
      <c r="CH68" s="56">
        <v>128</v>
      </c>
      <c r="CJ68" s="56">
        <v>100</v>
      </c>
      <c r="CK68" s="56">
        <v>5170.49</v>
      </c>
      <c r="CL68" s="56">
        <v>0</v>
      </c>
      <c r="CN68" s="56">
        <v>715.01</v>
      </c>
      <c r="CO68" s="56">
        <v>715.01</v>
      </c>
      <c r="CP68" s="56">
        <v>72.900000000000006</v>
      </c>
      <c r="CQ68" s="56" t="s">
        <v>668</v>
      </c>
      <c r="CR68" s="56">
        <v>0</v>
      </c>
      <c r="CS68" s="56">
        <v>0</v>
      </c>
      <c r="CV68" s="56">
        <v>0</v>
      </c>
      <c r="CX68" s="56">
        <v>0</v>
      </c>
      <c r="CY68" s="56">
        <v>0</v>
      </c>
      <c r="CZ68" s="56">
        <v>478.27</v>
      </c>
      <c r="DA68" s="56">
        <v>478.27</v>
      </c>
      <c r="DB68" s="56">
        <v>0</v>
      </c>
      <c r="DC68" s="56">
        <v>4692.22</v>
      </c>
      <c r="DD68" s="56">
        <v>32.01</v>
      </c>
      <c r="DE68" s="56">
        <v>0</v>
      </c>
      <c r="DF68" s="56">
        <v>32.01</v>
      </c>
      <c r="DH68" s="56" t="s">
        <v>670</v>
      </c>
      <c r="DI68" s="56" t="s">
        <v>671</v>
      </c>
      <c r="DK68" s="56">
        <v>79.44</v>
      </c>
      <c r="DL68" s="56">
        <v>4733.1099999999997</v>
      </c>
      <c r="DM68" s="56">
        <v>9</v>
      </c>
      <c r="DN68" s="56">
        <v>4500914985</v>
      </c>
      <c r="DO68" s="56" t="s">
        <v>236</v>
      </c>
      <c r="DQ68" s="56" t="s">
        <v>674</v>
      </c>
      <c r="DR68" s="56">
        <v>3</v>
      </c>
      <c r="DW68" s="56">
        <v>280</v>
      </c>
      <c r="DX68" s="56" t="s">
        <v>678</v>
      </c>
      <c r="DY68" s="56" t="s">
        <v>679</v>
      </c>
      <c r="EL68" s="56">
        <v>25</v>
      </c>
      <c r="EM68" s="56">
        <v>15</v>
      </c>
      <c r="EN68" s="56">
        <v>4779</v>
      </c>
      <c r="EO68" s="56">
        <v>1805</v>
      </c>
      <c r="EP68" s="56">
        <v>6793</v>
      </c>
      <c r="EQ68" s="56" t="s">
        <v>1046</v>
      </c>
      <c r="ER68" s="56" t="s">
        <v>902</v>
      </c>
      <c r="ES68" s="56">
        <v>2</v>
      </c>
      <c r="ET68" s="56" t="s">
        <v>682</v>
      </c>
      <c r="EU68" s="56" t="s">
        <v>683</v>
      </c>
      <c r="EV68" s="56" t="s">
        <v>683</v>
      </c>
      <c r="FD68" s="56" t="s">
        <v>1139</v>
      </c>
      <c r="FK68" s="56">
        <v>0</v>
      </c>
    </row>
    <row r="69" spans="1:167" x14ac:dyDescent="0.2">
      <c r="A69" s="56">
        <v>29022</v>
      </c>
      <c r="B69" s="56">
        <v>2</v>
      </c>
      <c r="C69" s="56">
        <v>6352</v>
      </c>
      <c r="D69" s="56" t="s">
        <v>634</v>
      </c>
      <c r="E69" s="56" t="s">
        <v>635</v>
      </c>
      <c r="K69" s="56" t="s">
        <v>1140</v>
      </c>
      <c r="L69" s="56" t="s">
        <v>637</v>
      </c>
      <c r="M69" s="56">
        <v>44932</v>
      </c>
      <c r="N69" s="56">
        <v>44934</v>
      </c>
      <c r="O69" s="56">
        <v>38</v>
      </c>
      <c r="P69" s="56" t="s">
        <v>638</v>
      </c>
      <c r="Q69" s="56">
        <v>2</v>
      </c>
      <c r="R69" s="56" t="s">
        <v>639</v>
      </c>
      <c r="S69" s="56" t="s">
        <v>1057</v>
      </c>
      <c r="T69" s="56" t="s">
        <v>641</v>
      </c>
      <c r="U69" s="56" t="s">
        <v>1058</v>
      </c>
      <c r="V69" s="56" t="s">
        <v>643</v>
      </c>
      <c r="W69" s="56">
        <v>46</v>
      </c>
      <c r="X69" s="56" t="s">
        <v>811</v>
      </c>
      <c r="Y69" s="56">
        <v>278</v>
      </c>
      <c r="Z69" s="56" t="s">
        <v>1059</v>
      </c>
      <c r="AA69" s="56" t="s">
        <v>1060</v>
      </c>
      <c r="AB69" s="56" t="s">
        <v>1061</v>
      </c>
      <c r="AC69" s="56" t="s">
        <v>641</v>
      </c>
      <c r="AD69" s="56" t="s">
        <v>1057</v>
      </c>
      <c r="AL69" s="56">
        <v>208</v>
      </c>
      <c r="AM69" s="56" t="s">
        <v>1062</v>
      </c>
      <c r="AN69" s="56" t="s">
        <v>1063</v>
      </c>
      <c r="AO69" s="56" t="s">
        <v>1064</v>
      </c>
      <c r="AP69" s="56" t="s">
        <v>643</v>
      </c>
      <c r="AQ69" s="56" t="s">
        <v>1058</v>
      </c>
      <c r="AR69" s="56">
        <v>208</v>
      </c>
      <c r="AS69" s="56" t="s">
        <v>1062</v>
      </c>
      <c r="AT69" s="56" t="s">
        <v>1063</v>
      </c>
      <c r="AU69" s="56" t="s">
        <v>643</v>
      </c>
      <c r="AV69" s="56" t="s">
        <v>1058</v>
      </c>
      <c r="AW69" s="56">
        <v>1178</v>
      </c>
      <c r="AX69" s="56" t="s">
        <v>1141</v>
      </c>
      <c r="AY69" s="56">
        <v>1425</v>
      </c>
      <c r="AZ69" s="56" t="s">
        <v>1142</v>
      </c>
      <c r="BA69" s="56" t="s">
        <v>1143</v>
      </c>
      <c r="BB69" s="56" t="s">
        <v>1068</v>
      </c>
      <c r="BC69" s="56">
        <v>929</v>
      </c>
      <c r="BD69" s="56" t="s">
        <v>1069</v>
      </c>
      <c r="BE69" s="56" t="s">
        <v>1070</v>
      </c>
      <c r="BF69" s="56">
        <v>929</v>
      </c>
      <c r="BG69" s="56" t="s">
        <v>1069</v>
      </c>
      <c r="BH69" s="56" t="s">
        <v>1070</v>
      </c>
      <c r="BI69" s="56">
        <v>30.15</v>
      </c>
      <c r="BJ69" s="56">
        <v>2502.4499999999998</v>
      </c>
      <c r="BK69" s="56">
        <v>30.15</v>
      </c>
      <c r="BL69" s="56" t="s">
        <v>1071</v>
      </c>
      <c r="BM69" s="56">
        <v>2518</v>
      </c>
      <c r="BN69" s="56" t="s">
        <v>786</v>
      </c>
      <c r="BO69" s="56" t="s">
        <v>1144</v>
      </c>
      <c r="BP69" s="56">
        <v>3467.25</v>
      </c>
      <c r="BQ69" s="56">
        <v>3034.98</v>
      </c>
      <c r="BR69" s="56">
        <v>0</v>
      </c>
      <c r="BS69" s="56">
        <v>0</v>
      </c>
      <c r="BT69" s="56">
        <v>2757.6</v>
      </c>
      <c r="BU69" s="56">
        <v>271674</v>
      </c>
      <c r="BV69" s="56">
        <v>208</v>
      </c>
      <c r="BW69" s="56" t="s">
        <v>1062</v>
      </c>
      <c r="BX69" s="56" t="s">
        <v>1145</v>
      </c>
      <c r="BY69" s="56" t="s">
        <v>663</v>
      </c>
      <c r="BZ69" s="56">
        <v>0.5</v>
      </c>
      <c r="CA69" s="56" t="s">
        <v>664</v>
      </c>
      <c r="CB69" s="56" t="s">
        <v>1073</v>
      </c>
      <c r="CC69" s="56" t="s">
        <v>1074</v>
      </c>
      <c r="CD69" s="56" t="s">
        <v>667</v>
      </c>
      <c r="CF69" s="56">
        <v>2220</v>
      </c>
      <c r="CG69" s="56">
        <v>80.5</v>
      </c>
      <c r="CH69" s="56">
        <v>115</v>
      </c>
      <c r="CI69" s="56">
        <v>92</v>
      </c>
      <c r="CJ69" s="56">
        <v>9.14</v>
      </c>
      <c r="CK69" s="56">
        <v>3034.98</v>
      </c>
      <c r="CL69" s="56">
        <v>2757.6</v>
      </c>
      <c r="CM69" s="56">
        <v>48.98</v>
      </c>
      <c r="CN69" s="56">
        <v>416.07</v>
      </c>
      <c r="CO69" s="56">
        <v>416.07</v>
      </c>
      <c r="CP69" s="56">
        <v>16.2</v>
      </c>
      <c r="CQ69" s="56" t="s">
        <v>668</v>
      </c>
      <c r="CR69" s="56">
        <v>0</v>
      </c>
      <c r="CS69" s="56">
        <v>16.2</v>
      </c>
      <c r="CT69" s="56" t="s">
        <v>669</v>
      </c>
      <c r="CU69" s="56">
        <v>0</v>
      </c>
      <c r="CV69" s="56">
        <v>0</v>
      </c>
      <c r="CX69" s="56">
        <v>277.38</v>
      </c>
      <c r="CY69" s="56">
        <v>0</v>
      </c>
      <c r="CZ69" s="56">
        <v>24.16</v>
      </c>
      <c r="DA69" s="56">
        <v>280.74</v>
      </c>
      <c r="DB69" s="56">
        <v>256.58</v>
      </c>
      <c r="DC69" s="56">
        <v>3010.82</v>
      </c>
      <c r="DD69" s="56">
        <v>-0.82</v>
      </c>
      <c r="DE69" s="56">
        <v>0</v>
      </c>
      <c r="DF69" s="56">
        <v>0.43</v>
      </c>
      <c r="DG69" s="56">
        <v>1.25</v>
      </c>
      <c r="DH69" s="56" t="s">
        <v>670</v>
      </c>
      <c r="DI69" s="56" t="s">
        <v>671</v>
      </c>
      <c r="DK69" s="56">
        <v>7.33</v>
      </c>
      <c r="DL69" s="56">
        <v>254.04</v>
      </c>
      <c r="DO69" s="56" t="s">
        <v>236</v>
      </c>
      <c r="DP69" s="56" t="s">
        <v>673</v>
      </c>
      <c r="DQ69" s="56" t="s">
        <v>674</v>
      </c>
      <c r="DR69" s="56">
        <v>3</v>
      </c>
      <c r="DX69" s="56" t="s">
        <v>678</v>
      </c>
      <c r="DY69" s="56" t="s">
        <v>679</v>
      </c>
      <c r="ED69" s="56">
        <v>1</v>
      </c>
      <c r="EE69" s="56" t="s">
        <v>809</v>
      </c>
      <c r="EF69" s="56">
        <v>1</v>
      </c>
      <c r="EG69" s="56" t="s">
        <v>809</v>
      </c>
      <c r="EH69" s="56">
        <v>1</v>
      </c>
      <c r="EI69" s="56" t="s">
        <v>809</v>
      </c>
      <c r="EJ69" s="56">
        <v>1</v>
      </c>
      <c r="EK69" s="56" t="s">
        <v>809</v>
      </c>
      <c r="EL69" s="56">
        <v>25</v>
      </c>
      <c r="EM69" s="56">
        <v>15</v>
      </c>
      <c r="EN69" s="56">
        <v>5235</v>
      </c>
      <c r="EO69" s="56">
        <v>2441</v>
      </c>
      <c r="EP69" s="56">
        <v>6158</v>
      </c>
      <c r="ER69" s="56" t="s">
        <v>1075</v>
      </c>
      <c r="ES69" s="56">
        <v>2</v>
      </c>
      <c r="ET69" s="56" t="s">
        <v>682</v>
      </c>
      <c r="EU69" s="56" t="s">
        <v>683</v>
      </c>
      <c r="EV69" s="56" t="s">
        <v>683</v>
      </c>
      <c r="FD69" s="56" t="s">
        <v>1146</v>
      </c>
      <c r="FK69" s="56">
        <v>0</v>
      </c>
    </row>
    <row r="70" spans="1:167" x14ac:dyDescent="0.2">
      <c r="A70" s="56">
        <v>29023</v>
      </c>
      <c r="B70" s="56">
        <v>2</v>
      </c>
      <c r="C70" s="56">
        <v>6352</v>
      </c>
      <c r="D70" s="56" t="s">
        <v>634</v>
      </c>
      <c r="E70" s="56" t="s">
        <v>635</v>
      </c>
      <c r="K70" s="56" t="s">
        <v>1147</v>
      </c>
      <c r="L70" s="56" t="s">
        <v>637</v>
      </c>
      <c r="M70" s="56">
        <v>44932</v>
      </c>
      <c r="N70" s="56">
        <v>44934</v>
      </c>
      <c r="O70" s="56">
        <v>38</v>
      </c>
      <c r="P70" s="56" t="s">
        <v>638</v>
      </c>
      <c r="Q70" s="56">
        <v>2</v>
      </c>
      <c r="R70" s="56" t="s">
        <v>639</v>
      </c>
      <c r="S70" s="56" t="s">
        <v>893</v>
      </c>
      <c r="T70" s="56" t="s">
        <v>641</v>
      </c>
      <c r="U70" s="56" t="s">
        <v>735</v>
      </c>
      <c r="V70" s="56" t="s">
        <v>643</v>
      </c>
      <c r="W70" s="56">
        <v>44</v>
      </c>
      <c r="X70" s="56" t="s">
        <v>1148</v>
      </c>
      <c r="Y70" s="56">
        <v>90</v>
      </c>
      <c r="Z70" s="56" t="s">
        <v>894</v>
      </c>
      <c r="AA70" s="56" t="s">
        <v>895</v>
      </c>
      <c r="AB70" s="56" t="s">
        <v>896</v>
      </c>
      <c r="AC70" s="56" t="s">
        <v>641</v>
      </c>
      <c r="AD70" s="56" t="s">
        <v>893</v>
      </c>
      <c r="AE70" s="56">
        <v>91</v>
      </c>
      <c r="AF70" s="56" t="s">
        <v>736</v>
      </c>
      <c r="AG70" s="56" t="s">
        <v>737</v>
      </c>
      <c r="AH70" s="56" t="s">
        <v>643</v>
      </c>
      <c r="AI70" s="56" t="s">
        <v>735</v>
      </c>
      <c r="AJ70" s="56">
        <v>90</v>
      </c>
      <c r="AK70" s="56" t="s">
        <v>894</v>
      </c>
      <c r="AL70" s="56">
        <v>91</v>
      </c>
      <c r="AM70" s="56" t="s">
        <v>736</v>
      </c>
      <c r="AN70" s="56" t="s">
        <v>737</v>
      </c>
      <c r="AO70" s="56" t="s">
        <v>738</v>
      </c>
      <c r="AP70" s="56" t="s">
        <v>643</v>
      </c>
      <c r="AQ70" s="56" t="s">
        <v>735</v>
      </c>
      <c r="AR70" s="56">
        <v>98</v>
      </c>
      <c r="AS70" s="56" t="s">
        <v>645</v>
      </c>
      <c r="AT70" s="56" t="s">
        <v>646</v>
      </c>
      <c r="AU70" s="56" t="s">
        <v>643</v>
      </c>
      <c r="AV70" s="56" t="s">
        <v>648</v>
      </c>
      <c r="AW70" s="56">
        <v>118</v>
      </c>
      <c r="AX70" s="56" t="s">
        <v>870</v>
      </c>
      <c r="AY70" s="56">
        <v>59</v>
      </c>
      <c r="AZ70" s="56" t="s">
        <v>127</v>
      </c>
      <c r="BA70" s="56" t="s">
        <v>871</v>
      </c>
      <c r="BB70" s="56" t="s">
        <v>844</v>
      </c>
      <c r="BC70" s="56">
        <v>2</v>
      </c>
      <c r="BD70" s="56" t="s">
        <v>289</v>
      </c>
      <c r="BE70" s="56" t="s">
        <v>772</v>
      </c>
      <c r="BF70" s="56">
        <v>2</v>
      </c>
      <c r="BG70" s="56" t="s">
        <v>289</v>
      </c>
      <c r="BH70" s="56" t="s">
        <v>772</v>
      </c>
      <c r="BI70" s="56">
        <v>35.43</v>
      </c>
      <c r="BJ70" s="56">
        <v>91298.86</v>
      </c>
      <c r="BK70" s="56">
        <v>35430</v>
      </c>
      <c r="BL70" s="56" t="s">
        <v>897</v>
      </c>
      <c r="BM70" s="56">
        <v>3102</v>
      </c>
      <c r="BN70" s="56" t="s">
        <v>660</v>
      </c>
      <c r="BO70" s="56" t="s">
        <v>872</v>
      </c>
      <c r="BP70" s="56">
        <v>5137.3500000000004</v>
      </c>
      <c r="BQ70" s="56">
        <v>4464.17</v>
      </c>
      <c r="BR70" s="56">
        <v>0</v>
      </c>
      <c r="BS70" s="56">
        <v>0</v>
      </c>
      <c r="BT70" s="56">
        <v>0</v>
      </c>
      <c r="BU70" s="56">
        <v>718089</v>
      </c>
      <c r="BV70" s="56">
        <v>98</v>
      </c>
      <c r="BW70" s="56" t="s">
        <v>645</v>
      </c>
      <c r="BX70" s="56" t="s">
        <v>1149</v>
      </c>
      <c r="BY70" s="56" t="s">
        <v>663</v>
      </c>
      <c r="BZ70" s="56">
        <v>0.25</v>
      </c>
      <c r="CA70" s="56" t="s">
        <v>664</v>
      </c>
      <c r="CB70" s="56" t="s">
        <v>899</v>
      </c>
      <c r="CD70" s="56" t="s">
        <v>667</v>
      </c>
      <c r="CG70" s="56">
        <v>0</v>
      </c>
      <c r="CH70" s="56">
        <v>145</v>
      </c>
      <c r="CJ70" s="56">
        <v>100</v>
      </c>
      <c r="CK70" s="56">
        <v>4464.17</v>
      </c>
      <c r="CL70" s="56">
        <v>0</v>
      </c>
      <c r="CN70" s="56">
        <v>616.48</v>
      </c>
      <c r="CO70" s="56">
        <v>616.48</v>
      </c>
      <c r="CP70" s="56">
        <v>56.7</v>
      </c>
      <c r="CQ70" s="56" t="s">
        <v>668</v>
      </c>
      <c r="CR70" s="56">
        <v>0</v>
      </c>
      <c r="CS70" s="56">
        <v>0</v>
      </c>
      <c r="CV70" s="56">
        <v>0</v>
      </c>
      <c r="CX70" s="56">
        <v>0</v>
      </c>
      <c r="CY70" s="56">
        <v>0</v>
      </c>
      <c r="CZ70" s="56">
        <v>412.94</v>
      </c>
      <c r="DA70" s="56">
        <v>412.94</v>
      </c>
      <c r="DB70" s="56">
        <v>0</v>
      </c>
      <c r="DC70" s="56">
        <v>4051.23</v>
      </c>
      <c r="DD70" s="56">
        <v>15.69</v>
      </c>
      <c r="DE70" s="56">
        <v>0</v>
      </c>
      <c r="DF70" s="56">
        <v>15.69</v>
      </c>
      <c r="DH70" s="56" t="s">
        <v>670</v>
      </c>
      <c r="DI70" s="56" t="s">
        <v>671</v>
      </c>
      <c r="DK70" s="56">
        <v>79.66</v>
      </c>
      <c r="DL70" s="56">
        <v>0</v>
      </c>
      <c r="DM70" s="56">
        <v>67</v>
      </c>
      <c r="DN70" s="56" t="s">
        <v>900</v>
      </c>
      <c r="DO70" s="56" t="s">
        <v>236</v>
      </c>
      <c r="DQ70" s="56" t="s">
        <v>674</v>
      </c>
      <c r="DR70" s="56">
        <v>3</v>
      </c>
      <c r="DW70" s="56">
        <v>280</v>
      </c>
      <c r="DX70" s="56" t="s">
        <v>678</v>
      </c>
      <c r="DY70" s="56" t="s">
        <v>1150</v>
      </c>
      <c r="DZ70" s="56" t="s">
        <v>127</v>
      </c>
      <c r="EA70" s="56">
        <v>118</v>
      </c>
      <c r="EB70" s="56" t="s">
        <v>870</v>
      </c>
      <c r="EC70" s="56">
        <v>44932</v>
      </c>
      <c r="EL70" s="56">
        <v>25</v>
      </c>
      <c r="EM70" s="56">
        <v>15</v>
      </c>
      <c r="EN70" s="56">
        <v>4779</v>
      </c>
      <c r="EO70" s="56">
        <v>1805</v>
      </c>
      <c r="EP70" s="56">
        <v>6792</v>
      </c>
      <c r="EQ70" s="56" t="s">
        <v>901</v>
      </c>
      <c r="ER70" s="56" t="s">
        <v>902</v>
      </c>
      <c r="ES70" s="56">
        <v>2</v>
      </c>
      <c r="ET70" s="56" t="s">
        <v>682</v>
      </c>
      <c r="EU70" s="56" t="s">
        <v>683</v>
      </c>
      <c r="EV70" s="56" t="s">
        <v>683</v>
      </c>
      <c r="FD70" s="56" t="s">
        <v>1151</v>
      </c>
      <c r="FK70" s="56">
        <v>0</v>
      </c>
    </row>
    <row r="71" spans="1:167" x14ac:dyDescent="0.2">
      <c r="A71" s="56">
        <v>29024</v>
      </c>
      <c r="B71" s="56">
        <v>2</v>
      </c>
      <c r="C71" s="56">
        <v>6352</v>
      </c>
      <c r="D71" s="56" t="s">
        <v>634</v>
      </c>
      <c r="E71" s="56" t="s">
        <v>635</v>
      </c>
      <c r="K71" s="56" t="s">
        <v>1152</v>
      </c>
      <c r="L71" s="56" t="s">
        <v>637</v>
      </c>
      <c r="M71" s="56">
        <v>44932</v>
      </c>
      <c r="N71" s="56">
        <v>44934</v>
      </c>
      <c r="O71" s="56">
        <v>38</v>
      </c>
      <c r="P71" s="56" t="s">
        <v>638</v>
      </c>
      <c r="Q71" s="56">
        <v>2</v>
      </c>
      <c r="R71" s="56" t="s">
        <v>639</v>
      </c>
      <c r="S71" s="56" t="s">
        <v>893</v>
      </c>
      <c r="T71" s="56" t="s">
        <v>641</v>
      </c>
      <c r="U71" s="56" t="s">
        <v>642</v>
      </c>
      <c r="V71" s="56" t="s">
        <v>643</v>
      </c>
      <c r="W71" s="56">
        <v>47</v>
      </c>
      <c r="X71" s="56" t="s">
        <v>644</v>
      </c>
      <c r="Y71" s="56">
        <v>90</v>
      </c>
      <c r="Z71" s="56" t="s">
        <v>894</v>
      </c>
      <c r="AA71" s="56" t="s">
        <v>895</v>
      </c>
      <c r="AB71" s="56" t="s">
        <v>896</v>
      </c>
      <c r="AC71" s="56" t="s">
        <v>641</v>
      </c>
      <c r="AD71" s="56" t="s">
        <v>893</v>
      </c>
      <c r="AE71" s="56">
        <v>141</v>
      </c>
      <c r="AF71" s="56" t="s">
        <v>649</v>
      </c>
      <c r="AG71" s="56" t="s">
        <v>650</v>
      </c>
      <c r="AH71" s="56" t="s">
        <v>643</v>
      </c>
      <c r="AI71" s="56" t="s">
        <v>642</v>
      </c>
      <c r="AJ71" s="56">
        <v>90</v>
      </c>
      <c r="AK71" s="56" t="s">
        <v>894</v>
      </c>
      <c r="AL71" s="56">
        <v>141</v>
      </c>
      <c r="AM71" s="56" t="s">
        <v>649</v>
      </c>
      <c r="AN71" s="56" t="s">
        <v>650</v>
      </c>
      <c r="AO71" s="56" t="s">
        <v>652</v>
      </c>
      <c r="AP71" s="56" t="s">
        <v>643</v>
      </c>
      <c r="AQ71" s="56" t="s">
        <v>642</v>
      </c>
      <c r="AR71" s="56">
        <v>98</v>
      </c>
      <c r="AS71" s="56" t="s">
        <v>645</v>
      </c>
      <c r="AT71" s="56" t="s">
        <v>646</v>
      </c>
      <c r="AU71" s="56" t="s">
        <v>643</v>
      </c>
      <c r="AV71" s="56" t="s">
        <v>648</v>
      </c>
      <c r="AW71" s="56">
        <v>335</v>
      </c>
      <c r="AX71" s="56" t="s">
        <v>1153</v>
      </c>
      <c r="AY71" s="56">
        <v>345</v>
      </c>
      <c r="AZ71" s="56" t="s">
        <v>1154</v>
      </c>
      <c r="BA71" s="56" t="s">
        <v>1155</v>
      </c>
      <c r="BB71" s="56" t="s">
        <v>1036</v>
      </c>
      <c r="BC71" s="56">
        <v>334</v>
      </c>
      <c r="BD71" s="56" t="s">
        <v>1037</v>
      </c>
      <c r="BE71" s="56" t="s">
        <v>1038</v>
      </c>
      <c r="BF71" s="56">
        <v>334</v>
      </c>
      <c r="BG71" s="56" t="s">
        <v>1037</v>
      </c>
      <c r="BH71" s="56" t="s">
        <v>1038</v>
      </c>
      <c r="BI71" s="56">
        <v>47.99</v>
      </c>
      <c r="BJ71" s="56">
        <v>162998.99</v>
      </c>
      <c r="BK71" s="56">
        <v>47990</v>
      </c>
      <c r="BL71" s="56" t="s">
        <v>922</v>
      </c>
      <c r="BM71" s="56">
        <v>3105</v>
      </c>
      <c r="BN71" s="56" t="s">
        <v>660</v>
      </c>
      <c r="BO71" s="56" t="s">
        <v>706</v>
      </c>
      <c r="BP71" s="56">
        <v>6766.59</v>
      </c>
      <c r="BQ71" s="56">
        <v>5881.7</v>
      </c>
      <c r="BR71" s="56">
        <v>0</v>
      </c>
      <c r="BS71" s="56">
        <v>0</v>
      </c>
      <c r="BT71" s="56">
        <v>4726.1000000000004</v>
      </c>
      <c r="BU71" s="56">
        <v>718179</v>
      </c>
      <c r="BV71" s="56">
        <v>98</v>
      </c>
      <c r="BW71" s="56" t="s">
        <v>645</v>
      </c>
      <c r="BX71" s="56" t="s">
        <v>1156</v>
      </c>
      <c r="BY71" s="56" t="s">
        <v>663</v>
      </c>
      <c r="BZ71" s="56">
        <v>0.25</v>
      </c>
      <c r="CA71" s="56" t="s">
        <v>664</v>
      </c>
      <c r="CB71" s="56" t="s">
        <v>925</v>
      </c>
      <c r="CC71" s="56" t="s">
        <v>926</v>
      </c>
      <c r="CD71" s="56" t="s">
        <v>667</v>
      </c>
      <c r="CF71" s="56">
        <v>3780.88</v>
      </c>
      <c r="CG71" s="56">
        <v>80</v>
      </c>
      <c r="CH71" s="56">
        <v>141</v>
      </c>
      <c r="CI71" s="56">
        <v>100</v>
      </c>
      <c r="CJ71" s="56">
        <v>19.649999999999999</v>
      </c>
      <c r="CK71" s="56">
        <v>5881.7</v>
      </c>
      <c r="CL71" s="56">
        <v>4726.1000000000004</v>
      </c>
      <c r="CM71" s="56">
        <v>39.26</v>
      </c>
      <c r="CN71" s="56">
        <v>811.99</v>
      </c>
      <c r="CO71" s="56">
        <v>811.99</v>
      </c>
      <c r="CP71" s="56">
        <v>72.900000000000006</v>
      </c>
      <c r="CQ71" s="56" t="s">
        <v>668</v>
      </c>
      <c r="CR71" s="56">
        <v>0</v>
      </c>
      <c r="CS71" s="56">
        <v>72.900000000000006</v>
      </c>
      <c r="CT71" s="56" t="s">
        <v>669</v>
      </c>
      <c r="CU71" s="56">
        <v>0</v>
      </c>
      <c r="CV71" s="56">
        <v>0</v>
      </c>
      <c r="CX71" s="56">
        <v>1132.57</v>
      </c>
      <c r="CY71" s="56">
        <v>0</v>
      </c>
      <c r="CZ71" s="56">
        <v>209.44</v>
      </c>
      <c r="DA71" s="56">
        <v>544.05999999999995</v>
      </c>
      <c r="DB71" s="56">
        <v>334.62</v>
      </c>
      <c r="DC71" s="56">
        <v>5672.26</v>
      </c>
      <c r="DD71" s="56">
        <v>-30.47</v>
      </c>
      <c r="DE71" s="56">
        <v>0</v>
      </c>
      <c r="DF71" s="56">
        <v>28</v>
      </c>
      <c r="DG71" s="56">
        <v>81.5</v>
      </c>
      <c r="DH71" s="56" t="s">
        <v>670</v>
      </c>
      <c r="DI71" s="56" t="s">
        <v>671</v>
      </c>
      <c r="DK71" s="56">
        <v>14.43</v>
      </c>
      <c r="DL71" s="56">
        <v>976.63</v>
      </c>
      <c r="DM71" s="56">
        <v>62</v>
      </c>
      <c r="DN71" s="56">
        <v>4500837836</v>
      </c>
      <c r="DO71" s="56" t="s">
        <v>1157</v>
      </c>
      <c r="DP71" s="56" t="s">
        <v>677</v>
      </c>
      <c r="DQ71" s="56" t="s">
        <v>674</v>
      </c>
      <c r="DR71" s="56">
        <v>2</v>
      </c>
      <c r="DS71" s="56" t="s">
        <v>1158</v>
      </c>
      <c r="DT71" s="56" t="s">
        <v>1159</v>
      </c>
      <c r="DU71" s="56">
        <v>36</v>
      </c>
      <c r="DV71" s="56" t="s">
        <v>677</v>
      </c>
      <c r="DW71" s="56">
        <v>370</v>
      </c>
      <c r="DX71" s="56" t="s">
        <v>678</v>
      </c>
      <c r="DY71" s="56" t="s">
        <v>679</v>
      </c>
      <c r="ED71" s="56">
        <v>2</v>
      </c>
      <c r="EE71" s="56" t="s">
        <v>639</v>
      </c>
      <c r="EF71" s="56">
        <v>2</v>
      </c>
      <c r="EG71" s="56" t="s">
        <v>639</v>
      </c>
      <c r="EH71" s="56">
        <v>2</v>
      </c>
      <c r="EI71" s="56" t="s">
        <v>639</v>
      </c>
      <c r="EJ71" s="56">
        <v>2</v>
      </c>
      <c r="EK71" s="56" t="s">
        <v>639</v>
      </c>
      <c r="EL71" s="56">
        <v>25</v>
      </c>
      <c r="EM71" s="56">
        <v>15</v>
      </c>
      <c r="EN71" s="56">
        <v>4779</v>
      </c>
      <c r="EO71" s="56">
        <v>1622</v>
      </c>
      <c r="EP71" s="56">
        <v>6803</v>
      </c>
      <c r="EQ71" s="56" t="s">
        <v>927</v>
      </c>
      <c r="ER71" s="56" t="s">
        <v>928</v>
      </c>
      <c r="ES71" s="56">
        <v>2</v>
      </c>
      <c r="ET71" s="56" t="s">
        <v>682</v>
      </c>
      <c r="EU71" s="56" t="s">
        <v>683</v>
      </c>
      <c r="EV71" s="56" t="s">
        <v>683</v>
      </c>
      <c r="FD71" s="56" t="s">
        <v>1160</v>
      </c>
      <c r="FK71" s="56">
        <v>0</v>
      </c>
    </row>
    <row r="72" spans="1:167" x14ac:dyDescent="0.2">
      <c r="A72" s="56">
        <v>29025</v>
      </c>
      <c r="B72" s="56">
        <v>2</v>
      </c>
      <c r="C72" s="56">
        <v>6352</v>
      </c>
      <c r="D72" s="56" t="s">
        <v>634</v>
      </c>
      <c r="E72" s="56" t="s">
        <v>635</v>
      </c>
      <c r="K72" s="56" t="s">
        <v>1161</v>
      </c>
      <c r="L72" s="56" t="s">
        <v>637</v>
      </c>
      <c r="M72" s="56">
        <v>44932</v>
      </c>
      <c r="N72" s="56">
        <v>44934</v>
      </c>
      <c r="O72" s="56">
        <v>38</v>
      </c>
      <c r="P72" s="56" t="s">
        <v>638</v>
      </c>
      <c r="Q72" s="56">
        <v>2</v>
      </c>
      <c r="R72" s="56" t="s">
        <v>639</v>
      </c>
      <c r="S72" s="56" t="s">
        <v>640</v>
      </c>
      <c r="T72" s="56" t="s">
        <v>641</v>
      </c>
      <c r="U72" s="56" t="s">
        <v>735</v>
      </c>
      <c r="V72" s="56" t="s">
        <v>643</v>
      </c>
      <c r="W72" s="56">
        <v>47</v>
      </c>
      <c r="X72" s="56" t="s">
        <v>644</v>
      </c>
      <c r="Y72" s="56">
        <v>98</v>
      </c>
      <c r="Z72" s="56" t="s">
        <v>645</v>
      </c>
      <c r="AA72" s="56" t="s">
        <v>646</v>
      </c>
      <c r="AB72" s="56" t="s">
        <v>647</v>
      </c>
      <c r="AC72" s="56" t="s">
        <v>643</v>
      </c>
      <c r="AD72" s="56" t="s">
        <v>648</v>
      </c>
      <c r="AE72" s="56">
        <v>91</v>
      </c>
      <c r="AF72" s="56" t="s">
        <v>736</v>
      </c>
      <c r="AG72" s="56" t="s">
        <v>737</v>
      </c>
      <c r="AH72" s="56" t="s">
        <v>643</v>
      </c>
      <c r="AI72" s="56" t="s">
        <v>735</v>
      </c>
      <c r="AJ72" s="56">
        <v>139</v>
      </c>
      <c r="AK72" s="56" t="s">
        <v>651</v>
      </c>
      <c r="AL72" s="56">
        <v>91</v>
      </c>
      <c r="AM72" s="56" t="s">
        <v>736</v>
      </c>
      <c r="AN72" s="56" t="s">
        <v>737</v>
      </c>
      <c r="AO72" s="56" t="s">
        <v>738</v>
      </c>
      <c r="AP72" s="56" t="s">
        <v>643</v>
      </c>
      <c r="AQ72" s="56" t="s">
        <v>735</v>
      </c>
      <c r="AR72" s="56">
        <v>98</v>
      </c>
      <c r="AS72" s="56" t="s">
        <v>645</v>
      </c>
      <c r="AT72" s="56" t="s">
        <v>646</v>
      </c>
      <c r="AU72" s="56" t="s">
        <v>643</v>
      </c>
      <c r="AV72" s="56" t="s">
        <v>648</v>
      </c>
      <c r="AW72" s="56">
        <v>172</v>
      </c>
      <c r="AX72" s="56" t="s">
        <v>739</v>
      </c>
      <c r="AY72" s="56">
        <v>153</v>
      </c>
      <c r="AZ72" s="56" t="s">
        <v>740</v>
      </c>
      <c r="BA72" s="56" t="s">
        <v>741</v>
      </c>
      <c r="BB72" s="56" t="s">
        <v>742</v>
      </c>
      <c r="BC72" s="56">
        <v>171</v>
      </c>
      <c r="BD72" s="56" t="s">
        <v>739</v>
      </c>
      <c r="BE72" s="56" t="s">
        <v>743</v>
      </c>
      <c r="BF72" s="56">
        <v>171</v>
      </c>
      <c r="BG72" s="56" t="s">
        <v>739</v>
      </c>
      <c r="BH72" s="56" t="s">
        <v>743</v>
      </c>
      <c r="BI72" s="56">
        <v>37.869999999999997</v>
      </c>
      <c r="BJ72" s="56">
        <v>103770.62</v>
      </c>
      <c r="BK72" s="56">
        <v>37.869999999999997</v>
      </c>
      <c r="BL72" s="56" t="s">
        <v>659</v>
      </c>
      <c r="BM72" s="56">
        <v>3104</v>
      </c>
      <c r="BN72" s="56" t="s">
        <v>744</v>
      </c>
      <c r="BO72" s="56" t="s">
        <v>745</v>
      </c>
      <c r="BP72" s="56">
        <v>5491.15</v>
      </c>
      <c r="BQ72" s="56">
        <v>4783.6099999999997</v>
      </c>
      <c r="BR72" s="56">
        <v>0</v>
      </c>
      <c r="BS72" s="56">
        <v>0</v>
      </c>
      <c r="BT72" s="56">
        <v>3852.01</v>
      </c>
      <c r="BU72" s="56">
        <v>28327</v>
      </c>
      <c r="BV72" s="56">
        <v>98</v>
      </c>
      <c r="BW72" s="56" t="s">
        <v>645</v>
      </c>
      <c r="BX72" s="56" t="s">
        <v>1162</v>
      </c>
      <c r="BY72" s="56" t="s">
        <v>663</v>
      </c>
      <c r="BZ72" s="56">
        <v>0.25</v>
      </c>
      <c r="CA72" s="56" t="s">
        <v>664</v>
      </c>
      <c r="CB72" s="56" t="s">
        <v>665</v>
      </c>
      <c r="CC72" s="56" t="s">
        <v>747</v>
      </c>
      <c r="CD72" s="56" t="s">
        <v>667</v>
      </c>
      <c r="CF72" s="56">
        <v>3081.61</v>
      </c>
      <c r="CG72" s="56">
        <v>80</v>
      </c>
      <c r="CH72" s="56">
        <v>145</v>
      </c>
      <c r="CI72" s="56">
        <v>103</v>
      </c>
      <c r="CJ72" s="56">
        <v>19.47</v>
      </c>
      <c r="CK72" s="56">
        <v>4783.6099999999997</v>
      </c>
      <c r="CL72" s="56">
        <v>3852.01</v>
      </c>
      <c r="CM72" s="56">
        <v>33.58</v>
      </c>
      <c r="CN72" s="56">
        <v>658.94</v>
      </c>
      <c r="CO72" s="56">
        <v>658.94</v>
      </c>
      <c r="CP72" s="56">
        <v>48.6</v>
      </c>
      <c r="CQ72" s="56" t="s">
        <v>668</v>
      </c>
      <c r="CR72" s="56">
        <v>0</v>
      </c>
      <c r="CS72" s="56">
        <v>48.6</v>
      </c>
      <c r="CT72" s="56" t="s">
        <v>669</v>
      </c>
      <c r="CU72" s="56">
        <v>0</v>
      </c>
      <c r="CV72" s="56">
        <v>0</v>
      </c>
      <c r="CX72" s="56">
        <v>913.29</v>
      </c>
      <c r="CY72" s="56">
        <v>0</v>
      </c>
      <c r="CZ72" s="56">
        <v>170.75</v>
      </c>
      <c r="DA72" s="56">
        <v>442.48</v>
      </c>
      <c r="DB72" s="56">
        <v>271.73</v>
      </c>
      <c r="DC72" s="56">
        <v>4612.8599999999997</v>
      </c>
      <c r="DD72" s="56">
        <v>138.33000000000001</v>
      </c>
      <c r="DE72" s="56">
        <v>0</v>
      </c>
      <c r="DF72" s="56">
        <v>17.829999999999998</v>
      </c>
      <c r="DG72" s="56">
        <v>51.89</v>
      </c>
      <c r="DH72" s="56" t="s">
        <v>670</v>
      </c>
      <c r="DI72" s="56" t="s">
        <v>671</v>
      </c>
      <c r="DK72" s="56">
        <v>11.34</v>
      </c>
      <c r="DL72" s="56">
        <v>622.52</v>
      </c>
      <c r="DM72" s="56">
        <v>93</v>
      </c>
      <c r="DN72" s="56" t="s">
        <v>748</v>
      </c>
      <c r="DO72" s="56" t="s">
        <v>236</v>
      </c>
      <c r="DP72" s="56" t="s">
        <v>673</v>
      </c>
      <c r="DQ72" s="56" t="s">
        <v>674</v>
      </c>
      <c r="DR72" s="56">
        <v>1</v>
      </c>
      <c r="DS72" s="56" t="s">
        <v>1163</v>
      </c>
      <c r="DT72" s="56" t="s">
        <v>1164</v>
      </c>
      <c r="DU72" s="56">
        <v>36</v>
      </c>
      <c r="DV72" s="56" t="s">
        <v>677</v>
      </c>
      <c r="DX72" s="56" t="s">
        <v>678</v>
      </c>
      <c r="DY72" s="56" t="s">
        <v>679</v>
      </c>
      <c r="ED72" s="56">
        <v>2</v>
      </c>
      <c r="EE72" s="56" t="s">
        <v>639</v>
      </c>
      <c r="EF72" s="56">
        <v>2</v>
      </c>
      <c r="EG72" s="56" t="s">
        <v>639</v>
      </c>
      <c r="EH72" s="56">
        <v>2</v>
      </c>
      <c r="EI72" s="56" t="s">
        <v>639</v>
      </c>
      <c r="EJ72" s="56">
        <v>2</v>
      </c>
      <c r="EK72" s="56" t="s">
        <v>639</v>
      </c>
      <c r="EL72" s="56">
        <v>25</v>
      </c>
      <c r="EM72" s="56">
        <v>15</v>
      </c>
      <c r="EN72" s="56">
        <v>5173</v>
      </c>
      <c r="EO72" s="56">
        <v>1805</v>
      </c>
      <c r="EP72" s="56">
        <v>6792</v>
      </c>
      <c r="EQ72" s="56" t="s">
        <v>751</v>
      </c>
      <c r="ER72" s="56" t="s">
        <v>752</v>
      </c>
      <c r="ES72" s="56">
        <v>2</v>
      </c>
      <c r="ET72" s="56" t="s">
        <v>682</v>
      </c>
      <c r="EU72" s="56" t="s">
        <v>683</v>
      </c>
      <c r="EV72" s="56" t="s">
        <v>683</v>
      </c>
      <c r="FD72" s="56" t="s">
        <v>1165</v>
      </c>
      <c r="FK72" s="56">
        <v>0</v>
      </c>
    </row>
    <row r="73" spans="1:167" x14ac:dyDescent="0.2">
      <c r="A73" s="56">
        <v>29026</v>
      </c>
      <c r="B73" s="56">
        <v>2</v>
      </c>
      <c r="C73" s="56">
        <v>6352</v>
      </c>
      <c r="D73" s="56" t="s">
        <v>634</v>
      </c>
      <c r="E73" s="56" t="s">
        <v>635</v>
      </c>
      <c r="K73" s="56" t="s">
        <v>1166</v>
      </c>
      <c r="L73" s="56" t="s">
        <v>637</v>
      </c>
      <c r="M73" s="56">
        <v>44932</v>
      </c>
      <c r="N73" s="56">
        <v>44934</v>
      </c>
      <c r="O73" s="56">
        <v>38</v>
      </c>
      <c r="P73" s="56" t="s">
        <v>638</v>
      </c>
      <c r="Q73" s="56">
        <v>2</v>
      </c>
      <c r="R73" s="56" t="s">
        <v>639</v>
      </c>
      <c r="S73" s="56" t="s">
        <v>893</v>
      </c>
      <c r="T73" s="56" t="s">
        <v>641</v>
      </c>
      <c r="U73" s="56" t="s">
        <v>642</v>
      </c>
      <c r="V73" s="56" t="s">
        <v>643</v>
      </c>
      <c r="W73" s="56">
        <v>47</v>
      </c>
      <c r="X73" s="56" t="s">
        <v>644</v>
      </c>
      <c r="Y73" s="56">
        <v>90</v>
      </c>
      <c r="Z73" s="56" t="s">
        <v>894</v>
      </c>
      <c r="AA73" s="56" t="s">
        <v>895</v>
      </c>
      <c r="AB73" s="56" t="s">
        <v>896</v>
      </c>
      <c r="AC73" s="56" t="s">
        <v>641</v>
      </c>
      <c r="AD73" s="56" t="s">
        <v>893</v>
      </c>
      <c r="AE73" s="56">
        <v>141</v>
      </c>
      <c r="AF73" s="56" t="s">
        <v>649</v>
      </c>
      <c r="AG73" s="56" t="s">
        <v>650</v>
      </c>
      <c r="AH73" s="56" t="s">
        <v>643</v>
      </c>
      <c r="AI73" s="56" t="s">
        <v>642</v>
      </c>
      <c r="AJ73" s="56">
        <v>90</v>
      </c>
      <c r="AK73" s="56" t="s">
        <v>894</v>
      </c>
      <c r="AL73" s="56">
        <v>141</v>
      </c>
      <c r="AM73" s="56" t="s">
        <v>649</v>
      </c>
      <c r="AN73" s="56" t="s">
        <v>650</v>
      </c>
      <c r="AO73" s="56" t="s">
        <v>652</v>
      </c>
      <c r="AP73" s="56" t="s">
        <v>643</v>
      </c>
      <c r="AQ73" s="56" t="s">
        <v>642</v>
      </c>
      <c r="AR73" s="56">
        <v>98</v>
      </c>
      <c r="AS73" s="56" t="s">
        <v>645</v>
      </c>
      <c r="AT73" s="56" t="s">
        <v>646</v>
      </c>
      <c r="AU73" s="56" t="s">
        <v>643</v>
      </c>
      <c r="AV73" s="56" t="s">
        <v>648</v>
      </c>
      <c r="AW73" s="56">
        <v>1186</v>
      </c>
      <c r="AX73" s="56" t="s">
        <v>1167</v>
      </c>
      <c r="AY73" s="56">
        <v>118</v>
      </c>
      <c r="AZ73" s="56" t="s">
        <v>1168</v>
      </c>
      <c r="BA73" s="56" t="s">
        <v>1169</v>
      </c>
      <c r="BB73" s="56" t="s">
        <v>1170</v>
      </c>
      <c r="BC73" s="56">
        <v>285</v>
      </c>
      <c r="BD73" s="56" t="s">
        <v>1171</v>
      </c>
      <c r="BE73" s="56" t="s">
        <v>1172</v>
      </c>
      <c r="BF73" s="56">
        <v>285</v>
      </c>
      <c r="BG73" s="56" t="s">
        <v>1171</v>
      </c>
      <c r="BH73" s="56" t="s">
        <v>1172</v>
      </c>
      <c r="BI73" s="56">
        <v>49.1</v>
      </c>
      <c r="BJ73" s="56">
        <v>166769.13</v>
      </c>
      <c r="BK73" s="56">
        <v>49100</v>
      </c>
      <c r="BL73" s="56" t="s">
        <v>922</v>
      </c>
      <c r="BM73" s="56">
        <v>3105</v>
      </c>
      <c r="BN73" s="56" t="s">
        <v>660</v>
      </c>
      <c r="BO73" s="56" t="s">
        <v>706</v>
      </c>
      <c r="BP73" s="56">
        <v>6923.1</v>
      </c>
      <c r="BQ73" s="56">
        <v>6019.43</v>
      </c>
      <c r="BR73" s="56">
        <v>0</v>
      </c>
      <c r="BS73" s="56">
        <v>0</v>
      </c>
      <c r="BT73" s="56">
        <v>4837.1000000000004</v>
      </c>
      <c r="BU73" s="56">
        <v>718195</v>
      </c>
      <c r="BV73" s="56">
        <v>98</v>
      </c>
      <c r="BW73" s="56" t="s">
        <v>645</v>
      </c>
      <c r="BX73" s="56" t="s">
        <v>1173</v>
      </c>
      <c r="BY73" s="56" t="s">
        <v>663</v>
      </c>
      <c r="BZ73" s="56">
        <v>0.25</v>
      </c>
      <c r="CA73" s="56" t="s">
        <v>664</v>
      </c>
      <c r="CB73" s="56" t="s">
        <v>925</v>
      </c>
      <c r="CC73" s="56" t="s">
        <v>935</v>
      </c>
      <c r="CD73" s="56" t="s">
        <v>667</v>
      </c>
      <c r="CF73" s="56">
        <v>3869.68</v>
      </c>
      <c r="CG73" s="56">
        <v>80</v>
      </c>
      <c r="CH73" s="56">
        <v>141</v>
      </c>
      <c r="CI73" s="56">
        <v>100</v>
      </c>
      <c r="CJ73" s="56">
        <v>19.64</v>
      </c>
      <c r="CK73" s="56">
        <v>6019.43</v>
      </c>
      <c r="CL73" s="56">
        <v>4837.1000000000004</v>
      </c>
      <c r="CM73" s="56">
        <v>94.42</v>
      </c>
      <c r="CN73" s="56">
        <v>830.77</v>
      </c>
      <c r="CO73" s="56">
        <v>830.77</v>
      </c>
      <c r="CP73" s="56">
        <v>72.900000000000006</v>
      </c>
      <c r="CQ73" s="56" t="s">
        <v>668</v>
      </c>
      <c r="CR73" s="56">
        <v>0</v>
      </c>
      <c r="CS73" s="56">
        <v>72.900000000000006</v>
      </c>
      <c r="CT73" s="56" t="s">
        <v>669</v>
      </c>
      <c r="CU73" s="56">
        <v>0</v>
      </c>
      <c r="CV73" s="56">
        <v>0</v>
      </c>
      <c r="CX73" s="56">
        <v>1159.69</v>
      </c>
      <c r="CY73" s="56">
        <v>0</v>
      </c>
      <c r="CZ73" s="56">
        <v>214.48</v>
      </c>
      <c r="DA73" s="56">
        <v>556.79999999999995</v>
      </c>
      <c r="DB73" s="56">
        <v>342.32</v>
      </c>
      <c r="DC73" s="56">
        <v>5804.95</v>
      </c>
      <c r="DD73" s="56">
        <v>161.38999999999999</v>
      </c>
      <c r="DE73" s="56">
        <v>0</v>
      </c>
      <c r="DF73" s="56">
        <v>28.65</v>
      </c>
      <c r="DG73" s="56">
        <v>83.38</v>
      </c>
      <c r="DH73" s="56" t="s">
        <v>670</v>
      </c>
      <c r="DI73" s="56" t="s">
        <v>671</v>
      </c>
      <c r="DK73" s="56">
        <v>11.98</v>
      </c>
      <c r="DL73" s="56">
        <v>829.1</v>
      </c>
      <c r="DM73" s="56">
        <v>62</v>
      </c>
      <c r="DN73" s="56">
        <v>4500837836</v>
      </c>
      <c r="DO73" s="56" t="s">
        <v>1174</v>
      </c>
      <c r="DP73" s="56" t="s">
        <v>677</v>
      </c>
      <c r="DQ73" s="56" t="s">
        <v>674</v>
      </c>
      <c r="DR73" s="56">
        <v>1</v>
      </c>
      <c r="DS73" s="56" t="s">
        <v>1175</v>
      </c>
      <c r="DT73" s="56" t="s">
        <v>1176</v>
      </c>
      <c r="DU73" s="56">
        <v>36</v>
      </c>
      <c r="DV73" s="56" t="s">
        <v>677</v>
      </c>
      <c r="DW73" s="56">
        <v>370</v>
      </c>
      <c r="DX73" s="56" t="s">
        <v>678</v>
      </c>
      <c r="DY73" s="56" t="s">
        <v>679</v>
      </c>
      <c r="ED73" s="56">
        <v>2</v>
      </c>
      <c r="EE73" s="56" t="s">
        <v>639</v>
      </c>
      <c r="EF73" s="56">
        <v>2</v>
      </c>
      <c r="EG73" s="56" t="s">
        <v>639</v>
      </c>
      <c r="EH73" s="56">
        <v>2</v>
      </c>
      <c r="EI73" s="56" t="s">
        <v>639</v>
      </c>
      <c r="EJ73" s="56">
        <v>2</v>
      </c>
      <c r="EK73" s="56" t="s">
        <v>639</v>
      </c>
      <c r="EL73" s="56">
        <v>25</v>
      </c>
      <c r="EM73" s="56">
        <v>15</v>
      </c>
      <c r="EN73" s="56">
        <v>4779</v>
      </c>
      <c r="EO73" s="56">
        <v>1622</v>
      </c>
      <c r="EP73" s="56">
        <v>6803</v>
      </c>
      <c r="EQ73" s="56" t="s">
        <v>927</v>
      </c>
      <c r="ER73" s="56" t="s">
        <v>928</v>
      </c>
      <c r="ES73" s="56">
        <v>2</v>
      </c>
      <c r="ET73" s="56" t="s">
        <v>682</v>
      </c>
      <c r="EU73" s="56" t="s">
        <v>683</v>
      </c>
      <c r="EV73" s="56" t="s">
        <v>683</v>
      </c>
      <c r="FD73" s="56" t="s">
        <v>1177</v>
      </c>
      <c r="FK73" s="56">
        <v>0</v>
      </c>
    </row>
    <row r="74" spans="1:167" x14ac:dyDescent="0.2">
      <c r="A74" s="56">
        <v>29027</v>
      </c>
      <c r="B74" s="56">
        <v>2</v>
      </c>
      <c r="C74" s="56">
        <v>6352</v>
      </c>
      <c r="D74" s="56" t="s">
        <v>634</v>
      </c>
      <c r="E74" s="56" t="s">
        <v>635</v>
      </c>
      <c r="K74" s="56" t="s">
        <v>1178</v>
      </c>
      <c r="L74" s="56" t="s">
        <v>637</v>
      </c>
      <c r="M74" s="56">
        <v>44932</v>
      </c>
      <c r="N74" s="56">
        <v>44934</v>
      </c>
      <c r="O74" s="56">
        <v>38</v>
      </c>
      <c r="P74" s="56" t="s">
        <v>638</v>
      </c>
      <c r="Q74" s="56">
        <v>2</v>
      </c>
      <c r="R74" s="56" t="s">
        <v>639</v>
      </c>
      <c r="S74" s="56" t="s">
        <v>1057</v>
      </c>
      <c r="T74" s="56" t="s">
        <v>641</v>
      </c>
      <c r="U74" s="56" t="s">
        <v>1058</v>
      </c>
      <c r="V74" s="56" t="s">
        <v>643</v>
      </c>
      <c r="W74" s="56">
        <v>46</v>
      </c>
      <c r="X74" s="56" t="s">
        <v>811</v>
      </c>
      <c r="Y74" s="56">
        <v>278</v>
      </c>
      <c r="Z74" s="56" t="s">
        <v>1059</v>
      </c>
      <c r="AA74" s="56" t="s">
        <v>1060</v>
      </c>
      <c r="AB74" s="56" t="s">
        <v>1061</v>
      </c>
      <c r="AC74" s="56" t="s">
        <v>641</v>
      </c>
      <c r="AD74" s="56" t="s">
        <v>1057</v>
      </c>
      <c r="AL74" s="56">
        <v>208</v>
      </c>
      <c r="AM74" s="56" t="s">
        <v>1062</v>
      </c>
      <c r="AN74" s="56" t="s">
        <v>1063</v>
      </c>
      <c r="AO74" s="56" t="s">
        <v>1064</v>
      </c>
      <c r="AP74" s="56" t="s">
        <v>643</v>
      </c>
      <c r="AQ74" s="56" t="s">
        <v>1058</v>
      </c>
      <c r="AR74" s="56">
        <v>208</v>
      </c>
      <c r="AS74" s="56" t="s">
        <v>1062</v>
      </c>
      <c r="AT74" s="56" t="s">
        <v>1063</v>
      </c>
      <c r="AU74" s="56" t="s">
        <v>643</v>
      </c>
      <c r="AV74" s="56" t="s">
        <v>1058</v>
      </c>
      <c r="AW74" s="56">
        <v>1184</v>
      </c>
      <c r="AX74" s="56" t="s">
        <v>1179</v>
      </c>
      <c r="AY74" s="56">
        <v>1428</v>
      </c>
      <c r="AZ74" s="56" t="s">
        <v>1180</v>
      </c>
      <c r="BA74" s="56" t="s">
        <v>1181</v>
      </c>
      <c r="BB74" s="56" t="s">
        <v>1068</v>
      </c>
      <c r="BC74" s="56">
        <v>929</v>
      </c>
      <c r="BD74" s="56" t="s">
        <v>1069</v>
      </c>
      <c r="BE74" s="56" t="s">
        <v>1070</v>
      </c>
      <c r="BF74" s="56">
        <v>929</v>
      </c>
      <c r="BG74" s="56" t="s">
        <v>1069</v>
      </c>
      <c r="BH74" s="56" t="s">
        <v>1070</v>
      </c>
      <c r="BI74" s="56">
        <v>33.43</v>
      </c>
      <c r="BJ74" s="56">
        <v>2774.69</v>
      </c>
      <c r="BK74" s="56">
        <v>33.43</v>
      </c>
      <c r="BL74" s="56" t="s">
        <v>1071</v>
      </c>
      <c r="BM74" s="56">
        <v>2518</v>
      </c>
      <c r="BN74" s="56" t="s">
        <v>744</v>
      </c>
      <c r="BO74" s="56" t="s">
        <v>1182</v>
      </c>
      <c r="BP74" s="56">
        <v>3844.45</v>
      </c>
      <c r="BQ74" s="56">
        <v>3366.92</v>
      </c>
      <c r="BR74" s="56">
        <v>0</v>
      </c>
      <c r="BS74" s="56">
        <v>0</v>
      </c>
      <c r="BT74" s="56">
        <v>3059.36</v>
      </c>
      <c r="BU74" s="56">
        <v>271732</v>
      </c>
      <c r="BV74" s="56">
        <v>208</v>
      </c>
      <c r="BW74" s="56" t="s">
        <v>1062</v>
      </c>
      <c r="BX74" s="56" t="s">
        <v>1183</v>
      </c>
      <c r="BY74" s="56" t="s">
        <v>663</v>
      </c>
      <c r="BZ74" s="56">
        <v>0.5</v>
      </c>
      <c r="CA74" s="56" t="s">
        <v>664</v>
      </c>
      <c r="CB74" s="56" t="s">
        <v>1073</v>
      </c>
      <c r="CC74" s="56" t="s">
        <v>1184</v>
      </c>
      <c r="CD74" s="56" t="s">
        <v>667</v>
      </c>
      <c r="CF74" s="56">
        <v>2450</v>
      </c>
      <c r="CG74" s="56">
        <v>80.08</v>
      </c>
      <c r="CH74" s="56">
        <v>115</v>
      </c>
      <c r="CI74" s="56">
        <v>92</v>
      </c>
      <c r="CJ74" s="56">
        <v>9.1300000000000008</v>
      </c>
      <c r="CK74" s="56">
        <v>3366.92</v>
      </c>
      <c r="CL74" s="56">
        <v>3059.36</v>
      </c>
      <c r="CM74" s="56">
        <v>48.98</v>
      </c>
      <c r="CN74" s="56">
        <v>461.33</v>
      </c>
      <c r="CO74" s="56">
        <v>461.33</v>
      </c>
      <c r="CP74" s="56">
        <v>16.2</v>
      </c>
      <c r="CQ74" s="56" t="s">
        <v>668</v>
      </c>
      <c r="CR74" s="56">
        <v>0</v>
      </c>
      <c r="CS74" s="56">
        <v>16.2</v>
      </c>
      <c r="CT74" s="56" t="s">
        <v>669</v>
      </c>
      <c r="CU74" s="56">
        <v>0</v>
      </c>
      <c r="CV74" s="56">
        <v>0</v>
      </c>
      <c r="CX74" s="56">
        <v>307.56</v>
      </c>
      <c r="CY74" s="56">
        <v>0</v>
      </c>
      <c r="CZ74" s="56">
        <v>26.95</v>
      </c>
      <c r="DA74" s="56">
        <v>311.44</v>
      </c>
      <c r="DB74" s="56">
        <v>284.49</v>
      </c>
      <c r="DC74" s="56">
        <v>3339.97</v>
      </c>
      <c r="DD74" s="56">
        <v>-0.91</v>
      </c>
      <c r="DE74" s="56">
        <v>0</v>
      </c>
      <c r="DF74" s="56">
        <v>0.48</v>
      </c>
      <c r="DG74" s="56">
        <v>1.39</v>
      </c>
      <c r="DH74" s="56" t="s">
        <v>670</v>
      </c>
      <c r="DI74" s="56" t="s">
        <v>671</v>
      </c>
      <c r="DK74" s="56">
        <v>7.32</v>
      </c>
      <c r="DL74" s="56">
        <v>281.52</v>
      </c>
      <c r="DO74" s="56" t="s">
        <v>236</v>
      </c>
      <c r="DP74" s="56" t="s">
        <v>673</v>
      </c>
      <c r="DQ74" s="56" t="s">
        <v>674</v>
      </c>
      <c r="DR74" s="56">
        <v>3</v>
      </c>
      <c r="DX74" s="56" t="s">
        <v>678</v>
      </c>
      <c r="DY74" s="56" t="s">
        <v>679</v>
      </c>
      <c r="ED74" s="56">
        <v>1</v>
      </c>
      <c r="EE74" s="56" t="s">
        <v>809</v>
      </c>
      <c r="EF74" s="56">
        <v>1</v>
      </c>
      <c r="EG74" s="56" t="s">
        <v>809</v>
      </c>
      <c r="EH74" s="56">
        <v>1</v>
      </c>
      <c r="EI74" s="56" t="s">
        <v>809</v>
      </c>
      <c r="EJ74" s="56">
        <v>1</v>
      </c>
      <c r="EK74" s="56" t="s">
        <v>809</v>
      </c>
      <c r="EL74" s="56">
        <v>25</v>
      </c>
      <c r="EM74" s="56">
        <v>15</v>
      </c>
      <c r="EN74" s="56">
        <v>5235</v>
      </c>
      <c r="EO74" s="56">
        <v>2441</v>
      </c>
      <c r="EP74" s="56">
        <v>6158</v>
      </c>
      <c r="ER74" s="56" t="s">
        <v>1075</v>
      </c>
      <c r="ES74" s="56">
        <v>2</v>
      </c>
      <c r="ET74" s="56" t="s">
        <v>682</v>
      </c>
      <c r="EU74" s="56" t="s">
        <v>683</v>
      </c>
      <c r="EV74" s="56" t="s">
        <v>683</v>
      </c>
      <c r="FD74" s="56" t="s">
        <v>1185</v>
      </c>
      <c r="FK74" s="56">
        <v>0</v>
      </c>
    </row>
    <row r="75" spans="1:167" x14ac:dyDescent="0.2">
      <c r="A75" s="56">
        <v>29028</v>
      </c>
      <c r="B75" s="56">
        <v>2</v>
      </c>
      <c r="C75" s="56">
        <v>6352</v>
      </c>
      <c r="D75" s="56" t="s">
        <v>634</v>
      </c>
      <c r="E75" s="56" t="s">
        <v>635</v>
      </c>
      <c r="K75" s="56" t="s">
        <v>1186</v>
      </c>
      <c r="L75" s="56" t="s">
        <v>637</v>
      </c>
      <c r="M75" s="56">
        <v>44932</v>
      </c>
      <c r="N75" s="56">
        <v>44934</v>
      </c>
      <c r="O75" s="56">
        <v>38</v>
      </c>
      <c r="P75" s="56" t="s">
        <v>638</v>
      </c>
      <c r="Q75" s="56">
        <v>2</v>
      </c>
      <c r="R75" s="56" t="s">
        <v>639</v>
      </c>
      <c r="S75" s="56" t="s">
        <v>640</v>
      </c>
      <c r="T75" s="56" t="s">
        <v>641</v>
      </c>
      <c r="U75" s="56" t="s">
        <v>735</v>
      </c>
      <c r="V75" s="56" t="s">
        <v>643</v>
      </c>
      <c r="W75" s="56">
        <v>48</v>
      </c>
      <c r="X75" s="56" t="s">
        <v>699</v>
      </c>
      <c r="Y75" s="56">
        <v>98</v>
      </c>
      <c r="Z75" s="56" t="s">
        <v>645</v>
      </c>
      <c r="AA75" s="56" t="s">
        <v>646</v>
      </c>
      <c r="AB75" s="56" t="s">
        <v>647</v>
      </c>
      <c r="AC75" s="56" t="s">
        <v>643</v>
      </c>
      <c r="AD75" s="56" t="s">
        <v>648</v>
      </c>
      <c r="AE75" s="56">
        <v>91</v>
      </c>
      <c r="AF75" s="56" t="s">
        <v>736</v>
      </c>
      <c r="AG75" s="56" t="s">
        <v>737</v>
      </c>
      <c r="AH75" s="56" t="s">
        <v>643</v>
      </c>
      <c r="AI75" s="56" t="s">
        <v>735</v>
      </c>
      <c r="AJ75" s="56">
        <v>139</v>
      </c>
      <c r="AK75" s="56" t="s">
        <v>651</v>
      </c>
      <c r="AL75" s="56">
        <v>91</v>
      </c>
      <c r="AM75" s="56" t="s">
        <v>736</v>
      </c>
      <c r="AN75" s="56" t="s">
        <v>737</v>
      </c>
      <c r="AO75" s="56" t="s">
        <v>738</v>
      </c>
      <c r="AP75" s="56" t="s">
        <v>643</v>
      </c>
      <c r="AQ75" s="56" t="s">
        <v>735</v>
      </c>
      <c r="AR75" s="56">
        <v>98</v>
      </c>
      <c r="AS75" s="56" t="s">
        <v>645</v>
      </c>
      <c r="AT75" s="56" t="s">
        <v>646</v>
      </c>
      <c r="AU75" s="56" t="s">
        <v>643</v>
      </c>
      <c r="AV75" s="56" t="s">
        <v>648</v>
      </c>
      <c r="AW75" s="56">
        <v>258</v>
      </c>
      <c r="AX75" s="56" t="s">
        <v>1187</v>
      </c>
      <c r="AY75" s="56">
        <v>91</v>
      </c>
      <c r="AZ75" s="56" t="s">
        <v>1188</v>
      </c>
      <c r="BA75" s="56" t="s">
        <v>1189</v>
      </c>
      <c r="BB75" s="56" t="s">
        <v>1011</v>
      </c>
      <c r="BC75" s="56">
        <v>93</v>
      </c>
      <c r="BD75" s="56" t="s">
        <v>1012</v>
      </c>
      <c r="BE75" s="56" t="s">
        <v>1013</v>
      </c>
      <c r="BF75" s="56">
        <v>93</v>
      </c>
      <c r="BG75" s="56" t="s">
        <v>1012</v>
      </c>
      <c r="BH75" s="56" t="s">
        <v>1013</v>
      </c>
      <c r="BI75" s="56">
        <v>24.34</v>
      </c>
      <c r="BJ75" s="56">
        <v>66695.98</v>
      </c>
      <c r="BK75" s="56">
        <v>24.34</v>
      </c>
      <c r="BL75" s="56" t="s">
        <v>659</v>
      </c>
      <c r="BM75" s="56">
        <v>3104</v>
      </c>
      <c r="BN75" s="56" t="s">
        <v>1052</v>
      </c>
      <c r="BO75" s="56" t="s">
        <v>1081</v>
      </c>
      <c r="BP75" s="56">
        <v>3529.3</v>
      </c>
      <c r="BQ75" s="56">
        <v>3105.78</v>
      </c>
      <c r="BR75" s="56">
        <v>0</v>
      </c>
      <c r="BS75" s="56">
        <v>0</v>
      </c>
      <c r="BT75" s="56">
        <v>0</v>
      </c>
      <c r="BU75" s="56">
        <v>28334</v>
      </c>
      <c r="BV75" s="56">
        <v>98</v>
      </c>
      <c r="BW75" s="56" t="s">
        <v>645</v>
      </c>
      <c r="BX75" s="56" t="s">
        <v>1190</v>
      </c>
      <c r="BY75" s="56" t="s">
        <v>663</v>
      </c>
      <c r="BZ75" s="56">
        <v>0.25</v>
      </c>
      <c r="CA75" s="56" t="s">
        <v>664</v>
      </c>
      <c r="CB75" s="56" t="s">
        <v>665</v>
      </c>
      <c r="CD75" s="56" t="s">
        <v>667</v>
      </c>
      <c r="CG75" s="56">
        <v>0</v>
      </c>
      <c r="CH75" s="56">
        <v>145</v>
      </c>
      <c r="CJ75" s="56">
        <v>19.5</v>
      </c>
      <c r="CK75" s="56">
        <v>3070.5209896661368</v>
      </c>
      <c r="CL75" s="56">
        <v>2471.7579570747216</v>
      </c>
      <c r="CN75" s="56">
        <v>423.52</v>
      </c>
      <c r="CO75" s="56">
        <v>423.52</v>
      </c>
      <c r="CP75" s="56">
        <v>0</v>
      </c>
      <c r="CQ75" s="56" t="s">
        <v>708</v>
      </c>
      <c r="CR75" s="56">
        <v>0</v>
      </c>
      <c r="CS75" s="56">
        <v>0</v>
      </c>
      <c r="CV75" s="56">
        <v>0</v>
      </c>
      <c r="CX75" s="56">
        <v>598.76</v>
      </c>
      <c r="CY75" s="56">
        <v>0</v>
      </c>
      <c r="CZ75" s="56">
        <v>287.29000000000002</v>
      </c>
      <c r="DA75" s="56">
        <v>287.29000000000002</v>
      </c>
      <c r="DB75" s="56">
        <v>0</v>
      </c>
      <c r="DC75" s="56">
        <v>2818.49</v>
      </c>
      <c r="DD75" s="56">
        <v>11.46</v>
      </c>
      <c r="DE75" s="56">
        <v>0</v>
      </c>
      <c r="DF75" s="56">
        <v>11.46</v>
      </c>
      <c r="DH75" s="56" t="s">
        <v>670</v>
      </c>
      <c r="DI75" s="56" t="s">
        <v>671</v>
      </c>
      <c r="DK75" s="56">
        <v>14.49</v>
      </c>
      <c r="DL75" s="56">
        <v>0</v>
      </c>
      <c r="DM75" s="56">
        <v>93</v>
      </c>
      <c r="DN75" s="56" t="s">
        <v>748</v>
      </c>
      <c r="DO75" s="56" t="s">
        <v>236</v>
      </c>
      <c r="DQ75" s="56" t="s">
        <v>674</v>
      </c>
      <c r="DR75" s="56">
        <v>2</v>
      </c>
      <c r="DX75" s="56" t="s">
        <v>678</v>
      </c>
      <c r="DY75" s="56" t="s">
        <v>1191</v>
      </c>
      <c r="DZ75" s="56" t="s">
        <v>1188</v>
      </c>
      <c r="EA75" s="56">
        <v>258</v>
      </c>
      <c r="EB75" s="56" t="s">
        <v>1187</v>
      </c>
      <c r="EC75" s="56">
        <v>44932</v>
      </c>
      <c r="ED75" s="56">
        <v>2</v>
      </c>
      <c r="EE75" s="56" t="s">
        <v>639</v>
      </c>
      <c r="EF75" s="56">
        <v>2</v>
      </c>
      <c r="EG75" s="56" t="s">
        <v>639</v>
      </c>
      <c r="EH75" s="56">
        <v>2</v>
      </c>
      <c r="EI75" s="56" t="s">
        <v>639</v>
      </c>
      <c r="EJ75" s="56">
        <v>2</v>
      </c>
      <c r="EK75" s="56" t="s">
        <v>639</v>
      </c>
      <c r="EL75" s="56">
        <v>25</v>
      </c>
      <c r="EM75" s="56">
        <v>15</v>
      </c>
      <c r="EN75" s="56">
        <v>5173</v>
      </c>
      <c r="EO75" s="56">
        <v>1805</v>
      </c>
      <c r="EP75" s="56">
        <v>6792</v>
      </c>
      <c r="EQ75" s="56" t="s">
        <v>751</v>
      </c>
      <c r="ER75" s="56" t="s">
        <v>752</v>
      </c>
      <c r="ES75" s="56">
        <v>2</v>
      </c>
      <c r="ET75" s="56" t="s">
        <v>682</v>
      </c>
      <c r="EU75" s="56" t="s">
        <v>683</v>
      </c>
      <c r="EV75" s="56" t="s">
        <v>683</v>
      </c>
      <c r="FD75" s="56" t="s">
        <v>1192</v>
      </c>
      <c r="FK75" s="56">
        <v>0</v>
      </c>
    </row>
    <row r="76" spans="1:167" x14ac:dyDescent="0.2">
      <c r="A76" s="56">
        <v>29029</v>
      </c>
      <c r="B76" s="56">
        <v>2</v>
      </c>
      <c r="C76" s="56">
        <v>6352</v>
      </c>
      <c r="D76" s="56" t="s">
        <v>634</v>
      </c>
      <c r="E76" s="56" t="s">
        <v>635</v>
      </c>
      <c r="K76" s="56" t="s">
        <v>1193</v>
      </c>
      <c r="L76" s="56" t="s">
        <v>637</v>
      </c>
      <c r="M76" s="56">
        <v>44932</v>
      </c>
      <c r="N76" s="56">
        <v>44934</v>
      </c>
      <c r="O76" s="56">
        <v>38</v>
      </c>
      <c r="P76" s="56" t="s">
        <v>638</v>
      </c>
      <c r="Q76" s="56">
        <v>2</v>
      </c>
      <c r="R76" s="56" t="s">
        <v>639</v>
      </c>
      <c r="S76" s="56" t="s">
        <v>640</v>
      </c>
      <c r="T76" s="56" t="s">
        <v>641</v>
      </c>
      <c r="U76" s="56" t="s">
        <v>735</v>
      </c>
      <c r="V76" s="56" t="s">
        <v>643</v>
      </c>
      <c r="W76" s="56">
        <v>48</v>
      </c>
      <c r="X76" s="56" t="s">
        <v>699</v>
      </c>
      <c r="Y76" s="56">
        <v>98</v>
      </c>
      <c r="Z76" s="56" t="s">
        <v>645</v>
      </c>
      <c r="AA76" s="56" t="s">
        <v>646</v>
      </c>
      <c r="AB76" s="56" t="s">
        <v>647</v>
      </c>
      <c r="AC76" s="56" t="s">
        <v>643</v>
      </c>
      <c r="AD76" s="56" t="s">
        <v>648</v>
      </c>
      <c r="AE76" s="56">
        <v>91</v>
      </c>
      <c r="AF76" s="56" t="s">
        <v>736</v>
      </c>
      <c r="AG76" s="56" t="s">
        <v>737</v>
      </c>
      <c r="AH76" s="56" t="s">
        <v>643</v>
      </c>
      <c r="AI76" s="56" t="s">
        <v>735</v>
      </c>
      <c r="AJ76" s="56">
        <v>139</v>
      </c>
      <c r="AK76" s="56" t="s">
        <v>651</v>
      </c>
      <c r="AL76" s="56">
        <v>91</v>
      </c>
      <c r="AM76" s="56" t="s">
        <v>736</v>
      </c>
      <c r="AN76" s="56" t="s">
        <v>737</v>
      </c>
      <c r="AO76" s="56" t="s">
        <v>738</v>
      </c>
      <c r="AP76" s="56" t="s">
        <v>643</v>
      </c>
      <c r="AQ76" s="56" t="s">
        <v>735</v>
      </c>
      <c r="AR76" s="56">
        <v>98</v>
      </c>
      <c r="AS76" s="56" t="s">
        <v>645</v>
      </c>
      <c r="AT76" s="56" t="s">
        <v>646</v>
      </c>
      <c r="AU76" s="56" t="s">
        <v>643</v>
      </c>
      <c r="AV76" s="56" t="s">
        <v>648</v>
      </c>
      <c r="AW76" s="56">
        <v>258</v>
      </c>
      <c r="AX76" s="56" t="s">
        <v>1187</v>
      </c>
      <c r="AY76" s="56">
        <v>91</v>
      </c>
      <c r="AZ76" s="56" t="s">
        <v>1188</v>
      </c>
      <c r="BA76" s="56" t="s">
        <v>1189</v>
      </c>
      <c r="BB76" s="56" t="s">
        <v>1011</v>
      </c>
      <c r="BC76" s="56">
        <v>93</v>
      </c>
      <c r="BD76" s="56" t="s">
        <v>1012</v>
      </c>
      <c r="BE76" s="56" t="s">
        <v>1013</v>
      </c>
      <c r="BF76" s="56">
        <v>93</v>
      </c>
      <c r="BG76" s="56" t="s">
        <v>1012</v>
      </c>
      <c r="BH76" s="56" t="s">
        <v>1013</v>
      </c>
      <c r="BI76" s="56">
        <v>25.98</v>
      </c>
      <c r="BJ76" s="56">
        <v>71189.88</v>
      </c>
      <c r="BK76" s="56">
        <v>25.98</v>
      </c>
      <c r="BL76" s="56" t="s">
        <v>659</v>
      </c>
      <c r="BM76" s="56">
        <v>3104</v>
      </c>
      <c r="BN76" s="56" t="s">
        <v>1052</v>
      </c>
      <c r="BO76" s="56" t="s">
        <v>1081</v>
      </c>
      <c r="BP76" s="56">
        <v>3767.1</v>
      </c>
      <c r="BQ76" s="56">
        <v>3242.15</v>
      </c>
      <c r="BR76" s="56">
        <v>0</v>
      </c>
      <c r="BS76" s="56">
        <v>0</v>
      </c>
      <c r="BT76" s="56">
        <v>5110.0600000000004</v>
      </c>
      <c r="BU76" s="56">
        <v>28335</v>
      </c>
      <c r="BV76" s="56">
        <v>98</v>
      </c>
      <c r="BW76" s="56" t="s">
        <v>645</v>
      </c>
      <c r="BX76" s="56" t="s">
        <v>1194</v>
      </c>
      <c r="BY76" s="56" t="s">
        <v>663</v>
      </c>
      <c r="BZ76" s="56">
        <v>0.25</v>
      </c>
      <c r="CA76" s="56" t="s">
        <v>664</v>
      </c>
      <c r="CB76" s="56" t="s">
        <v>665</v>
      </c>
      <c r="CC76" s="56" t="s">
        <v>747</v>
      </c>
      <c r="CD76" s="56" t="s">
        <v>667</v>
      </c>
      <c r="CF76" s="56">
        <v>0</v>
      </c>
      <c r="CG76" s="56">
        <v>0</v>
      </c>
      <c r="CH76" s="56">
        <v>145</v>
      </c>
      <c r="CI76" s="56">
        <v>103</v>
      </c>
      <c r="CJ76" s="56">
        <v>19.5</v>
      </c>
      <c r="CK76" s="56">
        <v>3277.4090103338631</v>
      </c>
      <c r="CL76" s="56">
        <v>2638.3020429252783</v>
      </c>
      <c r="CM76" s="56">
        <v>8.5500000000000007</v>
      </c>
      <c r="CN76" s="56">
        <v>452.05</v>
      </c>
      <c r="CO76" s="56">
        <v>452.05</v>
      </c>
      <c r="CP76" s="56">
        <v>72.900000000000006</v>
      </c>
      <c r="CQ76" s="56" t="s">
        <v>668</v>
      </c>
      <c r="CR76" s="56">
        <v>0</v>
      </c>
      <c r="CS76" s="56">
        <v>72.900000000000006</v>
      </c>
      <c r="CT76" s="56" t="s">
        <v>669</v>
      </c>
      <c r="CU76" s="56">
        <v>0</v>
      </c>
      <c r="CV76" s="56">
        <v>0</v>
      </c>
      <c r="CX76" s="56">
        <v>639.11</v>
      </c>
      <c r="CY76" s="56">
        <v>0</v>
      </c>
      <c r="CZ76" s="56">
        <v>-61.35</v>
      </c>
      <c r="DA76" s="56">
        <v>299.89999999999998</v>
      </c>
      <c r="DB76" s="56">
        <v>361.25</v>
      </c>
      <c r="DC76" s="56">
        <v>3303.5</v>
      </c>
      <c r="DD76" s="56">
        <v>-56.71</v>
      </c>
      <c r="DE76" s="56">
        <v>0</v>
      </c>
      <c r="DF76" s="56">
        <v>12.23</v>
      </c>
      <c r="DG76" s="56">
        <v>68.94</v>
      </c>
      <c r="DH76" s="56" t="s">
        <v>670</v>
      </c>
      <c r="DI76" s="56" t="s">
        <v>671</v>
      </c>
      <c r="DK76" s="56">
        <v>14.49</v>
      </c>
      <c r="DL76" s="56">
        <v>1057.18</v>
      </c>
      <c r="DM76" s="56">
        <v>93</v>
      </c>
      <c r="DN76" s="56" t="s">
        <v>748</v>
      </c>
      <c r="DO76" s="56" t="s">
        <v>236</v>
      </c>
      <c r="DP76" s="56" t="s">
        <v>673</v>
      </c>
      <c r="DQ76" s="56" t="s">
        <v>674</v>
      </c>
      <c r="DR76" s="56">
        <v>2</v>
      </c>
      <c r="DX76" s="56" t="s">
        <v>678</v>
      </c>
      <c r="DY76" s="56" t="s">
        <v>1191</v>
      </c>
      <c r="DZ76" s="56" t="s">
        <v>1188</v>
      </c>
      <c r="EA76" s="56">
        <v>258</v>
      </c>
      <c r="EB76" s="56" t="s">
        <v>1187</v>
      </c>
      <c r="EC76" s="56">
        <v>44932</v>
      </c>
      <c r="ED76" s="56">
        <v>2</v>
      </c>
      <c r="EE76" s="56" t="s">
        <v>639</v>
      </c>
      <c r="EF76" s="56">
        <v>2</v>
      </c>
      <c r="EG76" s="56" t="s">
        <v>639</v>
      </c>
      <c r="EH76" s="56">
        <v>2</v>
      </c>
      <c r="EI76" s="56" t="s">
        <v>639</v>
      </c>
      <c r="EJ76" s="56">
        <v>2</v>
      </c>
      <c r="EK76" s="56" t="s">
        <v>639</v>
      </c>
      <c r="EL76" s="56">
        <v>25</v>
      </c>
      <c r="EM76" s="56">
        <v>15</v>
      </c>
      <c r="EN76" s="56">
        <v>5173</v>
      </c>
      <c r="EO76" s="56">
        <v>1805</v>
      </c>
      <c r="EP76" s="56">
        <v>6792</v>
      </c>
      <c r="EQ76" s="56" t="s">
        <v>751</v>
      </c>
      <c r="ER76" s="56" t="s">
        <v>752</v>
      </c>
      <c r="ES76" s="56">
        <v>2</v>
      </c>
      <c r="ET76" s="56" t="s">
        <v>682</v>
      </c>
      <c r="EU76" s="56" t="s">
        <v>683</v>
      </c>
      <c r="EV76" s="56" t="s">
        <v>683</v>
      </c>
      <c r="FD76" s="56" t="s">
        <v>1195</v>
      </c>
      <c r="FK76" s="56">
        <v>0</v>
      </c>
    </row>
    <row r="77" spans="1:167" x14ac:dyDescent="0.2">
      <c r="A77" s="56">
        <v>29030</v>
      </c>
      <c r="B77" s="56">
        <v>2</v>
      </c>
      <c r="C77" s="56">
        <v>6352</v>
      </c>
      <c r="D77" s="56" t="s">
        <v>634</v>
      </c>
      <c r="E77" s="56" t="s">
        <v>635</v>
      </c>
      <c r="K77" s="56" t="s">
        <v>1196</v>
      </c>
      <c r="L77" s="56" t="s">
        <v>637</v>
      </c>
      <c r="M77" s="56">
        <v>44933</v>
      </c>
      <c r="N77" s="56">
        <v>44935</v>
      </c>
      <c r="O77" s="56">
        <v>38</v>
      </c>
      <c r="P77" s="56" t="s">
        <v>638</v>
      </c>
      <c r="Q77" s="56">
        <v>2</v>
      </c>
      <c r="R77" s="56" t="s">
        <v>639</v>
      </c>
      <c r="S77" s="56" t="s">
        <v>640</v>
      </c>
      <c r="T77" s="56" t="s">
        <v>641</v>
      </c>
      <c r="U77" s="56" t="s">
        <v>735</v>
      </c>
      <c r="V77" s="56" t="s">
        <v>643</v>
      </c>
      <c r="W77" s="56">
        <v>48</v>
      </c>
      <c r="X77" s="56" t="s">
        <v>699</v>
      </c>
      <c r="Y77" s="56">
        <v>98</v>
      </c>
      <c r="Z77" s="56" t="s">
        <v>645</v>
      </c>
      <c r="AA77" s="56" t="s">
        <v>646</v>
      </c>
      <c r="AB77" s="56" t="s">
        <v>647</v>
      </c>
      <c r="AC77" s="56" t="s">
        <v>643</v>
      </c>
      <c r="AD77" s="56" t="s">
        <v>648</v>
      </c>
      <c r="AE77" s="56">
        <v>91</v>
      </c>
      <c r="AF77" s="56" t="s">
        <v>736</v>
      </c>
      <c r="AG77" s="56" t="s">
        <v>737</v>
      </c>
      <c r="AH77" s="56" t="s">
        <v>643</v>
      </c>
      <c r="AI77" s="56" t="s">
        <v>735</v>
      </c>
      <c r="AJ77" s="56">
        <v>139</v>
      </c>
      <c r="AK77" s="56" t="s">
        <v>651</v>
      </c>
      <c r="AL77" s="56">
        <v>91</v>
      </c>
      <c r="AM77" s="56" t="s">
        <v>736</v>
      </c>
      <c r="AN77" s="56" t="s">
        <v>737</v>
      </c>
      <c r="AO77" s="56" t="s">
        <v>738</v>
      </c>
      <c r="AP77" s="56" t="s">
        <v>643</v>
      </c>
      <c r="AQ77" s="56" t="s">
        <v>735</v>
      </c>
      <c r="AR77" s="56">
        <v>98</v>
      </c>
      <c r="AS77" s="56" t="s">
        <v>645</v>
      </c>
      <c r="AT77" s="56" t="s">
        <v>646</v>
      </c>
      <c r="AU77" s="56" t="s">
        <v>643</v>
      </c>
      <c r="AV77" s="56" t="s">
        <v>648</v>
      </c>
      <c r="AW77" s="56">
        <v>101</v>
      </c>
      <c r="AX77" s="56" t="s">
        <v>1197</v>
      </c>
      <c r="AY77" s="56">
        <v>213</v>
      </c>
      <c r="AZ77" s="56" t="s">
        <v>1198</v>
      </c>
      <c r="BA77" s="56" t="s">
        <v>1199</v>
      </c>
      <c r="BB77" s="56" t="s">
        <v>1200</v>
      </c>
      <c r="BC77" s="56">
        <v>102</v>
      </c>
      <c r="BD77" s="56" t="s">
        <v>1201</v>
      </c>
      <c r="BE77" s="56" t="s">
        <v>1202</v>
      </c>
      <c r="BF77" s="56">
        <v>102</v>
      </c>
      <c r="BG77" s="56" t="s">
        <v>1201</v>
      </c>
      <c r="BH77" s="56" t="s">
        <v>1202</v>
      </c>
      <c r="BI77" s="56">
        <v>29.5</v>
      </c>
      <c r="BJ77" s="56">
        <v>80835.31</v>
      </c>
      <c r="BK77" s="56">
        <v>29.5</v>
      </c>
      <c r="BL77" s="56" t="s">
        <v>659</v>
      </c>
      <c r="BM77" s="56">
        <v>3104</v>
      </c>
      <c r="BN77" s="56" t="s">
        <v>786</v>
      </c>
      <c r="BO77" s="56" t="s">
        <v>1203</v>
      </c>
      <c r="BP77" s="56">
        <v>4277.5</v>
      </c>
      <c r="BQ77" s="56">
        <v>3715.6</v>
      </c>
      <c r="BR77" s="56">
        <v>0</v>
      </c>
      <c r="BS77" s="56">
        <v>0</v>
      </c>
      <c r="BT77" s="56">
        <v>2989.9</v>
      </c>
      <c r="BU77" s="56">
        <v>28338</v>
      </c>
      <c r="BV77" s="56">
        <v>98</v>
      </c>
      <c r="BW77" s="56" t="s">
        <v>645</v>
      </c>
      <c r="BX77" s="56" t="s">
        <v>1204</v>
      </c>
      <c r="BY77" s="56" t="s">
        <v>663</v>
      </c>
      <c r="BZ77" s="56">
        <v>0.25</v>
      </c>
      <c r="CA77" s="56" t="s">
        <v>664</v>
      </c>
      <c r="CB77" s="56" t="s">
        <v>665</v>
      </c>
      <c r="CC77" s="56" t="s">
        <v>1205</v>
      </c>
      <c r="CD77" s="56" t="s">
        <v>667</v>
      </c>
      <c r="CF77" s="56">
        <v>2391.92</v>
      </c>
      <c r="CG77" s="56">
        <v>80</v>
      </c>
      <c r="CH77" s="56">
        <v>145</v>
      </c>
      <c r="CI77" s="56">
        <v>103</v>
      </c>
      <c r="CJ77" s="56">
        <v>19.53</v>
      </c>
      <c r="CK77" s="56">
        <v>3715.6</v>
      </c>
      <c r="CL77" s="56">
        <v>2989.9</v>
      </c>
      <c r="CM77" s="56">
        <v>27.98</v>
      </c>
      <c r="CN77" s="56">
        <v>513.29999999999995</v>
      </c>
      <c r="CO77" s="56">
        <v>513.29999999999995</v>
      </c>
      <c r="CP77" s="56">
        <v>48.6</v>
      </c>
      <c r="CQ77" s="56" t="s">
        <v>668</v>
      </c>
      <c r="CR77" s="56">
        <v>0</v>
      </c>
      <c r="CS77" s="56">
        <v>48.6</v>
      </c>
      <c r="CT77" s="56" t="s">
        <v>669</v>
      </c>
      <c r="CU77" s="56">
        <v>0</v>
      </c>
      <c r="CV77" s="56">
        <v>0</v>
      </c>
      <c r="CX77" s="56">
        <v>711.09</v>
      </c>
      <c r="CY77" s="56">
        <v>0</v>
      </c>
      <c r="CZ77" s="56">
        <v>131.78</v>
      </c>
      <c r="DA77" s="56">
        <v>343.7</v>
      </c>
      <c r="DB77" s="56">
        <v>211.92</v>
      </c>
      <c r="DC77" s="56">
        <v>3583.82</v>
      </c>
      <c r="DD77" s="56">
        <v>-11.92</v>
      </c>
      <c r="DE77" s="56">
        <v>0</v>
      </c>
      <c r="DF77" s="56">
        <v>13.89</v>
      </c>
      <c r="DG77" s="56">
        <v>40.42</v>
      </c>
      <c r="DH77" s="56" t="s">
        <v>670</v>
      </c>
      <c r="DI77" s="56" t="s">
        <v>671</v>
      </c>
      <c r="DK77" s="56">
        <v>14.5</v>
      </c>
      <c r="DL77" s="56">
        <v>620.45000000000005</v>
      </c>
      <c r="DM77" s="56">
        <v>93</v>
      </c>
      <c r="DN77" s="56" t="s">
        <v>748</v>
      </c>
      <c r="DO77" s="56" t="s">
        <v>236</v>
      </c>
      <c r="DP77" s="56" t="s">
        <v>1206</v>
      </c>
      <c r="DQ77" s="56" t="s">
        <v>674</v>
      </c>
      <c r="DR77" s="56">
        <v>2</v>
      </c>
      <c r="DS77" s="56" t="s">
        <v>1207</v>
      </c>
      <c r="DT77" s="56" t="s">
        <v>1208</v>
      </c>
      <c r="DU77" s="56">
        <v>36</v>
      </c>
      <c r="DV77" s="56" t="s">
        <v>677</v>
      </c>
      <c r="DX77" s="56" t="s">
        <v>678</v>
      </c>
      <c r="DY77" s="56" t="s">
        <v>679</v>
      </c>
      <c r="ED77" s="56">
        <v>2</v>
      </c>
      <c r="EE77" s="56" t="s">
        <v>639</v>
      </c>
      <c r="EF77" s="56">
        <v>2</v>
      </c>
      <c r="EG77" s="56" t="s">
        <v>639</v>
      </c>
      <c r="EH77" s="56">
        <v>2</v>
      </c>
      <c r="EI77" s="56" t="s">
        <v>639</v>
      </c>
      <c r="EJ77" s="56">
        <v>2</v>
      </c>
      <c r="EK77" s="56" t="s">
        <v>639</v>
      </c>
      <c r="EL77" s="56">
        <v>25</v>
      </c>
      <c r="EM77" s="56">
        <v>15</v>
      </c>
      <c r="EN77" s="56">
        <v>5173</v>
      </c>
      <c r="EO77" s="56">
        <v>1805</v>
      </c>
      <c r="EP77" s="56">
        <v>6794</v>
      </c>
      <c r="EQ77" s="56" t="s">
        <v>751</v>
      </c>
      <c r="ER77" s="56" t="s">
        <v>752</v>
      </c>
      <c r="ES77" s="56">
        <v>2</v>
      </c>
      <c r="ET77" s="56" t="s">
        <v>682</v>
      </c>
      <c r="EU77" s="56" t="s">
        <v>683</v>
      </c>
      <c r="EV77" s="56" t="s">
        <v>683</v>
      </c>
      <c r="FD77" s="56" t="s">
        <v>1209</v>
      </c>
      <c r="FK77" s="56">
        <v>0</v>
      </c>
    </row>
    <row r="78" spans="1:167" x14ac:dyDescent="0.2">
      <c r="A78" s="56">
        <v>29031</v>
      </c>
      <c r="B78" s="56">
        <v>2</v>
      </c>
      <c r="C78" s="56">
        <v>6352</v>
      </c>
      <c r="D78" s="56" t="s">
        <v>634</v>
      </c>
      <c r="E78" s="56" t="s">
        <v>635</v>
      </c>
      <c r="K78" s="56" t="s">
        <v>1210</v>
      </c>
      <c r="L78" s="56" t="s">
        <v>637</v>
      </c>
      <c r="M78" s="56">
        <v>44933</v>
      </c>
      <c r="N78" s="56">
        <v>44935</v>
      </c>
      <c r="O78" s="56">
        <v>38</v>
      </c>
      <c r="P78" s="56" t="s">
        <v>638</v>
      </c>
      <c r="Q78" s="56">
        <v>2</v>
      </c>
      <c r="R78" s="56" t="s">
        <v>639</v>
      </c>
      <c r="S78" s="56" t="s">
        <v>1057</v>
      </c>
      <c r="T78" s="56" t="s">
        <v>641</v>
      </c>
      <c r="U78" s="56" t="s">
        <v>1058</v>
      </c>
      <c r="V78" s="56" t="s">
        <v>643</v>
      </c>
      <c r="W78" s="56">
        <v>46</v>
      </c>
      <c r="X78" s="56" t="s">
        <v>811</v>
      </c>
      <c r="Y78" s="56">
        <v>278</v>
      </c>
      <c r="Z78" s="56" t="s">
        <v>1059</v>
      </c>
      <c r="AA78" s="56" t="s">
        <v>1060</v>
      </c>
      <c r="AB78" s="56" t="s">
        <v>1061</v>
      </c>
      <c r="AC78" s="56" t="s">
        <v>641</v>
      </c>
      <c r="AD78" s="56" t="s">
        <v>1057</v>
      </c>
      <c r="AL78" s="56">
        <v>208</v>
      </c>
      <c r="AM78" s="56" t="s">
        <v>1062</v>
      </c>
      <c r="AN78" s="56" t="s">
        <v>1063</v>
      </c>
      <c r="AO78" s="56" t="s">
        <v>1064</v>
      </c>
      <c r="AP78" s="56" t="s">
        <v>643</v>
      </c>
      <c r="AQ78" s="56" t="s">
        <v>1058</v>
      </c>
      <c r="AR78" s="56">
        <v>208</v>
      </c>
      <c r="AS78" s="56" t="s">
        <v>1062</v>
      </c>
      <c r="AT78" s="56" t="s">
        <v>1063</v>
      </c>
      <c r="AU78" s="56" t="s">
        <v>643</v>
      </c>
      <c r="AV78" s="56" t="s">
        <v>1058</v>
      </c>
      <c r="AW78" s="56">
        <v>1185</v>
      </c>
      <c r="AX78" s="56" t="s">
        <v>1211</v>
      </c>
      <c r="AY78" s="56">
        <v>1432</v>
      </c>
      <c r="AZ78" s="56" t="s">
        <v>1212</v>
      </c>
      <c r="BA78" s="56" t="s">
        <v>1213</v>
      </c>
      <c r="BB78" s="56" t="s">
        <v>1068</v>
      </c>
      <c r="BC78" s="56">
        <v>929</v>
      </c>
      <c r="BD78" s="56" t="s">
        <v>1069</v>
      </c>
      <c r="BE78" s="56" t="s">
        <v>1070</v>
      </c>
      <c r="BF78" s="56">
        <v>929</v>
      </c>
      <c r="BG78" s="56" t="s">
        <v>1069</v>
      </c>
      <c r="BH78" s="56" t="s">
        <v>1070</v>
      </c>
      <c r="BI78" s="56">
        <v>35.08</v>
      </c>
      <c r="BJ78" s="56">
        <v>2911.64</v>
      </c>
      <c r="BK78" s="56">
        <v>35.08</v>
      </c>
      <c r="BL78" s="56" t="s">
        <v>1071</v>
      </c>
      <c r="BM78" s="56">
        <v>2518</v>
      </c>
      <c r="BN78" s="56" t="s">
        <v>786</v>
      </c>
      <c r="BO78" s="56" t="s">
        <v>1144</v>
      </c>
      <c r="BP78" s="56">
        <v>4034.2</v>
      </c>
      <c r="BQ78" s="56">
        <v>3531.2</v>
      </c>
      <c r="BR78" s="56">
        <v>0</v>
      </c>
      <c r="BS78" s="56">
        <v>0</v>
      </c>
      <c r="BT78" s="56">
        <v>3208.46</v>
      </c>
      <c r="BU78" s="56">
        <v>271760</v>
      </c>
      <c r="BV78" s="56">
        <v>208</v>
      </c>
      <c r="BW78" s="56" t="s">
        <v>1062</v>
      </c>
      <c r="BX78" s="56" t="s">
        <v>1214</v>
      </c>
      <c r="BY78" s="56" t="s">
        <v>663</v>
      </c>
      <c r="BZ78" s="56">
        <v>0.5</v>
      </c>
      <c r="CA78" s="56" t="s">
        <v>664</v>
      </c>
      <c r="CB78" s="56" t="s">
        <v>1073</v>
      </c>
      <c r="CC78" s="56" t="s">
        <v>1074</v>
      </c>
      <c r="CD78" s="56" t="s">
        <v>667</v>
      </c>
      <c r="CF78" s="56">
        <v>2580</v>
      </c>
      <c r="CG78" s="56">
        <v>80.41</v>
      </c>
      <c r="CH78" s="56">
        <v>115</v>
      </c>
      <c r="CI78" s="56">
        <v>92</v>
      </c>
      <c r="CJ78" s="56">
        <v>9.14</v>
      </c>
      <c r="CK78" s="56">
        <v>3531.2</v>
      </c>
      <c r="CL78" s="56">
        <v>3208.46</v>
      </c>
      <c r="CM78" s="56">
        <v>48.98</v>
      </c>
      <c r="CN78" s="56">
        <v>484.1</v>
      </c>
      <c r="CO78" s="56">
        <v>484.1</v>
      </c>
      <c r="CP78" s="56">
        <v>18.899999999999999</v>
      </c>
      <c r="CQ78" s="56" t="s">
        <v>668</v>
      </c>
      <c r="CR78" s="56">
        <v>0</v>
      </c>
      <c r="CS78" s="56">
        <v>18.899999999999999</v>
      </c>
      <c r="CT78" s="56" t="s">
        <v>669</v>
      </c>
      <c r="CU78" s="56">
        <v>0</v>
      </c>
      <c r="CV78" s="56">
        <v>0</v>
      </c>
      <c r="CX78" s="56">
        <v>322.74</v>
      </c>
      <c r="CY78" s="56">
        <v>0</v>
      </c>
      <c r="CZ78" s="56">
        <v>28.1</v>
      </c>
      <c r="DA78" s="56">
        <v>326.63</v>
      </c>
      <c r="DB78" s="56">
        <v>298.52999999999997</v>
      </c>
      <c r="DC78" s="56">
        <v>3503.1</v>
      </c>
      <c r="DD78" s="56">
        <v>-0.96</v>
      </c>
      <c r="DE78" s="56">
        <v>0</v>
      </c>
      <c r="DF78" s="56">
        <v>0.5</v>
      </c>
      <c r="DG78" s="56">
        <v>1.46</v>
      </c>
      <c r="DH78" s="56" t="s">
        <v>670</v>
      </c>
      <c r="DI78" s="56" t="s">
        <v>671</v>
      </c>
      <c r="DK78" s="56">
        <v>7.33</v>
      </c>
      <c r="DL78" s="56">
        <v>295.60000000000002</v>
      </c>
      <c r="DO78" s="56" t="s">
        <v>236</v>
      </c>
      <c r="DP78" s="56" t="s">
        <v>673</v>
      </c>
      <c r="DQ78" s="56" t="s">
        <v>674</v>
      </c>
      <c r="DR78" s="56">
        <v>3</v>
      </c>
      <c r="DX78" s="56" t="s">
        <v>678</v>
      </c>
      <c r="DY78" s="56" t="s">
        <v>679</v>
      </c>
      <c r="ED78" s="56">
        <v>1</v>
      </c>
      <c r="EE78" s="56" t="s">
        <v>809</v>
      </c>
      <c r="EF78" s="56">
        <v>1</v>
      </c>
      <c r="EG78" s="56" t="s">
        <v>809</v>
      </c>
      <c r="EH78" s="56">
        <v>1</v>
      </c>
      <c r="EI78" s="56" t="s">
        <v>809</v>
      </c>
      <c r="EJ78" s="56">
        <v>1</v>
      </c>
      <c r="EK78" s="56" t="s">
        <v>809</v>
      </c>
      <c r="EL78" s="56">
        <v>25</v>
      </c>
      <c r="EM78" s="56">
        <v>15</v>
      </c>
      <c r="EN78" s="56">
        <v>5235</v>
      </c>
      <c r="EO78" s="56">
        <v>2441</v>
      </c>
      <c r="EP78" s="56">
        <v>6158</v>
      </c>
      <c r="ER78" s="56" t="s">
        <v>1075</v>
      </c>
      <c r="ES78" s="56">
        <v>2</v>
      </c>
      <c r="ET78" s="56" t="s">
        <v>682</v>
      </c>
      <c r="EU78" s="56" t="s">
        <v>683</v>
      </c>
      <c r="EV78" s="56" t="s">
        <v>683</v>
      </c>
      <c r="FD78" s="56" t="s">
        <v>1215</v>
      </c>
      <c r="FK78" s="56">
        <v>0</v>
      </c>
    </row>
    <row r="79" spans="1:167" x14ac:dyDescent="0.2">
      <c r="A79" s="56">
        <v>29035</v>
      </c>
      <c r="B79" s="56">
        <v>2</v>
      </c>
      <c r="C79" s="56">
        <v>6352</v>
      </c>
      <c r="D79" s="56" t="s">
        <v>634</v>
      </c>
      <c r="E79" s="56" t="s">
        <v>635</v>
      </c>
      <c r="K79" s="56" t="s">
        <v>1216</v>
      </c>
      <c r="L79" s="56" t="s">
        <v>637</v>
      </c>
      <c r="M79" s="56">
        <v>44933</v>
      </c>
      <c r="N79" s="56">
        <v>44935</v>
      </c>
      <c r="O79" s="56">
        <v>38</v>
      </c>
      <c r="P79" s="56" t="s">
        <v>638</v>
      </c>
      <c r="Q79" s="56">
        <v>2</v>
      </c>
      <c r="R79" s="56" t="s">
        <v>639</v>
      </c>
      <c r="S79" s="56" t="s">
        <v>1057</v>
      </c>
      <c r="T79" s="56" t="s">
        <v>641</v>
      </c>
      <c r="U79" s="56" t="s">
        <v>1058</v>
      </c>
      <c r="V79" s="56" t="s">
        <v>643</v>
      </c>
      <c r="W79" s="56">
        <v>41</v>
      </c>
      <c r="X79" s="56" t="s">
        <v>1217</v>
      </c>
      <c r="Y79" s="56">
        <v>278</v>
      </c>
      <c r="Z79" s="56" t="s">
        <v>1059</v>
      </c>
      <c r="AA79" s="56" t="s">
        <v>1060</v>
      </c>
      <c r="AB79" s="56" t="s">
        <v>1061</v>
      </c>
      <c r="AC79" s="56" t="s">
        <v>641</v>
      </c>
      <c r="AD79" s="56" t="s">
        <v>1057</v>
      </c>
      <c r="AL79" s="56">
        <v>208</v>
      </c>
      <c r="AM79" s="56" t="s">
        <v>1062</v>
      </c>
      <c r="AN79" s="56" t="s">
        <v>1063</v>
      </c>
      <c r="AO79" s="56" t="s">
        <v>1064</v>
      </c>
      <c r="AP79" s="56" t="s">
        <v>643</v>
      </c>
      <c r="AQ79" s="56" t="s">
        <v>1058</v>
      </c>
      <c r="AR79" s="56">
        <v>208</v>
      </c>
      <c r="AS79" s="56" t="s">
        <v>1062</v>
      </c>
      <c r="AT79" s="56" t="s">
        <v>1063</v>
      </c>
      <c r="AU79" s="56" t="s">
        <v>643</v>
      </c>
      <c r="AV79" s="56" t="s">
        <v>1058</v>
      </c>
      <c r="AW79" s="56">
        <v>1183</v>
      </c>
      <c r="AX79" s="56" t="s">
        <v>1218</v>
      </c>
      <c r="AY79" s="56">
        <v>1429</v>
      </c>
      <c r="AZ79" s="56" t="s">
        <v>1219</v>
      </c>
      <c r="BA79" s="56" t="s">
        <v>1220</v>
      </c>
      <c r="BB79" s="56" t="s">
        <v>1068</v>
      </c>
      <c r="BC79" s="56">
        <v>929</v>
      </c>
      <c r="BD79" s="56" t="s">
        <v>1069</v>
      </c>
      <c r="BE79" s="56" t="s">
        <v>1070</v>
      </c>
      <c r="BF79" s="56">
        <v>796</v>
      </c>
      <c r="BG79" s="56" t="s">
        <v>1221</v>
      </c>
      <c r="BH79" s="56" t="s">
        <v>1222</v>
      </c>
      <c r="BI79" s="56">
        <v>35.03</v>
      </c>
      <c r="BJ79" s="56">
        <v>2907.49</v>
      </c>
      <c r="BK79" s="56">
        <v>35.03</v>
      </c>
      <c r="BL79" s="56" t="s">
        <v>1071</v>
      </c>
      <c r="BM79" s="56">
        <v>2518</v>
      </c>
      <c r="BN79" s="56" t="s">
        <v>786</v>
      </c>
      <c r="BO79" s="56" t="s">
        <v>1203</v>
      </c>
      <c r="BP79" s="56">
        <v>4028.45</v>
      </c>
      <c r="BQ79" s="56">
        <v>3545.04</v>
      </c>
      <c r="BR79" s="56">
        <v>0</v>
      </c>
      <c r="BS79" s="56">
        <v>0</v>
      </c>
      <c r="BT79" s="56">
        <v>3222.76</v>
      </c>
      <c r="BU79" s="56">
        <v>271761</v>
      </c>
      <c r="BV79" s="56">
        <v>208</v>
      </c>
      <c r="BW79" s="56" t="s">
        <v>1062</v>
      </c>
      <c r="BX79" s="56" t="s">
        <v>1223</v>
      </c>
      <c r="BY79" s="56" t="s">
        <v>663</v>
      </c>
      <c r="BZ79" s="56">
        <v>0.5</v>
      </c>
      <c r="CA79" s="56" t="s">
        <v>664</v>
      </c>
      <c r="CB79" s="56" t="s">
        <v>1073</v>
      </c>
      <c r="CC79" s="56" t="s">
        <v>1184</v>
      </c>
      <c r="CD79" s="56" t="s">
        <v>667</v>
      </c>
      <c r="CF79" s="56">
        <v>2500</v>
      </c>
      <c r="CG79" s="56">
        <v>77.569999999999993</v>
      </c>
      <c r="CH79" s="56">
        <v>115</v>
      </c>
      <c r="CI79" s="56">
        <v>92</v>
      </c>
      <c r="CJ79" s="56">
        <v>9.09</v>
      </c>
      <c r="CK79" s="56">
        <v>3545.04</v>
      </c>
      <c r="CL79" s="56">
        <v>3222.76</v>
      </c>
      <c r="CM79" s="56">
        <v>48.98</v>
      </c>
      <c r="CN79" s="56">
        <v>483.41</v>
      </c>
      <c r="CO79" s="56">
        <v>483.41</v>
      </c>
      <c r="CP79" s="56">
        <v>0</v>
      </c>
      <c r="CQ79" s="56" t="s">
        <v>708</v>
      </c>
      <c r="CR79" s="56">
        <v>0</v>
      </c>
      <c r="CS79" s="56">
        <v>0</v>
      </c>
      <c r="CT79" s="56" t="s">
        <v>1224</v>
      </c>
      <c r="CU79" s="56">
        <v>0</v>
      </c>
      <c r="CV79" s="56">
        <v>0</v>
      </c>
      <c r="CX79" s="56">
        <v>322.27999999999997</v>
      </c>
      <c r="CY79" s="56">
        <v>0</v>
      </c>
      <c r="CZ79" s="56">
        <v>29.8</v>
      </c>
      <c r="DA79" s="56">
        <v>327.91</v>
      </c>
      <c r="DB79" s="56">
        <v>298.11</v>
      </c>
      <c r="DC79" s="56">
        <v>3515.24</v>
      </c>
      <c r="DD79" s="56">
        <v>-0.95</v>
      </c>
      <c r="DE79" s="56">
        <v>0</v>
      </c>
      <c r="DF79" s="56">
        <v>0.5</v>
      </c>
      <c r="DG79" s="56">
        <v>1.45</v>
      </c>
      <c r="DH79" s="56" t="s">
        <v>670</v>
      </c>
      <c r="DI79" s="56" t="s">
        <v>671</v>
      </c>
      <c r="DK79" s="56">
        <v>7.28</v>
      </c>
      <c r="DL79" s="56">
        <v>293.43</v>
      </c>
      <c r="DO79" s="56" t="s">
        <v>236</v>
      </c>
      <c r="DQ79" s="56" t="s">
        <v>674</v>
      </c>
      <c r="DR79" s="56">
        <v>3</v>
      </c>
      <c r="DX79" s="56" t="s">
        <v>678</v>
      </c>
      <c r="DY79" s="56" t="s">
        <v>679</v>
      </c>
      <c r="ED79" s="56">
        <v>1</v>
      </c>
      <c r="EE79" s="56" t="s">
        <v>809</v>
      </c>
      <c r="EF79" s="56">
        <v>1</v>
      </c>
      <c r="EG79" s="56" t="s">
        <v>809</v>
      </c>
      <c r="EH79" s="56">
        <v>1</v>
      </c>
      <c r="EI79" s="56" t="s">
        <v>809</v>
      </c>
      <c r="EJ79" s="56">
        <v>1</v>
      </c>
      <c r="EK79" s="56" t="s">
        <v>809</v>
      </c>
      <c r="EL79" s="56">
        <v>25</v>
      </c>
      <c r="EM79" s="56">
        <v>15</v>
      </c>
      <c r="EN79" s="56">
        <v>5235</v>
      </c>
      <c r="EO79" s="56">
        <v>2441</v>
      </c>
      <c r="EP79" s="56">
        <v>6158</v>
      </c>
      <c r="ER79" s="56" t="s">
        <v>1075</v>
      </c>
      <c r="ES79" s="56">
        <v>2</v>
      </c>
      <c r="ET79" s="56" t="s">
        <v>682</v>
      </c>
      <c r="EU79" s="56" t="s">
        <v>683</v>
      </c>
      <c r="EV79" s="56" t="s">
        <v>683</v>
      </c>
      <c r="FD79" s="56" t="s">
        <v>1225</v>
      </c>
      <c r="FK79" s="56">
        <v>0</v>
      </c>
    </row>
    <row r="80" spans="1:167" x14ac:dyDescent="0.2">
      <c r="A80" s="56">
        <v>29036</v>
      </c>
      <c r="B80" s="56">
        <v>2</v>
      </c>
      <c r="C80" s="56">
        <v>6352</v>
      </c>
      <c r="D80" s="56" t="s">
        <v>634</v>
      </c>
      <c r="E80" s="56" t="s">
        <v>635</v>
      </c>
      <c r="K80" s="56" t="s">
        <v>1226</v>
      </c>
      <c r="L80" s="56" t="s">
        <v>637</v>
      </c>
      <c r="M80" s="56">
        <v>44933</v>
      </c>
      <c r="N80" s="56">
        <v>44935</v>
      </c>
      <c r="O80" s="56">
        <v>38</v>
      </c>
      <c r="P80" s="56" t="s">
        <v>638</v>
      </c>
      <c r="Q80" s="56">
        <v>2</v>
      </c>
      <c r="R80" s="56" t="s">
        <v>639</v>
      </c>
      <c r="S80" s="56" t="s">
        <v>893</v>
      </c>
      <c r="T80" s="56" t="s">
        <v>641</v>
      </c>
      <c r="U80" s="56" t="s">
        <v>1227</v>
      </c>
      <c r="V80" s="56" t="s">
        <v>643</v>
      </c>
      <c r="W80" s="56">
        <v>48</v>
      </c>
      <c r="X80" s="56" t="s">
        <v>699</v>
      </c>
      <c r="Y80" s="56">
        <v>90</v>
      </c>
      <c r="Z80" s="56" t="s">
        <v>894</v>
      </c>
      <c r="AA80" s="56" t="s">
        <v>895</v>
      </c>
      <c r="AB80" s="56" t="s">
        <v>896</v>
      </c>
      <c r="AC80" s="56" t="s">
        <v>641</v>
      </c>
      <c r="AD80" s="56" t="s">
        <v>893</v>
      </c>
      <c r="AL80" s="56">
        <v>52</v>
      </c>
      <c r="AM80" s="56" t="s">
        <v>1228</v>
      </c>
      <c r="AN80" s="56" t="s">
        <v>1229</v>
      </c>
      <c r="AO80" s="56" t="s">
        <v>1230</v>
      </c>
      <c r="AP80" s="56" t="s">
        <v>643</v>
      </c>
      <c r="AQ80" s="56" t="s">
        <v>1227</v>
      </c>
      <c r="AR80" s="56">
        <v>52</v>
      </c>
      <c r="AS80" s="56" t="s">
        <v>1228</v>
      </c>
      <c r="AT80" s="56" t="s">
        <v>1229</v>
      </c>
      <c r="AU80" s="56" t="s">
        <v>643</v>
      </c>
      <c r="AV80" s="56" t="s">
        <v>1227</v>
      </c>
      <c r="AW80" s="56">
        <v>108</v>
      </c>
      <c r="AX80" s="56" t="s">
        <v>977</v>
      </c>
      <c r="AY80" s="56">
        <v>47</v>
      </c>
      <c r="AZ80" s="56" t="s">
        <v>32</v>
      </c>
      <c r="BA80" s="56" t="s">
        <v>978</v>
      </c>
      <c r="BB80" s="56" t="s">
        <v>770</v>
      </c>
      <c r="BC80" s="56">
        <v>38</v>
      </c>
      <c r="BD80" s="56" t="s">
        <v>289</v>
      </c>
      <c r="BE80" s="56" t="s">
        <v>771</v>
      </c>
      <c r="BF80" s="56">
        <v>2</v>
      </c>
      <c r="BG80" s="56" t="s">
        <v>289</v>
      </c>
      <c r="BH80" s="56" t="s">
        <v>772</v>
      </c>
      <c r="BI80" s="56">
        <v>46.46</v>
      </c>
      <c r="BJ80" s="56">
        <v>147177.17000000001</v>
      </c>
      <c r="BK80" s="56">
        <v>46.46</v>
      </c>
      <c r="BL80" s="56" t="s">
        <v>1231</v>
      </c>
      <c r="BM80" s="56">
        <v>3105</v>
      </c>
      <c r="BN80" s="56" t="s">
        <v>724</v>
      </c>
      <c r="BO80" s="56" t="s">
        <v>725</v>
      </c>
      <c r="BP80" s="56">
        <v>6504.4</v>
      </c>
      <c r="BQ80" s="56">
        <v>5626.67</v>
      </c>
      <c r="BR80" s="56">
        <v>0</v>
      </c>
      <c r="BS80" s="56">
        <v>0</v>
      </c>
      <c r="BT80" s="56">
        <v>0</v>
      </c>
      <c r="BU80" s="56">
        <v>718526</v>
      </c>
      <c r="BV80" s="56">
        <v>52</v>
      </c>
      <c r="BW80" s="56" t="s">
        <v>1228</v>
      </c>
      <c r="BX80" s="56" t="s">
        <v>1232</v>
      </c>
      <c r="BY80" s="56" t="s">
        <v>663</v>
      </c>
      <c r="BZ80" s="56">
        <v>0.25</v>
      </c>
      <c r="CA80" s="56" t="s">
        <v>664</v>
      </c>
      <c r="CB80" s="56" t="s">
        <v>1233</v>
      </c>
      <c r="CD80" s="56" t="s">
        <v>667</v>
      </c>
      <c r="CG80" s="56">
        <v>0</v>
      </c>
      <c r="CH80" s="56">
        <v>140</v>
      </c>
      <c r="CJ80" s="56">
        <v>100</v>
      </c>
      <c r="CK80" s="56">
        <v>5626.67</v>
      </c>
      <c r="CL80" s="56">
        <v>0</v>
      </c>
      <c r="CN80" s="56">
        <v>780.53</v>
      </c>
      <c r="CO80" s="56">
        <v>780.53</v>
      </c>
      <c r="CP80" s="56">
        <v>97.2</v>
      </c>
      <c r="CQ80" s="56" t="s">
        <v>668</v>
      </c>
      <c r="CR80" s="56">
        <v>0</v>
      </c>
      <c r="CS80" s="56">
        <v>0</v>
      </c>
      <c r="CV80" s="56">
        <v>0</v>
      </c>
      <c r="CX80" s="56">
        <v>0</v>
      </c>
      <c r="CY80" s="56">
        <v>0</v>
      </c>
      <c r="CZ80" s="56">
        <v>520.47</v>
      </c>
      <c r="DA80" s="56">
        <v>520.47</v>
      </c>
      <c r="DB80" s="56">
        <v>0</v>
      </c>
      <c r="DC80" s="56">
        <v>5106.2</v>
      </c>
      <c r="DD80" s="56">
        <v>25.29</v>
      </c>
      <c r="DE80" s="56">
        <v>0</v>
      </c>
      <c r="DF80" s="56">
        <v>25.29</v>
      </c>
      <c r="DH80" s="56" t="s">
        <v>670</v>
      </c>
      <c r="DI80" s="56" t="s">
        <v>671</v>
      </c>
      <c r="DK80" s="56">
        <v>79.61</v>
      </c>
      <c r="DL80" s="56">
        <v>5178.1099999999997</v>
      </c>
      <c r="DM80" s="56">
        <v>10</v>
      </c>
      <c r="DN80" s="56">
        <v>138129</v>
      </c>
      <c r="DO80" s="56" t="s">
        <v>236</v>
      </c>
      <c r="DQ80" s="56" t="s">
        <v>674</v>
      </c>
      <c r="DR80" s="56">
        <v>3</v>
      </c>
      <c r="DX80" s="56" t="s">
        <v>678</v>
      </c>
      <c r="DY80" s="56" t="s">
        <v>679</v>
      </c>
      <c r="EL80" s="56">
        <v>25</v>
      </c>
      <c r="EM80" s="56">
        <v>15</v>
      </c>
      <c r="EN80" s="56">
        <v>4779</v>
      </c>
      <c r="EO80" s="56">
        <v>2420</v>
      </c>
      <c r="EP80" s="56" t="s">
        <v>1234</v>
      </c>
      <c r="EQ80" s="56" t="s">
        <v>1235</v>
      </c>
      <c r="ER80" s="56" t="s">
        <v>1236</v>
      </c>
      <c r="ES80" s="56">
        <v>2</v>
      </c>
      <c r="ET80" s="56" t="s">
        <v>682</v>
      </c>
      <c r="EU80" s="56" t="s">
        <v>683</v>
      </c>
      <c r="EV80" s="56" t="s">
        <v>683</v>
      </c>
      <c r="FD80" s="56" t="s">
        <v>1237</v>
      </c>
      <c r="FK80" s="56">
        <v>0</v>
      </c>
    </row>
    <row r="81" spans="1:167" x14ac:dyDescent="0.2">
      <c r="A81" s="56">
        <v>29037</v>
      </c>
      <c r="B81" s="56">
        <v>2</v>
      </c>
      <c r="C81" s="56">
        <v>6352</v>
      </c>
      <c r="D81" s="56" t="s">
        <v>634</v>
      </c>
      <c r="E81" s="56" t="s">
        <v>635</v>
      </c>
      <c r="K81" s="56" t="s">
        <v>1238</v>
      </c>
      <c r="L81" s="56" t="s">
        <v>637</v>
      </c>
      <c r="M81" s="56">
        <v>44933</v>
      </c>
      <c r="N81" s="56">
        <v>44935</v>
      </c>
      <c r="O81" s="56">
        <v>38</v>
      </c>
      <c r="P81" s="56" t="s">
        <v>638</v>
      </c>
      <c r="Q81" s="56">
        <v>2</v>
      </c>
      <c r="R81" s="56" t="s">
        <v>639</v>
      </c>
      <c r="S81" s="56" t="s">
        <v>893</v>
      </c>
      <c r="T81" s="56" t="s">
        <v>641</v>
      </c>
      <c r="U81" s="56" t="s">
        <v>1227</v>
      </c>
      <c r="V81" s="56" t="s">
        <v>643</v>
      </c>
      <c r="W81" s="56">
        <v>48</v>
      </c>
      <c r="X81" s="56" t="s">
        <v>699</v>
      </c>
      <c r="Y81" s="56">
        <v>90</v>
      </c>
      <c r="Z81" s="56" t="s">
        <v>894</v>
      </c>
      <c r="AA81" s="56" t="s">
        <v>895</v>
      </c>
      <c r="AB81" s="56" t="s">
        <v>896</v>
      </c>
      <c r="AC81" s="56" t="s">
        <v>641</v>
      </c>
      <c r="AD81" s="56" t="s">
        <v>893</v>
      </c>
      <c r="AL81" s="56">
        <v>52</v>
      </c>
      <c r="AM81" s="56" t="s">
        <v>1228</v>
      </c>
      <c r="AN81" s="56" t="s">
        <v>1229</v>
      </c>
      <c r="AO81" s="56" t="s">
        <v>1230</v>
      </c>
      <c r="AP81" s="56" t="s">
        <v>643</v>
      </c>
      <c r="AQ81" s="56" t="s">
        <v>1227</v>
      </c>
      <c r="AR81" s="56">
        <v>52</v>
      </c>
      <c r="AS81" s="56" t="s">
        <v>1228</v>
      </c>
      <c r="AT81" s="56" t="s">
        <v>1229</v>
      </c>
      <c r="AU81" s="56" t="s">
        <v>643</v>
      </c>
      <c r="AV81" s="56" t="s">
        <v>1227</v>
      </c>
      <c r="AW81" s="56">
        <v>50</v>
      </c>
      <c r="AX81" s="56" t="s">
        <v>881</v>
      </c>
      <c r="AY81" s="56">
        <v>77</v>
      </c>
      <c r="AZ81" s="56" t="s">
        <v>131</v>
      </c>
      <c r="BA81" s="56" t="s">
        <v>882</v>
      </c>
      <c r="BB81" s="56" t="s">
        <v>770</v>
      </c>
      <c r="BC81" s="56">
        <v>38</v>
      </c>
      <c r="BD81" s="56" t="s">
        <v>289</v>
      </c>
      <c r="BE81" s="56" t="s">
        <v>771</v>
      </c>
      <c r="BF81" s="56">
        <v>2</v>
      </c>
      <c r="BG81" s="56" t="s">
        <v>289</v>
      </c>
      <c r="BH81" s="56" t="s">
        <v>772</v>
      </c>
      <c r="BI81" s="56">
        <v>46.76</v>
      </c>
      <c r="BJ81" s="56">
        <v>148127.51</v>
      </c>
      <c r="BK81" s="56">
        <v>46.76</v>
      </c>
      <c r="BL81" s="56" t="s">
        <v>1231</v>
      </c>
      <c r="BM81" s="56">
        <v>3105</v>
      </c>
      <c r="BN81" s="56" t="s">
        <v>786</v>
      </c>
      <c r="BO81" s="56" t="s">
        <v>883</v>
      </c>
      <c r="BP81" s="56">
        <v>6546.4</v>
      </c>
      <c r="BQ81" s="56">
        <v>5663.63</v>
      </c>
      <c r="BR81" s="56">
        <v>0</v>
      </c>
      <c r="BS81" s="56">
        <v>0</v>
      </c>
      <c r="BT81" s="56">
        <v>0</v>
      </c>
      <c r="BU81" s="56">
        <v>718536</v>
      </c>
      <c r="BV81" s="56">
        <v>52</v>
      </c>
      <c r="BW81" s="56" t="s">
        <v>1228</v>
      </c>
      <c r="BX81" s="56" t="s">
        <v>1239</v>
      </c>
      <c r="BY81" s="56" t="s">
        <v>663</v>
      </c>
      <c r="BZ81" s="56">
        <v>0.25</v>
      </c>
      <c r="CA81" s="56" t="s">
        <v>664</v>
      </c>
      <c r="CB81" s="56" t="s">
        <v>1233</v>
      </c>
      <c r="CD81" s="56" t="s">
        <v>667</v>
      </c>
      <c r="CG81" s="56">
        <v>0</v>
      </c>
      <c r="CH81" s="56">
        <v>140</v>
      </c>
      <c r="CJ81" s="56">
        <v>100</v>
      </c>
      <c r="CK81" s="56">
        <v>5663.63</v>
      </c>
      <c r="CL81" s="56">
        <v>0</v>
      </c>
      <c r="CN81" s="56">
        <v>785.57</v>
      </c>
      <c r="CO81" s="56">
        <v>785.57</v>
      </c>
      <c r="CP81" s="56">
        <v>97.2</v>
      </c>
      <c r="CQ81" s="56" t="s">
        <v>668</v>
      </c>
      <c r="CR81" s="56">
        <v>0</v>
      </c>
      <c r="CS81" s="56">
        <v>0</v>
      </c>
      <c r="CV81" s="56">
        <v>0</v>
      </c>
      <c r="CX81" s="56">
        <v>0</v>
      </c>
      <c r="CY81" s="56">
        <v>0</v>
      </c>
      <c r="CZ81" s="56">
        <v>523.89</v>
      </c>
      <c r="DA81" s="56">
        <v>523.89</v>
      </c>
      <c r="DB81" s="56">
        <v>0</v>
      </c>
      <c r="DC81" s="56">
        <v>5139.74</v>
      </c>
      <c r="DD81" s="56">
        <v>25.45</v>
      </c>
      <c r="DE81" s="56">
        <v>0</v>
      </c>
      <c r="DF81" s="56">
        <v>25.45</v>
      </c>
      <c r="DH81" s="56" t="s">
        <v>670</v>
      </c>
      <c r="DI81" s="56" t="s">
        <v>671</v>
      </c>
      <c r="DK81" s="56">
        <v>79.61</v>
      </c>
      <c r="DL81" s="56">
        <v>5211.49</v>
      </c>
      <c r="DM81" s="56">
        <v>10</v>
      </c>
      <c r="DN81" s="56">
        <v>138129</v>
      </c>
      <c r="DO81" s="56" t="s">
        <v>236</v>
      </c>
      <c r="DQ81" s="56" t="s">
        <v>674</v>
      </c>
      <c r="DR81" s="56">
        <v>3</v>
      </c>
      <c r="DW81" s="56">
        <v>360</v>
      </c>
      <c r="DX81" s="56" t="s">
        <v>678</v>
      </c>
      <c r="DY81" s="56" t="s">
        <v>679</v>
      </c>
      <c r="EL81" s="56">
        <v>25</v>
      </c>
      <c r="EM81" s="56">
        <v>15</v>
      </c>
      <c r="EN81" s="56">
        <v>4779</v>
      </c>
      <c r="EO81" s="56">
        <v>2420</v>
      </c>
      <c r="EP81" s="56">
        <v>6802</v>
      </c>
      <c r="EQ81" s="56" t="s">
        <v>1235</v>
      </c>
      <c r="ER81" s="56" t="s">
        <v>1236</v>
      </c>
      <c r="ES81" s="56">
        <v>2</v>
      </c>
      <c r="ET81" s="56" t="s">
        <v>682</v>
      </c>
      <c r="EU81" s="56" t="s">
        <v>683</v>
      </c>
      <c r="EV81" s="56" t="s">
        <v>683</v>
      </c>
      <c r="FD81" s="56" t="s">
        <v>1240</v>
      </c>
      <c r="FK81" s="56">
        <v>0</v>
      </c>
    </row>
    <row r="82" spans="1:167" x14ac:dyDescent="0.2">
      <c r="A82" s="56">
        <v>29038</v>
      </c>
      <c r="B82" s="56">
        <v>2</v>
      </c>
      <c r="C82" s="56">
        <v>6352</v>
      </c>
      <c r="D82" s="56" t="s">
        <v>634</v>
      </c>
      <c r="E82" s="56" t="s">
        <v>635</v>
      </c>
      <c r="K82" s="56" t="s">
        <v>1241</v>
      </c>
      <c r="L82" s="56" t="s">
        <v>637</v>
      </c>
      <c r="M82" s="56">
        <v>44933</v>
      </c>
      <c r="N82" s="56">
        <v>44935</v>
      </c>
      <c r="O82" s="56">
        <v>38</v>
      </c>
      <c r="P82" s="56" t="s">
        <v>638</v>
      </c>
      <c r="Q82" s="56">
        <v>2</v>
      </c>
      <c r="R82" s="56" t="s">
        <v>639</v>
      </c>
      <c r="S82" s="56" t="s">
        <v>893</v>
      </c>
      <c r="T82" s="56" t="s">
        <v>641</v>
      </c>
      <c r="U82" s="56" t="s">
        <v>1227</v>
      </c>
      <c r="V82" s="56" t="s">
        <v>643</v>
      </c>
      <c r="W82" s="56">
        <v>48</v>
      </c>
      <c r="X82" s="56" t="s">
        <v>699</v>
      </c>
      <c r="Y82" s="56">
        <v>90</v>
      </c>
      <c r="Z82" s="56" t="s">
        <v>894</v>
      </c>
      <c r="AA82" s="56" t="s">
        <v>895</v>
      </c>
      <c r="AB82" s="56" t="s">
        <v>896</v>
      </c>
      <c r="AC82" s="56" t="s">
        <v>641</v>
      </c>
      <c r="AD82" s="56" t="s">
        <v>893</v>
      </c>
      <c r="AL82" s="56">
        <v>52</v>
      </c>
      <c r="AM82" s="56" t="s">
        <v>1228</v>
      </c>
      <c r="AN82" s="56" t="s">
        <v>1229</v>
      </c>
      <c r="AO82" s="56" t="s">
        <v>1230</v>
      </c>
      <c r="AP82" s="56" t="s">
        <v>643</v>
      </c>
      <c r="AQ82" s="56" t="s">
        <v>1227</v>
      </c>
      <c r="AR82" s="56">
        <v>52</v>
      </c>
      <c r="AS82" s="56" t="s">
        <v>1228</v>
      </c>
      <c r="AT82" s="56" t="s">
        <v>1229</v>
      </c>
      <c r="AU82" s="56" t="s">
        <v>643</v>
      </c>
      <c r="AV82" s="56" t="s">
        <v>1227</v>
      </c>
      <c r="AW82" s="56">
        <v>109</v>
      </c>
      <c r="AX82" s="56" t="s">
        <v>826</v>
      </c>
      <c r="AY82" s="56">
        <v>20</v>
      </c>
      <c r="AZ82" s="56" t="s">
        <v>30</v>
      </c>
      <c r="BA82" s="56" t="s">
        <v>827</v>
      </c>
      <c r="BB82" s="56" t="s">
        <v>770</v>
      </c>
      <c r="BC82" s="56">
        <v>38</v>
      </c>
      <c r="BD82" s="56" t="s">
        <v>289</v>
      </c>
      <c r="BE82" s="56" t="s">
        <v>771</v>
      </c>
      <c r="BF82" s="56">
        <v>2</v>
      </c>
      <c r="BG82" s="56" t="s">
        <v>289</v>
      </c>
      <c r="BH82" s="56" t="s">
        <v>772</v>
      </c>
      <c r="BI82" s="56">
        <v>46.07</v>
      </c>
      <c r="BJ82" s="56">
        <v>145941.71</v>
      </c>
      <c r="BK82" s="56">
        <v>46.07</v>
      </c>
      <c r="BL82" s="56" t="s">
        <v>1231</v>
      </c>
      <c r="BM82" s="56">
        <v>3105</v>
      </c>
      <c r="BN82" s="56" t="s">
        <v>724</v>
      </c>
      <c r="BO82" s="56" t="s">
        <v>725</v>
      </c>
      <c r="BP82" s="56">
        <v>6449.8</v>
      </c>
      <c r="BQ82" s="56">
        <v>5578.62</v>
      </c>
      <c r="BR82" s="56">
        <v>0</v>
      </c>
      <c r="BS82" s="56">
        <v>0</v>
      </c>
      <c r="BT82" s="56">
        <v>0</v>
      </c>
      <c r="BU82" s="56">
        <v>718532</v>
      </c>
      <c r="BV82" s="56">
        <v>52</v>
      </c>
      <c r="BW82" s="56" t="s">
        <v>1228</v>
      </c>
      <c r="BX82" s="56" t="s">
        <v>1242</v>
      </c>
      <c r="BY82" s="56" t="s">
        <v>663</v>
      </c>
      <c r="BZ82" s="56">
        <v>0.25</v>
      </c>
      <c r="CA82" s="56" t="s">
        <v>664</v>
      </c>
      <c r="CB82" s="56" t="s">
        <v>1233</v>
      </c>
      <c r="CD82" s="56" t="s">
        <v>667</v>
      </c>
      <c r="CG82" s="56">
        <v>0</v>
      </c>
      <c r="CH82" s="56">
        <v>140</v>
      </c>
      <c r="CJ82" s="56">
        <v>100</v>
      </c>
      <c r="CK82" s="56">
        <v>5578.62</v>
      </c>
      <c r="CL82" s="56">
        <v>0</v>
      </c>
      <c r="CN82" s="56">
        <v>773.98</v>
      </c>
      <c r="CO82" s="56">
        <v>773.98</v>
      </c>
      <c r="CP82" s="56">
        <v>97.2</v>
      </c>
      <c r="CQ82" s="56" t="s">
        <v>668</v>
      </c>
      <c r="CR82" s="56">
        <v>0</v>
      </c>
      <c r="CS82" s="56">
        <v>0</v>
      </c>
      <c r="CV82" s="56">
        <v>0</v>
      </c>
      <c r="CX82" s="56">
        <v>0</v>
      </c>
      <c r="CY82" s="56">
        <v>0</v>
      </c>
      <c r="CZ82" s="56">
        <v>516.03</v>
      </c>
      <c r="DA82" s="56">
        <v>516.03</v>
      </c>
      <c r="DB82" s="56">
        <v>0</v>
      </c>
      <c r="DC82" s="56">
        <v>5062.59</v>
      </c>
      <c r="DD82" s="56">
        <v>25.07</v>
      </c>
      <c r="DE82" s="56">
        <v>0</v>
      </c>
      <c r="DF82" s="56">
        <v>25.07</v>
      </c>
      <c r="DH82" s="56" t="s">
        <v>670</v>
      </c>
      <c r="DI82" s="56" t="s">
        <v>671</v>
      </c>
      <c r="DK82" s="56">
        <v>79.61</v>
      </c>
      <c r="DL82" s="56">
        <v>5134.72</v>
      </c>
      <c r="DM82" s="56">
        <v>10</v>
      </c>
      <c r="DN82" s="56">
        <v>138129</v>
      </c>
      <c r="DO82" s="56" t="s">
        <v>236</v>
      </c>
      <c r="DQ82" s="56" t="s">
        <v>674</v>
      </c>
      <c r="DR82" s="56">
        <v>3</v>
      </c>
      <c r="DW82" s="56">
        <v>360</v>
      </c>
      <c r="DX82" s="56" t="s">
        <v>678</v>
      </c>
      <c r="DY82" s="56" t="s">
        <v>679</v>
      </c>
      <c r="EL82" s="56">
        <v>25</v>
      </c>
      <c r="EM82" s="56">
        <v>15</v>
      </c>
      <c r="EN82" s="56">
        <v>4779</v>
      </c>
      <c r="EO82" s="56">
        <v>2420</v>
      </c>
      <c r="EP82" s="56">
        <v>6802</v>
      </c>
      <c r="EQ82" s="56" t="s">
        <v>1235</v>
      </c>
      <c r="ER82" s="56" t="s">
        <v>1236</v>
      </c>
      <c r="ES82" s="56">
        <v>2</v>
      </c>
      <c r="ET82" s="56" t="s">
        <v>682</v>
      </c>
      <c r="EU82" s="56" t="s">
        <v>683</v>
      </c>
      <c r="EV82" s="56" t="s">
        <v>683</v>
      </c>
      <c r="FD82" s="56" t="s">
        <v>1243</v>
      </c>
      <c r="FK82" s="56">
        <v>0</v>
      </c>
    </row>
    <row r="83" spans="1:167" x14ac:dyDescent="0.2">
      <c r="A83" s="56">
        <v>29039</v>
      </c>
      <c r="B83" s="56">
        <v>2</v>
      </c>
      <c r="C83" s="56">
        <v>6352</v>
      </c>
      <c r="D83" s="56" t="s">
        <v>634</v>
      </c>
      <c r="E83" s="56" t="s">
        <v>635</v>
      </c>
      <c r="K83" s="56" t="s">
        <v>1244</v>
      </c>
      <c r="L83" s="56" t="s">
        <v>637</v>
      </c>
      <c r="M83" s="56">
        <v>44933</v>
      </c>
      <c r="N83" s="56">
        <v>44935</v>
      </c>
      <c r="O83" s="56">
        <v>38</v>
      </c>
      <c r="P83" s="56" t="s">
        <v>638</v>
      </c>
      <c r="Q83" s="56">
        <v>2</v>
      </c>
      <c r="R83" s="56" t="s">
        <v>639</v>
      </c>
      <c r="S83" s="56" t="s">
        <v>893</v>
      </c>
      <c r="T83" s="56" t="s">
        <v>641</v>
      </c>
      <c r="U83" s="56" t="s">
        <v>1227</v>
      </c>
      <c r="V83" s="56" t="s">
        <v>643</v>
      </c>
      <c r="W83" s="56">
        <v>48</v>
      </c>
      <c r="X83" s="56" t="s">
        <v>699</v>
      </c>
      <c r="Y83" s="56">
        <v>90</v>
      </c>
      <c r="Z83" s="56" t="s">
        <v>894</v>
      </c>
      <c r="AA83" s="56" t="s">
        <v>895</v>
      </c>
      <c r="AB83" s="56" t="s">
        <v>896</v>
      </c>
      <c r="AC83" s="56" t="s">
        <v>641</v>
      </c>
      <c r="AD83" s="56" t="s">
        <v>893</v>
      </c>
      <c r="AL83" s="56">
        <v>52</v>
      </c>
      <c r="AM83" s="56" t="s">
        <v>1228</v>
      </c>
      <c r="AN83" s="56" t="s">
        <v>1229</v>
      </c>
      <c r="AO83" s="56" t="s">
        <v>1230</v>
      </c>
      <c r="AP83" s="56" t="s">
        <v>643</v>
      </c>
      <c r="AQ83" s="56" t="s">
        <v>1227</v>
      </c>
      <c r="AR83" s="56">
        <v>52</v>
      </c>
      <c r="AS83" s="56" t="s">
        <v>1228</v>
      </c>
      <c r="AT83" s="56" t="s">
        <v>1229</v>
      </c>
      <c r="AU83" s="56" t="s">
        <v>643</v>
      </c>
      <c r="AV83" s="56" t="s">
        <v>1227</v>
      </c>
      <c r="AW83" s="56">
        <v>107</v>
      </c>
      <c r="AX83" s="56" t="s">
        <v>1003</v>
      </c>
      <c r="AY83" s="56">
        <v>39</v>
      </c>
      <c r="AZ83" s="56" t="s">
        <v>27</v>
      </c>
      <c r="BA83" s="56" t="s">
        <v>1004</v>
      </c>
      <c r="BB83" s="56" t="s">
        <v>770</v>
      </c>
      <c r="BC83" s="56">
        <v>38</v>
      </c>
      <c r="BD83" s="56" t="s">
        <v>289</v>
      </c>
      <c r="BE83" s="56" t="s">
        <v>771</v>
      </c>
      <c r="BF83" s="56">
        <v>2</v>
      </c>
      <c r="BG83" s="56" t="s">
        <v>289</v>
      </c>
      <c r="BH83" s="56" t="s">
        <v>772</v>
      </c>
      <c r="BI83" s="56">
        <v>45.92</v>
      </c>
      <c r="BJ83" s="56">
        <v>145466.54</v>
      </c>
      <c r="BK83" s="56">
        <v>45.92</v>
      </c>
      <c r="BL83" s="56" t="s">
        <v>1231</v>
      </c>
      <c r="BM83" s="56">
        <v>3105</v>
      </c>
      <c r="BN83" s="56" t="s">
        <v>786</v>
      </c>
      <c r="BO83" s="56" t="s">
        <v>911</v>
      </c>
      <c r="BP83" s="56">
        <v>6428.8</v>
      </c>
      <c r="BQ83" s="56">
        <v>5560.14</v>
      </c>
      <c r="BR83" s="56">
        <v>0</v>
      </c>
      <c r="BS83" s="56">
        <v>0</v>
      </c>
      <c r="BT83" s="56">
        <v>0</v>
      </c>
      <c r="BU83" s="56">
        <v>718530</v>
      </c>
      <c r="BV83" s="56">
        <v>52</v>
      </c>
      <c r="BW83" s="56" t="s">
        <v>1228</v>
      </c>
      <c r="BX83" s="56" t="s">
        <v>1245</v>
      </c>
      <c r="BY83" s="56" t="s">
        <v>663</v>
      </c>
      <c r="BZ83" s="56">
        <v>0.25</v>
      </c>
      <c r="CA83" s="56" t="s">
        <v>664</v>
      </c>
      <c r="CB83" s="56" t="s">
        <v>1233</v>
      </c>
      <c r="CD83" s="56" t="s">
        <v>667</v>
      </c>
      <c r="CG83" s="56">
        <v>0</v>
      </c>
      <c r="CH83" s="56">
        <v>140</v>
      </c>
      <c r="CJ83" s="56">
        <v>100</v>
      </c>
      <c r="CK83" s="56">
        <v>5560.14</v>
      </c>
      <c r="CL83" s="56">
        <v>0</v>
      </c>
      <c r="CN83" s="56">
        <v>771.46</v>
      </c>
      <c r="CO83" s="56">
        <v>771.46</v>
      </c>
      <c r="CP83" s="56">
        <v>97.2</v>
      </c>
      <c r="CQ83" s="56" t="s">
        <v>668</v>
      </c>
      <c r="CR83" s="56">
        <v>0</v>
      </c>
      <c r="CS83" s="56">
        <v>0</v>
      </c>
      <c r="CV83" s="56">
        <v>0</v>
      </c>
      <c r="CX83" s="56">
        <v>0</v>
      </c>
      <c r="CY83" s="56">
        <v>0</v>
      </c>
      <c r="CZ83" s="56">
        <v>514.30999999999995</v>
      </c>
      <c r="DA83" s="56">
        <v>514.30999999999995</v>
      </c>
      <c r="DB83" s="56">
        <v>0</v>
      </c>
      <c r="DC83" s="56">
        <v>5045.83</v>
      </c>
      <c r="DD83" s="56">
        <v>24.99</v>
      </c>
      <c r="DE83" s="56">
        <v>0</v>
      </c>
      <c r="DF83" s="56">
        <v>24.99</v>
      </c>
      <c r="DH83" s="56" t="s">
        <v>670</v>
      </c>
      <c r="DI83" s="56" t="s">
        <v>671</v>
      </c>
      <c r="DK83" s="56">
        <v>79.61</v>
      </c>
      <c r="DL83" s="56">
        <v>5118.04</v>
      </c>
      <c r="DM83" s="56">
        <v>10</v>
      </c>
      <c r="DN83" s="56">
        <v>138129</v>
      </c>
      <c r="DO83" s="56" t="s">
        <v>236</v>
      </c>
      <c r="DQ83" s="56" t="s">
        <v>674</v>
      </c>
      <c r="DR83" s="56">
        <v>3</v>
      </c>
      <c r="DW83" s="56">
        <v>360</v>
      </c>
      <c r="DX83" s="56" t="s">
        <v>678</v>
      </c>
      <c r="DY83" s="56" t="s">
        <v>679</v>
      </c>
      <c r="EL83" s="56">
        <v>25</v>
      </c>
      <c r="EM83" s="56">
        <v>15</v>
      </c>
      <c r="EN83" s="56">
        <v>4779</v>
      </c>
      <c r="EO83" s="56">
        <v>2420</v>
      </c>
      <c r="EP83" s="56">
        <v>6802</v>
      </c>
      <c r="EQ83" s="56" t="s">
        <v>1235</v>
      </c>
      <c r="ER83" s="56" t="s">
        <v>1236</v>
      </c>
      <c r="ES83" s="56">
        <v>2</v>
      </c>
      <c r="ET83" s="56" t="s">
        <v>682</v>
      </c>
      <c r="EU83" s="56" t="s">
        <v>683</v>
      </c>
      <c r="EV83" s="56" t="s">
        <v>683</v>
      </c>
      <c r="FD83" s="56" t="s">
        <v>1246</v>
      </c>
      <c r="FK83" s="56">
        <v>0</v>
      </c>
    </row>
    <row r="84" spans="1:167" x14ac:dyDescent="0.2">
      <c r="A84" s="56">
        <v>29040</v>
      </c>
      <c r="B84" s="56">
        <v>2</v>
      </c>
      <c r="C84" s="56">
        <v>6352</v>
      </c>
      <c r="D84" s="56" t="s">
        <v>634</v>
      </c>
      <c r="E84" s="56" t="s">
        <v>635</v>
      </c>
      <c r="K84" s="56" t="s">
        <v>1247</v>
      </c>
      <c r="L84" s="56" t="s">
        <v>637</v>
      </c>
      <c r="M84" s="56">
        <v>44933</v>
      </c>
      <c r="N84" s="56">
        <v>44935</v>
      </c>
      <c r="O84" s="56">
        <v>38</v>
      </c>
      <c r="P84" s="56" t="s">
        <v>638</v>
      </c>
      <c r="Q84" s="56">
        <v>2</v>
      </c>
      <c r="R84" s="56" t="s">
        <v>639</v>
      </c>
      <c r="S84" s="56" t="s">
        <v>893</v>
      </c>
      <c r="T84" s="56" t="s">
        <v>641</v>
      </c>
      <c r="U84" s="56" t="s">
        <v>1058</v>
      </c>
      <c r="V84" s="56" t="s">
        <v>643</v>
      </c>
      <c r="W84" s="56">
        <v>48</v>
      </c>
      <c r="X84" s="56" t="s">
        <v>699</v>
      </c>
      <c r="Y84" s="56">
        <v>90</v>
      </c>
      <c r="Z84" s="56" t="s">
        <v>894</v>
      </c>
      <c r="AA84" s="56" t="s">
        <v>895</v>
      </c>
      <c r="AB84" s="56" t="s">
        <v>896</v>
      </c>
      <c r="AC84" s="56" t="s">
        <v>641</v>
      </c>
      <c r="AD84" s="56" t="s">
        <v>893</v>
      </c>
      <c r="AE84" s="56">
        <v>208</v>
      </c>
      <c r="AF84" s="56" t="s">
        <v>1062</v>
      </c>
      <c r="AG84" s="56" t="s">
        <v>1063</v>
      </c>
      <c r="AH84" s="56" t="s">
        <v>643</v>
      </c>
      <c r="AI84" s="56" t="s">
        <v>1058</v>
      </c>
      <c r="AJ84" s="56">
        <v>90</v>
      </c>
      <c r="AK84" s="56" t="s">
        <v>894</v>
      </c>
      <c r="AL84" s="56">
        <v>208</v>
      </c>
      <c r="AM84" s="56" t="s">
        <v>1062</v>
      </c>
      <c r="AN84" s="56" t="s">
        <v>1063</v>
      </c>
      <c r="AO84" s="56" t="s">
        <v>1064</v>
      </c>
      <c r="AP84" s="56" t="s">
        <v>643</v>
      </c>
      <c r="AQ84" s="56" t="s">
        <v>1058</v>
      </c>
      <c r="AR84" s="56">
        <v>208</v>
      </c>
      <c r="AS84" s="56" t="s">
        <v>1062</v>
      </c>
      <c r="AT84" s="56" t="s">
        <v>1063</v>
      </c>
      <c r="AU84" s="56" t="s">
        <v>643</v>
      </c>
      <c r="AV84" s="56" t="s">
        <v>1058</v>
      </c>
      <c r="AW84" s="56">
        <v>118</v>
      </c>
      <c r="AX84" s="56" t="s">
        <v>870</v>
      </c>
      <c r="AY84" s="56">
        <v>59</v>
      </c>
      <c r="AZ84" s="56" t="s">
        <v>127</v>
      </c>
      <c r="BA84" s="56" t="s">
        <v>871</v>
      </c>
      <c r="BB84" s="56" t="s">
        <v>844</v>
      </c>
      <c r="BC84" s="56">
        <v>2</v>
      </c>
      <c r="BD84" s="56" t="s">
        <v>289</v>
      </c>
      <c r="BE84" s="56" t="s">
        <v>772</v>
      </c>
      <c r="BF84" s="56">
        <v>2</v>
      </c>
      <c r="BG84" s="56" t="s">
        <v>289</v>
      </c>
      <c r="BH84" s="56" t="s">
        <v>772</v>
      </c>
      <c r="BI84" s="56">
        <v>34.61</v>
      </c>
      <c r="BJ84" s="56">
        <v>69170.509999999995</v>
      </c>
      <c r="BK84" s="56">
        <v>34.61</v>
      </c>
      <c r="BL84" s="56" t="s">
        <v>897</v>
      </c>
      <c r="BM84" s="56">
        <v>3102</v>
      </c>
      <c r="BN84" s="56" t="s">
        <v>660</v>
      </c>
      <c r="BO84" s="56" t="s">
        <v>872</v>
      </c>
      <c r="BP84" s="56">
        <v>3807.1</v>
      </c>
      <c r="BQ84" s="56">
        <v>3274.65</v>
      </c>
      <c r="BR84" s="56">
        <v>0</v>
      </c>
      <c r="BS84" s="56">
        <v>0</v>
      </c>
      <c r="BT84" s="56">
        <v>0</v>
      </c>
      <c r="BU84" s="56">
        <v>718549</v>
      </c>
      <c r="BV84" s="56">
        <v>208</v>
      </c>
      <c r="BW84" s="56" t="s">
        <v>1062</v>
      </c>
      <c r="BX84" s="56" t="s">
        <v>1248</v>
      </c>
      <c r="BY84" s="56" t="s">
        <v>663</v>
      </c>
      <c r="BZ84" s="56">
        <v>0.5</v>
      </c>
      <c r="CA84" s="56" t="s">
        <v>664</v>
      </c>
      <c r="CB84" s="56" t="s">
        <v>1249</v>
      </c>
      <c r="CD84" s="56" t="s">
        <v>667</v>
      </c>
      <c r="CG84" s="56">
        <v>0</v>
      </c>
      <c r="CH84" s="56">
        <v>110</v>
      </c>
      <c r="CJ84" s="56">
        <v>100</v>
      </c>
      <c r="CK84" s="56">
        <v>3274.65</v>
      </c>
      <c r="CL84" s="56">
        <v>0</v>
      </c>
      <c r="CN84" s="56">
        <v>456.85</v>
      </c>
      <c r="CO84" s="56">
        <v>456.85</v>
      </c>
      <c r="CP84" s="56">
        <v>75.599999999999994</v>
      </c>
      <c r="CQ84" s="56" t="s">
        <v>668</v>
      </c>
      <c r="CR84" s="56">
        <v>0</v>
      </c>
      <c r="CS84" s="56">
        <v>0</v>
      </c>
      <c r="CV84" s="56">
        <v>0</v>
      </c>
      <c r="CX84" s="56">
        <v>0</v>
      </c>
      <c r="CY84" s="56">
        <v>0</v>
      </c>
      <c r="CZ84" s="56">
        <v>302.89999999999998</v>
      </c>
      <c r="DA84" s="56">
        <v>302.89999999999998</v>
      </c>
      <c r="DB84" s="56">
        <v>0</v>
      </c>
      <c r="DC84" s="56">
        <v>2971.75</v>
      </c>
      <c r="DD84" s="56">
        <v>11.88</v>
      </c>
      <c r="DE84" s="56">
        <v>0</v>
      </c>
      <c r="DF84" s="56">
        <v>11.88</v>
      </c>
      <c r="DH84" s="56" t="s">
        <v>670</v>
      </c>
      <c r="DI84" s="56" t="s">
        <v>671</v>
      </c>
      <c r="DK84" s="56">
        <v>79.73</v>
      </c>
      <c r="DL84" s="56">
        <v>3035.47</v>
      </c>
      <c r="DM84" s="56">
        <v>39</v>
      </c>
      <c r="DN84" s="56">
        <v>22752201</v>
      </c>
      <c r="DO84" s="56" t="s">
        <v>236</v>
      </c>
      <c r="DQ84" s="56" t="s">
        <v>674</v>
      </c>
      <c r="DR84" s="56">
        <v>3</v>
      </c>
      <c r="DW84" s="56">
        <v>370</v>
      </c>
      <c r="DX84" s="56" t="s">
        <v>678</v>
      </c>
      <c r="DY84" s="56" t="s">
        <v>679</v>
      </c>
      <c r="EL84" s="56">
        <v>25</v>
      </c>
      <c r="EM84" s="56">
        <v>15</v>
      </c>
      <c r="EN84" s="56">
        <v>4779</v>
      </c>
      <c r="EO84" s="56">
        <v>2441</v>
      </c>
      <c r="EP84" s="56">
        <v>6158</v>
      </c>
      <c r="EQ84" s="56" t="s">
        <v>1250</v>
      </c>
      <c r="ER84" s="56" t="s">
        <v>1251</v>
      </c>
      <c r="ES84" s="56">
        <v>2</v>
      </c>
      <c r="ET84" s="56" t="s">
        <v>682</v>
      </c>
      <c r="EU84" s="56" t="s">
        <v>683</v>
      </c>
      <c r="EV84" s="56" t="s">
        <v>683</v>
      </c>
      <c r="FD84" s="56" t="s">
        <v>1252</v>
      </c>
      <c r="FK84" s="56">
        <v>0</v>
      </c>
    </row>
    <row r="85" spans="1:167" x14ac:dyDescent="0.2">
      <c r="A85" s="56">
        <v>29041</v>
      </c>
      <c r="B85" s="56">
        <v>2</v>
      </c>
      <c r="C85" s="56">
        <v>6352</v>
      </c>
      <c r="D85" s="56" t="s">
        <v>634</v>
      </c>
      <c r="E85" s="56" t="s">
        <v>635</v>
      </c>
      <c r="K85" s="56" t="s">
        <v>1253</v>
      </c>
      <c r="L85" s="56" t="s">
        <v>637</v>
      </c>
      <c r="M85" s="56">
        <v>44933</v>
      </c>
      <c r="N85" s="56">
        <v>44935</v>
      </c>
      <c r="O85" s="56">
        <v>38</v>
      </c>
      <c r="P85" s="56" t="s">
        <v>638</v>
      </c>
      <c r="Q85" s="56">
        <v>2</v>
      </c>
      <c r="R85" s="56" t="s">
        <v>639</v>
      </c>
      <c r="S85" s="56" t="s">
        <v>893</v>
      </c>
      <c r="T85" s="56" t="s">
        <v>641</v>
      </c>
      <c r="U85" s="56" t="s">
        <v>1058</v>
      </c>
      <c r="V85" s="56" t="s">
        <v>643</v>
      </c>
      <c r="W85" s="56">
        <v>48</v>
      </c>
      <c r="X85" s="56" t="s">
        <v>699</v>
      </c>
      <c r="Y85" s="56">
        <v>90</v>
      </c>
      <c r="Z85" s="56" t="s">
        <v>894</v>
      </c>
      <c r="AA85" s="56" t="s">
        <v>895</v>
      </c>
      <c r="AB85" s="56" t="s">
        <v>896</v>
      </c>
      <c r="AC85" s="56" t="s">
        <v>641</v>
      </c>
      <c r="AD85" s="56" t="s">
        <v>893</v>
      </c>
      <c r="AE85" s="56">
        <v>208</v>
      </c>
      <c r="AF85" s="56" t="s">
        <v>1062</v>
      </c>
      <c r="AG85" s="56" t="s">
        <v>1063</v>
      </c>
      <c r="AH85" s="56" t="s">
        <v>643</v>
      </c>
      <c r="AI85" s="56" t="s">
        <v>1058</v>
      </c>
      <c r="AJ85" s="56">
        <v>90</v>
      </c>
      <c r="AK85" s="56" t="s">
        <v>894</v>
      </c>
      <c r="AL85" s="56">
        <v>208</v>
      </c>
      <c r="AM85" s="56" t="s">
        <v>1062</v>
      </c>
      <c r="AN85" s="56" t="s">
        <v>1063</v>
      </c>
      <c r="AO85" s="56" t="s">
        <v>1064</v>
      </c>
      <c r="AP85" s="56" t="s">
        <v>643</v>
      </c>
      <c r="AQ85" s="56" t="s">
        <v>1058</v>
      </c>
      <c r="AR85" s="56">
        <v>208</v>
      </c>
      <c r="AS85" s="56" t="s">
        <v>1062</v>
      </c>
      <c r="AT85" s="56" t="s">
        <v>1063</v>
      </c>
      <c r="AU85" s="56" t="s">
        <v>643</v>
      </c>
      <c r="AV85" s="56" t="s">
        <v>1058</v>
      </c>
      <c r="AW85" s="56">
        <v>113</v>
      </c>
      <c r="AX85" s="56" t="s">
        <v>1025</v>
      </c>
      <c r="AY85" s="56">
        <v>43</v>
      </c>
      <c r="AZ85" s="56" t="s">
        <v>126</v>
      </c>
      <c r="BA85" s="56" t="s">
        <v>1026</v>
      </c>
      <c r="BB85" s="56" t="s">
        <v>770</v>
      </c>
      <c r="BC85" s="56">
        <v>38</v>
      </c>
      <c r="BD85" s="56" t="s">
        <v>289</v>
      </c>
      <c r="BE85" s="56" t="s">
        <v>771</v>
      </c>
      <c r="BF85" s="56">
        <v>2</v>
      </c>
      <c r="BG85" s="56" t="s">
        <v>289</v>
      </c>
      <c r="BH85" s="56" t="s">
        <v>772</v>
      </c>
      <c r="BI85" s="56">
        <v>46.47</v>
      </c>
      <c r="BJ85" s="56">
        <v>92873.55</v>
      </c>
      <c r="BK85" s="56">
        <v>46.47</v>
      </c>
      <c r="BL85" s="56" t="s">
        <v>897</v>
      </c>
      <c r="BM85" s="56">
        <v>3102</v>
      </c>
      <c r="BN85" s="56" t="s">
        <v>786</v>
      </c>
      <c r="BO85" s="56" t="s">
        <v>911</v>
      </c>
      <c r="BP85" s="56">
        <v>5111.7</v>
      </c>
      <c r="BQ85" s="56">
        <v>4401.1000000000004</v>
      </c>
      <c r="BR85" s="56">
        <v>0</v>
      </c>
      <c r="BS85" s="56">
        <v>0</v>
      </c>
      <c r="BT85" s="56">
        <v>0</v>
      </c>
      <c r="BU85" s="56">
        <v>718545</v>
      </c>
      <c r="BV85" s="56">
        <v>208</v>
      </c>
      <c r="BW85" s="56" t="s">
        <v>1062</v>
      </c>
      <c r="BX85" s="56" t="s">
        <v>1254</v>
      </c>
      <c r="BY85" s="56" t="s">
        <v>663</v>
      </c>
      <c r="BZ85" s="56">
        <v>0.5</v>
      </c>
      <c r="CA85" s="56" t="s">
        <v>664</v>
      </c>
      <c r="CB85" s="56" t="s">
        <v>1249</v>
      </c>
      <c r="CD85" s="56" t="s">
        <v>667</v>
      </c>
      <c r="CG85" s="56">
        <v>0</v>
      </c>
      <c r="CH85" s="56">
        <v>110</v>
      </c>
      <c r="CJ85" s="56">
        <v>100</v>
      </c>
      <c r="CK85" s="56">
        <v>4401.1000000000004</v>
      </c>
      <c r="CL85" s="56">
        <v>0</v>
      </c>
      <c r="CN85" s="56">
        <v>613.4</v>
      </c>
      <c r="CO85" s="56">
        <v>613.4</v>
      </c>
      <c r="CP85" s="56">
        <v>97.2</v>
      </c>
      <c r="CQ85" s="56" t="s">
        <v>668</v>
      </c>
      <c r="CR85" s="56">
        <v>0</v>
      </c>
      <c r="CS85" s="56">
        <v>0</v>
      </c>
      <c r="CV85" s="56">
        <v>0</v>
      </c>
      <c r="CX85" s="56">
        <v>0</v>
      </c>
      <c r="CY85" s="56">
        <v>0</v>
      </c>
      <c r="CZ85" s="56">
        <v>407.1</v>
      </c>
      <c r="DA85" s="56">
        <v>407.1</v>
      </c>
      <c r="DB85" s="56">
        <v>0</v>
      </c>
      <c r="DC85" s="56">
        <v>3994</v>
      </c>
      <c r="DD85" s="56">
        <v>15.96</v>
      </c>
      <c r="DE85" s="56">
        <v>0</v>
      </c>
      <c r="DF85" s="56">
        <v>15.96</v>
      </c>
      <c r="DH85" s="56" t="s">
        <v>670</v>
      </c>
      <c r="DI85" s="56" t="s">
        <v>671</v>
      </c>
      <c r="DK85" s="56">
        <v>79.72</v>
      </c>
      <c r="DL85" s="56">
        <v>4075.24</v>
      </c>
      <c r="DM85" s="56">
        <v>39</v>
      </c>
      <c r="DN85" s="56">
        <v>22752201</v>
      </c>
      <c r="DO85" s="56" t="s">
        <v>236</v>
      </c>
      <c r="DQ85" s="56" t="s">
        <v>674</v>
      </c>
      <c r="DR85" s="56">
        <v>3</v>
      </c>
      <c r="DW85" s="56">
        <v>370</v>
      </c>
      <c r="DX85" s="56" t="s">
        <v>678</v>
      </c>
      <c r="DY85" s="56" t="s">
        <v>679</v>
      </c>
      <c r="EL85" s="56">
        <v>25</v>
      </c>
      <c r="EM85" s="56">
        <v>15</v>
      </c>
      <c r="EN85" s="56">
        <v>4779</v>
      </c>
      <c r="EO85" s="56">
        <v>2441</v>
      </c>
      <c r="EP85" s="56">
        <v>6158</v>
      </c>
      <c r="EQ85" s="56" t="s">
        <v>1250</v>
      </c>
      <c r="ER85" s="56" t="s">
        <v>1251</v>
      </c>
      <c r="ES85" s="56">
        <v>2</v>
      </c>
      <c r="ET85" s="56" t="s">
        <v>682</v>
      </c>
      <c r="EU85" s="56" t="s">
        <v>683</v>
      </c>
      <c r="EV85" s="56" t="s">
        <v>683</v>
      </c>
      <c r="FD85" s="56" t="s">
        <v>1255</v>
      </c>
      <c r="FK85" s="56">
        <v>0</v>
      </c>
    </row>
    <row r="86" spans="1:167" x14ac:dyDescent="0.2">
      <c r="A86" s="56">
        <v>29042</v>
      </c>
      <c r="B86" s="56">
        <v>2</v>
      </c>
      <c r="C86" s="56">
        <v>6352</v>
      </c>
      <c r="D86" s="56" t="s">
        <v>634</v>
      </c>
      <c r="E86" s="56" t="s">
        <v>635</v>
      </c>
      <c r="K86" s="56" t="s">
        <v>1256</v>
      </c>
      <c r="L86" s="56" t="s">
        <v>637</v>
      </c>
      <c r="M86" s="56">
        <v>44933</v>
      </c>
      <c r="N86" s="56">
        <v>44935</v>
      </c>
      <c r="O86" s="56">
        <v>38</v>
      </c>
      <c r="P86" s="56" t="s">
        <v>638</v>
      </c>
      <c r="Q86" s="56">
        <v>2</v>
      </c>
      <c r="R86" s="56" t="s">
        <v>639</v>
      </c>
      <c r="S86" s="56" t="s">
        <v>893</v>
      </c>
      <c r="T86" s="56" t="s">
        <v>641</v>
      </c>
      <c r="U86" s="56" t="s">
        <v>1227</v>
      </c>
      <c r="V86" s="56" t="s">
        <v>643</v>
      </c>
      <c r="W86" s="56">
        <v>48</v>
      </c>
      <c r="X86" s="56" t="s">
        <v>699</v>
      </c>
      <c r="Y86" s="56">
        <v>90</v>
      </c>
      <c r="Z86" s="56" t="s">
        <v>894</v>
      </c>
      <c r="AA86" s="56" t="s">
        <v>895</v>
      </c>
      <c r="AB86" s="56" t="s">
        <v>896</v>
      </c>
      <c r="AC86" s="56" t="s">
        <v>641</v>
      </c>
      <c r="AD86" s="56" t="s">
        <v>893</v>
      </c>
      <c r="AL86" s="56">
        <v>52</v>
      </c>
      <c r="AM86" s="56" t="s">
        <v>1228</v>
      </c>
      <c r="AN86" s="56" t="s">
        <v>1229</v>
      </c>
      <c r="AO86" s="56" t="s">
        <v>1230</v>
      </c>
      <c r="AP86" s="56" t="s">
        <v>643</v>
      </c>
      <c r="AQ86" s="56" t="s">
        <v>1227</v>
      </c>
      <c r="AR86" s="56">
        <v>52</v>
      </c>
      <c r="AS86" s="56" t="s">
        <v>1228</v>
      </c>
      <c r="AT86" s="56" t="s">
        <v>1229</v>
      </c>
      <c r="AU86" s="56" t="s">
        <v>643</v>
      </c>
      <c r="AV86" s="56" t="s">
        <v>1227</v>
      </c>
      <c r="AW86" s="56">
        <v>116</v>
      </c>
      <c r="AX86" s="56" t="s">
        <v>876</v>
      </c>
      <c r="AY86" s="56">
        <v>35</v>
      </c>
      <c r="AZ86" s="56" t="s">
        <v>124</v>
      </c>
      <c r="BA86" s="56" t="s">
        <v>877</v>
      </c>
      <c r="BB86" s="56" t="s">
        <v>770</v>
      </c>
      <c r="BC86" s="56">
        <v>38</v>
      </c>
      <c r="BD86" s="56" t="s">
        <v>289</v>
      </c>
      <c r="BE86" s="56" t="s">
        <v>771</v>
      </c>
      <c r="BF86" s="56">
        <v>2</v>
      </c>
      <c r="BG86" s="56" t="s">
        <v>289</v>
      </c>
      <c r="BH86" s="56" t="s">
        <v>772</v>
      </c>
      <c r="BI86" s="56">
        <v>46.3</v>
      </c>
      <c r="BJ86" s="56">
        <v>146670.32</v>
      </c>
      <c r="BK86" s="56">
        <v>46.3</v>
      </c>
      <c r="BL86" s="56" t="s">
        <v>1231</v>
      </c>
      <c r="BM86" s="56">
        <v>3105</v>
      </c>
      <c r="BN86" s="56" t="s">
        <v>724</v>
      </c>
      <c r="BO86" s="56" t="s">
        <v>725</v>
      </c>
      <c r="BP86" s="56">
        <v>6482</v>
      </c>
      <c r="BQ86" s="56">
        <v>5606.96</v>
      </c>
      <c r="BR86" s="56">
        <v>0</v>
      </c>
      <c r="BS86" s="56">
        <v>0</v>
      </c>
      <c r="BT86" s="56">
        <v>0</v>
      </c>
      <c r="BU86" s="56">
        <v>718565</v>
      </c>
      <c r="BV86" s="56">
        <v>52</v>
      </c>
      <c r="BW86" s="56" t="s">
        <v>1228</v>
      </c>
      <c r="BX86" s="56" t="s">
        <v>1257</v>
      </c>
      <c r="BY86" s="56" t="s">
        <v>663</v>
      </c>
      <c r="BZ86" s="56">
        <v>0.25</v>
      </c>
      <c r="CA86" s="56" t="s">
        <v>664</v>
      </c>
      <c r="CB86" s="56" t="s">
        <v>1233</v>
      </c>
      <c r="CD86" s="56" t="s">
        <v>667</v>
      </c>
      <c r="CG86" s="56">
        <v>0</v>
      </c>
      <c r="CH86" s="56">
        <v>140</v>
      </c>
      <c r="CJ86" s="56">
        <v>100</v>
      </c>
      <c r="CK86" s="56">
        <v>5606.96</v>
      </c>
      <c r="CL86" s="56">
        <v>0</v>
      </c>
      <c r="CN86" s="56">
        <v>777.84</v>
      </c>
      <c r="CO86" s="56">
        <v>777.84</v>
      </c>
      <c r="CP86" s="56">
        <v>97.2</v>
      </c>
      <c r="CQ86" s="56" t="s">
        <v>668</v>
      </c>
      <c r="CR86" s="56">
        <v>0</v>
      </c>
      <c r="CS86" s="56">
        <v>0</v>
      </c>
      <c r="CV86" s="56">
        <v>0</v>
      </c>
      <c r="CX86" s="56">
        <v>0</v>
      </c>
      <c r="CY86" s="56">
        <v>0</v>
      </c>
      <c r="CZ86" s="56">
        <v>518.64</v>
      </c>
      <c r="DA86" s="56">
        <v>518.64</v>
      </c>
      <c r="DB86" s="56">
        <v>0</v>
      </c>
      <c r="DC86" s="56">
        <v>5088.32</v>
      </c>
      <c r="DD86" s="56">
        <v>25.2</v>
      </c>
      <c r="DE86" s="56">
        <v>0</v>
      </c>
      <c r="DF86" s="56">
        <v>25.2</v>
      </c>
      <c r="DH86" s="56" t="s">
        <v>670</v>
      </c>
      <c r="DI86" s="56" t="s">
        <v>671</v>
      </c>
      <c r="DK86" s="56">
        <v>79.61</v>
      </c>
      <c r="DL86" s="56">
        <v>5160.32</v>
      </c>
      <c r="DM86" s="56">
        <v>10</v>
      </c>
      <c r="DN86" s="56">
        <v>138129</v>
      </c>
      <c r="DO86" s="56" t="s">
        <v>236</v>
      </c>
      <c r="DQ86" s="56" t="s">
        <v>674</v>
      </c>
      <c r="DR86" s="56">
        <v>3</v>
      </c>
      <c r="DW86" s="56">
        <v>360</v>
      </c>
      <c r="DX86" s="56" t="s">
        <v>678</v>
      </c>
      <c r="DY86" s="56" t="s">
        <v>679</v>
      </c>
      <c r="EL86" s="56">
        <v>25</v>
      </c>
      <c r="EM86" s="56">
        <v>15</v>
      </c>
      <c r="EN86" s="56">
        <v>4779</v>
      </c>
      <c r="EO86" s="56">
        <v>2420</v>
      </c>
      <c r="EP86" s="56">
        <v>6802</v>
      </c>
      <c r="EQ86" s="56" t="s">
        <v>1235</v>
      </c>
      <c r="ER86" s="56" t="s">
        <v>1236</v>
      </c>
      <c r="ES86" s="56">
        <v>2</v>
      </c>
      <c r="ET86" s="56" t="s">
        <v>682</v>
      </c>
      <c r="EU86" s="56" t="s">
        <v>683</v>
      </c>
      <c r="EV86" s="56" t="s">
        <v>683</v>
      </c>
      <c r="FD86" s="56" t="s">
        <v>1258</v>
      </c>
      <c r="FK86" s="56">
        <v>0</v>
      </c>
    </row>
    <row r="87" spans="1:167" x14ac:dyDescent="0.2">
      <c r="A87" s="56">
        <v>29043</v>
      </c>
      <c r="B87" s="56">
        <v>2</v>
      </c>
      <c r="C87" s="56">
        <v>6352</v>
      </c>
      <c r="D87" s="56" t="s">
        <v>634</v>
      </c>
      <c r="E87" s="56" t="s">
        <v>635</v>
      </c>
      <c r="K87" s="56" t="s">
        <v>1259</v>
      </c>
      <c r="L87" s="56" t="s">
        <v>637</v>
      </c>
      <c r="M87" s="56">
        <v>44933</v>
      </c>
      <c r="N87" s="56">
        <v>44935</v>
      </c>
      <c r="O87" s="56">
        <v>38</v>
      </c>
      <c r="P87" s="56" t="s">
        <v>638</v>
      </c>
      <c r="Q87" s="56">
        <v>2</v>
      </c>
      <c r="R87" s="56" t="s">
        <v>639</v>
      </c>
      <c r="S87" s="56" t="s">
        <v>893</v>
      </c>
      <c r="T87" s="56" t="s">
        <v>641</v>
      </c>
      <c r="U87" s="56" t="s">
        <v>1227</v>
      </c>
      <c r="V87" s="56" t="s">
        <v>643</v>
      </c>
      <c r="W87" s="56">
        <v>48</v>
      </c>
      <c r="X87" s="56" t="s">
        <v>699</v>
      </c>
      <c r="Y87" s="56">
        <v>90</v>
      </c>
      <c r="Z87" s="56" t="s">
        <v>894</v>
      </c>
      <c r="AA87" s="56" t="s">
        <v>895</v>
      </c>
      <c r="AB87" s="56" t="s">
        <v>896</v>
      </c>
      <c r="AC87" s="56" t="s">
        <v>641</v>
      </c>
      <c r="AD87" s="56" t="s">
        <v>893</v>
      </c>
      <c r="AL87" s="56">
        <v>52</v>
      </c>
      <c r="AM87" s="56" t="s">
        <v>1228</v>
      </c>
      <c r="AN87" s="56" t="s">
        <v>1229</v>
      </c>
      <c r="AO87" s="56" t="s">
        <v>1230</v>
      </c>
      <c r="AP87" s="56" t="s">
        <v>643</v>
      </c>
      <c r="AQ87" s="56" t="s">
        <v>1227</v>
      </c>
      <c r="AR87" s="56">
        <v>52</v>
      </c>
      <c r="AS87" s="56" t="s">
        <v>1228</v>
      </c>
      <c r="AT87" s="56" t="s">
        <v>1229</v>
      </c>
      <c r="AU87" s="56" t="s">
        <v>643</v>
      </c>
      <c r="AV87" s="56" t="s">
        <v>1227</v>
      </c>
      <c r="AW87" s="56">
        <v>117</v>
      </c>
      <c r="AX87" s="56" t="s">
        <v>848</v>
      </c>
      <c r="AY87" s="56">
        <v>1</v>
      </c>
      <c r="AZ87" s="56" t="s">
        <v>28</v>
      </c>
      <c r="BA87" s="56" t="s">
        <v>849</v>
      </c>
      <c r="BB87" s="56" t="s">
        <v>770</v>
      </c>
      <c r="BC87" s="56">
        <v>38</v>
      </c>
      <c r="BD87" s="56" t="s">
        <v>289</v>
      </c>
      <c r="BE87" s="56" t="s">
        <v>771</v>
      </c>
      <c r="BF87" s="56">
        <v>2</v>
      </c>
      <c r="BG87" s="56" t="s">
        <v>289</v>
      </c>
      <c r="BH87" s="56" t="s">
        <v>772</v>
      </c>
      <c r="BI87" s="56">
        <v>46.6</v>
      </c>
      <c r="BJ87" s="56">
        <v>147620.66</v>
      </c>
      <c r="BK87" s="56">
        <v>46.6</v>
      </c>
      <c r="BL87" s="56" t="s">
        <v>1231</v>
      </c>
      <c r="BM87" s="56">
        <v>3105</v>
      </c>
      <c r="BN87" s="56" t="s">
        <v>724</v>
      </c>
      <c r="BO87" s="56" t="s">
        <v>725</v>
      </c>
      <c r="BP87" s="56">
        <v>6524</v>
      </c>
      <c r="BQ87" s="56">
        <v>5643.92</v>
      </c>
      <c r="BR87" s="56">
        <v>0</v>
      </c>
      <c r="BS87" s="56">
        <v>0</v>
      </c>
      <c r="BT87" s="56">
        <v>0</v>
      </c>
      <c r="BU87" s="56">
        <v>718568</v>
      </c>
      <c r="BV87" s="56">
        <v>52</v>
      </c>
      <c r="BW87" s="56" t="s">
        <v>1228</v>
      </c>
      <c r="BX87" s="56" t="s">
        <v>1260</v>
      </c>
      <c r="BY87" s="56" t="s">
        <v>663</v>
      </c>
      <c r="BZ87" s="56">
        <v>0.25</v>
      </c>
      <c r="CA87" s="56" t="s">
        <v>664</v>
      </c>
      <c r="CB87" s="56" t="s">
        <v>1233</v>
      </c>
      <c r="CD87" s="56" t="s">
        <v>667</v>
      </c>
      <c r="CG87" s="56">
        <v>0</v>
      </c>
      <c r="CH87" s="56">
        <v>140</v>
      </c>
      <c r="CJ87" s="56">
        <v>100</v>
      </c>
      <c r="CK87" s="56">
        <v>5643.92</v>
      </c>
      <c r="CL87" s="56">
        <v>0</v>
      </c>
      <c r="CN87" s="56">
        <v>782.88</v>
      </c>
      <c r="CO87" s="56">
        <v>782.88</v>
      </c>
      <c r="CP87" s="56">
        <v>97.2</v>
      </c>
      <c r="CQ87" s="56" t="s">
        <v>668</v>
      </c>
      <c r="CR87" s="56">
        <v>0</v>
      </c>
      <c r="CS87" s="56">
        <v>0</v>
      </c>
      <c r="CV87" s="56">
        <v>0</v>
      </c>
      <c r="CX87" s="56">
        <v>0</v>
      </c>
      <c r="CY87" s="56">
        <v>0</v>
      </c>
      <c r="CZ87" s="56">
        <v>522.05999999999995</v>
      </c>
      <c r="DA87" s="56">
        <v>522.05999999999995</v>
      </c>
      <c r="DB87" s="56">
        <v>0</v>
      </c>
      <c r="DC87" s="56">
        <v>5121.8599999999997</v>
      </c>
      <c r="DD87" s="56">
        <v>25.36</v>
      </c>
      <c r="DE87" s="56">
        <v>0</v>
      </c>
      <c r="DF87" s="56">
        <v>25.36</v>
      </c>
      <c r="DH87" s="56" t="s">
        <v>670</v>
      </c>
      <c r="DI87" s="56" t="s">
        <v>671</v>
      </c>
      <c r="DK87" s="56">
        <v>79.61</v>
      </c>
      <c r="DL87" s="56">
        <v>5193.7</v>
      </c>
      <c r="DM87" s="56">
        <v>10</v>
      </c>
      <c r="DN87" s="56">
        <v>138129</v>
      </c>
      <c r="DO87" s="56" t="s">
        <v>236</v>
      </c>
      <c r="DQ87" s="56" t="s">
        <v>674</v>
      </c>
      <c r="DR87" s="56">
        <v>3</v>
      </c>
      <c r="DW87" s="56">
        <v>360</v>
      </c>
      <c r="DX87" s="56" t="s">
        <v>678</v>
      </c>
      <c r="DY87" s="56" t="s">
        <v>679</v>
      </c>
      <c r="EL87" s="56">
        <v>25</v>
      </c>
      <c r="EM87" s="56">
        <v>15</v>
      </c>
      <c r="EN87" s="56">
        <v>4779</v>
      </c>
      <c r="EO87" s="56">
        <v>2420</v>
      </c>
      <c r="EP87" s="56">
        <v>6802</v>
      </c>
      <c r="EQ87" s="56" t="s">
        <v>1235</v>
      </c>
      <c r="ER87" s="56" t="s">
        <v>1236</v>
      </c>
      <c r="ES87" s="56">
        <v>2</v>
      </c>
      <c r="ET87" s="56" t="s">
        <v>682</v>
      </c>
      <c r="EU87" s="56" t="s">
        <v>683</v>
      </c>
      <c r="EV87" s="56" t="s">
        <v>683</v>
      </c>
      <c r="FD87" s="56" t="s">
        <v>1261</v>
      </c>
      <c r="FK87" s="56">
        <v>0</v>
      </c>
    </row>
    <row r="88" spans="1:167" x14ac:dyDescent="0.2">
      <c r="A88" s="56">
        <v>29044</v>
      </c>
      <c r="B88" s="56">
        <v>2</v>
      </c>
      <c r="C88" s="56">
        <v>6352</v>
      </c>
      <c r="D88" s="56" t="s">
        <v>634</v>
      </c>
      <c r="E88" s="56" t="s">
        <v>635</v>
      </c>
      <c r="K88" s="56" t="s">
        <v>1262</v>
      </c>
      <c r="L88" s="56" t="s">
        <v>637</v>
      </c>
      <c r="M88" s="56">
        <v>44933</v>
      </c>
      <c r="N88" s="56">
        <v>44935</v>
      </c>
      <c r="O88" s="56">
        <v>38</v>
      </c>
      <c r="P88" s="56" t="s">
        <v>638</v>
      </c>
      <c r="Q88" s="56">
        <v>2</v>
      </c>
      <c r="R88" s="56" t="s">
        <v>639</v>
      </c>
      <c r="S88" s="56" t="s">
        <v>893</v>
      </c>
      <c r="T88" s="56" t="s">
        <v>641</v>
      </c>
      <c r="U88" s="56" t="s">
        <v>1227</v>
      </c>
      <c r="V88" s="56" t="s">
        <v>643</v>
      </c>
      <c r="W88" s="56">
        <v>48</v>
      </c>
      <c r="X88" s="56" t="s">
        <v>699</v>
      </c>
      <c r="Y88" s="56">
        <v>90</v>
      </c>
      <c r="Z88" s="56" t="s">
        <v>894</v>
      </c>
      <c r="AA88" s="56" t="s">
        <v>895</v>
      </c>
      <c r="AB88" s="56" t="s">
        <v>896</v>
      </c>
      <c r="AC88" s="56" t="s">
        <v>641</v>
      </c>
      <c r="AD88" s="56" t="s">
        <v>893</v>
      </c>
      <c r="AL88" s="56">
        <v>52</v>
      </c>
      <c r="AM88" s="56" t="s">
        <v>1228</v>
      </c>
      <c r="AN88" s="56" t="s">
        <v>1229</v>
      </c>
      <c r="AO88" s="56" t="s">
        <v>1230</v>
      </c>
      <c r="AP88" s="56" t="s">
        <v>643</v>
      </c>
      <c r="AQ88" s="56" t="s">
        <v>1227</v>
      </c>
      <c r="AR88" s="56">
        <v>52</v>
      </c>
      <c r="AS88" s="56" t="s">
        <v>1228</v>
      </c>
      <c r="AT88" s="56" t="s">
        <v>1229</v>
      </c>
      <c r="AU88" s="56" t="s">
        <v>643</v>
      </c>
      <c r="AV88" s="56" t="s">
        <v>1227</v>
      </c>
      <c r="AW88" s="56">
        <v>115</v>
      </c>
      <c r="AX88" s="56" t="s">
        <v>853</v>
      </c>
      <c r="AY88" s="56">
        <v>55</v>
      </c>
      <c r="AZ88" s="56" t="s">
        <v>23</v>
      </c>
      <c r="BA88" s="56" t="s">
        <v>854</v>
      </c>
      <c r="BB88" s="56" t="s">
        <v>844</v>
      </c>
      <c r="BC88" s="56">
        <v>2</v>
      </c>
      <c r="BD88" s="56" t="s">
        <v>289</v>
      </c>
      <c r="BE88" s="56" t="s">
        <v>772</v>
      </c>
      <c r="BF88" s="56">
        <v>2</v>
      </c>
      <c r="BG88" s="56" t="s">
        <v>289</v>
      </c>
      <c r="BH88" s="56" t="s">
        <v>772</v>
      </c>
      <c r="BI88" s="56">
        <v>46.71</v>
      </c>
      <c r="BJ88" s="56">
        <v>147969.12</v>
      </c>
      <c r="BK88" s="56">
        <v>46.71</v>
      </c>
      <c r="BL88" s="56" t="s">
        <v>1231</v>
      </c>
      <c r="BM88" s="56">
        <v>3105</v>
      </c>
      <c r="BN88" s="56" t="s">
        <v>660</v>
      </c>
      <c r="BO88" s="56" t="s">
        <v>855</v>
      </c>
      <c r="BP88" s="56">
        <v>6539.4</v>
      </c>
      <c r="BQ88" s="56">
        <v>5657.47</v>
      </c>
      <c r="BR88" s="56">
        <v>0</v>
      </c>
      <c r="BS88" s="56">
        <v>0</v>
      </c>
      <c r="BT88" s="56">
        <v>0</v>
      </c>
      <c r="BU88" s="56">
        <v>718573</v>
      </c>
      <c r="BV88" s="56">
        <v>52</v>
      </c>
      <c r="BW88" s="56" t="s">
        <v>1228</v>
      </c>
      <c r="BX88" s="56" t="s">
        <v>1263</v>
      </c>
      <c r="BY88" s="56" t="s">
        <v>663</v>
      </c>
      <c r="BZ88" s="56">
        <v>0.25</v>
      </c>
      <c r="CA88" s="56" t="s">
        <v>664</v>
      </c>
      <c r="CB88" s="56" t="s">
        <v>1233</v>
      </c>
      <c r="CD88" s="56" t="s">
        <v>667</v>
      </c>
      <c r="CG88" s="56">
        <v>0</v>
      </c>
      <c r="CH88" s="56">
        <v>140</v>
      </c>
      <c r="CJ88" s="56">
        <v>100</v>
      </c>
      <c r="CK88" s="56">
        <v>5657.47</v>
      </c>
      <c r="CL88" s="56">
        <v>0</v>
      </c>
      <c r="CN88" s="56">
        <v>784.73</v>
      </c>
      <c r="CO88" s="56">
        <v>784.73</v>
      </c>
      <c r="CP88" s="56">
        <v>97.2</v>
      </c>
      <c r="CQ88" s="56" t="s">
        <v>668</v>
      </c>
      <c r="CR88" s="56">
        <v>0</v>
      </c>
      <c r="CS88" s="56">
        <v>0</v>
      </c>
      <c r="CV88" s="56">
        <v>0</v>
      </c>
      <c r="CX88" s="56">
        <v>0</v>
      </c>
      <c r="CY88" s="56">
        <v>0</v>
      </c>
      <c r="CZ88" s="56">
        <v>523.32000000000005</v>
      </c>
      <c r="DA88" s="56">
        <v>523.32000000000005</v>
      </c>
      <c r="DB88" s="56">
        <v>0</v>
      </c>
      <c r="DC88" s="56">
        <v>5134.1499999999996</v>
      </c>
      <c r="DD88" s="56">
        <v>25.42</v>
      </c>
      <c r="DE88" s="56">
        <v>0</v>
      </c>
      <c r="DF88" s="56">
        <v>25.42</v>
      </c>
      <c r="DH88" s="56" t="s">
        <v>670</v>
      </c>
      <c r="DI88" s="56" t="s">
        <v>671</v>
      </c>
      <c r="DK88" s="56">
        <v>79.61</v>
      </c>
      <c r="DL88" s="56">
        <v>5205.93</v>
      </c>
      <c r="DM88" s="56">
        <v>10</v>
      </c>
      <c r="DN88" s="56">
        <v>138129</v>
      </c>
      <c r="DO88" s="56" t="s">
        <v>236</v>
      </c>
      <c r="DQ88" s="56" t="s">
        <v>674</v>
      </c>
      <c r="DR88" s="56">
        <v>3</v>
      </c>
      <c r="DW88" s="56">
        <v>360</v>
      </c>
      <c r="DX88" s="56" t="s">
        <v>678</v>
      </c>
      <c r="DY88" s="56" t="s">
        <v>679</v>
      </c>
      <c r="EL88" s="56">
        <v>25</v>
      </c>
      <c r="EM88" s="56">
        <v>15</v>
      </c>
      <c r="EN88" s="56">
        <v>4779</v>
      </c>
      <c r="EO88" s="56">
        <v>2420</v>
      </c>
      <c r="EP88" s="56">
        <v>6802</v>
      </c>
      <c r="EQ88" s="56" t="s">
        <v>1235</v>
      </c>
      <c r="ER88" s="56" t="s">
        <v>1236</v>
      </c>
      <c r="ES88" s="56">
        <v>2</v>
      </c>
      <c r="ET88" s="56" t="s">
        <v>682</v>
      </c>
      <c r="EU88" s="56" t="s">
        <v>683</v>
      </c>
      <c r="EV88" s="56" t="s">
        <v>683</v>
      </c>
      <c r="FD88" s="56" t="s">
        <v>1264</v>
      </c>
      <c r="FK88" s="56">
        <v>0</v>
      </c>
    </row>
    <row r="89" spans="1:167" x14ac:dyDescent="0.2">
      <c r="A89" s="56">
        <v>29045</v>
      </c>
      <c r="B89" s="56">
        <v>2</v>
      </c>
      <c r="C89" s="56">
        <v>6352</v>
      </c>
      <c r="D89" s="56" t="s">
        <v>634</v>
      </c>
      <c r="E89" s="56" t="s">
        <v>635</v>
      </c>
      <c r="K89" s="56" t="s">
        <v>1265</v>
      </c>
      <c r="L89" s="56" t="s">
        <v>637</v>
      </c>
      <c r="M89" s="56">
        <v>44933</v>
      </c>
      <c r="N89" s="56">
        <v>44935</v>
      </c>
      <c r="O89" s="56">
        <v>38</v>
      </c>
      <c r="P89" s="56" t="s">
        <v>638</v>
      </c>
      <c r="Q89" s="56">
        <v>2</v>
      </c>
      <c r="R89" s="56" t="s">
        <v>639</v>
      </c>
      <c r="S89" s="56" t="s">
        <v>893</v>
      </c>
      <c r="T89" s="56" t="s">
        <v>641</v>
      </c>
      <c r="U89" s="56" t="s">
        <v>1227</v>
      </c>
      <c r="V89" s="56" t="s">
        <v>643</v>
      </c>
      <c r="W89" s="56">
        <v>48</v>
      </c>
      <c r="X89" s="56" t="s">
        <v>699</v>
      </c>
      <c r="Y89" s="56">
        <v>90</v>
      </c>
      <c r="Z89" s="56" t="s">
        <v>894</v>
      </c>
      <c r="AA89" s="56" t="s">
        <v>895</v>
      </c>
      <c r="AB89" s="56" t="s">
        <v>896</v>
      </c>
      <c r="AC89" s="56" t="s">
        <v>641</v>
      </c>
      <c r="AD89" s="56" t="s">
        <v>893</v>
      </c>
      <c r="AL89" s="56">
        <v>52</v>
      </c>
      <c r="AM89" s="56" t="s">
        <v>1228</v>
      </c>
      <c r="AN89" s="56" t="s">
        <v>1229</v>
      </c>
      <c r="AO89" s="56" t="s">
        <v>1230</v>
      </c>
      <c r="AP89" s="56" t="s">
        <v>643</v>
      </c>
      <c r="AQ89" s="56" t="s">
        <v>1227</v>
      </c>
      <c r="AR89" s="56">
        <v>52</v>
      </c>
      <c r="AS89" s="56" t="s">
        <v>1228</v>
      </c>
      <c r="AT89" s="56" t="s">
        <v>1229</v>
      </c>
      <c r="AU89" s="56" t="s">
        <v>643</v>
      </c>
      <c r="AV89" s="56" t="s">
        <v>1227</v>
      </c>
      <c r="AW89" s="56">
        <v>120</v>
      </c>
      <c r="AX89" s="56" t="s">
        <v>836</v>
      </c>
      <c r="AY89" s="56">
        <v>7</v>
      </c>
      <c r="AZ89" s="56" t="s">
        <v>128</v>
      </c>
      <c r="BA89" s="56" t="s">
        <v>837</v>
      </c>
      <c r="BB89" s="56" t="s">
        <v>770</v>
      </c>
      <c r="BC89" s="56">
        <v>38</v>
      </c>
      <c r="BD89" s="56" t="s">
        <v>289</v>
      </c>
      <c r="BE89" s="56" t="s">
        <v>771</v>
      </c>
      <c r="BF89" s="56">
        <v>2</v>
      </c>
      <c r="BG89" s="56" t="s">
        <v>289</v>
      </c>
      <c r="BH89" s="56" t="s">
        <v>772</v>
      </c>
      <c r="BI89" s="56">
        <v>46.54</v>
      </c>
      <c r="BJ89" s="56">
        <v>147430.6</v>
      </c>
      <c r="BK89" s="56">
        <v>46.54</v>
      </c>
      <c r="BL89" s="56" t="s">
        <v>1231</v>
      </c>
      <c r="BM89" s="56">
        <v>3105</v>
      </c>
      <c r="BN89" s="56" t="s">
        <v>724</v>
      </c>
      <c r="BO89" s="56" t="s">
        <v>725</v>
      </c>
      <c r="BP89" s="56">
        <v>6515.6</v>
      </c>
      <c r="BQ89" s="56">
        <v>5636.53</v>
      </c>
      <c r="BR89" s="56">
        <v>0</v>
      </c>
      <c r="BS89" s="56">
        <v>0</v>
      </c>
      <c r="BT89" s="56">
        <v>0</v>
      </c>
      <c r="BU89" s="56">
        <v>718574</v>
      </c>
      <c r="BV89" s="56">
        <v>52</v>
      </c>
      <c r="BW89" s="56" t="s">
        <v>1228</v>
      </c>
      <c r="BX89" s="56" t="s">
        <v>1266</v>
      </c>
      <c r="BY89" s="56" t="s">
        <v>663</v>
      </c>
      <c r="BZ89" s="56">
        <v>0.25</v>
      </c>
      <c r="CA89" s="56" t="s">
        <v>664</v>
      </c>
      <c r="CB89" s="56" t="s">
        <v>1233</v>
      </c>
      <c r="CD89" s="56" t="s">
        <v>667</v>
      </c>
      <c r="CG89" s="56">
        <v>0</v>
      </c>
      <c r="CH89" s="56">
        <v>140</v>
      </c>
      <c r="CJ89" s="56">
        <v>100</v>
      </c>
      <c r="CK89" s="56">
        <v>5636.53</v>
      </c>
      <c r="CL89" s="56">
        <v>0</v>
      </c>
      <c r="CN89" s="56">
        <v>781.87</v>
      </c>
      <c r="CO89" s="56">
        <v>781.87</v>
      </c>
      <c r="CP89" s="56">
        <v>97.2</v>
      </c>
      <c r="CQ89" s="56" t="s">
        <v>668</v>
      </c>
      <c r="CR89" s="56">
        <v>0</v>
      </c>
      <c r="CS89" s="56">
        <v>0</v>
      </c>
      <c r="CV89" s="56">
        <v>0</v>
      </c>
      <c r="CX89" s="56">
        <v>0</v>
      </c>
      <c r="CY89" s="56">
        <v>0</v>
      </c>
      <c r="CZ89" s="56">
        <v>521.38</v>
      </c>
      <c r="DA89" s="56">
        <v>521.38</v>
      </c>
      <c r="DB89" s="56">
        <v>0</v>
      </c>
      <c r="DC89" s="56">
        <v>5115.1499999999996</v>
      </c>
      <c r="DD89" s="56">
        <v>25.33</v>
      </c>
      <c r="DE89" s="56">
        <v>0</v>
      </c>
      <c r="DF89" s="56">
        <v>25.33</v>
      </c>
      <c r="DH89" s="56" t="s">
        <v>670</v>
      </c>
      <c r="DI89" s="56" t="s">
        <v>671</v>
      </c>
      <c r="DK89" s="56">
        <v>79.61</v>
      </c>
      <c r="DL89" s="56">
        <v>5187.0200000000004</v>
      </c>
      <c r="DM89" s="56">
        <v>10</v>
      </c>
      <c r="DN89" s="56">
        <v>138129</v>
      </c>
      <c r="DO89" s="56" t="s">
        <v>236</v>
      </c>
      <c r="DQ89" s="56" t="s">
        <v>674</v>
      </c>
      <c r="DR89" s="56">
        <v>3</v>
      </c>
      <c r="DW89" s="56">
        <v>360</v>
      </c>
      <c r="DX89" s="56" t="s">
        <v>678</v>
      </c>
      <c r="DY89" s="56" t="s">
        <v>679</v>
      </c>
      <c r="EL89" s="56">
        <v>25</v>
      </c>
      <c r="EM89" s="56">
        <v>15</v>
      </c>
      <c r="EN89" s="56">
        <v>4779</v>
      </c>
      <c r="EO89" s="56">
        <v>2420</v>
      </c>
      <c r="EP89" s="56" t="s">
        <v>1234</v>
      </c>
      <c r="EQ89" s="56" t="s">
        <v>1235</v>
      </c>
      <c r="ER89" s="56" t="s">
        <v>1236</v>
      </c>
      <c r="ES89" s="56">
        <v>2</v>
      </c>
      <c r="ET89" s="56" t="s">
        <v>682</v>
      </c>
      <c r="EU89" s="56" t="s">
        <v>683</v>
      </c>
      <c r="EV89" s="56" t="s">
        <v>683</v>
      </c>
      <c r="FD89" s="56" t="s">
        <v>1267</v>
      </c>
      <c r="FK89" s="56">
        <v>0</v>
      </c>
    </row>
    <row r="90" spans="1:167" x14ac:dyDescent="0.2">
      <c r="A90" s="56">
        <v>29046</v>
      </c>
      <c r="B90" s="56">
        <v>2</v>
      </c>
      <c r="C90" s="56">
        <v>6352</v>
      </c>
      <c r="D90" s="56" t="s">
        <v>634</v>
      </c>
      <c r="E90" s="56" t="s">
        <v>635</v>
      </c>
      <c r="K90" s="56" t="s">
        <v>1268</v>
      </c>
      <c r="L90" s="56" t="s">
        <v>637</v>
      </c>
      <c r="M90" s="56">
        <v>44934</v>
      </c>
      <c r="N90" s="56">
        <v>44936</v>
      </c>
      <c r="O90" s="56">
        <v>38</v>
      </c>
      <c r="P90" s="56" t="s">
        <v>638</v>
      </c>
      <c r="Q90" s="56">
        <v>2</v>
      </c>
      <c r="R90" s="56" t="s">
        <v>639</v>
      </c>
      <c r="S90" s="56" t="s">
        <v>1269</v>
      </c>
      <c r="T90" s="56" t="s">
        <v>641</v>
      </c>
      <c r="U90" s="56" t="s">
        <v>735</v>
      </c>
      <c r="V90" s="56" t="s">
        <v>643</v>
      </c>
      <c r="W90" s="56">
        <v>47</v>
      </c>
      <c r="X90" s="56" t="s">
        <v>644</v>
      </c>
      <c r="Y90" s="56">
        <v>98</v>
      </c>
      <c r="Z90" s="56" t="s">
        <v>645</v>
      </c>
      <c r="AA90" s="56" t="s">
        <v>646</v>
      </c>
      <c r="AB90" s="56" t="s">
        <v>647</v>
      </c>
      <c r="AC90" s="56" t="s">
        <v>643</v>
      </c>
      <c r="AD90" s="56" t="s">
        <v>648</v>
      </c>
      <c r="AE90" s="56">
        <v>91</v>
      </c>
      <c r="AF90" s="56" t="s">
        <v>736</v>
      </c>
      <c r="AG90" s="56" t="s">
        <v>737</v>
      </c>
      <c r="AH90" s="56" t="s">
        <v>643</v>
      </c>
      <c r="AI90" s="56" t="s">
        <v>735</v>
      </c>
      <c r="AJ90" s="56">
        <v>183</v>
      </c>
      <c r="AK90" s="56" t="s">
        <v>1270</v>
      </c>
      <c r="AL90" s="56">
        <v>91</v>
      </c>
      <c r="AM90" s="56" t="s">
        <v>736</v>
      </c>
      <c r="AN90" s="56" t="s">
        <v>737</v>
      </c>
      <c r="AO90" s="56" t="s">
        <v>738</v>
      </c>
      <c r="AP90" s="56" t="s">
        <v>643</v>
      </c>
      <c r="AQ90" s="56" t="s">
        <v>735</v>
      </c>
      <c r="AR90" s="56">
        <v>98</v>
      </c>
      <c r="AS90" s="56" t="s">
        <v>645</v>
      </c>
      <c r="AT90" s="56" t="s">
        <v>646</v>
      </c>
      <c r="AU90" s="56" t="s">
        <v>643</v>
      </c>
      <c r="AV90" s="56" t="s">
        <v>648</v>
      </c>
      <c r="AW90" s="56">
        <v>991</v>
      </c>
      <c r="AX90" s="56" t="s">
        <v>1271</v>
      </c>
      <c r="AY90" s="56">
        <v>265</v>
      </c>
      <c r="AZ90" s="56" t="s">
        <v>1272</v>
      </c>
      <c r="BA90" s="56" t="s">
        <v>1273</v>
      </c>
      <c r="BB90" s="56" t="s">
        <v>1011</v>
      </c>
      <c r="BC90" s="56">
        <v>93</v>
      </c>
      <c r="BD90" s="56" t="s">
        <v>1012</v>
      </c>
      <c r="BE90" s="56" t="s">
        <v>1013</v>
      </c>
      <c r="BF90" s="56">
        <v>93</v>
      </c>
      <c r="BG90" s="56" t="s">
        <v>1012</v>
      </c>
      <c r="BH90" s="56" t="s">
        <v>1013</v>
      </c>
      <c r="BI90" s="56">
        <v>47.6</v>
      </c>
      <c r="BJ90" s="56">
        <v>75231.320000000007</v>
      </c>
      <c r="BK90" s="56">
        <v>47.6</v>
      </c>
      <c r="BL90" s="56" t="s">
        <v>1274</v>
      </c>
      <c r="BM90" s="56">
        <v>3102</v>
      </c>
      <c r="BN90" s="56" t="s">
        <v>1275</v>
      </c>
      <c r="BO90" s="56" t="s">
        <v>1276</v>
      </c>
      <c r="BP90" s="56">
        <v>6568.8</v>
      </c>
      <c r="BQ90" s="56">
        <v>5565.44</v>
      </c>
      <c r="BR90" s="56">
        <v>0</v>
      </c>
      <c r="BS90" s="56">
        <v>0</v>
      </c>
      <c r="BT90" s="56">
        <v>4511.58</v>
      </c>
      <c r="BU90" s="56">
        <v>10361</v>
      </c>
      <c r="BV90" s="56">
        <v>98</v>
      </c>
      <c r="BW90" s="56" t="s">
        <v>645</v>
      </c>
      <c r="BX90" s="56" t="s">
        <v>1277</v>
      </c>
      <c r="BY90" s="56" t="s">
        <v>663</v>
      </c>
      <c r="BZ90" s="56">
        <v>0.25</v>
      </c>
      <c r="CA90" s="56" t="s">
        <v>664</v>
      </c>
      <c r="CB90" s="56" t="s">
        <v>1278</v>
      </c>
      <c r="CC90" s="56" t="s">
        <v>1279</v>
      </c>
      <c r="CD90" s="56" t="s">
        <v>667</v>
      </c>
      <c r="CF90" s="56">
        <v>0</v>
      </c>
      <c r="CG90" s="56">
        <v>0</v>
      </c>
      <c r="CH90" s="56">
        <v>138</v>
      </c>
      <c r="CI90" s="56">
        <v>99.3</v>
      </c>
      <c r="CJ90" s="56">
        <v>18.940000000000001</v>
      </c>
      <c r="CK90" s="56">
        <v>5565.44</v>
      </c>
      <c r="CL90" s="56">
        <v>4511.58</v>
      </c>
      <c r="CM90" s="56">
        <v>8.5500000000000007</v>
      </c>
      <c r="CN90" s="56">
        <v>788.26</v>
      </c>
      <c r="CO90" s="56">
        <v>788.26</v>
      </c>
      <c r="CP90" s="56">
        <v>215.1</v>
      </c>
      <c r="CQ90" s="56" t="s">
        <v>668</v>
      </c>
      <c r="CR90" s="56">
        <v>0</v>
      </c>
      <c r="CS90" s="56">
        <v>215.1</v>
      </c>
      <c r="CT90" s="56" t="s">
        <v>669</v>
      </c>
      <c r="CU90" s="56">
        <v>0</v>
      </c>
      <c r="CV90" s="56">
        <v>0</v>
      </c>
      <c r="CX90" s="56">
        <v>1053.8599999999999</v>
      </c>
      <c r="CY90" s="56">
        <v>0</v>
      </c>
      <c r="CZ90" s="56">
        <v>181.91</v>
      </c>
      <c r="DA90" s="56">
        <v>514.79999999999995</v>
      </c>
      <c r="DB90" s="56">
        <v>332.89</v>
      </c>
      <c r="DC90" s="56">
        <v>5383.53</v>
      </c>
      <c r="DD90" s="56">
        <v>-24.69</v>
      </c>
      <c r="DE90" s="56">
        <v>0</v>
      </c>
      <c r="DF90" s="56">
        <v>12.93</v>
      </c>
      <c r="DG90" s="56">
        <v>37.619999999999997</v>
      </c>
      <c r="DH90" s="56" t="s">
        <v>670</v>
      </c>
      <c r="DI90" s="56" t="s">
        <v>671</v>
      </c>
      <c r="DK90" s="56">
        <v>13.65</v>
      </c>
      <c r="DL90" s="56">
        <v>896.64</v>
      </c>
      <c r="DM90" s="56">
        <v>46</v>
      </c>
      <c r="DN90" s="56">
        <v>148722</v>
      </c>
      <c r="DO90" s="56" t="s">
        <v>236</v>
      </c>
      <c r="DP90" s="56" t="s">
        <v>673</v>
      </c>
      <c r="DQ90" s="56" t="s">
        <v>674</v>
      </c>
      <c r="DR90" s="56">
        <v>2</v>
      </c>
      <c r="DW90" s="56">
        <v>305</v>
      </c>
      <c r="DX90" s="56" t="s">
        <v>678</v>
      </c>
      <c r="DY90" s="56" t="s">
        <v>679</v>
      </c>
      <c r="ED90" s="56">
        <v>2</v>
      </c>
      <c r="EE90" s="56" t="s">
        <v>639</v>
      </c>
      <c r="EF90" s="56">
        <v>2</v>
      </c>
      <c r="EG90" s="56" t="s">
        <v>639</v>
      </c>
      <c r="EH90" s="56">
        <v>2</v>
      </c>
      <c r="EI90" s="56" t="s">
        <v>639</v>
      </c>
      <c r="EJ90" s="56">
        <v>2</v>
      </c>
      <c r="EK90" s="56" t="s">
        <v>639</v>
      </c>
      <c r="EL90" s="56">
        <v>25</v>
      </c>
      <c r="EM90" s="56">
        <v>15</v>
      </c>
      <c r="EN90" s="56">
        <v>4842</v>
      </c>
      <c r="EO90" s="56">
        <v>1805</v>
      </c>
      <c r="EP90" s="56">
        <v>6803</v>
      </c>
      <c r="EQ90" s="56" t="s">
        <v>1280</v>
      </c>
      <c r="ER90" s="56" t="s">
        <v>1281</v>
      </c>
      <c r="ES90" s="56">
        <v>2</v>
      </c>
      <c r="ET90" s="56" t="s">
        <v>682</v>
      </c>
      <c r="EU90" s="56" t="s">
        <v>683</v>
      </c>
      <c r="EV90" s="56" t="s">
        <v>683</v>
      </c>
      <c r="FD90" s="56" t="s">
        <v>1282</v>
      </c>
      <c r="FK90" s="56">
        <v>0</v>
      </c>
    </row>
    <row r="91" spans="1:167" x14ac:dyDescent="0.2">
      <c r="A91" s="56">
        <v>29047</v>
      </c>
      <c r="B91" s="56">
        <v>2</v>
      </c>
      <c r="C91" s="56">
        <v>6352</v>
      </c>
      <c r="D91" s="56" t="s">
        <v>634</v>
      </c>
      <c r="E91" s="56" t="s">
        <v>635</v>
      </c>
      <c r="K91" s="56" t="s">
        <v>1283</v>
      </c>
      <c r="L91" s="56" t="s">
        <v>637</v>
      </c>
      <c r="M91" s="56">
        <v>44934</v>
      </c>
      <c r="N91" s="56">
        <v>44936</v>
      </c>
      <c r="O91" s="56">
        <v>38</v>
      </c>
      <c r="P91" s="56" t="s">
        <v>638</v>
      </c>
      <c r="Q91" s="56">
        <v>2</v>
      </c>
      <c r="R91" s="56" t="s">
        <v>639</v>
      </c>
      <c r="S91" s="56" t="s">
        <v>1269</v>
      </c>
      <c r="T91" s="56" t="s">
        <v>641</v>
      </c>
      <c r="U91" s="56" t="s">
        <v>735</v>
      </c>
      <c r="V91" s="56" t="s">
        <v>643</v>
      </c>
      <c r="W91" s="56">
        <v>47</v>
      </c>
      <c r="X91" s="56" t="s">
        <v>644</v>
      </c>
      <c r="Y91" s="56">
        <v>98</v>
      </c>
      <c r="Z91" s="56" t="s">
        <v>645</v>
      </c>
      <c r="AA91" s="56" t="s">
        <v>646</v>
      </c>
      <c r="AB91" s="56" t="s">
        <v>647</v>
      </c>
      <c r="AC91" s="56" t="s">
        <v>643</v>
      </c>
      <c r="AD91" s="56" t="s">
        <v>648</v>
      </c>
      <c r="AE91" s="56">
        <v>91</v>
      </c>
      <c r="AF91" s="56" t="s">
        <v>736</v>
      </c>
      <c r="AG91" s="56" t="s">
        <v>737</v>
      </c>
      <c r="AH91" s="56" t="s">
        <v>643</v>
      </c>
      <c r="AI91" s="56" t="s">
        <v>735</v>
      </c>
      <c r="AJ91" s="56">
        <v>183</v>
      </c>
      <c r="AK91" s="56" t="s">
        <v>1270</v>
      </c>
      <c r="AL91" s="56">
        <v>91</v>
      </c>
      <c r="AM91" s="56" t="s">
        <v>736</v>
      </c>
      <c r="AN91" s="56" t="s">
        <v>737</v>
      </c>
      <c r="AO91" s="56" t="s">
        <v>738</v>
      </c>
      <c r="AP91" s="56" t="s">
        <v>643</v>
      </c>
      <c r="AQ91" s="56" t="s">
        <v>735</v>
      </c>
      <c r="AR91" s="56">
        <v>98</v>
      </c>
      <c r="AS91" s="56" t="s">
        <v>645</v>
      </c>
      <c r="AT91" s="56" t="s">
        <v>646</v>
      </c>
      <c r="AU91" s="56" t="s">
        <v>643</v>
      </c>
      <c r="AV91" s="56" t="s">
        <v>648</v>
      </c>
      <c r="AW91" s="56">
        <v>113</v>
      </c>
      <c r="AX91" s="56" t="s">
        <v>1025</v>
      </c>
      <c r="AY91" s="56">
        <v>43</v>
      </c>
      <c r="AZ91" s="56" t="s">
        <v>126</v>
      </c>
      <c r="BA91" s="56" t="s">
        <v>1284</v>
      </c>
      <c r="BB91" s="56" t="s">
        <v>770</v>
      </c>
      <c r="BC91" s="56">
        <v>38</v>
      </c>
      <c r="BD91" s="56" t="s">
        <v>289</v>
      </c>
      <c r="BE91" s="56" t="s">
        <v>771</v>
      </c>
      <c r="BF91" s="56">
        <v>2</v>
      </c>
      <c r="BG91" s="56" t="s">
        <v>289</v>
      </c>
      <c r="BH91" s="56" t="s">
        <v>772</v>
      </c>
      <c r="BI91" s="56">
        <v>46.48</v>
      </c>
      <c r="BJ91" s="56">
        <v>73461.179999999993</v>
      </c>
      <c r="BK91" s="56">
        <v>46.48</v>
      </c>
      <c r="BL91" s="56" t="s">
        <v>1274</v>
      </c>
      <c r="BM91" s="56">
        <v>3102</v>
      </c>
      <c r="BN91" s="56" t="s">
        <v>786</v>
      </c>
      <c r="BO91" s="56" t="s">
        <v>911</v>
      </c>
      <c r="BP91" s="56">
        <v>6414.24</v>
      </c>
      <c r="BQ91" s="56">
        <v>5443.83</v>
      </c>
      <c r="BR91" s="56">
        <v>0</v>
      </c>
      <c r="BS91" s="56">
        <v>0</v>
      </c>
      <c r="BT91" s="56">
        <v>0</v>
      </c>
      <c r="BU91" s="56">
        <v>10365</v>
      </c>
      <c r="BV91" s="56">
        <v>98</v>
      </c>
      <c r="BW91" s="56" t="s">
        <v>645</v>
      </c>
      <c r="BX91" s="56" t="s">
        <v>1285</v>
      </c>
      <c r="BY91" s="56" t="s">
        <v>663</v>
      </c>
      <c r="BZ91" s="56">
        <v>0.25</v>
      </c>
      <c r="CA91" s="56" t="s">
        <v>664</v>
      </c>
      <c r="CB91" s="56" t="s">
        <v>1278</v>
      </c>
      <c r="CD91" s="56" t="s">
        <v>667</v>
      </c>
      <c r="CG91" s="56">
        <v>0</v>
      </c>
      <c r="CH91" s="56">
        <v>138</v>
      </c>
      <c r="CJ91" s="56">
        <v>100</v>
      </c>
      <c r="CK91" s="56">
        <v>5443.83</v>
      </c>
      <c r="CL91" s="56">
        <v>0</v>
      </c>
      <c r="CN91" s="56">
        <v>769.71</v>
      </c>
      <c r="CO91" s="56">
        <v>769.71</v>
      </c>
      <c r="CP91" s="56">
        <v>200.7</v>
      </c>
      <c r="CQ91" s="56" t="s">
        <v>668</v>
      </c>
      <c r="CR91" s="56">
        <v>0</v>
      </c>
      <c r="CS91" s="56">
        <v>0</v>
      </c>
      <c r="CV91" s="56">
        <v>0</v>
      </c>
      <c r="CX91" s="56">
        <v>0</v>
      </c>
      <c r="CY91" s="56">
        <v>0</v>
      </c>
      <c r="CZ91" s="56">
        <v>503.55</v>
      </c>
      <c r="DA91" s="56">
        <v>503.55</v>
      </c>
      <c r="DB91" s="56">
        <v>0</v>
      </c>
      <c r="DC91" s="56">
        <v>4940.28</v>
      </c>
      <c r="DD91" s="56">
        <v>12.62</v>
      </c>
      <c r="DE91" s="56">
        <v>0</v>
      </c>
      <c r="DF91" s="56">
        <v>12.62</v>
      </c>
      <c r="DH91" s="56" t="s">
        <v>670</v>
      </c>
      <c r="DI91" s="56" t="s">
        <v>671</v>
      </c>
      <c r="DK91" s="56">
        <v>79.95</v>
      </c>
      <c r="DL91" s="56">
        <v>5128.3599999999997</v>
      </c>
      <c r="DM91" s="56">
        <v>46</v>
      </c>
      <c r="DN91" s="56">
        <v>148722</v>
      </c>
      <c r="DO91" s="56" t="s">
        <v>236</v>
      </c>
      <c r="DQ91" s="56" t="s">
        <v>674</v>
      </c>
      <c r="DR91" s="56">
        <v>3</v>
      </c>
      <c r="DW91" s="56">
        <v>305</v>
      </c>
      <c r="DX91" s="56" t="s">
        <v>678</v>
      </c>
      <c r="DY91" s="56" t="s">
        <v>679</v>
      </c>
      <c r="EL91" s="56">
        <v>25</v>
      </c>
      <c r="EM91" s="56">
        <v>15</v>
      </c>
      <c r="EN91" s="56">
        <v>4842</v>
      </c>
      <c r="EO91" s="56">
        <v>1805</v>
      </c>
      <c r="EP91" s="56">
        <v>6803</v>
      </c>
      <c r="EQ91" s="56" t="s">
        <v>1280</v>
      </c>
      <c r="ER91" s="56" t="s">
        <v>1281</v>
      </c>
      <c r="ES91" s="56">
        <v>2</v>
      </c>
      <c r="ET91" s="56" t="s">
        <v>682</v>
      </c>
      <c r="EU91" s="56" t="s">
        <v>683</v>
      </c>
      <c r="EV91" s="56" t="s">
        <v>683</v>
      </c>
      <c r="FD91" s="56" t="s">
        <v>1286</v>
      </c>
      <c r="FK91" s="56">
        <v>0</v>
      </c>
    </row>
    <row r="92" spans="1:167" x14ac:dyDescent="0.2">
      <c r="A92" s="56">
        <v>29048</v>
      </c>
      <c r="B92" s="56">
        <v>2</v>
      </c>
      <c r="C92" s="56">
        <v>6352</v>
      </c>
      <c r="D92" s="56" t="s">
        <v>634</v>
      </c>
      <c r="E92" s="56" t="s">
        <v>635</v>
      </c>
      <c r="K92" s="56" t="s">
        <v>1287</v>
      </c>
      <c r="L92" s="56" t="s">
        <v>637</v>
      </c>
      <c r="M92" s="56">
        <v>44935</v>
      </c>
      <c r="N92" s="56">
        <v>44936</v>
      </c>
      <c r="O92" s="56">
        <v>38</v>
      </c>
      <c r="P92" s="56" t="s">
        <v>638</v>
      </c>
      <c r="Q92" s="56">
        <v>2</v>
      </c>
      <c r="R92" s="56" t="s">
        <v>639</v>
      </c>
      <c r="S92" s="56" t="s">
        <v>1269</v>
      </c>
      <c r="T92" s="56" t="s">
        <v>641</v>
      </c>
      <c r="U92" s="56" t="s">
        <v>735</v>
      </c>
      <c r="V92" s="56" t="s">
        <v>643</v>
      </c>
      <c r="W92" s="56">
        <v>47</v>
      </c>
      <c r="X92" s="56" t="s">
        <v>644</v>
      </c>
      <c r="Y92" s="56">
        <v>98</v>
      </c>
      <c r="Z92" s="56" t="s">
        <v>645</v>
      </c>
      <c r="AA92" s="56" t="s">
        <v>646</v>
      </c>
      <c r="AB92" s="56" t="s">
        <v>647</v>
      </c>
      <c r="AC92" s="56" t="s">
        <v>643</v>
      </c>
      <c r="AD92" s="56" t="s">
        <v>648</v>
      </c>
      <c r="AE92" s="56">
        <v>91</v>
      </c>
      <c r="AF92" s="56" t="s">
        <v>736</v>
      </c>
      <c r="AG92" s="56" t="s">
        <v>737</v>
      </c>
      <c r="AH92" s="56" t="s">
        <v>643</v>
      </c>
      <c r="AI92" s="56" t="s">
        <v>735</v>
      </c>
      <c r="AJ92" s="56">
        <v>183</v>
      </c>
      <c r="AK92" s="56" t="s">
        <v>1270</v>
      </c>
      <c r="AL92" s="56">
        <v>91</v>
      </c>
      <c r="AM92" s="56" t="s">
        <v>736</v>
      </c>
      <c r="AN92" s="56" t="s">
        <v>737</v>
      </c>
      <c r="AO92" s="56" t="s">
        <v>738</v>
      </c>
      <c r="AP92" s="56" t="s">
        <v>643</v>
      </c>
      <c r="AQ92" s="56" t="s">
        <v>735</v>
      </c>
      <c r="AR92" s="56">
        <v>98</v>
      </c>
      <c r="AS92" s="56" t="s">
        <v>645</v>
      </c>
      <c r="AT92" s="56" t="s">
        <v>646</v>
      </c>
      <c r="AU92" s="56" t="s">
        <v>643</v>
      </c>
      <c r="AV92" s="56" t="s">
        <v>648</v>
      </c>
      <c r="AW92" s="56">
        <v>828</v>
      </c>
      <c r="AX92" s="56" t="s">
        <v>1288</v>
      </c>
      <c r="AY92" s="56">
        <v>965</v>
      </c>
      <c r="AZ92" s="56" t="s">
        <v>1289</v>
      </c>
      <c r="BA92" s="56" t="s">
        <v>1290</v>
      </c>
      <c r="BB92" s="56" t="s">
        <v>1291</v>
      </c>
      <c r="BC92" s="56">
        <v>765</v>
      </c>
      <c r="BD92" s="56" t="s">
        <v>1292</v>
      </c>
      <c r="BE92" s="56" t="s">
        <v>1293</v>
      </c>
      <c r="BF92" s="56">
        <v>765</v>
      </c>
      <c r="BG92" s="56" t="s">
        <v>1292</v>
      </c>
      <c r="BH92" s="56" t="s">
        <v>1293</v>
      </c>
      <c r="BI92" s="56">
        <v>47.32</v>
      </c>
      <c r="BJ92" s="56">
        <v>74788.789999999994</v>
      </c>
      <c r="BK92" s="56">
        <v>47.32</v>
      </c>
      <c r="BL92" s="56" t="s">
        <v>1274</v>
      </c>
      <c r="BM92" s="56">
        <v>3102</v>
      </c>
      <c r="BN92" s="56" t="s">
        <v>660</v>
      </c>
      <c r="BO92" s="56" t="s">
        <v>706</v>
      </c>
      <c r="BP92" s="56">
        <v>6530.16</v>
      </c>
      <c r="BQ92" s="56">
        <v>5531.44</v>
      </c>
      <c r="BR92" s="56">
        <v>0</v>
      </c>
      <c r="BS92" s="56">
        <v>0</v>
      </c>
      <c r="BT92" s="56">
        <v>4483.78</v>
      </c>
      <c r="BU92" s="56">
        <v>10366</v>
      </c>
      <c r="BV92" s="56">
        <v>98</v>
      </c>
      <c r="BW92" s="56" t="s">
        <v>645</v>
      </c>
      <c r="BX92" s="56" t="s">
        <v>1294</v>
      </c>
      <c r="BY92" s="56" t="s">
        <v>663</v>
      </c>
      <c r="BZ92" s="56">
        <v>0.25</v>
      </c>
      <c r="CA92" s="56" t="s">
        <v>664</v>
      </c>
      <c r="CB92" s="56" t="s">
        <v>1278</v>
      </c>
      <c r="CC92" s="56" t="s">
        <v>1279</v>
      </c>
      <c r="CD92" s="56" t="s">
        <v>667</v>
      </c>
      <c r="CF92" s="56">
        <v>0</v>
      </c>
      <c r="CG92" s="56">
        <v>0</v>
      </c>
      <c r="CH92" s="56">
        <v>138</v>
      </c>
      <c r="CI92" s="56">
        <v>99.3</v>
      </c>
      <c r="CJ92" s="56">
        <v>18.940000000000001</v>
      </c>
      <c r="CK92" s="56">
        <v>5531.44</v>
      </c>
      <c r="CL92" s="56">
        <v>4483.78</v>
      </c>
      <c r="CM92" s="56">
        <v>48.98</v>
      </c>
      <c r="CN92" s="56">
        <v>783.62</v>
      </c>
      <c r="CO92" s="56">
        <v>783.62</v>
      </c>
      <c r="CP92" s="56">
        <v>215.1</v>
      </c>
      <c r="CQ92" s="56" t="s">
        <v>668</v>
      </c>
      <c r="CR92" s="56">
        <v>0</v>
      </c>
      <c r="CS92" s="56">
        <v>215.1</v>
      </c>
      <c r="CT92" s="56" t="s">
        <v>669</v>
      </c>
      <c r="CU92" s="56">
        <v>0</v>
      </c>
      <c r="CV92" s="56">
        <v>0</v>
      </c>
      <c r="CX92" s="56">
        <v>1047.6600000000001</v>
      </c>
      <c r="CY92" s="56">
        <v>0</v>
      </c>
      <c r="CZ92" s="56">
        <v>180.7</v>
      </c>
      <c r="DA92" s="56">
        <v>511.66</v>
      </c>
      <c r="DB92" s="56">
        <v>330.96</v>
      </c>
      <c r="DC92" s="56">
        <v>5350.74</v>
      </c>
      <c r="DD92" s="56">
        <v>-24.54</v>
      </c>
      <c r="DE92" s="56">
        <v>0</v>
      </c>
      <c r="DF92" s="56">
        <v>12.85</v>
      </c>
      <c r="DG92" s="56">
        <v>37.39</v>
      </c>
      <c r="DH92" s="56" t="s">
        <v>670</v>
      </c>
      <c r="DI92" s="56" t="s">
        <v>671</v>
      </c>
      <c r="DK92" s="56">
        <v>13.65</v>
      </c>
      <c r="DL92" s="56">
        <v>891.5</v>
      </c>
      <c r="DM92" s="56">
        <v>46</v>
      </c>
      <c r="DN92" s="56">
        <v>148722</v>
      </c>
      <c r="DO92" s="56" t="s">
        <v>236</v>
      </c>
      <c r="DP92" s="56" t="s">
        <v>673</v>
      </c>
      <c r="DQ92" s="56" t="s">
        <v>674</v>
      </c>
      <c r="DR92" s="56">
        <v>2</v>
      </c>
      <c r="DW92" s="56">
        <v>305</v>
      </c>
      <c r="DX92" s="56" t="s">
        <v>678</v>
      </c>
      <c r="DY92" s="56" t="s">
        <v>679</v>
      </c>
      <c r="ED92" s="56">
        <v>2</v>
      </c>
      <c r="EE92" s="56" t="s">
        <v>639</v>
      </c>
      <c r="EF92" s="56">
        <v>2</v>
      </c>
      <c r="EG92" s="56" t="s">
        <v>639</v>
      </c>
      <c r="EH92" s="56">
        <v>2</v>
      </c>
      <c r="EI92" s="56" t="s">
        <v>639</v>
      </c>
      <c r="EJ92" s="56">
        <v>2</v>
      </c>
      <c r="EK92" s="56" t="s">
        <v>639</v>
      </c>
      <c r="EL92" s="56">
        <v>25</v>
      </c>
      <c r="EM92" s="56">
        <v>15</v>
      </c>
      <c r="EN92" s="56">
        <v>4842</v>
      </c>
      <c r="EO92" s="56">
        <v>1805</v>
      </c>
      <c r="EP92" s="56">
        <v>6803</v>
      </c>
      <c r="EQ92" s="56" t="s">
        <v>1280</v>
      </c>
      <c r="ER92" s="56" t="s">
        <v>1281</v>
      </c>
      <c r="ES92" s="56">
        <v>2</v>
      </c>
      <c r="ET92" s="56" t="s">
        <v>682</v>
      </c>
      <c r="EU92" s="56" t="s">
        <v>683</v>
      </c>
      <c r="EV92" s="56" t="s">
        <v>683</v>
      </c>
      <c r="FD92" s="56" t="s">
        <v>1295</v>
      </c>
      <c r="FK92" s="56">
        <v>0</v>
      </c>
    </row>
    <row r="93" spans="1:167" x14ac:dyDescent="0.2">
      <c r="A93" s="56">
        <v>29049</v>
      </c>
      <c r="B93" s="56">
        <v>2</v>
      </c>
      <c r="C93" s="56">
        <v>6352</v>
      </c>
      <c r="D93" s="56" t="s">
        <v>634</v>
      </c>
      <c r="E93" s="56" t="s">
        <v>635</v>
      </c>
      <c r="K93" s="56" t="s">
        <v>1296</v>
      </c>
      <c r="L93" s="56" t="s">
        <v>637</v>
      </c>
      <c r="M93" s="56">
        <v>44935</v>
      </c>
      <c r="N93" s="56">
        <v>44937</v>
      </c>
      <c r="O93" s="56">
        <v>38</v>
      </c>
      <c r="P93" s="56" t="s">
        <v>638</v>
      </c>
      <c r="Q93" s="56">
        <v>2</v>
      </c>
      <c r="R93" s="56" t="s">
        <v>639</v>
      </c>
      <c r="S93" s="56" t="s">
        <v>1269</v>
      </c>
      <c r="T93" s="56" t="s">
        <v>641</v>
      </c>
      <c r="U93" s="56" t="s">
        <v>735</v>
      </c>
      <c r="V93" s="56" t="s">
        <v>643</v>
      </c>
      <c r="W93" s="56">
        <v>47</v>
      </c>
      <c r="X93" s="56" t="s">
        <v>644</v>
      </c>
      <c r="Y93" s="56">
        <v>98</v>
      </c>
      <c r="Z93" s="56" t="s">
        <v>645</v>
      </c>
      <c r="AA93" s="56" t="s">
        <v>646</v>
      </c>
      <c r="AB93" s="56" t="s">
        <v>647</v>
      </c>
      <c r="AC93" s="56" t="s">
        <v>643</v>
      </c>
      <c r="AD93" s="56" t="s">
        <v>648</v>
      </c>
      <c r="AE93" s="56">
        <v>91</v>
      </c>
      <c r="AF93" s="56" t="s">
        <v>736</v>
      </c>
      <c r="AG93" s="56" t="s">
        <v>737</v>
      </c>
      <c r="AH93" s="56" t="s">
        <v>643</v>
      </c>
      <c r="AI93" s="56" t="s">
        <v>735</v>
      </c>
      <c r="AJ93" s="56">
        <v>183</v>
      </c>
      <c r="AK93" s="56" t="s">
        <v>1270</v>
      </c>
      <c r="AL93" s="56">
        <v>91</v>
      </c>
      <c r="AM93" s="56" t="s">
        <v>736</v>
      </c>
      <c r="AN93" s="56" t="s">
        <v>737</v>
      </c>
      <c r="AO93" s="56" t="s">
        <v>738</v>
      </c>
      <c r="AP93" s="56" t="s">
        <v>643</v>
      </c>
      <c r="AQ93" s="56" t="s">
        <v>735</v>
      </c>
      <c r="AR93" s="56">
        <v>98</v>
      </c>
      <c r="AS93" s="56" t="s">
        <v>645</v>
      </c>
      <c r="AT93" s="56" t="s">
        <v>646</v>
      </c>
      <c r="AU93" s="56" t="s">
        <v>643</v>
      </c>
      <c r="AV93" s="56" t="s">
        <v>648</v>
      </c>
      <c r="AW93" s="56">
        <v>771</v>
      </c>
      <c r="AX93" s="56" t="s">
        <v>1297</v>
      </c>
      <c r="AY93" s="56">
        <v>877</v>
      </c>
      <c r="AZ93" s="56" t="s">
        <v>1298</v>
      </c>
      <c r="BA93" s="56" t="s">
        <v>1299</v>
      </c>
      <c r="BB93" s="56" t="s">
        <v>1291</v>
      </c>
      <c r="BC93" s="56">
        <v>765</v>
      </c>
      <c r="BD93" s="56" t="s">
        <v>1292</v>
      </c>
      <c r="BE93" s="56" t="s">
        <v>1293</v>
      </c>
      <c r="BF93" s="56">
        <v>765</v>
      </c>
      <c r="BG93" s="56" t="s">
        <v>1292</v>
      </c>
      <c r="BH93" s="56" t="s">
        <v>1293</v>
      </c>
      <c r="BI93" s="56">
        <v>47.5</v>
      </c>
      <c r="BJ93" s="56">
        <v>75073.279999999999</v>
      </c>
      <c r="BK93" s="56">
        <v>47.5</v>
      </c>
      <c r="BL93" s="56" t="s">
        <v>1274</v>
      </c>
      <c r="BM93" s="56">
        <v>3102</v>
      </c>
      <c r="BN93" s="56" t="s">
        <v>660</v>
      </c>
      <c r="BO93" s="56" t="s">
        <v>706</v>
      </c>
      <c r="BP93" s="56">
        <v>6555</v>
      </c>
      <c r="BQ93" s="56">
        <v>5553.3</v>
      </c>
      <c r="BR93" s="56">
        <v>0</v>
      </c>
      <c r="BS93" s="56">
        <v>0</v>
      </c>
      <c r="BT93" s="56">
        <v>4501.6499999999996</v>
      </c>
      <c r="BU93" s="56">
        <v>10368</v>
      </c>
      <c r="BV93" s="56">
        <v>98</v>
      </c>
      <c r="BW93" s="56" t="s">
        <v>645</v>
      </c>
      <c r="BX93" s="56" t="s">
        <v>1300</v>
      </c>
      <c r="BY93" s="56" t="s">
        <v>663</v>
      </c>
      <c r="BZ93" s="56">
        <v>0.25</v>
      </c>
      <c r="CA93" s="56" t="s">
        <v>664</v>
      </c>
      <c r="CB93" s="56" t="s">
        <v>1278</v>
      </c>
      <c r="CC93" s="56" t="s">
        <v>1279</v>
      </c>
      <c r="CD93" s="56" t="s">
        <v>667</v>
      </c>
      <c r="CF93" s="56">
        <v>0</v>
      </c>
      <c r="CG93" s="56">
        <v>0</v>
      </c>
      <c r="CH93" s="56">
        <v>138</v>
      </c>
      <c r="CI93" s="56">
        <v>99.3</v>
      </c>
      <c r="CJ93" s="56">
        <v>18.940000000000001</v>
      </c>
      <c r="CK93" s="56">
        <v>5553.3</v>
      </c>
      <c r="CL93" s="56">
        <v>4501.6499999999996</v>
      </c>
      <c r="CM93" s="56">
        <v>8.5500000000000007</v>
      </c>
      <c r="CN93" s="56">
        <v>786.6</v>
      </c>
      <c r="CO93" s="56">
        <v>786.6</v>
      </c>
      <c r="CP93" s="56">
        <v>215.1</v>
      </c>
      <c r="CQ93" s="56" t="s">
        <v>668</v>
      </c>
      <c r="CR93" s="56">
        <v>0</v>
      </c>
      <c r="CS93" s="56">
        <v>215.1</v>
      </c>
      <c r="CT93" s="56" t="s">
        <v>669</v>
      </c>
      <c r="CU93" s="56">
        <v>0</v>
      </c>
      <c r="CV93" s="56">
        <v>0</v>
      </c>
      <c r="CX93" s="56">
        <v>1051.6500000000001</v>
      </c>
      <c r="CY93" s="56">
        <v>0</v>
      </c>
      <c r="CZ93" s="56">
        <v>181.48</v>
      </c>
      <c r="DA93" s="56">
        <v>513.67999999999995</v>
      </c>
      <c r="DB93" s="56">
        <v>332.2</v>
      </c>
      <c r="DC93" s="56">
        <v>5371.82</v>
      </c>
      <c r="DD93" s="56">
        <v>-24.64</v>
      </c>
      <c r="DE93" s="56">
        <v>0</v>
      </c>
      <c r="DF93" s="56">
        <v>12.9</v>
      </c>
      <c r="DG93" s="56">
        <v>37.54</v>
      </c>
      <c r="DH93" s="56" t="s">
        <v>670</v>
      </c>
      <c r="DI93" s="56" t="s">
        <v>671</v>
      </c>
      <c r="DK93" s="56">
        <v>13.65</v>
      </c>
      <c r="DL93" s="56">
        <v>894.81</v>
      </c>
      <c r="DM93" s="56">
        <v>46</v>
      </c>
      <c r="DN93" s="56">
        <v>148722</v>
      </c>
      <c r="DO93" s="56" t="s">
        <v>236</v>
      </c>
      <c r="DP93" s="56" t="s">
        <v>673</v>
      </c>
      <c r="DQ93" s="56" t="s">
        <v>674</v>
      </c>
      <c r="DR93" s="56">
        <v>2</v>
      </c>
      <c r="DW93" s="56">
        <v>305</v>
      </c>
      <c r="DX93" s="56" t="s">
        <v>678</v>
      </c>
      <c r="DY93" s="56" t="s">
        <v>679</v>
      </c>
      <c r="ED93" s="56">
        <v>2</v>
      </c>
      <c r="EE93" s="56" t="s">
        <v>639</v>
      </c>
      <c r="EF93" s="56">
        <v>2</v>
      </c>
      <c r="EG93" s="56" t="s">
        <v>639</v>
      </c>
      <c r="EH93" s="56">
        <v>2</v>
      </c>
      <c r="EI93" s="56" t="s">
        <v>639</v>
      </c>
      <c r="EJ93" s="56">
        <v>2</v>
      </c>
      <c r="EK93" s="56" t="s">
        <v>639</v>
      </c>
      <c r="EL93" s="56">
        <v>25</v>
      </c>
      <c r="EM93" s="56">
        <v>15</v>
      </c>
      <c r="EN93" s="56">
        <v>4842</v>
      </c>
      <c r="EO93" s="56">
        <v>1805</v>
      </c>
      <c r="EP93" s="56">
        <v>6806</v>
      </c>
      <c r="EQ93" s="56" t="s">
        <v>1280</v>
      </c>
      <c r="ER93" s="56" t="s">
        <v>1281</v>
      </c>
      <c r="ES93" s="56">
        <v>2</v>
      </c>
      <c r="ET93" s="56" t="s">
        <v>682</v>
      </c>
      <c r="EU93" s="56" t="s">
        <v>683</v>
      </c>
      <c r="EV93" s="56" t="s">
        <v>683</v>
      </c>
      <c r="FD93" s="56" t="s">
        <v>1301</v>
      </c>
      <c r="FK93" s="56">
        <v>0</v>
      </c>
    </row>
    <row r="94" spans="1:167" x14ac:dyDescent="0.2">
      <c r="A94" s="56">
        <v>29052</v>
      </c>
      <c r="B94" s="56">
        <v>2</v>
      </c>
      <c r="C94" s="56">
        <v>6352</v>
      </c>
      <c r="D94" s="56" t="s">
        <v>634</v>
      </c>
      <c r="E94" s="56" t="s">
        <v>635</v>
      </c>
      <c r="K94" s="56" t="s">
        <v>1302</v>
      </c>
      <c r="L94" s="56" t="s">
        <v>637</v>
      </c>
      <c r="M94" s="56">
        <v>44935</v>
      </c>
      <c r="N94" s="56">
        <v>44937</v>
      </c>
      <c r="O94" s="56">
        <v>38</v>
      </c>
      <c r="P94" s="56" t="s">
        <v>638</v>
      </c>
      <c r="Q94" s="56">
        <v>2</v>
      </c>
      <c r="R94" s="56" t="s">
        <v>639</v>
      </c>
      <c r="S94" s="56" t="s">
        <v>893</v>
      </c>
      <c r="T94" s="56" t="s">
        <v>641</v>
      </c>
      <c r="U94" s="56" t="s">
        <v>642</v>
      </c>
      <c r="V94" s="56" t="s">
        <v>643</v>
      </c>
      <c r="W94" s="56">
        <v>48</v>
      </c>
      <c r="X94" s="56" t="s">
        <v>699</v>
      </c>
      <c r="Y94" s="56">
        <v>90</v>
      </c>
      <c r="Z94" s="56" t="s">
        <v>894</v>
      </c>
      <c r="AA94" s="56" t="s">
        <v>895</v>
      </c>
      <c r="AB94" s="56" t="s">
        <v>896</v>
      </c>
      <c r="AC94" s="56" t="s">
        <v>641</v>
      </c>
      <c r="AD94" s="56" t="s">
        <v>893</v>
      </c>
      <c r="AE94" s="56">
        <v>141</v>
      </c>
      <c r="AF94" s="56" t="s">
        <v>649</v>
      </c>
      <c r="AG94" s="56" t="s">
        <v>650</v>
      </c>
      <c r="AH94" s="56" t="s">
        <v>643</v>
      </c>
      <c r="AI94" s="56" t="s">
        <v>642</v>
      </c>
      <c r="AJ94" s="56">
        <v>90</v>
      </c>
      <c r="AK94" s="56" t="s">
        <v>894</v>
      </c>
      <c r="AL94" s="56">
        <v>141</v>
      </c>
      <c r="AM94" s="56" t="s">
        <v>649</v>
      </c>
      <c r="AN94" s="56" t="s">
        <v>650</v>
      </c>
      <c r="AO94" s="56" t="s">
        <v>652</v>
      </c>
      <c r="AP94" s="56" t="s">
        <v>643</v>
      </c>
      <c r="AQ94" s="56" t="s">
        <v>642</v>
      </c>
      <c r="AR94" s="56">
        <v>98</v>
      </c>
      <c r="AS94" s="56" t="s">
        <v>645</v>
      </c>
      <c r="AT94" s="56" t="s">
        <v>646</v>
      </c>
      <c r="AU94" s="56" t="s">
        <v>643</v>
      </c>
      <c r="AV94" s="56" t="s">
        <v>648</v>
      </c>
      <c r="AW94" s="56">
        <v>372</v>
      </c>
      <c r="AX94" s="56" t="s">
        <v>1303</v>
      </c>
      <c r="AY94" s="56">
        <v>589</v>
      </c>
      <c r="AZ94" s="56" t="s">
        <v>1304</v>
      </c>
      <c r="BA94" s="56" t="s">
        <v>1305</v>
      </c>
      <c r="BB94" s="56" t="s">
        <v>1306</v>
      </c>
      <c r="BC94" s="56">
        <v>134</v>
      </c>
      <c r="BD94" s="56" t="s">
        <v>1307</v>
      </c>
      <c r="BE94" s="56" t="s">
        <v>1308</v>
      </c>
      <c r="BF94" s="56">
        <v>134</v>
      </c>
      <c r="BG94" s="56" t="s">
        <v>1307</v>
      </c>
      <c r="BH94" s="56" t="s">
        <v>1308</v>
      </c>
      <c r="BI94" s="56">
        <v>46.89</v>
      </c>
      <c r="BJ94" s="56">
        <v>159262.82</v>
      </c>
      <c r="BK94" s="56">
        <v>46890</v>
      </c>
      <c r="BL94" s="56" t="s">
        <v>922</v>
      </c>
      <c r="BM94" s="56">
        <v>3105</v>
      </c>
      <c r="BN94" s="56" t="s">
        <v>660</v>
      </c>
      <c r="BO94" s="56" t="s">
        <v>1309</v>
      </c>
      <c r="BP94" s="56">
        <v>6611.49</v>
      </c>
      <c r="BQ94" s="56">
        <v>5745.21</v>
      </c>
      <c r="BR94" s="56">
        <v>0</v>
      </c>
      <c r="BS94" s="56">
        <v>0</v>
      </c>
      <c r="BT94" s="56">
        <v>4616.1000000000004</v>
      </c>
      <c r="BU94" s="56">
        <v>718862</v>
      </c>
      <c r="BV94" s="56">
        <v>98</v>
      </c>
      <c r="BW94" s="56" t="s">
        <v>645</v>
      </c>
      <c r="BX94" s="56" t="s">
        <v>1310</v>
      </c>
      <c r="BY94" s="56" t="s">
        <v>663</v>
      </c>
      <c r="BZ94" s="56">
        <v>0.25</v>
      </c>
      <c r="CA94" s="56" t="s">
        <v>664</v>
      </c>
      <c r="CB94" s="56" t="s">
        <v>925</v>
      </c>
      <c r="CC94" s="56" t="s">
        <v>926</v>
      </c>
      <c r="CD94" s="56" t="s">
        <v>667</v>
      </c>
      <c r="CF94" s="56">
        <v>0</v>
      </c>
      <c r="CG94" s="56">
        <v>0</v>
      </c>
      <c r="CH94" s="56">
        <v>141</v>
      </c>
      <c r="CI94" s="56">
        <v>100</v>
      </c>
      <c r="CJ94" s="56">
        <v>19.649999999999999</v>
      </c>
      <c r="CK94" s="56">
        <v>5745.21</v>
      </c>
      <c r="CL94" s="56">
        <v>4616.1000000000004</v>
      </c>
      <c r="CM94" s="56">
        <v>8.5500000000000007</v>
      </c>
      <c r="CN94" s="56">
        <v>793.38</v>
      </c>
      <c r="CO94" s="56">
        <v>793.38</v>
      </c>
      <c r="CP94" s="56">
        <v>72.900000000000006</v>
      </c>
      <c r="CQ94" s="56" t="s">
        <v>668</v>
      </c>
      <c r="CR94" s="56">
        <v>0</v>
      </c>
      <c r="CS94" s="56">
        <v>72.900000000000006</v>
      </c>
      <c r="CT94" s="56" t="s">
        <v>669</v>
      </c>
      <c r="CU94" s="56">
        <v>0</v>
      </c>
      <c r="CV94" s="56">
        <v>0</v>
      </c>
      <c r="CX94" s="56">
        <v>1129.1099999999999</v>
      </c>
      <c r="CY94" s="56">
        <v>0</v>
      </c>
      <c r="CZ94" s="56">
        <v>204.45</v>
      </c>
      <c r="DA94" s="56">
        <v>531.44000000000005</v>
      </c>
      <c r="DB94" s="56">
        <v>326.99</v>
      </c>
      <c r="DC94" s="56">
        <v>5540.76</v>
      </c>
      <c r="DD94" s="56">
        <v>-52.27</v>
      </c>
      <c r="DE94" s="56">
        <v>0</v>
      </c>
      <c r="DF94" s="56">
        <v>27.36</v>
      </c>
      <c r="DG94" s="56">
        <v>79.63</v>
      </c>
      <c r="DH94" s="56" t="s">
        <v>670</v>
      </c>
      <c r="DI94" s="56" t="s">
        <v>671</v>
      </c>
      <c r="DK94" s="56">
        <v>14.78</v>
      </c>
      <c r="DL94" s="56">
        <v>976.93</v>
      </c>
      <c r="DM94" s="56">
        <v>62</v>
      </c>
      <c r="DN94" s="56">
        <v>4500837836</v>
      </c>
      <c r="DO94" s="56" t="s">
        <v>236</v>
      </c>
      <c r="DP94" s="56" t="s">
        <v>673</v>
      </c>
      <c r="DQ94" s="56" t="s">
        <v>674</v>
      </c>
      <c r="DR94" s="56">
        <v>2</v>
      </c>
      <c r="DW94" s="56">
        <v>370</v>
      </c>
      <c r="DX94" s="56" t="s">
        <v>678</v>
      </c>
      <c r="DY94" s="56" t="s">
        <v>679</v>
      </c>
      <c r="ED94" s="56">
        <v>2</v>
      </c>
      <c r="EE94" s="56" t="s">
        <v>639</v>
      </c>
      <c r="EF94" s="56">
        <v>2</v>
      </c>
      <c r="EG94" s="56" t="s">
        <v>639</v>
      </c>
      <c r="EH94" s="56">
        <v>2</v>
      </c>
      <c r="EI94" s="56" t="s">
        <v>639</v>
      </c>
      <c r="EJ94" s="56">
        <v>2</v>
      </c>
      <c r="EK94" s="56" t="s">
        <v>639</v>
      </c>
      <c r="EL94" s="56">
        <v>25</v>
      </c>
      <c r="EM94" s="56">
        <v>15</v>
      </c>
      <c r="EN94" s="56">
        <v>4779</v>
      </c>
      <c r="EO94" s="56">
        <v>1622</v>
      </c>
      <c r="EP94" s="56">
        <v>6806</v>
      </c>
      <c r="EQ94" s="56" t="s">
        <v>927</v>
      </c>
      <c r="ER94" s="56" t="s">
        <v>928</v>
      </c>
      <c r="ES94" s="56">
        <v>2</v>
      </c>
      <c r="ET94" s="56" t="s">
        <v>682</v>
      </c>
      <c r="EU94" s="56" t="s">
        <v>683</v>
      </c>
      <c r="EV94" s="56" t="s">
        <v>683</v>
      </c>
      <c r="FD94" s="56" t="s">
        <v>1311</v>
      </c>
      <c r="FK94" s="56">
        <v>0</v>
      </c>
    </row>
    <row r="95" spans="1:167" x14ac:dyDescent="0.2">
      <c r="A95" s="56">
        <v>29053</v>
      </c>
      <c r="B95" s="56">
        <v>2</v>
      </c>
      <c r="C95" s="56">
        <v>6352</v>
      </c>
      <c r="D95" s="56" t="s">
        <v>634</v>
      </c>
      <c r="E95" s="56" t="s">
        <v>635</v>
      </c>
      <c r="K95" s="56" t="s">
        <v>1312</v>
      </c>
      <c r="L95" s="56" t="s">
        <v>637</v>
      </c>
      <c r="M95" s="56">
        <v>44935</v>
      </c>
      <c r="N95" s="56">
        <v>44937</v>
      </c>
      <c r="O95" s="56">
        <v>38</v>
      </c>
      <c r="P95" s="56" t="s">
        <v>638</v>
      </c>
      <c r="Q95" s="56">
        <v>2</v>
      </c>
      <c r="R95" s="56" t="s">
        <v>639</v>
      </c>
      <c r="S95" s="56" t="s">
        <v>893</v>
      </c>
      <c r="T95" s="56" t="s">
        <v>641</v>
      </c>
      <c r="U95" s="56" t="s">
        <v>1227</v>
      </c>
      <c r="V95" s="56" t="s">
        <v>643</v>
      </c>
      <c r="W95" s="56">
        <v>48</v>
      </c>
      <c r="X95" s="56" t="s">
        <v>699</v>
      </c>
      <c r="Y95" s="56">
        <v>90</v>
      </c>
      <c r="Z95" s="56" t="s">
        <v>894</v>
      </c>
      <c r="AA95" s="56" t="s">
        <v>895</v>
      </c>
      <c r="AB95" s="56" t="s">
        <v>896</v>
      </c>
      <c r="AC95" s="56" t="s">
        <v>641</v>
      </c>
      <c r="AD95" s="56" t="s">
        <v>893</v>
      </c>
      <c r="AL95" s="56">
        <v>52</v>
      </c>
      <c r="AM95" s="56" t="s">
        <v>1228</v>
      </c>
      <c r="AN95" s="56" t="s">
        <v>1229</v>
      </c>
      <c r="AO95" s="56" t="s">
        <v>1230</v>
      </c>
      <c r="AP95" s="56" t="s">
        <v>643</v>
      </c>
      <c r="AQ95" s="56" t="s">
        <v>1227</v>
      </c>
      <c r="AR95" s="56">
        <v>52</v>
      </c>
      <c r="AS95" s="56" t="s">
        <v>1228</v>
      </c>
      <c r="AT95" s="56" t="s">
        <v>1229</v>
      </c>
      <c r="AU95" s="56" t="s">
        <v>643</v>
      </c>
      <c r="AV95" s="56" t="s">
        <v>1227</v>
      </c>
      <c r="AW95" s="56">
        <v>251</v>
      </c>
      <c r="AX95" s="56" t="s">
        <v>1313</v>
      </c>
      <c r="AY95" s="56">
        <v>251</v>
      </c>
      <c r="AZ95" s="56" t="s">
        <v>1314</v>
      </c>
      <c r="BA95" s="56" t="s">
        <v>1315</v>
      </c>
      <c r="BB95" s="56" t="s">
        <v>1316</v>
      </c>
      <c r="BC95" s="56">
        <v>250</v>
      </c>
      <c r="BD95" s="56" t="s">
        <v>1317</v>
      </c>
      <c r="BE95" s="56" t="s">
        <v>1318</v>
      </c>
      <c r="BF95" s="56">
        <v>250</v>
      </c>
      <c r="BG95" s="56" t="s">
        <v>1317</v>
      </c>
      <c r="BH95" s="56" t="s">
        <v>1318</v>
      </c>
      <c r="BI95" s="56">
        <v>46.51</v>
      </c>
      <c r="BJ95" s="56">
        <v>147335.56</v>
      </c>
      <c r="BK95" s="56">
        <v>46.51</v>
      </c>
      <c r="BL95" s="56" t="s">
        <v>1231</v>
      </c>
      <c r="BM95" s="56">
        <v>3105</v>
      </c>
      <c r="BN95" s="56" t="s">
        <v>786</v>
      </c>
      <c r="BO95" s="56" t="s">
        <v>1319</v>
      </c>
      <c r="BP95" s="56">
        <v>6511.4</v>
      </c>
      <c r="BQ95" s="56">
        <v>5632.83</v>
      </c>
      <c r="BR95" s="56">
        <v>0</v>
      </c>
      <c r="BS95" s="56">
        <v>0</v>
      </c>
      <c r="BT95" s="56">
        <v>4553.8</v>
      </c>
      <c r="BU95" s="56">
        <v>718872</v>
      </c>
      <c r="BV95" s="56">
        <v>52</v>
      </c>
      <c r="BW95" s="56" t="s">
        <v>1228</v>
      </c>
      <c r="BX95" s="56" t="s">
        <v>1320</v>
      </c>
      <c r="BY95" s="56" t="s">
        <v>663</v>
      </c>
      <c r="BZ95" s="56">
        <v>0.25</v>
      </c>
      <c r="CA95" s="56" t="s">
        <v>664</v>
      </c>
      <c r="CB95" s="56" t="s">
        <v>1233</v>
      </c>
      <c r="CC95" s="56" t="s">
        <v>926</v>
      </c>
      <c r="CD95" s="56" t="s">
        <v>667</v>
      </c>
      <c r="CF95" s="56">
        <v>3643.04</v>
      </c>
      <c r="CG95" s="56">
        <v>80</v>
      </c>
      <c r="CH95" s="56">
        <v>140</v>
      </c>
      <c r="CI95" s="56">
        <v>100</v>
      </c>
      <c r="CJ95" s="56">
        <v>19.16</v>
      </c>
      <c r="CK95" s="56">
        <v>5632.83</v>
      </c>
      <c r="CL95" s="56">
        <v>4553.8</v>
      </c>
      <c r="CM95" s="56">
        <v>8.5500000000000007</v>
      </c>
      <c r="CN95" s="56">
        <v>781.37</v>
      </c>
      <c r="CO95" s="56">
        <v>781.37</v>
      </c>
      <c r="CP95" s="56">
        <v>97.2</v>
      </c>
      <c r="CQ95" s="56" t="s">
        <v>668</v>
      </c>
      <c r="CR95" s="56">
        <v>0</v>
      </c>
      <c r="CS95" s="56">
        <v>97.2</v>
      </c>
      <c r="CT95" s="56" t="s">
        <v>669</v>
      </c>
      <c r="CU95" s="56">
        <v>0</v>
      </c>
      <c r="CV95" s="56">
        <v>0</v>
      </c>
      <c r="CX95" s="56">
        <v>1057.29</v>
      </c>
      <c r="CY95" s="56">
        <v>0</v>
      </c>
      <c r="CZ95" s="56">
        <v>196.13</v>
      </c>
      <c r="DA95" s="56">
        <v>521.04</v>
      </c>
      <c r="DB95" s="56">
        <v>324.91000000000003</v>
      </c>
      <c r="DC95" s="56">
        <v>5436.7</v>
      </c>
      <c r="DD95" s="56">
        <v>155.53</v>
      </c>
      <c r="DE95" s="56">
        <v>0</v>
      </c>
      <c r="DF95" s="56">
        <v>25.31</v>
      </c>
      <c r="DG95" s="56">
        <v>73.67</v>
      </c>
      <c r="DH95" s="56" t="s">
        <v>670</v>
      </c>
      <c r="DI95" s="56" t="s">
        <v>671</v>
      </c>
      <c r="DK95" s="56">
        <v>11.17</v>
      </c>
      <c r="DL95" s="56">
        <v>727.37</v>
      </c>
      <c r="DM95" s="56">
        <v>10</v>
      </c>
      <c r="DN95" s="56">
        <v>138129</v>
      </c>
      <c r="DO95" s="56" t="s">
        <v>236</v>
      </c>
      <c r="DP95" s="56" t="s">
        <v>673</v>
      </c>
      <c r="DQ95" s="56" t="s">
        <v>674</v>
      </c>
      <c r="DR95" s="56">
        <v>1</v>
      </c>
      <c r="DS95" s="56" t="s">
        <v>1321</v>
      </c>
      <c r="DT95" s="56" t="s">
        <v>1322</v>
      </c>
      <c r="DU95" s="56">
        <v>36</v>
      </c>
      <c r="DV95" s="56" t="s">
        <v>677</v>
      </c>
      <c r="DW95" s="56">
        <v>360</v>
      </c>
      <c r="DX95" s="56" t="s">
        <v>678</v>
      </c>
      <c r="DY95" s="56" t="s">
        <v>679</v>
      </c>
      <c r="ED95" s="56">
        <v>2</v>
      </c>
      <c r="EE95" s="56" t="s">
        <v>639</v>
      </c>
      <c r="EF95" s="56">
        <v>2</v>
      </c>
      <c r="EG95" s="56" t="s">
        <v>639</v>
      </c>
      <c r="EH95" s="56">
        <v>2</v>
      </c>
      <c r="EI95" s="56" t="s">
        <v>639</v>
      </c>
      <c r="EJ95" s="56">
        <v>2</v>
      </c>
      <c r="EK95" s="56" t="s">
        <v>639</v>
      </c>
      <c r="EL95" s="56">
        <v>25</v>
      </c>
      <c r="EM95" s="56">
        <v>15</v>
      </c>
      <c r="EN95" s="56">
        <v>4779</v>
      </c>
      <c r="EO95" s="56">
        <v>2420</v>
      </c>
      <c r="EP95" s="56" t="s">
        <v>1234</v>
      </c>
      <c r="EQ95" s="56" t="s">
        <v>1235</v>
      </c>
      <c r="ER95" s="56" t="s">
        <v>1236</v>
      </c>
      <c r="ES95" s="56">
        <v>2</v>
      </c>
      <c r="ET95" s="56" t="s">
        <v>682</v>
      </c>
      <c r="EU95" s="56" t="s">
        <v>683</v>
      </c>
      <c r="EV95" s="56" t="s">
        <v>683</v>
      </c>
      <c r="FD95" s="56" t="s">
        <v>1323</v>
      </c>
      <c r="FK95" s="56">
        <v>0</v>
      </c>
    </row>
    <row r="96" spans="1:167" x14ac:dyDescent="0.2">
      <c r="A96" s="56">
        <v>29056</v>
      </c>
      <c r="B96" s="56">
        <v>2</v>
      </c>
      <c r="C96" s="56">
        <v>6352</v>
      </c>
      <c r="D96" s="56" t="s">
        <v>634</v>
      </c>
      <c r="E96" s="56" t="s">
        <v>635</v>
      </c>
      <c r="K96" s="56" t="s">
        <v>1324</v>
      </c>
      <c r="L96" s="56" t="s">
        <v>637</v>
      </c>
      <c r="M96" s="56">
        <v>44935</v>
      </c>
      <c r="N96" s="56">
        <v>44937</v>
      </c>
      <c r="O96" s="56">
        <v>38</v>
      </c>
      <c r="P96" s="56" t="s">
        <v>638</v>
      </c>
      <c r="Q96" s="56">
        <v>2</v>
      </c>
      <c r="R96" s="56" t="s">
        <v>639</v>
      </c>
      <c r="S96" s="56" t="s">
        <v>893</v>
      </c>
      <c r="T96" s="56" t="s">
        <v>641</v>
      </c>
      <c r="U96" s="56" t="s">
        <v>642</v>
      </c>
      <c r="V96" s="56" t="s">
        <v>643</v>
      </c>
      <c r="W96" s="56">
        <v>48</v>
      </c>
      <c r="X96" s="56" t="s">
        <v>699</v>
      </c>
      <c r="Y96" s="56">
        <v>90</v>
      </c>
      <c r="Z96" s="56" t="s">
        <v>894</v>
      </c>
      <c r="AA96" s="56" t="s">
        <v>895</v>
      </c>
      <c r="AB96" s="56" t="s">
        <v>896</v>
      </c>
      <c r="AC96" s="56" t="s">
        <v>641</v>
      </c>
      <c r="AD96" s="56" t="s">
        <v>893</v>
      </c>
      <c r="AE96" s="56">
        <v>141</v>
      </c>
      <c r="AF96" s="56" t="s">
        <v>649</v>
      </c>
      <c r="AG96" s="56" t="s">
        <v>650</v>
      </c>
      <c r="AH96" s="56" t="s">
        <v>643</v>
      </c>
      <c r="AI96" s="56" t="s">
        <v>642</v>
      </c>
      <c r="AJ96" s="56">
        <v>90</v>
      </c>
      <c r="AK96" s="56" t="s">
        <v>894</v>
      </c>
      <c r="AL96" s="56">
        <v>141</v>
      </c>
      <c r="AM96" s="56" t="s">
        <v>649</v>
      </c>
      <c r="AN96" s="56" t="s">
        <v>650</v>
      </c>
      <c r="AO96" s="56" t="s">
        <v>652</v>
      </c>
      <c r="AP96" s="56" t="s">
        <v>643</v>
      </c>
      <c r="AQ96" s="56" t="s">
        <v>642</v>
      </c>
      <c r="AR96" s="56">
        <v>98</v>
      </c>
      <c r="AS96" s="56" t="s">
        <v>645</v>
      </c>
      <c r="AT96" s="56" t="s">
        <v>646</v>
      </c>
      <c r="AU96" s="56" t="s">
        <v>643</v>
      </c>
      <c r="AV96" s="56" t="s">
        <v>648</v>
      </c>
      <c r="AW96" s="56">
        <v>378</v>
      </c>
      <c r="AX96" s="56" t="s">
        <v>1325</v>
      </c>
      <c r="AY96" s="56">
        <v>90</v>
      </c>
      <c r="AZ96" s="56" t="s">
        <v>1326</v>
      </c>
      <c r="BA96" s="56" t="s">
        <v>1327</v>
      </c>
      <c r="BB96" s="56" t="s">
        <v>1306</v>
      </c>
      <c r="BC96" s="56">
        <v>134</v>
      </c>
      <c r="BD96" s="56" t="s">
        <v>1307</v>
      </c>
      <c r="BE96" s="56" t="s">
        <v>1308</v>
      </c>
      <c r="BF96" s="56">
        <v>134</v>
      </c>
      <c r="BG96" s="56" t="s">
        <v>1307</v>
      </c>
      <c r="BH96" s="56" t="s">
        <v>1308</v>
      </c>
      <c r="BI96" s="56">
        <v>47.72</v>
      </c>
      <c r="BJ96" s="56">
        <v>162081.93</v>
      </c>
      <c r="BK96" s="56">
        <v>47720</v>
      </c>
      <c r="BL96" s="56" t="s">
        <v>922</v>
      </c>
      <c r="BM96" s="56">
        <v>3105</v>
      </c>
      <c r="BN96" s="56" t="s">
        <v>786</v>
      </c>
      <c r="BO96" s="56" t="s">
        <v>911</v>
      </c>
      <c r="BP96" s="56">
        <v>6728.52</v>
      </c>
      <c r="BQ96" s="56">
        <v>5848.2</v>
      </c>
      <c r="BR96" s="56">
        <v>0</v>
      </c>
      <c r="BS96" s="56">
        <v>0</v>
      </c>
      <c r="BT96" s="56">
        <v>4699.1000000000004</v>
      </c>
      <c r="BU96" s="56">
        <v>718884</v>
      </c>
      <c r="BV96" s="56">
        <v>98</v>
      </c>
      <c r="BW96" s="56" t="s">
        <v>645</v>
      </c>
      <c r="BX96" s="56" t="s">
        <v>1328</v>
      </c>
      <c r="BY96" s="56" t="s">
        <v>663</v>
      </c>
      <c r="BZ96" s="56">
        <v>0.25</v>
      </c>
      <c r="CA96" s="56" t="s">
        <v>664</v>
      </c>
      <c r="CB96" s="56" t="s">
        <v>925</v>
      </c>
      <c r="CC96" s="56" t="s">
        <v>926</v>
      </c>
      <c r="CD96" s="56" t="s">
        <v>667</v>
      </c>
      <c r="CF96" s="56">
        <v>0</v>
      </c>
      <c r="CG96" s="56">
        <v>0</v>
      </c>
      <c r="CH96" s="56">
        <v>141</v>
      </c>
      <c r="CI96" s="56">
        <v>100</v>
      </c>
      <c r="CJ96" s="56">
        <v>19.649999999999999</v>
      </c>
      <c r="CK96" s="56">
        <v>5848.2</v>
      </c>
      <c r="CL96" s="56">
        <v>4699.1000000000004</v>
      </c>
      <c r="CM96" s="56">
        <v>17.100000000000001</v>
      </c>
      <c r="CN96" s="56">
        <v>807.42</v>
      </c>
      <c r="CO96" s="56">
        <v>807.42</v>
      </c>
      <c r="CP96" s="56">
        <v>72.900000000000006</v>
      </c>
      <c r="CQ96" s="56" t="s">
        <v>668</v>
      </c>
      <c r="CR96" s="56">
        <v>0</v>
      </c>
      <c r="CS96" s="56">
        <v>72.900000000000006</v>
      </c>
      <c r="CT96" s="56" t="s">
        <v>669</v>
      </c>
      <c r="CU96" s="56">
        <v>0</v>
      </c>
      <c r="CV96" s="56">
        <v>0</v>
      </c>
      <c r="CX96" s="56">
        <v>1149.0999999999999</v>
      </c>
      <c r="CY96" s="56">
        <v>0</v>
      </c>
      <c r="CZ96" s="56">
        <v>208.22</v>
      </c>
      <c r="DA96" s="56">
        <v>540.96</v>
      </c>
      <c r="DB96" s="56">
        <v>332.74</v>
      </c>
      <c r="DC96" s="56">
        <v>5639.98</v>
      </c>
      <c r="DD96" s="56">
        <v>-53.19</v>
      </c>
      <c r="DE96" s="56">
        <v>0</v>
      </c>
      <c r="DF96" s="56">
        <v>27.85</v>
      </c>
      <c r="DG96" s="56">
        <v>81.040000000000006</v>
      </c>
      <c r="DH96" s="56" t="s">
        <v>670</v>
      </c>
      <c r="DI96" s="56" t="s">
        <v>671</v>
      </c>
      <c r="DK96" s="56">
        <v>14.77</v>
      </c>
      <c r="DL96" s="56">
        <v>994.07</v>
      </c>
      <c r="DM96" s="56">
        <v>62</v>
      </c>
      <c r="DN96" s="56">
        <v>4500837836</v>
      </c>
      <c r="DO96" s="56" t="s">
        <v>236</v>
      </c>
      <c r="DP96" s="56" t="s">
        <v>673</v>
      </c>
      <c r="DQ96" s="56" t="s">
        <v>674</v>
      </c>
      <c r="DR96" s="56">
        <v>2</v>
      </c>
      <c r="DW96" s="56">
        <v>370</v>
      </c>
      <c r="DX96" s="56" t="s">
        <v>678</v>
      </c>
      <c r="DY96" s="56" t="s">
        <v>679</v>
      </c>
      <c r="EL96" s="56">
        <v>25</v>
      </c>
      <c r="EM96" s="56">
        <v>15</v>
      </c>
      <c r="EN96" s="56">
        <v>4779</v>
      </c>
      <c r="EO96" s="56">
        <v>1622</v>
      </c>
      <c r="EP96" s="56">
        <v>6806</v>
      </c>
      <c r="EQ96" s="56" t="s">
        <v>927</v>
      </c>
      <c r="ER96" s="56" t="s">
        <v>928</v>
      </c>
      <c r="ES96" s="56">
        <v>2</v>
      </c>
      <c r="ET96" s="56" t="s">
        <v>682</v>
      </c>
      <c r="EU96" s="56" t="s">
        <v>683</v>
      </c>
      <c r="EV96" s="56" t="s">
        <v>683</v>
      </c>
      <c r="FD96" s="56" t="s">
        <v>1329</v>
      </c>
      <c r="FK96" s="56">
        <v>0</v>
      </c>
    </row>
    <row r="97" spans="1:167" x14ac:dyDescent="0.2">
      <c r="A97" s="56">
        <v>29058</v>
      </c>
      <c r="B97" s="56">
        <v>2</v>
      </c>
      <c r="C97" s="56">
        <v>6352</v>
      </c>
      <c r="D97" s="56" t="s">
        <v>634</v>
      </c>
      <c r="E97" s="56" t="s">
        <v>635</v>
      </c>
      <c r="K97" s="56" t="s">
        <v>1330</v>
      </c>
      <c r="L97" s="56" t="s">
        <v>637</v>
      </c>
      <c r="M97" s="56">
        <v>44935</v>
      </c>
      <c r="N97" s="56">
        <v>44937</v>
      </c>
      <c r="O97" s="56">
        <v>38</v>
      </c>
      <c r="P97" s="56" t="s">
        <v>638</v>
      </c>
      <c r="Q97" s="56">
        <v>2</v>
      </c>
      <c r="R97" s="56" t="s">
        <v>639</v>
      </c>
      <c r="S97" s="56" t="s">
        <v>893</v>
      </c>
      <c r="T97" s="56" t="s">
        <v>641</v>
      </c>
      <c r="U97" s="56" t="s">
        <v>642</v>
      </c>
      <c r="V97" s="56" t="s">
        <v>643</v>
      </c>
      <c r="W97" s="56">
        <v>44</v>
      </c>
      <c r="X97" s="56" t="s">
        <v>1148</v>
      </c>
      <c r="Y97" s="56">
        <v>90</v>
      </c>
      <c r="Z97" s="56" t="s">
        <v>894</v>
      </c>
      <c r="AA97" s="56" t="s">
        <v>895</v>
      </c>
      <c r="AB97" s="56" t="s">
        <v>896</v>
      </c>
      <c r="AC97" s="56" t="s">
        <v>641</v>
      </c>
      <c r="AD97" s="56" t="s">
        <v>893</v>
      </c>
      <c r="AE97" s="56">
        <v>141</v>
      </c>
      <c r="AF97" s="56" t="s">
        <v>649</v>
      </c>
      <c r="AG97" s="56" t="s">
        <v>650</v>
      </c>
      <c r="AH97" s="56" t="s">
        <v>643</v>
      </c>
      <c r="AI97" s="56" t="s">
        <v>642</v>
      </c>
      <c r="AJ97" s="56">
        <v>90</v>
      </c>
      <c r="AK97" s="56" t="s">
        <v>894</v>
      </c>
      <c r="AL97" s="56">
        <v>141</v>
      </c>
      <c r="AM97" s="56" t="s">
        <v>649</v>
      </c>
      <c r="AN97" s="56" t="s">
        <v>650</v>
      </c>
      <c r="AO97" s="56" t="s">
        <v>652</v>
      </c>
      <c r="AP97" s="56" t="s">
        <v>643</v>
      </c>
      <c r="AQ97" s="56" t="s">
        <v>642</v>
      </c>
      <c r="AR97" s="56">
        <v>98</v>
      </c>
      <c r="AS97" s="56" t="s">
        <v>645</v>
      </c>
      <c r="AT97" s="56" t="s">
        <v>646</v>
      </c>
      <c r="AU97" s="56" t="s">
        <v>643</v>
      </c>
      <c r="AV97" s="56" t="s">
        <v>648</v>
      </c>
      <c r="AW97" s="56">
        <v>135</v>
      </c>
      <c r="AX97" s="56" t="s">
        <v>1331</v>
      </c>
      <c r="AY97" s="56">
        <v>96</v>
      </c>
      <c r="AZ97" s="56" t="s">
        <v>1332</v>
      </c>
      <c r="BA97" s="56" t="s">
        <v>1333</v>
      </c>
      <c r="BB97" s="56" t="s">
        <v>1306</v>
      </c>
      <c r="BC97" s="56">
        <v>134</v>
      </c>
      <c r="BD97" s="56" t="s">
        <v>1307</v>
      </c>
      <c r="BE97" s="56" t="s">
        <v>1308</v>
      </c>
      <c r="BF97" s="56">
        <v>134</v>
      </c>
      <c r="BG97" s="56" t="s">
        <v>1307</v>
      </c>
      <c r="BH97" s="56" t="s">
        <v>1308</v>
      </c>
      <c r="BI97" s="56">
        <v>46.81</v>
      </c>
      <c r="BJ97" s="56">
        <v>158991.1</v>
      </c>
      <c r="BK97" s="56">
        <v>46810</v>
      </c>
      <c r="BL97" s="56" t="s">
        <v>922</v>
      </c>
      <c r="BM97" s="56">
        <v>3105</v>
      </c>
      <c r="BN97" s="56" t="s">
        <v>786</v>
      </c>
      <c r="BO97" s="56" t="s">
        <v>911</v>
      </c>
      <c r="BP97" s="56">
        <v>6600.21</v>
      </c>
      <c r="BQ97" s="56">
        <v>5735.28</v>
      </c>
      <c r="BR97" s="56">
        <v>0</v>
      </c>
      <c r="BS97" s="56">
        <v>0</v>
      </c>
      <c r="BT97" s="56">
        <v>4608.1000000000004</v>
      </c>
      <c r="BU97" s="56">
        <v>718847</v>
      </c>
      <c r="BV97" s="56">
        <v>98</v>
      </c>
      <c r="BW97" s="56" t="s">
        <v>645</v>
      </c>
      <c r="BX97" s="56" t="s">
        <v>1334</v>
      </c>
      <c r="BY97" s="56" t="s">
        <v>663</v>
      </c>
      <c r="BZ97" s="56">
        <v>0.25</v>
      </c>
      <c r="CA97" s="56" t="s">
        <v>664</v>
      </c>
      <c r="CB97" s="56" t="s">
        <v>925</v>
      </c>
      <c r="CC97" s="56" t="s">
        <v>926</v>
      </c>
      <c r="CD97" s="56" t="s">
        <v>667</v>
      </c>
      <c r="CF97" s="56">
        <v>0</v>
      </c>
      <c r="CG97" s="56">
        <v>0</v>
      </c>
      <c r="CH97" s="56">
        <v>141</v>
      </c>
      <c r="CI97" s="56">
        <v>100</v>
      </c>
      <c r="CJ97" s="56">
        <v>19.649999999999999</v>
      </c>
      <c r="CK97" s="56">
        <v>5735.28</v>
      </c>
      <c r="CL97" s="56">
        <v>4608.1000000000004</v>
      </c>
      <c r="CM97" s="56">
        <v>17.66</v>
      </c>
      <c r="CN97" s="56">
        <v>792.03</v>
      </c>
      <c r="CO97" s="56">
        <v>792.03</v>
      </c>
      <c r="CP97" s="56">
        <v>72.900000000000006</v>
      </c>
      <c r="CQ97" s="56" t="s">
        <v>668</v>
      </c>
      <c r="CR97" s="56">
        <v>0</v>
      </c>
      <c r="CS97" s="56">
        <v>72.900000000000006</v>
      </c>
      <c r="CT97" s="56" t="s">
        <v>669</v>
      </c>
      <c r="CU97" s="56">
        <v>0</v>
      </c>
      <c r="CV97" s="56">
        <v>0</v>
      </c>
      <c r="CX97" s="56">
        <v>1127.18</v>
      </c>
      <c r="CY97" s="56">
        <v>0</v>
      </c>
      <c r="CZ97" s="56">
        <v>204.08</v>
      </c>
      <c r="DA97" s="56">
        <v>530.51</v>
      </c>
      <c r="DB97" s="56">
        <v>326.43</v>
      </c>
      <c r="DC97" s="56">
        <v>5531.2</v>
      </c>
      <c r="DD97" s="56">
        <v>-52.18</v>
      </c>
      <c r="DE97" s="56">
        <v>0</v>
      </c>
      <c r="DF97" s="56">
        <v>27.32</v>
      </c>
      <c r="DG97" s="56">
        <v>79.5</v>
      </c>
      <c r="DH97" s="56" t="s">
        <v>670</v>
      </c>
      <c r="DI97" s="56" t="s">
        <v>671</v>
      </c>
      <c r="DK97" s="56">
        <v>14.78</v>
      </c>
      <c r="DL97" s="56">
        <v>975.28</v>
      </c>
      <c r="DM97" s="56">
        <v>62</v>
      </c>
      <c r="DN97" s="56">
        <v>4500837836</v>
      </c>
      <c r="DO97" s="56" t="s">
        <v>236</v>
      </c>
      <c r="DP97" s="56" t="s">
        <v>673</v>
      </c>
      <c r="DQ97" s="56" t="s">
        <v>674</v>
      </c>
      <c r="DR97" s="56">
        <v>2</v>
      </c>
      <c r="DW97" s="56">
        <v>370</v>
      </c>
      <c r="DX97" s="56" t="s">
        <v>678</v>
      </c>
      <c r="DY97" s="56" t="s">
        <v>679</v>
      </c>
      <c r="ED97" s="56">
        <v>2</v>
      </c>
      <c r="EE97" s="56" t="s">
        <v>639</v>
      </c>
      <c r="EF97" s="56">
        <v>2</v>
      </c>
      <c r="EG97" s="56" t="s">
        <v>639</v>
      </c>
      <c r="EH97" s="56">
        <v>2</v>
      </c>
      <c r="EI97" s="56" t="s">
        <v>639</v>
      </c>
      <c r="EJ97" s="56">
        <v>2</v>
      </c>
      <c r="EK97" s="56" t="s">
        <v>639</v>
      </c>
      <c r="EL97" s="56">
        <v>25</v>
      </c>
      <c r="EM97" s="56">
        <v>15</v>
      </c>
      <c r="EN97" s="56">
        <v>4779</v>
      </c>
      <c r="EO97" s="56">
        <v>1622</v>
      </c>
      <c r="EP97" s="56">
        <v>6806</v>
      </c>
      <c r="EQ97" s="56" t="s">
        <v>927</v>
      </c>
      <c r="ER97" s="56" t="s">
        <v>928</v>
      </c>
      <c r="ES97" s="56">
        <v>2</v>
      </c>
      <c r="ET97" s="56" t="s">
        <v>682</v>
      </c>
      <c r="EU97" s="56" t="s">
        <v>683</v>
      </c>
      <c r="EV97" s="56" t="s">
        <v>683</v>
      </c>
      <c r="FD97" s="56" t="s">
        <v>1335</v>
      </c>
      <c r="FK97" s="56">
        <v>0</v>
      </c>
    </row>
    <row r="98" spans="1:167" x14ac:dyDescent="0.2">
      <c r="A98" s="56">
        <v>29059</v>
      </c>
      <c r="B98" s="56">
        <v>2</v>
      </c>
      <c r="C98" s="56">
        <v>6352</v>
      </c>
      <c r="D98" s="56" t="s">
        <v>634</v>
      </c>
      <c r="E98" s="56" t="s">
        <v>635</v>
      </c>
      <c r="K98" s="56" t="s">
        <v>1336</v>
      </c>
      <c r="L98" s="56" t="s">
        <v>637</v>
      </c>
      <c r="M98" s="56">
        <v>44935</v>
      </c>
      <c r="N98" s="56">
        <v>44937</v>
      </c>
      <c r="O98" s="56">
        <v>38</v>
      </c>
      <c r="P98" s="56" t="s">
        <v>638</v>
      </c>
      <c r="Q98" s="56">
        <v>2</v>
      </c>
      <c r="R98" s="56" t="s">
        <v>639</v>
      </c>
      <c r="S98" s="56" t="s">
        <v>893</v>
      </c>
      <c r="T98" s="56" t="s">
        <v>641</v>
      </c>
      <c r="U98" s="56" t="s">
        <v>1227</v>
      </c>
      <c r="V98" s="56" t="s">
        <v>643</v>
      </c>
      <c r="W98" s="56">
        <v>44</v>
      </c>
      <c r="X98" s="56" t="s">
        <v>1148</v>
      </c>
      <c r="Y98" s="56">
        <v>90</v>
      </c>
      <c r="Z98" s="56" t="s">
        <v>894</v>
      </c>
      <c r="AA98" s="56" t="s">
        <v>895</v>
      </c>
      <c r="AB98" s="56" t="s">
        <v>896</v>
      </c>
      <c r="AC98" s="56" t="s">
        <v>641</v>
      </c>
      <c r="AD98" s="56" t="s">
        <v>893</v>
      </c>
      <c r="AL98" s="56">
        <v>52</v>
      </c>
      <c r="AM98" s="56" t="s">
        <v>1228</v>
      </c>
      <c r="AN98" s="56" t="s">
        <v>1229</v>
      </c>
      <c r="AO98" s="56" t="s">
        <v>1230</v>
      </c>
      <c r="AP98" s="56" t="s">
        <v>643</v>
      </c>
      <c r="AQ98" s="56" t="s">
        <v>1227</v>
      </c>
      <c r="AR98" s="56">
        <v>52</v>
      </c>
      <c r="AS98" s="56" t="s">
        <v>1228</v>
      </c>
      <c r="AT98" s="56" t="s">
        <v>1229</v>
      </c>
      <c r="AU98" s="56" t="s">
        <v>643</v>
      </c>
      <c r="AV98" s="56" t="s">
        <v>1227</v>
      </c>
      <c r="AW98" s="56">
        <v>257</v>
      </c>
      <c r="AX98" s="56" t="s">
        <v>1337</v>
      </c>
      <c r="AY98" s="56">
        <v>173</v>
      </c>
      <c r="AZ98" s="56" t="s">
        <v>1338</v>
      </c>
      <c r="BA98" s="56" t="s">
        <v>1339</v>
      </c>
      <c r="BB98" s="56" t="s">
        <v>1340</v>
      </c>
      <c r="BC98" s="56">
        <v>179</v>
      </c>
      <c r="BD98" s="56" t="s">
        <v>1341</v>
      </c>
      <c r="BE98" s="56" t="s">
        <v>1342</v>
      </c>
      <c r="BF98" s="56">
        <v>179</v>
      </c>
      <c r="BG98" s="56" t="s">
        <v>1341</v>
      </c>
      <c r="BH98" s="56" t="s">
        <v>1342</v>
      </c>
      <c r="BI98" s="56">
        <v>48.18</v>
      </c>
      <c r="BJ98" s="56">
        <v>152625.82999999999</v>
      </c>
      <c r="BK98" s="56">
        <v>48.18</v>
      </c>
      <c r="BL98" s="56" t="s">
        <v>1231</v>
      </c>
      <c r="BM98" s="56">
        <v>3105</v>
      </c>
      <c r="BN98" s="56" t="s">
        <v>660</v>
      </c>
      <c r="BO98" s="56" t="s">
        <v>706</v>
      </c>
      <c r="BP98" s="56">
        <v>6745.2</v>
      </c>
      <c r="BQ98" s="56">
        <v>5838.58</v>
      </c>
      <c r="BR98" s="56">
        <v>0</v>
      </c>
      <c r="BS98" s="56">
        <v>0</v>
      </c>
      <c r="BT98" s="56">
        <v>4720.8</v>
      </c>
      <c r="BU98" s="56">
        <v>718877</v>
      </c>
      <c r="BV98" s="56">
        <v>52</v>
      </c>
      <c r="BW98" s="56" t="s">
        <v>1228</v>
      </c>
      <c r="BX98" s="56" t="s">
        <v>1343</v>
      </c>
      <c r="BY98" s="56" t="s">
        <v>663</v>
      </c>
      <c r="BZ98" s="56">
        <v>0.25</v>
      </c>
      <c r="CA98" s="56" t="s">
        <v>664</v>
      </c>
      <c r="CB98" s="56" t="s">
        <v>1233</v>
      </c>
      <c r="CC98" s="56" t="s">
        <v>926</v>
      </c>
      <c r="CD98" s="56" t="s">
        <v>667</v>
      </c>
      <c r="CF98" s="56">
        <v>3770</v>
      </c>
      <c r="CG98" s="56">
        <v>79.86</v>
      </c>
      <c r="CH98" s="56">
        <v>140</v>
      </c>
      <c r="CI98" s="56">
        <v>100</v>
      </c>
      <c r="CJ98" s="56">
        <v>19.14</v>
      </c>
      <c r="CK98" s="56">
        <v>5838.58</v>
      </c>
      <c r="CL98" s="56">
        <v>4720.8</v>
      </c>
      <c r="CM98" s="56">
        <v>48.34</v>
      </c>
      <c r="CN98" s="56">
        <v>809.42</v>
      </c>
      <c r="CO98" s="56">
        <v>809.42</v>
      </c>
      <c r="CP98" s="56">
        <v>97.2</v>
      </c>
      <c r="CQ98" s="56" t="s">
        <v>668</v>
      </c>
      <c r="CR98" s="56">
        <v>0</v>
      </c>
      <c r="CS98" s="56">
        <v>97.2</v>
      </c>
      <c r="CT98" s="56" t="s">
        <v>669</v>
      </c>
      <c r="CU98" s="56">
        <v>0</v>
      </c>
      <c r="CV98" s="56">
        <v>0</v>
      </c>
      <c r="CX98" s="56">
        <v>1095.44</v>
      </c>
      <c r="CY98" s="56">
        <v>0</v>
      </c>
      <c r="CZ98" s="56">
        <v>203.58</v>
      </c>
      <c r="DA98" s="56">
        <v>540.07000000000005</v>
      </c>
      <c r="DB98" s="56">
        <v>336.49</v>
      </c>
      <c r="DC98" s="56">
        <v>5635</v>
      </c>
      <c r="DD98" s="56">
        <v>161.08000000000001</v>
      </c>
      <c r="DE98" s="56">
        <v>0</v>
      </c>
      <c r="DF98" s="56">
        <v>26.22</v>
      </c>
      <c r="DG98" s="56">
        <v>76.31</v>
      </c>
      <c r="DH98" s="56" t="s">
        <v>670</v>
      </c>
      <c r="DI98" s="56" t="s">
        <v>671</v>
      </c>
      <c r="DK98" s="56">
        <v>11.5</v>
      </c>
      <c r="DL98" s="56">
        <v>775.46</v>
      </c>
      <c r="DM98" s="56">
        <v>10</v>
      </c>
      <c r="DN98" s="56">
        <v>138129</v>
      </c>
      <c r="DO98" s="56" t="s">
        <v>1344</v>
      </c>
      <c r="DP98" s="56" t="s">
        <v>677</v>
      </c>
      <c r="DQ98" s="56" t="s">
        <v>674</v>
      </c>
      <c r="DR98" s="56">
        <v>1</v>
      </c>
      <c r="DS98" s="56" t="s">
        <v>1345</v>
      </c>
      <c r="DT98" s="56" t="s">
        <v>1346</v>
      </c>
      <c r="DU98" s="56">
        <v>36</v>
      </c>
      <c r="DV98" s="56" t="s">
        <v>677</v>
      </c>
      <c r="DW98" s="56">
        <v>360</v>
      </c>
      <c r="DX98" s="56" t="s">
        <v>678</v>
      </c>
      <c r="DY98" s="56" t="s">
        <v>679</v>
      </c>
      <c r="ED98" s="56">
        <v>2</v>
      </c>
      <c r="EE98" s="56" t="s">
        <v>639</v>
      </c>
      <c r="EF98" s="56">
        <v>2</v>
      </c>
      <c r="EG98" s="56" t="s">
        <v>639</v>
      </c>
      <c r="EH98" s="56">
        <v>2</v>
      </c>
      <c r="EI98" s="56" t="s">
        <v>639</v>
      </c>
      <c r="EJ98" s="56">
        <v>2</v>
      </c>
      <c r="EK98" s="56" t="s">
        <v>639</v>
      </c>
      <c r="EL98" s="56">
        <v>25</v>
      </c>
      <c r="EM98" s="56">
        <v>15</v>
      </c>
      <c r="EN98" s="56">
        <v>4779</v>
      </c>
      <c r="EO98" s="56">
        <v>2420</v>
      </c>
      <c r="EP98" s="56" t="s">
        <v>1234</v>
      </c>
      <c r="EQ98" s="56" t="s">
        <v>1235</v>
      </c>
      <c r="ER98" s="56" t="s">
        <v>1236</v>
      </c>
      <c r="ES98" s="56">
        <v>2</v>
      </c>
      <c r="ET98" s="56" t="s">
        <v>682</v>
      </c>
      <c r="EU98" s="56" t="s">
        <v>683</v>
      </c>
      <c r="EV98" s="56" t="s">
        <v>683</v>
      </c>
      <c r="FD98" s="56" t="s">
        <v>1347</v>
      </c>
      <c r="FK98" s="56">
        <v>0</v>
      </c>
    </row>
    <row r="99" spans="1:167" x14ac:dyDescent="0.2">
      <c r="A99" s="56">
        <v>29060</v>
      </c>
      <c r="B99" s="56">
        <v>2</v>
      </c>
      <c r="C99" s="56">
        <v>6352</v>
      </c>
      <c r="D99" s="56" t="s">
        <v>634</v>
      </c>
      <c r="E99" s="56" t="s">
        <v>635</v>
      </c>
      <c r="K99" s="56" t="s">
        <v>1348</v>
      </c>
      <c r="L99" s="56" t="s">
        <v>637</v>
      </c>
      <c r="M99" s="56">
        <v>44935</v>
      </c>
      <c r="N99" s="56">
        <v>44937</v>
      </c>
      <c r="O99" s="56">
        <v>38</v>
      </c>
      <c r="P99" s="56" t="s">
        <v>638</v>
      </c>
      <c r="Q99" s="56">
        <v>2</v>
      </c>
      <c r="R99" s="56" t="s">
        <v>639</v>
      </c>
      <c r="S99" s="56" t="s">
        <v>893</v>
      </c>
      <c r="T99" s="56" t="s">
        <v>641</v>
      </c>
      <c r="U99" s="56" t="s">
        <v>1227</v>
      </c>
      <c r="V99" s="56" t="s">
        <v>643</v>
      </c>
      <c r="W99" s="56">
        <v>44</v>
      </c>
      <c r="X99" s="56" t="s">
        <v>1148</v>
      </c>
      <c r="Y99" s="56">
        <v>90</v>
      </c>
      <c r="Z99" s="56" t="s">
        <v>894</v>
      </c>
      <c r="AA99" s="56" t="s">
        <v>895</v>
      </c>
      <c r="AB99" s="56" t="s">
        <v>896</v>
      </c>
      <c r="AC99" s="56" t="s">
        <v>641</v>
      </c>
      <c r="AD99" s="56" t="s">
        <v>893</v>
      </c>
      <c r="AL99" s="56">
        <v>52</v>
      </c>
      <c r="AM99" s="56" t="s">
        <v>1228</v>
      </c>
      <c r="AN99" s="56" t="s">
        <v>1229</v>
      </c>
      <c r="AO99" s="56" t="s">
        <v>1230</v>
      </c>
      <c r="AP99" s="56" t="s">
        <v>643</v>
      </c>
      <c r="AQ99" s="56" t="s">
        <v>1227</v>
      </c>
      <c r="AR99" s="56">
        <v>52</v>
      </c>
      <c r="AS99" s="56" t="s">
        <v>1228</v>
      </c>
      <c r="AT99" s="56" t="s">
        <v>1229</v>
      </c>
      <c r="AU99" s="56" t="s">
        <v>643</v>
      </c>
      <c r="AV99" s="56" t="s">
        <v>1227</v>
      </c>
      <c r="AW99" s="56">
        <v>177</v>
      </c>
      <c r="AX99" s="56" t="s">
        <v>1349</v>
      </c>
      <c r="AY99" s="56">
        <v>165</v>
      </c>
      <c r="AZ99" s="56" t="s">
        <v>1350</v>
      </c>
      <c r="BA99" s="56" t="s">
        <v>1351</v>
      </c>
      <c r="BB99" s="56" t="s">
        <v>1352</v>
      </c>
      <c r="BC99" s="56">
        <v>176</v>
      </c>
      <c r="BD99" s="56" t="s">
        <v>1353</v>
      </c>
      <c r="BE99" s="56" t="s">
        <v>1038</v>
      </c>
      <c r="BF99" s="56">
        <v>176</v>
      </c>
      <c r="BG99" s="56" t="s">
        <v>1353</v>
      </c>
      <c r="BH99" s="56" t="s">
        <v>1038</v>
      </c>
      <c r="BI99" s="56">
        <v>46.77</v>
      </c>
      <c r="BJ99" s="56">
        <v>148159.19</v>
      </c>
      <c r="BK99" s="56">
        <v>46.77</v>
      </c>
      <c r="BL99" s="56" t="s">
        <v>1231</v>
      </c>
      <c r="BM99" s="56">
        <v>3105</v>
      </c>
      <c r="BN99" s="56" t="s">
        <v>660</v>
      </c>
      <c r="BO99" s="56" t="s">
        <v>706</v>
      </c>
      <c r="BP99" s="56">
        <v>6547.8</v>
      </c>
      <c r="BQ99" s="56">
        <v>5664.86</v>
      </c>
      <c r="BR99" s="56">
        <v>0</v>
      </c>
      <c r="BS99" s="56">
        <v>0</v>
      </c>
      <c r="BT99" s="56">
        <v>4579.8</v>
      </c>
      <c r="BU99" s="56">
        <v>718868</v>
      </c>
      <c r="BV99" s="56">
        <v>52</v>
      </c>
      <c r="BW99" s="56" t="s">
        <v>1228</v>
      </c>
      <c r="BX99" s="56" t="s">
        <v>1354</v>
      </c>
      <c r="BY99" s="56" t="s">
        <v>663</v>
      </c>
      <c r="BZ99" s="56">
        <v>0.25</v>
      </c>
      <c r="CA99" s="56" t="s">
        <v>664</v>
      </c>
      <c r="CB99" s="56" t="s">
        <v>1233</v>
      </c>
      <c r="CC99" s="56" t="s">
        <v>926</v>
      </c>
      <c r="CD99" s="56" t="s">
        <v>667</v>
      </c>
      <c r="CF99" s="56">
        <v>3660</v>
      </c>
      <c r="CG99" s="56">
        <v>79.92</v>
      </c>
      <c r="CH99" s="56">
        <v>140</v>
      </c>
      <c r="CI99" s="56">
        <v>100</v>
      </c>
      <c r="CJ99" s="56">
        <v>19.149999999999999</v>
      </c>
      <c r="CK99" s="56">
        <v>5664.86</v>
      </c>
      <c r="CL99" s="56">
        <v>4579.8</v>
      </c>
      <c r="CM99" s="56">
        <v>55.97</v>
      </c>
      <c r="CN99" s="56">
        <v>785.74</v>
      </c>
      <c r="CO99" s="56">
        <v>785.74</v>
      </c>
      <c r="CP99" s="56">
        <v>97.2</v>
      </c>
      <c r="CQ99" s="56" t="s">
        <v>668</v>
      </c>
      <c r="CR99" s="56">
        <v>0</v>
      </c>
      <c r="CS99" s="56">
        <v>97.2</v>
      </c>
      <c r="CT99" s="56" t="s">
        <v>669</v>
      </c>
      <c r="CU99" s="56">
        <v>0</v>
      </c>
      <c r="CV99" s="56">
        <v>0</v>
      </c>
      <c r="CX99" s="56">
        <v>1063.43</v>
      </c>
      <c r="CY99" s="56">
        <v>0</v>
      </c>
      <c r="CZ99" s="56">
        <v>197.28</v>
      </c>
      <c r="DA99" s="56">
        <v>524</v>
      </c>
      <c r="DB99" s="56">
        <v>326.72000000000003</v>
      </c>
      <c r="DC99" s="56">
        <v>5467.58</v>
      </c>
      <c r="DD99" s="56">
        <v>156.19</v>
      </c>
      <c r="DE99" s="56">
        <v>0</v>
      </c>
      <c r="DF99" s="56">
        <v>25.45</v>
      </c>
      <c r="DG99" s="56">
        <v>74.08</v>
      </c>
      <c r="DH99" s="56" t="s">
        <v>670</v>
      </c>
      <c r="DI99" s="56" t="s">
        <v>671</v>
      </c>
      <c r="DK99" s="56">
        <v>11.5</v>
      </c>
      <c r="DL99" s="56">
        <v>753.22</v>
      </c>
      <c r="DM99" s="56">
        <v>10</v>
      </c>
      <c r="DN99" s="56">
        <v>138129</v>
      </c>
      <c r="DO99" s="56" t="s">
        <v>1355</v>
      </c>
      <c r="DP99" s="56" t="s">
        <v>677</v>
      </c>
      <c r="DQ99" s="56" t="s">
        <v>674</v>
      </c>
      <c r="DR99" s="56">
        <v>1</v>
      </c>
      <c r="DS99" s="56" t="s">
        <v>1356</v>
      </c>
      <c r="DT99" s="56" t="s">
        <v>1357</v>
      </c>
      <c r="DU99" s="56">
        <v>36</v>
      </c>
      <c r="DV99" s="56" t="s">
        <v>677</v>
      </c>
      <c r="DW99" s="56">
        <v>360</v>
      </c>
      <c r="DX99" s="56" t="s">
        <v>678</v>
      </c>
      <c r="DY99" s="56" t="s">
        <v>679</v>
      </c>
      <c r="ED99" s="56">
        <v>2</v>
      </c>
      <c r="EE99" s="56" t="s">
        <v>639</v>
      </c>
      <c r="EF99" s="56">
        <v>2</v>
      </c>
      <c r="EG99" s="56" t="s">
        <v>639</v>
      </c>
      <c r="EH99" s="56">
        <v>2</v>
      </c>
      <c r="EI99" s="56" t="s">
        <v>639</v>
      </c>
      <c r="EJ99" s="56">
        <v>2</v>
      </c>
      <c r="EK99" s="56" t="s">
        <v>639</v>
      </c>
      <c r="EL99" s="56">
        <v>25</v>
      </c>
      <c r="EM99" s="56">
        <v>15</v>
      </c>
      <c r="EN99" s="56">
        <v>4779</v>
      </c>
      <c r="EO99" s="56">
        <v>2420</v>
      </c>
      <c r="EP99" s="56" t="s">
        <v>1234</v>
      </c>
      <c r="EQ99" s="56" t="s">
        <v>1235</v>
      </c>
      <c r="ER99" s="56" t="s">
        <v>1236</v>
      </c>
      <c r="ES99" s="56">
        <v>2</v>
      </c>
      <c r="ET99" s="56" t="s">
        <v>682</v>
      </c>
      <c r="EU99" s="56" t="s">
        <v>683</v>
      </c>
      <c r="EV99" s="56" t="s">
        <v>683</v>
      </c>
      <c r="FD99" s="56" t="s">
        <v>1358</v>
      </c>
      <c r="FK99" s="56">
        <v>0</v>
      </c>
    </row>
    <row r="100" spans="1:167" x14ac:dyDescent="0.2">
      <c r="A100" s="56">
        <v>29061</v>
      </c>
      <c r="B100" s="56">
        <v>2</v>
      </c>
      <c r="C100" s="56">
        <v>6352</v>
      </c>
      <c r="D100" s="56" t="s">
        <v>634</v>
      </c>
      <c r="E100" s="56" t="s">
        <v>635</v>
      </c>
      <c r="K100" s="56" t="s">
        <v>1359</v>
      </c>
      <c r="L100" s="56" t="s">
        <v>637</v>
      </c>
      <c r="M100" s="56">
        <v>44935</v>
      </c>
      <c r="N100" s="56">
        <v>44937</v>
      </c>
      <c r="O100" s="56">
        <v>38</v>
      </c>
      <c r="P100" s="56" t="s">
        <v>638</v>
      </c>
      <c r="Q100" s="56">
        <v>2</v>
      </c>
      <c r="R100" s="56" t="s">
        <v>639</v>
      </c>
      <c r="S100" s="56" t="s">
        <v>893</v>
      </c>
      <c r="T100" s="56" t="s">
        <v>641</v>
      </c>
      <c r="U100" s="56" t="s">
        <v>1227</v>
      </c>
      <c r="V100" s="56" t="s">
        <v>643</v>
      </c>
      <c r="W100" s="56">
        <v>44</v>
      </c>
      <c r="X100" s="56" t="s">
        <v>1148</v>
      </c>
      <c r="Y100" s="56">
        <v>90</v>
      </c>
      <c r="Z100" s="56" t="s">
        <v>894</v>
      </c>
      <c r="AA100" s="56" t="s">
        <v>895</v>
      </c>
      <c r="AB100" s="56" t="s">
        <v>896</v>
      </c>
      <c r="AC100" s="56" t="s">
        <v>641</v>
      </c>
      <c r="AD100" s="56" t="s">
        <v>893</v>
      </c>
      <c r="AL100" s="56">
        <v>52</v>
      </c>
      <c r="AM100" s="56" t="s">
        <v>1228</v>
      </c>
      <c r="AN100" s="56" t="s">
        <v>1229</v>
      </c>
      <c r="AO100" s="56" t="s">
        <v>1230</v>
      </c>
      <c r="AP100" s="56" t="s">
        <v>643</v>
      </c>
      <c r="AQ100" s="56" t="s">
        <v>1227</v>
      </c>
      <c r="AR100" s="56">
        <v>52</v>
      </c>
      <c r="AS100" s="56" t="s">
        <v>1228</v>
      </c>
      <c r="AT100" s="56" t="s">
        <v>1229</v>
      </c>
      <c r="AU100" s="56" t="s">
        <v>643</v>
      </c>
      <c r="AV100" s="56" t="s">
        <v>1227</v>
      </c>
      <c r="AW100" s="56">
        <v>240</v>
      </c>
      <c r="AX100" s="56" t="s">
        <v>1360</v>
      </c>
      <c r="AY100" s="56">
        <v>225</v>
      </c>
      <c r="AZ100" s="56" t="s">
        <v>1361</v>
      </c>
      <c r="BA100" s="56" t="s">
        <v>1362</v>
      </c>
      <c r="BB100" s="56" t="s">
        <v>1363</v>
      </c>
      <c r="BC100" s="56">
        <v>147</v>
      </c>
      <c r="BD100" s="56" t="s">
        <v>1364</v>
      </c>
      <c r="BE100" s="56" t="s">
        <v>1365</v>
      </c>
      <c r="BF100" s="56">
        <v>147</v>
      </c>
      <c r="BG100" s="56" t="s">
        <v>1364</v>
      </c>
      <c r="BH100" s="56" t="s">
        <v>1365</v>
      </c>
      <c r="BI100" s="56">
        <v>47.11</v>
      </c>
      <c r="BJ100" s="56">
        <v>149236.26</v>
      </c>
      <c r="BK100" s="56">
        <v>47.11</v>
      </c>
      <c r="BL100" s="56" t="s">
        <v>1231</v>
      </c>
      <c r="BM100" s="56">
        <v>3105</v>
      </c>
      <c r="BN100" s="56" t="s">
        <v>1366</v>
      </c>
      <c r="BO100" s="56" t="s">
        <v>1367</v>
      </c>
      <c r="BP100" s="56">
        <v>6595.4</v>
      </c>
      <c r="BQ100" s="56">
        <v>5706.75</v>
      </c>
      <c r="BR100" s="56">
        <v>0</v>
      </c>
      <c r="BS100" s="56">
        <v>0</v>
      </c>
      <c r="BT100" s="56">
        <v>4613.8</v>
      </c>
      <c r="BU100" s="56">
        <v>718873</v>
      </c>
      <c r="BV100" s="56">
        <v>52</v>
      </c>
      <c r="BW100" s="56" t="s">
        <v>1228</v>
      </c>
      <c r="BX100" s="56" t="s">
        <v>1368</v>
      </c>
      <c r="BY100" s="56" t="s">
        <v>663</v>
      </c>
      <c r="BZ100" s="56">
        <v>0.25</v>
      </c>
      <c r="CA100" s="56" t="s">
        <v>664</v>
      </c>
      <c r="CB100" s="56" t="s">
        <v>1233</v>
      </c>
      <c r="CC100" s="56" t="s">
        <v>926</v>
      </c>
      <c r="CD100" s="56" t="s">
        <v>667</v>
      </c>
      <c r="CF100" s="56">
        <v>0</v>
      </c>
      <c r="CG100" s="56">
        <v>0</v>
      </c>
      <c r="CH100" s="56">
        <v>140</v>
      </c>
      <c r="CI100" s="56">
        <v>100</v>
      </c>
      <c r="CJ100" s="56">
        <v>19.149999999999999</v>
      </c>
      <c r="CK100" s="56">
        <v>5706.75</v>
      </c>
      <c r="CL100" s="56">
        <v>4613.8</v>
      </c>
      <c r="CM100" s="56">
        <v>8.5500000000000007</v>
      </c>
      <c r="CN100" s="56">
        <v>791.45</v>
      </c>
      <c r="CO100" s="56">
        <v>791.45</v>
      </c>
      <c r="CP100" s="56">
        <v>97.2</v>
      </c>
      <c r="CQ100" s="56" t="s">
        <v>668</v>
      </c>
      <c r="CR100" s="56">
        <v>0</v>
      </c>
      <c r="CS100" s="56">
        <v>97.2</v>
      </c>
      <c r="CT100" s="56" t="s">
        <v>669</v>
      </c>
      <c r="CU100" s="56">
        <v>0</v>
      </c>
      <c r="CV100" s="56">
        <v>0</v>
      </c>
      <c r="CX100" s="56">
        <v>1092.95</v>
      </c>
      <c r="CY100" s="56">
        <v>0</v>
      </c>
      <c r="CZ100" s="56">
        <v>92.1</v>
      </c>
      <c r="DA100" s="56">
        <v>527.87</v>
      </c>
      <c r="DB100" s="56">
        <v>435.77</v>
      </c>
      <c r="DC100" s="56">
        <v>5614.65</v>
      </c>
      <c r="DD100" s="56">
        <v>-48.98</v>
      </c>
      <c r="DE100" s="56">
        <v>0</v>
      </c>
      <c r="DF100" s="56">
        <v>25.64</v>
      </c>
      <c r="DG100" s="56">
        <v>74.62</v>
      </c>
      <c r="DH100" s="56" t="s">
        <v>670</v>
      </c>
      <c r="DI100" s="56" t="s">
        <v>671</v>
      </c>
      <c r="DK100" s="56">
        <v>15.92</v>
      </c>
      <c r="DL100" s="56">
        <v>1049.83</v>
      </c>
      <c r="DM100" s="56">
        <v>10</v>
      </c>
      <c r="DN100" s="56">
        <v>138129</v>
      </c>
      <c r="DO100" s="56" t="s">
        <v>236</v>
      </c>
      <c r="DP100" s="56" t="s">
        <v>673</v>
      </c>
      <c r="DQ100" s="56" t="s">
        <v>674</v>
      </c>
      <c r="DR100" s="56">
        <v>3</v>
      </c>
      <c r="DW100" s="56">
        <v>360</v>
      </c>
      <c r="DX100" s="56" t="s">
        <v>678</v>
      </c>
      <c r="DY100" s="56" t="s">
        <v>679</v>
      </c>
      <c r="ED100" s="56">
        <v>2</v>
      </c>
      <c r="EE100" s="56" t="s">
        <v>639</v>
      </c>
      <c r="EF100" s="56">
        <v>2</v>
      </c>
      <c r="EG100" s="56" t="s">
        <v>639</v>
      </c>
      <c r="EH100" s="56">
        <v>2</v>
      </c>
      <c r="EI100" s="56" t="s">
        <v>639</v>
      </c>
      <c r="EJ100" s="56">
        <v>2</v>
      </c>
      <c r="EK100" s="56" t="s">
        <v>639</v>
      </c>
      <c r="EL100" s="56">
        <v>25</v>
      </c>
      <c r="EM100" s="56">
        <v>15</v>
      </c>
      <c r="EN100" s="56">
        <v>4779</v>
      </c>
      <c r="EO100" s="56">
        <v>2420</v>
      </c>
      <c r="EP100" s="56" t="s">
        <v>1234</v>
      </c>
      <c r="EQ100" s="56" t="s">
        <v>1235</v>
      </c>
      <c r="ER100" s="56" t="s">
        <v>1236</v>
      </c>
      <c r="ES100" s="56">
        <v>2</v>
      </c>
      <c r="ET100" s="56" t="s">
        <v>682</v>
      </c>
      <c r="EU100" s="56" t="s">
        <v>683</v>
      </c>
      <c r="EV100" s="56" t="s">
        <v>683</v>
      </c>
      <c r="FD100" s="56" t="s">
        <v>1369</v>
      </c>
      <c r="FK100" s="56">
        <v>0</v>
      </c>
    </row>
    <row r="101" spans="1:167" x14ac:dyDescent="0.2">
      <c r="A101" s="56">
        <v>29062</v>
      </c>
      <c r="B101" s="56">
        <v>2</v>
      </c>
      <c r="C101" s="56">
        <v>6352</v>
      </c>
      <c r="D101" s="56" t="s">
        <v>634</v>
      </c>
      <c r="E101" s="56" t="s">
        <v>635</v>
      </c>
      <c r="K101" s="56" t="s">
        <v>1370</v>
      </c>
      <c r="L101" s="56" t="s">
        <v>637</v>
      </c>
      <c r="M101" s="56">
        <v>44935</v>
      </c>
      <c r="N101" s="56">
        <v>44937</v>
      </c>
      <c r="O101" s="56">
        <v>38</v>
      </c>
      <c r="P101" s="56" t="s">
        <v>638</v>
      </c>
      <c r="Q101" s="56">
        <v>2</v>
      </c>
      <c r="R101" s="56" t="s">
        <v>639</v>
      </c>
      <c r="S101" s="56" t="s">
        <v>893</v>
      </c>
      <c r="T101" s="56" t="s">
        <v>641</v>
      </c>
      <c r="U101" s="56" t="s">
        <v>1227</v>
      </c>
      <c r="V101" s="56" t="s">
        <v>643</v>
      </c>
      <c r="W101" s="56">
        <v>44</v>
      </c>
      <c r="X101" s="56" t="s">
        <v>1148</v>
      </c>
      <c r="Y101" s="56">
        <v>90</v>
      </c>
      <c r="Z101" s="56" t="s">
        <v>894</v>
      </c>
      <c r="AA101" s="56" t="s">
        <v>895</v>
      </c>
      <c r="AB101" s="56" t="s">
        <v>896</v>
      </c>
      <c r="AC101" s="56" t="s">
        <v>641</v>
      </c>
      <c r="AD101" s="56" t="s">
        <v>893</v>
      </c>
      <c r="AL101" s="56">
        <v>52</v>
      </c>
      <c r="AM101" s="56" t="s">
        <v>1228</v>
      </c>
      <c r="AN101" s="56" t="s">
        <v>1229</v>
      </c>
      <c r="AO101" s="56" t="s">
        <v>1230</v>
      </c>
      <c r="AP101" s="56" t="s">
        <v>643</v>
      </c>
      <c r="AQ101" s="56" t="s">
        <v>1227</v>
      </c>
      <c r="AR101" s="56">
        <v>52</v>
      </c>
      <c r="AS101" s="56" t="s">
        <v>1228</v>
      </c>
      <c r="AT101" s="56" t="s">
        <v>1229</v>
      </c>
      <c r="AU101" s="56" t="s">
        <v>643</v>
      </c>
      <c r="AV101" s="56" t="s">
        <v>1227</v>
      </c>
      <c r="AW101" s="56">
        <v>244</v>
      </c>
      <c r="AX101" s="56" t="s">
        <v>1371</v>
      </c>
      <c r="AY101" s="56">
        <v>235</v>
      </c>
      <c r="AZ101" s="56" t="s">
        <v>1372</v>
      </c>
      <c r="BA101" s="56" t="s">
        <v>1373</v>
      </c>
      <c r="BB101" s="56" t="s">
        <v>1363</v>
      </c>
      <c r="BC101" s="56">
        <v>147</v>
      </c>
      <c r="BD101" s="56" t="s">
        <v>1364</v>
      </c>
      <c r="BE101" s="56" t="s">
        <v>1365</v>
      </c>
      <c r="BF101" s="56">
        <v>147</v>
      </c>
      <c r="BG101" s="56" t="s">
        <v>1364</v>
      </c>
      <c r="BH101" s="56" t="s">
        <v>1365</v>
      </c>
      <c r="BI101" s="56">
        <v>46.51</v>
      </c>
      <c r="BJ101" s="56">
        <v>147335.56</v>
      </c>
      <c r="BK101" s="56">
        <v>46.51</v>
      </c>
      <c r="BL101" s="56" t="s">
        <v>1231</v>
      </c>
      <c r="BM101" s="56">
        <v>3105</v>
      </c>
      <c r="BN101" s="56" t="s">
        <v>1052</v>
      </c>
      <c r="BO101" s="56" t="s">
        <v>1081</v>
      </c>
      <c r="BP101" s="56">
        <v>6511.4</v>
      </c>
      <c r="BQ101" s="56">
        <v>5632.83</v>
      </c>
      <c r="BR101" s="56">
        <v>0</v>
      </c>
      <c r="BS101" s="56">
        <v>0</v>
      </c>
      <c r="BT101" s="56">
        <v>4553.8</v>
      </c>
      <c r="BU101" s="56">
        <v>718866</v>
      </c>
      <c r="BV101" s="56">
        <v>52</v>
      </c>
      <c r="BW101" s="56" t="s">
        <v>1228</v>
      </c>
      <c r="BX101" s="56" t="s">
        <v>1374</v>
      </c>
      <c r="BY101" s="56" t="s">
        <v>663</v>
      </c>
      <c r="BZ101" s="56">
        <v>0.25</v>
      </c>
      <c r="CA101" s="56" t="s">
        <v>664</v>
      </c>
      <c r="CB101" s="56" t="s">
        <v>1233</v>
      </c>
      <c r="CC101" s="56" t="s">
        <v>926</v>
      </c>
      <c r="CD101" s="56" t="s">
        <v>667</v>
      </c>
      <c r="CF101" s="56">
        <v>0</v>
      </c>
      <c r="CG101" s="56">
        <v>0</v>
      </c>
      <c r="CH101" s="56">
        <v>140</v>
      </c>
      <c r="CI101" s="56">
        <v>100</v>
      </c>
      <c r="CJ101" s="56">
        <v>19.16</v>
      </c>
      <c r="CK101" s="56">
        <v>5632.83</v>
      </c>
      <c r="CL101" s="56">
        <v>4553.8</v>
      </c>
      <c r="CM101" s="56">
        <v>101.16</v>
      </c>
      <c r="CN101" s="56">
        <v>781.37</v>
      </c>
      <c r="CO101" s="56">
        <v>781.37</v>
      </c>
      <c r="CP101" s="56">
        <v>97.2</v>
      </c>
      <c r="CQ101" s="56" t="s">
        <v>668</v>
      </c>
      <c r="CR101" s="56">
        <v>0</v>
      </c>
      <c r="CS101" s="56">
        <v>97.2</v>
      </c>
      <c r="CT101" s="56" t="s">
        <v>669</v>
      </c>
      <c r="CU101" s="56">
        <v>0</v>
      </c>
      <c r="CV101" s="56">
        <v>0</v>
      </c>
      <c r="CX101" s="56">
        <v>1079.03</v>
      </c>
      <c r="CY101" s="56">
        <v>0</v>
      </c>
      <c r="CZ101" s="56">
        <v>90.82</v>
      </c>
      <c r="DA101" s="56">
        <v>521.04</v>
      </c>
      <c r="DB101" s="56">
        <v>430.22</v>
      </c>
      <c r="DC101" s="56">
        <v>5542.01</v>
      </c>
      <c r="DD101" s="56">
        <v>-48.36</v>
      </c>
      <c r="DE101" s="56">
        <v>0</v>
      </c>
      <c r="DF101" s="56">
        <v>25.31</v>
      </c>
      <c r="DG101" s="56">
        <v>73.67</v>
      </c>
      <c r="DH101" s="56" t="s">
        <v>670</v>
      </c>
      <c r="DI101" s="56" t="s">
        <v>671</v>
      </c>
      <c r="DK101" s="56">
        <v>15.92</v>
      </c>
      <c r="DL101" s="56">
        <v>1036.57</v>
      </c>
      <c r="DM101" s="56">
        <v>10</v>
      </c>
      <c r="DN101" s="56">
        <v>138129</v>
      </c>
      <c r="DO101" s="56" t="s">
        <v>236</v>
      </c>
      <c r="DP101" s="56" t="s">
        <v>673</v>
      </c>
      <c r="DQ101" s="56" t="s">
        <v>674</v>
      </c>
      <c r="DR101" s="56">
        <v>3</v>
      </c>
      <c r="DX101" s="56" t="s">
        <v>678</v>
      </c>
      <c r="DY101" s="56" t="s">
        <v>679</v>
      </c>
      <c r="ED101" s="56">
        <v>2</v>
      </c>
      <c r="EE101" s="56" t="s">
        <v>639</v>
      </c>
      <c r="EF101" s="56">
        <v>2</v>
      </c>
      <c r="EG101" s="56" t="s">
        <v>639</v>
      </c>
      <c r="EH101" s="56">
        <v>2</v>
      </c>
      <c r="EI101" s="56" t="s">
        <v>639</v>
      </c>
      <c r="EJ101" s="56">
        <v>2</v>
      </c>
      <c r="EK101" s="56" t="s">
        <v>639</v>
      </c>
      <c r="EL101" s="56">
        <v>25</v>
      </c>
      <c r="EM101" s="56">
        <v>15</v>
      </c>
      <c r="EN101" s="56">
        <v>4779</v>
      </c>
      <c r="EO101" s="56">
        <v>2420</v>
      </c>
      <c r="EP101" s="56" t="s">
        <v>1234</v>
      </c>
      <c r="EQ101" s="56" t="s">
        <v>1235</v>
      </c>
      <c r="ER101" s="56" t="s">
        <v>1236</v>
      </c>
      <c r="ES101" s="56">
        <v>2</v>
      </c>
      <c r="ET101" s="56" t="s">
        <v>682</v>
      </c>
      <c r="EU101" s="56" t="s">
        <v>683</v>
      </c>
      <c r="EV101" s="56" t="s">
        <v>683</v>
      </c>
      <c r="FD101" s="56" t="s">
        <v>1375</v>
      </c>
      <c r="FK101" s="56">
        <v>0</v>
      </c>
    </row>
    <row r="102" spans="1:167" x14ac:dyDescent="0.2">
      <c r="A102" s="56">
        <v>29063</v>
      </c>
      <c r="B102" s="56">
        <v>2</v>
      </c>
      <c r="C102" s="56">
        <v>6352</v>
      </c>
      <c r="D102" s="56" t="s">
        <v>634</v>
      </c>
      <c r="E102" s="56" t="s">
        <v>635</v>
      </c>
      <c r="K102" s="56" t="s">
        <v>1376</v>
      </c>
      <c r="L102" s="56" t="s">
        <v>637</v>
      </c>
      <c r="M102" s="56">
        <v>44935</v>
      </c>
      <c r="N102" s="56">
        <v>44937</v>
      </c>
      <c r="O102" s="56">
        <v>38</v>
      </c>
      <c r="P102" s="56" t="s">
        <v>638</v>
      </c>
      <c r="Q102" s="56">
        <v>2</v>
      </c>
      <c r="R102" s="56" t="s">
        <v>639</v>
      </c>
      <c r="S102" s="56" t="s">
        <v>893</v>
      </c>
      <c r="T102" s="56" t="s">
        <v>641</v>
      </c>
      <c r="U102" s="56" t="s">
        <v>1227</v>
      </c>
      <c r="V102" s="56" t="s">
        <v>643</v>
      </c>
      <c r="W102" s="56">
        <v>48</v>
      </c>
      <c r="X102" s="56" t="s">
        <v>699</v>
      </c>
      <c r="Y102" s="56">
        <v>90</v>
      </c>
      <c r="Z102" s="56" t="s">
        <v>894</v>
      </c>
      <c r="AA102" s="56" t="s">
        <v>895</v>
      </c>
      <c r="AB102" s="56" t="s">
        <v>896</v>
      </c>
      <c r="AC102" s="56" t="s">
        <v>641</v>
      </c>
      <c r="AD102" s="56" t="s">
        <v>893</v>
      </c>
      <c r="AL102" s="56">
        <v>52</v>
      </c>
      <c r="AM102" s="56" t="s">
        <v>1228</v>
      </c>
      <c r="AN102" s="56" t="s">
        <v>1229</v>
      </c>
      <c r="AO102" s="56" t="s">
        <v>1230</v>
      </c>
      <c r="AP102" s="56" t="s">
        <v>643</v>
      </c>
      <c r="AQ102" s="56" t="s">
        <v>1227</v>
      </c>
      <c r="AR102" s="56">
        <v>52</v>
      </c>
      <c r="AS102" s="56" t="s">
        <v>1228</v>
      </c>
      <c r="AT102" s="56" t="s">
        <v>1229</v>
      </c>
      <c r="AU102" s="56" t="s">
        <v>643</v>
      </c>
      <c r="AV102" s="56" t="s">
        <v>1227</v>
      </c>
      <c r="AW102" s="56">
        <v>772</v>
      </c>
      <c r="AX102" s="56" t="s">
        <v>1377</v>
      </c>
      <c r="AY102" s="56">
        <v>890</v>
      </c>
      <c r="AZ102" s="56" t="s">
        <v>1378</v>
      </c>
      <c r="BA102" s="56" t="s">
        <v>1379</v>
      </c>
      <c r="BB102" s="56" t="s">
        <v>1291</v>
      </c>
      <c r="BC102" s="56">
        <v>765</v>
      </c>
      <c r="BD102" s="56" t="s">
        <v>1292</v>
      </c>
      <c r="BE102" s="56" t="s">
        <v>1293</v>
      </c>
      <c r="BF102" s="56">
        <v>765</v>
      </c>
      <c r="BG102" s="56" t="s">
        <v>1292</v>
      </c>
      <c r="BH102" s="56" t="s">
        <v>1293</v>
      </c>
      <c r="BI102" s="56">
        <v>47.27</v>
      </c>
      <c r="BJ102" s="56">
        <v>149743.10999999999</v>
      </c>
      <c r="BK102" s="56">
        <v>47.27</v>
      </c>
      <c r="BL102" s="56" t="s">
        <v>1231</v>
      </c>
      <c r="BM102" s="56">
        <v>3105</v>
      </c>
      <c r="BN102" s="56" t="s">
        <v>744</v>
      </c>
      <c r="BO102" s="56" t="s">
        <v>1380</v>
      </c>
      <c r="BP102" s="56">
        <v>6617.8</v>
      </c>
      <c r="BQ102" s="56">
        <v>5726.46</v>
      </c>
      <c r="BR102" s="56">
        <v>0</v>
      </c>
      <c r="BS102" s="56">
        <v>0</v>
      </c>
      <c r="BT102" s="56">
        <v>4629.8</v>
      </c>
      <c r="BU102" s="56">
        <v>718891</v>
      </c>
      <c r="BV102" s="56">
        <v>52</v>
      </c>
      <c r="BW102" s="56" t="s">
        <v>1228</v>
      </c>
      <c r="BX102" s="56" t="s">
        <v>1381</v>
      </c>
      <c r="BY102" s="56" t="s">
        <v>663</v>
      </c>
      <c r="BZ102" s="56">
        <v>0.25</v>
      </c>
      <c r="CA102" s="56" t="s">
        <v>664</v>
      </c>
      <c r="CB102" s="56" t="s">
        <v>1233</v>
      </c>
      <c r="CC102" s="56" t="s">
        <v>926</v>
      </c>
      <c r="CD102" s="56" t="s">
        <v>667</v>
      </c>
      <c r="CF102" s="56">
        <v>0</v>
      </c>
      <c r="CG102" s="56">
        <v>0</v>
      </c>
      <c r="CH102" s="56">
        <v>140</v>
      </c>
      <c r="CI102" s="56">
        <v>100</v>
      </c>
      <c r="CJ102" s="56">
        <v>19.149999999999999</v>
      </c>
      <c r="CK102" s="56">
        <v>5726.46</v>
      </c>
      <c r="CL102" s="56">
        <v>4629.8</v>
      </c>
      <c r="CM102" s="56">
        <v>8.5500000000000007</v>
      </c>
      <c r="CN102" s="56">
        <v>794.14</v>
      </c>
      <c r="CO102" s="56">
        <v>794.14</v>
      </c>
      <c r="CP102" s="56">
        <v>97.2</v>
      </c>
      <c r="CQ102" s="56" t="s">
        <v>668</v>
      </c>
      <c r="CR102" s="56">
        <v>0</v>
      </c>
      <c r="CS102" s="56">
        <v>97.2</v>
      </c>
      <c r="CT102" s="56" t="s">
        <v>669</v>
      </c>
      <c r="CU102" s="56">
        <v>0</v>
      </c>
      <c r="CV102" s="56">
        <v>0</v>
      </c>
      <c r="CX102" s="56">
        <v>1096.6600000000001</v>
      </c>
      <c r="CY102" s="56">
        <v>0</v>
      </c>
      <c r="CZ102" s="56">
        <v>199.51</v>
      </c>
      <c r="DA102" s="56">
        <v>529.70000000000005</v>
      </c>
      <c r="DB102" s="56">
        <v>330.19</v>
      </c>
      <c r="DC102" s="56">
        <v>5526.95</v>
      </c>
      <c r="DD102" s="56">
        <v>-49.14</v>
      </c>
      <c r="DE102" s="56">
        <v>0</v>
      </c>
      <c r="DF102" s="56">
        <v>25.73</v>
      </c>
      <c r="DG102" s="56">
        <v>74.87</v>
      </c>
      <c r="DH102" s="56" t="s">
        <v>670</v>
      </c>
      <c r="DI102" s="56" t="s">
        <v>671</v>
      </c>
      <c r="DK102" s="56">
        <v>14.3</v>
      </c>
      <c r="DL102" s="56">
        <v>946.29</v>
      </c>
      <c r="DM102" s="56">
        <v>10</v>
      </c>
      <c r="DN102" s="56">
        <v>138129</v>
      </c>
      <c r="DO102" s="56" t="s">
        <v>236</v>
      </c>
      <c r="DP102" s="56" t="s">
        <v>673</v>
      </c>
      <c r="DQ102" s="56" t="s">
        <v>674</v>
      </c>
      <c r="DR102" s="56">
        <v>2</v>
      </c>
      <c r="DW102" s="56">
        <v>360</v>
      </c>
      <c r="DX102" s="56" t="s">
        <v>678</v>
      </c>
      <c r="DY102" s="56" t="s">
        <v>679</v>
      </c>
      <c r="ED102" s="56">
        <v>2</v>
      </c>
      <c r="EE102" s="56" t="s">
        <v>639</v>
      </c>
      <c r="EF102" s="56">
        <v>2</v>
      </c>
      <c r="EG102" s="56" t="s">
        <v>639</v>
      </c>
      <c r="EH102" s="56">
        <v>2</v>
      </c>
      <c r="EI102" s="56" t="s">
        <v>639</v>
      </c>
      <c r="EJ102" s="56">
        <v>2</v>
      </c>
      <c r="EK102" s="56" t="s">
        <v>639</v>
      </c>
      <c r="EL102" s="56">
        <v>25</v>
      </c>
      <c r="EM102" s="56">
        <v>15</v>
      </c>
      <c r="EN102" s="56">
        <v>4779</v>
      </c>
      <c r="EO102" s="56">
        <v>2420</v>
      </c>
      <c r="EP102" s="56" t="s">
        <v>1234</v>
      </c>
      <c r="EQ102" s="56" t="s">
        <v>1235</v>
      </c>
      <c r="ER102" s="56" t="s">
        <v>1236</v>
      </c>
      <c r="ES102" s="56">
        <v>2</v>
      </c>
      <c r="ET102" s="56" t="s">
        <v>682</v>
      </c>
      <c r="EU102" s="56" t="s">
        <v>683</v>
      </c>
      <c r="EV102" s="56" t="s">
        <v>683</v>
      </c>
      <c r="FD102" s="56" t="s">
        <v>1382</v>
      </c>
      <c r="FK102" s="56">
        <v>0</v>
      </c>
    </row>
    <row r="103" spans="1:167" x14ac:dyDescent="0.2">
      <c r="A103" s="56">
        <v>29064</v>
      </c>
      <c r="B103" s="56">
        <v>2</v>
      </c>
      <c r="C103" s="56">
        <v>6352</v>
      </c>
      <c r="D103" s="56" t="s">
        <v>634</v>
      </c>
      <c r="E103" s="56" t="s">
        <v>635</v>
      </c>
      <c r="K103" s="56" t="s">
        <v>1383</v>
      </c>
      <c r="L103" s="56" t="s">
        <v>637</v>
      </c>
      <c r="M103" s="56">
        <v>44935</v>
      </c>
      <c r="N103" s="56">
        <v>44937</v>
      </c>
      <c r="O103" s="56">
        <v>38</v>
      </c>
      <c r="P103" s="56" t="s">
        <v>638</v>
      </c>
      <c r="Q103" s="56">
        <v>2</v>
      </c>
      <c r="R103" s="56" t="s">
        <v>639</v>
      </c>
      <c r="S103" s="56" t="s">
        <v>893</v>
      </c>
      <c r="T103" s="56" t="s">
        <v>641</v>
      </c>
      <c r="U103" s="56" t="s">
        <v>1227</v>
      </c>
      <c r="V103" s="56" t="s">
        <v>643</v>
      </c>
      <c r="W103" s="56">
        <v>48</v>
      </c>
      <c r="X103" s="56" t="s">
        <v>699</v>
      </c>
      <c r="Y103" s="56">
        <v>90</v>
      </c>
      <c r="Z103" s="56" t="s">
        <v>894</v>
      </c>
      <c r="AA103" s="56" t="s">
        <v>895</v>
      </c>
      <c r="AB103" s="56" t="s">
        <v>896</v>
      </c>
      <c r="AC103" s="56" t="s">
        <v>641</v>
      </c>
      <c r="AD103" s="56" t="s">
        <v>893</v>
      </c>
      <c r="AL103" s="56">
        <v>52</v>
      </c>
      <c r="AM103" s="56" t="s">
        <v>1228</v>
      </c>
      <c r="AN103" s="56" t="s">
        <v>1229</v>
      </c>
      <c r="AO103" s="56" t="s">
        <v>1230</v>
      </c>
      <c r="AP103" s="56" t="s">
        <v>643</v>
      </c>
      <c r="AQ103" s="56" t="s">
        <v>1227</v>
      </c>
      <c r="AR103" s="56">
        <v>52</v>
      </c>
      <c r="AS103" s="56" t="s">
        <v>1228</v>
      </c>
      <c r="AT103" s="56" t="s">
        <v>1229</v>
      </c>
      <c r="AU103" s="56" t="s">
        <v>643</v>
      </c>
      <c r="AV103" s="56" t="s">
        <v>1227</v>
      </c>
      <c r="AW103" s="56">
        <v>768</v>
      </c>
      <c r="AX103" s="56" t="s">
        <v>1384</v>
      </c>
      <c r="AY103" s="56">
        <v>884</v>
      </c>
      <c r="AZ103" s="56" t="s">
        <v>1385</v>
      </c>
      <c r="BA103" s="56" t="s">
        <v>1386</v>
      </c>
      <c r="BB103" s="56" t="s">
        <v>1291</v>
      </c>
      <c r="BC103" s="56">
        <v>765</v>
      </c>
      <c r="BD103" s="56" t="s">
        <v>1292</v>
      </c>
      <c r="BE103" s="56" t="s">
        <v>1293</v>
      </c>
      <c r="BF103" s="56">
        <v>765</v>
      </c>
      <c r="BG103" s="56" t="s">
        <v>1292</v>
      </c>
      <c r="BH103" s="56" t="s">
        <v>1293</v>
      </c>
      <c r="BI103" s="56">
        <v>47.44</v>
      </c>
      <c r="BJ103" s="56">
        <v>150281.64000000001</v>
      </c>
      <c r="BK103" s="56">
        <v>47.44</v>
      </c>
      <c r="BL103" s="56" t="s">
        <v>1231</v>
      </c>
      <c r="BM103" s="56">
        <v>3105</v>
      </c>
      <c r="BN103" s="56" t="s">
        <v>660</v>
      </c>
      <c r="BO103" s="56" t="s">
        <v>706</v>
      </c>
      <c r="BP103" s="56">
        <v>6641.6</v>
      </c>
      <c r="BQ103" s="56">
        <v>5747.41</v>
      </c>
      <c r="BR103" s="56">
        <v>0</v>
      </c>
      <c r="BS103" s="56">
        <v>0</v>
      </c>
      <c r="BT103" s="56">
        <v>4646.8</v>
      </c>
      <c r="BU103" s="56">
        <v>718883</v>
      </c>
      <c r="BV103" s="56">
        <v>52</v>
      </c>
      <c r="BW103" s="56" t="s">
        <v>1228</v>
      </c>
      <c r="BX103" s="56" t="s">
        <v>1387</v>
      </c>
      <c r="BY103" s="56" t="s">
        <v>663</v>
      </c>
      <c r="BZ103" s="56">
        <v>0.25</v>
      </c>
      <c r="CA103" s="56" t="s">
        <v>664</v>
      </c>
      <c r="CB103" s="56" t="s">
        <v>1233</v>
      </c>
      <c r="CC103" s="56" t="s">
        <v>926</v>
      </c>
      <c r="CD103" s="56" t="s">
        <v>667</v>
      </c>
      <c r="CF103" s="56">
        <v>0</v>
      </c>
      <c r="CG103" s="56">
        <v>0</v>
      </c>
      <c r="CH103" s="56">
        <v>140</v>
      </c>
      <c r="CI103" s="56">
        <v>100</v>
      </c>
      <c r="CJ103" s="56">
        <v>19.149999999999999</v>
      </c>
      <c r="CK103" s="56">
        <v>5747.41</v>
      </c>
      <c r="CL103" s="56">
        <v>4646.8</v>
      </c>
      <c r="CM103" s="56">
        <v>8.5500000000000007</v>
      </c>
      <c r="CN103" s="56">
        <v>796.99</v>
      </c>
      <c r="CO103" s="56">
        <v>796.99</v>
      </c>
      <c r="CP103" s="56">
        <v>97.2</v>
      </c>
      <c r="CQ103" s="56" t="s">
        <v>668</v>
      </c>
      <c r="CR103" s="56">
        <v>0</v>
      </c>
      <c r="CS103" s="56">
        <v>97.2</v>
      </c>
      <c r="CT103" s="56" t="s">
        <v>669</v>
      </c>
      <c r="CU103" s="56">
        <v>0</v>
      </c>
      <c r="CV103" s="56">
        <v>0</v>
      </c>
      <c r="CX103" s="56">
        <v>1100.6099999999999</v>
      </c>
      <c r="CY103" s="56">
        <v>0</v>
      </c>
      <c r="CZ103" s="56">
        <v>200.27</v>
      </c>
      <c r="DA103" s="56">
        <v>531.63</v>
      </c>
      <c r="DB103" s="56">
        <v>331.36</v>
      </c>
      <c r="DC103" s="56">
        <v>5547.14</v>
      </c>
      <c r="DD103" s="56">
        <v>-49.32</v>
      </c>
      <c r="DE103" s="56">
        <v>0</v>
      </c>
      <c r="DF103" s="56">
        <v>25.82</v>
      </c>
      <c r="DG103" s="56">
        <v>75.14</v>
      </c>
      <c r="DH103" s="56" t="s">
        <v>670</v>
      </c>
      <c r="DI103" s="56" t="s">
        <v>671</v>
      </c>
      <c r="DK103" s="56">
        <v>14.3</v>
      </c>
      <c r="DL103" s="56">
        <v>949.66</v>
      </c>
      <c r="DM103" s="56">
        <v>10</v>
      </c>
      <c r="DN103" s="56">
        <v>138129</v>
      </c>
      <c r="DO103" s="56" t="s">
        <v>236</v>
      </c>
      <c r="DP103" s="56" t="s">
        <v>673</v>
      </c>
      <c r="DQ103" s="56" t="s">
        <v>674</v>
      </c>
      <c r="DR103" s="56">
        <v>2</v>
      </c>
      <c r="DW103" s="56">
        <v>360</v>
      </c>
      <c r="DX103" s="56" t="s">
        <v>678</v>
      </c>
      <c r="DY103" s="56" t="s">
        <v>679</v>
      </c>
      <c r="ED103" s="56">
        <v>2</v>
      </c>
      <c r="EE103" s="56" t="s">
        <v>639</v>
      </c>
      <c r="EF103" s="56">
        <v>2</v>
      </c>
      <c r="EG103" s="56" t="s">
        <v>639</v>
      </c>
      <c r="EH103" s="56">
        <v>2</v>
      </c>
      <c r="EI103" s="56" t="s">
        <v>639</v>
      </c>
      <c r="EJ103" s="56">
        <v>2</v>
      </c>
      <c r="EK103" s="56" t="s">
        <v>639</v>
      </c>
      <c r="EL103" s="56">
        <v>25</v>
      </c>
      <c r="EM103" s="56">
        <v>15</v>
      </c>
      <c r="EN103" s="56">
        <v>4779</v>
      </c>
      <c r="EO103" s="56">
        <v>2420</v>
      </c>
      <c r="EP103" s="56" t="s">
        <v>1234</v>
      </c>
      <c r="EQ103" s="56" t="s">
        <v>1235</v>
      </c>
      <c r="ER103" s="56" t="s">
        <v>1236</v>
      </c>
      <c r="ES103" s="56">
        <v>2</v>
      </c>
      <c r="ET103" s="56" t="s">
        <v>682</v>
      </c>
      <c r="EU103" s="56" t="s">
        <v>683</v>
      </c>
      <c r="EV103" s="56" t="s">
        <v>683</v>
      </c>
      <c r="FD103" s="56" t="s">
        <v>1388</v>
      </c>
      <c r="FK103" s="56">
        <v>0</v>
      </c>
    </row>
    <row r="104" spans="1:167" x14ac:dyDescent="0.2">
      <c r="A104" s="56">
        <v>29065</v>
      </c>
      <c r="B104" s="56">
        <v>2</v>
      </c>
      <c r="C104" s="56">
        <v>6352</v>
      </c>
      <c r="D104" s="56" t="s">
        <v>634</v>
      </c>
      <c r="E104" s="56" t="s">
        <v>635</v>
      </c>
      <c r="K104" s="56" t="s">
        <v>1389</v>
      </c>
      <c r="L104" s="56" t="s">
        <v>637</v>
      </c>
      <c r="M104" s="56">
        <v>44935</v>
      </c>
      <c r="N104" s="56">
        <v>44937</v>
      </c>
      <c r="O104" s="56">
        <v>38</v>
      </c>
      <c r="P104" s="56" t="s">
        <v>638</v>
      </c>
      <c r="Q104" s="56">
        <v>2</v>
      </c>
      <c r="R104" s="56" t="s">
        <v>639</v>
      </c>
      <c r="S104" s="56" t="s">
        <v>893</v>
      </c>
      <c r="T104" s="56" t="s">
        <v>641</v>
      </c>
      <c r="U104" s="56" t="s">
        <v>1227</v>
      </c>
      <c r="V104" s="56" t="s">
        <v>643</v>
      </c>
      <c r="W104" s="56">
        <v>48</v>
      </c>
      <c r="X104" s="56" t="s">
        <v>699</v>
      </c>
      <c r="Y104" s="56">
        <v>90</v>
      </c>
      <c r="Z104" s="56" t="s">
        <v>894</v>
      </c>
      <c r="AA104" s="56" t="s">
        <v>895</v>
      </c>
      <c r="AB104" s="56" t="s">
        <v>896</v>
      </c>
      <c r="AC104" s="56" t="s">
        <v>641</v>
      </c>
      <c r="AD104" s="56" t="s">
        <v>893</v>
      </c>
      <c r="AL104" s="56">
        <v>52</v>
      </c>
      <c r="AM104" s="56" t="s">
        <v>1228</v>
      </c>
      <c r="AN104" s="56" t="s">
        <v>1229</v>
      </c>
      <c r="AO104" s="56" t="s">
        <v>1230</v>
      </c>
      <c r="AP104" s="56" t="s">
        <v>643</v>
      </c>
      <c r="AQ104" s="56" t="s">
        <v>1227</v>
      </c>
      <c r="AR104" s="56">
        <v>52</v>
      </c>
      <c r="AS104" s="56" t="s">
        <v>1228</v>
      </c>
      <c r="AT104" s="56" t="s">
        <v>1229</v>
      </c>
      <c r="AU104" s="56" t="s">
        <v>643</v>
      </c>
      <c r="AV104" s="56" t="s">
        <v>1227</v>
      </c>
      <c r="AW104" s="56">
        <v>809</v>
      </c>
      <c r="AX104" s="56" t="s">
        <v>1390</v>
      </c>
      <c r="AY104" s="56">
        <v>953</v>
      </c>
      <c r="AZ104" s="56" t="s">
        <v>1391</v>
      </c>
      <c r="BA104" s="56" t="s">
        <v>1392</v>
      </c>
      <c r="BB104" s="56" t="s">
        <v>1291</v>
      </c>
      <c r="BC104" s="56">
        <v>765</v>
      </c>
      <c r="BD104" s="56" t="s">
        <v>1292</v>
      </c>
      <c r="BE104" s="56" t="s">
        <v>1293</v>
      </c>
      <c r="BF104" s="56">
        <v>765</v>
      </c>
      <c r="BG104" s="56" t="s">
        <v>1292</v>
      </c>
      <c r="BH104" s="56" t="s">
        <v>1293</v>
      </c>
      <c r="BI104" s="56">
        <v>47.22</v>
      </c>
      <c r="BJ104" s="56">
        <v>149584.72</v>
      </c>
      <c r="BK104" s="56">
        <v>47.22</v>
      </c>
      <c r="BL104" s="56" t="s">
        <v>1231</v>
      </c>
      <c r="BM104" s="56">
        <v>3105</v>
      </c>
      <c r="BN104" s="56" t="s">
        <v>660</v>
      </c>
      <c r="BO104" s="56" t="s">
        <v>1309</v>
      </c>
      <c r="BP104" s="56">
        <v>6610.8</v>
      </c>
      <c r="BQ104" s="56">
        <v>5720.3</v>
      </c>
      <c r="BR104" s="56">
        <v>0</v>
      </c>
      <c r="BS104" s="56">
        <v>0</v>
      </c>
      <c r="BT104" s="56">
        <v>4624.8</v>
      </c>
      <c r="BU104" s="56">
        <v>718874</v>
      </c>
      <c r="BV104" s="56">
        <v>52</v>
      </c>
      <c r="BW104" s="56" t="s">
        <v>1228</v>
      </c>
      <c r="BX104" s="56" t="s">
        <v>1393</v>
      </c>
      <c r="BY104" s="56" t="s">
        <v>663</v>
      </c>
      <c r="BZ104" s="56">
        <v>0.25</v>
      </c>
      <c r="CA104" s="56" t="s">
        <v>664</v>
      </c>
      <c r="CB104" s="56" t="s">
        <v>1233</v>
      </c>
      <c r="CC104" s="56" t="s">
        <v>926</v>
      </c>
      <c r="CD104" s="56" t="s">
        <v>667</v>
      </c>
      <c r="CF104" s="56">
        <v>0</v>
      </c>
      <c r="CG104" s="56">
        <v>0</v>
      </c>
      <c r="CH104" s="56">
        <v>140</v>
      </c>
      <c r="CI104" s="56">
        <v>100</v>
      </c>
      <c r="CJ104" s="56">
        <v>19.149999999999999</v>
      </c>
      <c r="CK104" s="56">
        <v>5720.3</v>
      </c>
      <c r="CL104" s="56">
        <v>4624.8</v>
      </c>
      <c r="CM104" s="56">
        <v>8.5500000000000007</v>
      </c>
      <c r="CN104" s="56">
        <v>793.3</v>
      </c>
      <c r="CO104" s="56">
        <v>793.3</v>
      </c>
      <c r="CP104" s="56">
        <v>97.2</v>
      </c>
      <c r="CQ104" s="56" t="s">
        <v>668</v>
      </c>
      <c r="CR104" s="56">
        <v>0</v>
      </c>
      <c r="CS104" s="56">
        <v>97.2</v>
      </c>
      <c r="CT104" s="56" t="s">
        <v>669</v>
      </c>
      <c r="CU104" s="56">
        <v>0</v>
      </c>
      <c r="CV104" s="56">
        <v>0</v>
      </c>
      <c r="CX104" s="56">
        <v>1095.5</v>
      </c>
      <c r="CY104" s="56">
        <v>0</v>
      </c>
      <c r="CZ104" s="56">
        <v>199.28</v>
      </c>
      <c r="DA104" s="56">
        <v>529.12</v>
      </c>
      <c r="DB104" s="56">
        <v>329.84</v>
      </c>
      <c r="DC104" s="56">
        <v>5521.02</v>
      </c>
      <c r="DD104" s="56">
        <v>-49.09</v>
      </c>
      <c r="DE104" s="56">
        <v>0</v>
      </c>
      <c r="DF104" s="56">
        <v>25.7</v>
      </c>
      <c r="DG104" s="56">
        <v>74.790000000000006</v>
      </c>
      <c r="DH104" s="56" t="s">
        <v>670</v>
      </c>
      <c r="DI104" s="56" t="s">
        <v>671</v>
      </c>
      <c r="DK104" s="56">
        <v>14.3</v>
      </c>
      <c r="DL104" s="56">
        <v>945.31</v>
      </c>
      <c r="DM104" s="56">
        <v>10</v>
      </c>
      <c r="DN104" s="56">
        <v>138129</v>
      </c>
      <c r="DO104" s="56" t="s">
        <v>236</v>
      </c>
      <c r="DP104" s="56" t="s">
        <v>673</v>
      </c>
      <c r="DQ104" s="56" t="s">
        <v>674</v>
      </c>
      <c r="DR104" s="56">
        <v>2</v>
      </c>
      <c r="DW104" s="56">
        <v>360</v>
      </c>
      <c r="DX104" s="56" t="s">
        <v>678</v>
      </c>
      <c r="DY104" s="56" t="s">
        <v>679</v>
      </c>
      <c r="ED104" s="56">
        <v>2</v>
      </c>
      <c r="EE104" s="56" t="s">
        <v>639</v>
      </c>
      <c r="EF104" s="56">
        <v>2</v>
      </c>
      <c r="EG104" s="56" t="s">
        <v>639</v>
      </c>
      <c r="EH104" s="56">
        <v>2</v>
      </c>
      <c r="EI104" s="56" t="s">
        <v>639</v>
      </c>
      <c r="EJ104" s="56">
        <v>2</v>
      </c>
      <c r="EK104" s="56" t="s">
        <v>639</v>
      </c>
      <c r="EL104" s="56">
        <v>25</v>
      </c>
      <c r="EM104" s="56">
        <v>15</v>
      </c>
      <c r="EN104" s="56">
        <v>4779</v>
      </c>
      <c r="EO104" s="56">
        <v>2420</v>
      </c>
      <c r="EP104" s="56" t="s">
        <v>1234</v>
      </c>
      <c r="EQ104" s="56" t="s">
        <v>1235</v>
      </c>
      <c r="ER104" s="56" t="s">
        <v>1236</v>
      </c>
      <c r="ES104" s="56">
        <v>2</v>
      </c>
      <c r="ET104" s="56" t="s">
        <v>682</v>
      </c>
      <c r="EU104" s="56" t="s">
        <v>683</v>
      </c>
      <c r="EV104" s="56" t="s">
        <v>683</v>
      </c>
      <c r="FD104" s="56" t="s">
        <v>1394</v>
      </c>
      <c r="FK104" s="56">
        <v>0</v>
      </c>
    </row>
    <row r="105" spans="1:167" x14ac:dyDescent="0.2">
      <c r="A105" s="56">
        <v>29066</v>
      </c>
      <c r="B105" s="56">
        <v>2</v>
      </c>
      <c r="C105" s="56">
        <v>6352</v>
      </c>
      <c r="D105" s="56" t="s">
        <v>634</v>
      </c>
      <c r="E105" s="56" t="s">
        <v>635</v>
      </c>
      <c r="K105" s="56" t="s">
        <v>1395</v>
      </c>
      <c r="L105" s="56" t="s">
        <v>637</v>
      </c>
      <c r="M105" s="56">
        <v>44935</v>
      </c>
      <c r="N105" s="56">
        <v>44937</v>
      </c>
      <c r="O105" s="56">
        <v>38</v>
      </c>
      <c r="P105" s="56" t="s">
        <v>638</v>
      </c>
      <c r="Q105" s="56">
        <v>2</v>
      </c>
      <c r="R105" s="56" t="s">
        <v>639</v>
      </c>
      <c r="S105" s="56" t="s">
        <v>893</v>
      </c>
      <c r="T105" s="56" t="s">
        <v>641</v>
      </c>
      <c r="U105" s="56" t="s">
        <v>735</v>
      </c>
      <c r="V105" s="56" t="s">
        <v>643</v>
      </c>
      <c r="W105" s="56">
        <v>48</v>
      </c>
      <c r="X105" s="56" t="s">
        <v>699</v>
      </c>
      <c r="Y105" s="56">
        <v>90</v>
      </c>
      <c r="Z105" s="56" t="s">
        <v>894</v>
      </c>
      <c r="AA105" s="56" t="s">
        <v>895</v>
      </c>
      <c r="AB105" s="56" t="s">
        <v>896</v>
      </c>
      <c r="AC105" s="56" t="s">
        <v>641</v>
      </c>
      <c r="AD105" s="56" t="s">
        <v>893</v>
      </c>
      <c r="AE105" s="56">
        <v>91</v>
      </c>
      <c r="AF105" s="56" t="s">
        <v>736</v>
      </c>
      <c r="AG105" s="56" t="s">
        <v>737</v>
      </c>
      <c r="AH105" s="56" t="s">
        <v>643</v>
      </c>
      <c r="AI105" s="56" t="s">
        <v>735</v>
      </c>
      <c r="AJ105" s="56">
        <v>90</v>
      </c>
      <c r="AK105" s="56" t="s">
        <v>894</v>
      </c>
      <c r="AL105" s="56">
        <v>91</v>
      </c>
      <c r="AM105" s="56" t="s">
        <v>736</v>
      </c>
      <c r="AN105" s="56" t="s">
        <v>737</v>
      </c>
      <c r="AO105" s="56" t="s">
        <v>738</v>
      </c>
      <c r="AP105" s="56" t="s">
        <v>643</v>
      </c>
      <c r="AQ105" s="56" t="s">
        <v>735</v>
      </c>
      <c r="AR105" s="56">
        <v>98</v>
      </c>
      <c r="AS105" s="56" t="s">
        <v>645</v>
      </c>
      <c r="AT105" s="56" t="s">
        <v>646</v>
      </c>
      <c r="AU105" s="56" t="s">
        <v>643</v>
      </c>
      <c r="AV105" s="56" t="s">
        <v>648</v>
      </c>
      <c r="AW105" s="56">
        <v>114</v>
      </c>
      <c r="AX105" s="56" t="s">
        <v>1396</v>
      </c>
      <c r="AY105" s="56">
        <v>27</v>
      </c>
      <c r="AZ105" s="56" t="s">
        <v>33</v>
      </c>
      <c r="BA105" s="56" t="s">
        <v>1397</v>
      </c>
      <c r="BB105" s="56" t="s">
        <v>770</v>
      </c>
      <c r="BC105" s="56">
        <v>38</v>
      </c>
      <c r="BD105" s="56" t="s">
        <v>289</v>
      </c>
      <c r="BE105" s="56" t="s">
        <v>771</v>
      </c>
      <c r="BF105" s="56">
        <v>2</v>
      </c>
      <c r="BG105" s="56" t="s">
        <v>289</v>
      </c>
      <c r="BH105" s="56" t="s">
        <v>772</v>
      </c>
      <c r="BI105" s="56">
        <v>46.79</v>
      </c>
      <c r="BJ105" s="56">
        <v>120572.22</v>
      </c>
      <c r="BK105" s="56">
        <v>46790</v>
      </c>
      <c r="BL105" s="56" t="s">
        <v>897</v>
      </c>
      <c r="BM105" s="56">
        <v>3102</v>
      </c>
      <c r="BN105" s="56" t="s">
        <v>786</v>
      </c>
      <c r="BO105" s="56" t="s">
        <v>883</v>
      </c>
      <c r="BP105" s="56">
        <v>6784.55</v>
      </c>
      <c r="BQ105" s="56">
        <v>5897.5</v>
      </c>
      <c r="BR105" s="56">
        <v>0</v>
      </c>
      <c r="BS105" s="56">
        <v>0</v>
      </c>
      <c r="BT105" s="56">
        <v>0</v>
      </c>
      <c r="BU105" s="56">
        <v>718917</v>
      </c>
      <c r="BV105" s="56">
        <v>98</v>
      </c>
      <c r="BW105" s="56" t="s">
        <v>645</v>
      </c>
      <c r="BX105" s="56" t="s">
        <v>1398</v>
      </c>
      <c r="BY105" s="56" t="s">
        <v>663</v>
      </c>
      <c r="BZ105" s="56">
        <v>0.25</v>
      </c>
      <c r="CA105" s="56" t="s">
        <v>664</v>
      </c>
      <c r="CB105" s="56" t="s">
        <v>899</v>
      </c>
      <c r="CD105" s="56" t="s">
        <v>667</v>
      </c>
      <c r="CG105" s="56">
        <v>0</v>
      </c>
      <c r="CH105" s="56">
        <v>145</v>
      </c>
      <c r="CJ105" s="56">
        <v>100</v>
      </c>
      <c r="CK105" s="56">
        <v>5897.5</v>
      </c>
      <c r="CL105" s="56">
        <v>0</v>
      </c>
      <c r="CN105" s="56">
        <v>814.15</v>
      </c>
      <c r="CO105" s="56">
        <v>814.15</v>
      </c>
      <c r="CP105" s="56">
        <v>72.900000000000006</v>
      </c>
      <c r="CQ105" s="56" t="s">
        <v>668</v>
      </c>
      <c r="CR105" s="56">
        <v>0</v>
      </c>
      <c r="CS105" s="56">
        <v>0</v>
      </c>
      <c r="CV105" s="56">
        <v>0</v>
      </c>
      <c r="CX105" s="56">
        <v>0</v>
      </c>
      <c r="CY105" s="56">
        <v>0</v>
      </c>
      <c r="CZ105" s="56">
        <v>545.52</v>
      </c>
      <c r="DA105" s="56">
        <v>545.52</v>
      </c>
      <c r="DB105" s="56">
        <v>0</v>
      </c>
      <c r="DC105" s="56">
        <v>5351.98</v>
      </c>
      <c r="DD105" s="56">
        <v>20.72</v>
      </c>
      <c r="DE105" s="56">
        <v>0</v>
      </c>
      <c r="DF105" s="56">
        <v>20.72</v>
      </c>
      <c r="DH105" s="56" t="s">
        <v>670</v>
      </c>
      <c r="DI105" s="56" t="s">
        <v>671</v>
      </c>
      <c r="DK105" s="56">
        <v>79.650000000000006</v>
      </c>
      <c r="DL105" s="56">
        <v>5404.16</v>
      </c>
      <c r="DM105" s="56">
        <v>67</v>
      </c>
      <c r="DN105" s="56" t="s">
        <v>900</v>
      </c>
      <c r="DO105" s="56" t="s">
        <v>236</v>
      </c>
      <c r="DQ105" s="56" t="s">
        <v>674</v>
      </c>
      <c r="DR105" s="56">
        <v>3</v>
      </c>
      <c r="DW105" s="56">
        <v>280</v>
      </c>
      <c r="DX105" s="56" t="s">
        <v>678</v>
      </c>
      <c r="DY105" s="56" t="s">
        <v>679</v>
      </c>
      <c r="EL105" s="56">
        <v>25</v>
      </c>
      <c r="EM105" s="56">
        <v>15</v>
      </c>
      <c r="EN105" s="56">
        <v>4779</v>
      </c>
      <c r="EO105" s="56">
        <v>1805</v>
      </c>
      <c r="EP105" s="56">
        <v>6806</v>
      </c>
      <c r="EQ105" s="56" t="s">
        <v>901</v>
      </c>
      <c r="ER105" s="56" t="s">
        <v>902</v>
      </c>
      <c r="ES105" s="56">
        <v>2</v>
      </c>
      <c r="ET105" s="56" t="s">
        <v>682</v>
      </c>
      <c r="EU105" s="56" t="s">
        <v>683</v>
      </c>
      <c r="EV105" s="56" t="s">
        <v>683</v>
      </c>
      <c r="FD105" s="56" t="s">
        <v>1399</v>
      </c>
      <c r="FK105" s="56">
        <v>0</v>
      </c>
    </row>
    <row r="106" spans="1:167" x14ac:dyDescent="0.2">
      <c r="A106" s="56">
        <v>29067</v>
      </c>
      <c r="B106" s="56">
        <v>2</v>
      </c>
      <c r="C106" s="56">
        <v>6352</v>
      </c>
      <c r="D106" s="56" t="s">
        <v>634</v>
      </c>
      <c r="E106" s="56" t="s">
        <v>635</v>
      </c>
      <c r="K106" s="56" t="s">
        <v>1400</v>
      </c>
      <c r="L106" s="56" t="s">
        <v>637</v>
      </c>
      <c r="M106" s="56">
        <v>44935</v>
      </c>
      <c r="N106" s="56">
        <v>44937</v>
      </c>
      <c r="O106" s="56">
        <v>38</v>
      </c>
      <c r="P106" s="56" t="s">
        <v>638</v>
      </c>
      <c r="Q106" s="56">
        <v>2</v>
      </c>
      <c r="R106" s="56" t="s">
        <v>639</v>
      </c>
      <c r="S106" s="56" t="s">
        <v>893</v>
      </c>
      <c r="T106" s="56" t="s">
        <v>641</v>
      </c>
      <c r="U106" s="56" t="s">
        <v>735</v>
      </c>
      <c r="V106" s="56" t="s">
        <v>643</v>
      </c>
      <c r="W106" s="56">
        <v>48</v>
      </c>
      <c r="X106" s="56" t="s">
        <v>699</v>
      </c>
      <c r="Y106" s="56">
        <v>90</v>
      </c>
      <c r="Z106" s="56" t="s">
        <v>894</v>
      </c>
      <c r="AA106" s="56" t="s">
        <v>895</v>
      </c>
      <c r="AB106" s="56" t="s">
        <v>896</v>
      </c>
      <c r="AC106" s="56" t="s">
        <v>641</v>
      </c>
      <c r="AD106" s="56" t="s">
        <v>893</v>
      </c>
      <c r="AE106" s="56">
        <v>91</v>
      </c>
      <c r="AF106" s="56" t="s">
        <v>736</v>
      </c>
      <c r="AG106" s="56" t="s">
        <v>737</v>
      </c>
      <c r="AH106" s="56" t="s">
        <v>643</v>
      </c>
      <c r="AI106" s="56" t="s">
        <v>735</v>
      </c>
      <c r="AJ106" s="56">
        <v>90</v>
      </c>
      <c r="AK106" s="56" t="s">
        <v>894</v>
      </c>
      <c r="AL106" s="56">
        <v>91</v>
      </c>
      <c r="AM106" s="56" t="s">
        <v>736</v>
      </c>
      <c r="AN106" s="56" t="s">
        <v>737</v>
      </c>
      <c r="AO106" s="56" t="s">
        <v>738</v>
      </c>
      <c r="AP106" s="56" t="s">
        <v>643</v>
      </c>
      <c r="AQ106" s="56" t="s">
        <v>735</v>
      </c>
      <c r="AR106" s="56">
        <v>98</v>
      </c>
      <c r="AS106" s="56" t="s">
        <v>645</v>
      </c>
      <c r="AT106" s="56" t="s">
        <v>646</v>
      </c>
      <c r="AU106" s="56" t="s">
        <v>643</v>
      </c>
      <c r="AV106" s="56" t="s">
        <v>648</v>
      </c>
      <c r="AW106" s="56">
        <v>122</v>
      </c>
      <c r="AX106" s="56" t="s">
        <v>768</v>
      </c>
      <c r="AY106" s="56">
        <v>69</v>
      </c>
      <c r="AZ106" s="56" t="s">
        <v>26</v>
      </c>
      <c r="BA106" s="56" t="s">
        <v>769</v>
      </c>
      <c r="BB106" s="56" t="s">
        <v>770</v>
      </c>
      <c r="BC106" s="56">
        <v>38</v>
      </c>
      <c r="BD106" s="56" t="s">
        <v>289</v>
      </c>
      <c r="BE106" s="56" t="s">
        <v>771</v>
      </c>
      <c r="BF106" s="56">
        <v>2</v>
      </c>
      <c r="BG106" s="56" t="s">
        <v>289</v>
      </c>
      <c r="BH106" s="56" t="s">
        <v>772</v>
      </c>
      <c r="BI106" s="56">
        <v>47.33</v>
      </c>
      <c r="BJ106" s="56">
        <v>121963.73</v>
      </c>
      <c r="BK106" s="56">
        <v>47330</v>
      </c>
      <c r="BL106" s="56" t="s">
        <v>897</v>
      </c>
      <c r="BM106" s="56">
        <v>3102</v>
      </c>
      <c r="BN106" s="56" t="s">
        <v>724</v>
      </c>
      <c r="BO106" s="56" t="s">
        <v>773</v>
      </c>
      <c r="BP106" s="56">
        <v>6862.85</v>
      </c>
      <c r="BQ106" s="56">
        <v>5966.41</v>
      </c>
      <c r="BR106" s="56">
        <v>0</v>
      </c>
      <c r="BS106" s="56">
        <v>0</v>
      </c>
      <c r="BT106" s="56">
        <v>0</v>
      </c>
      <c r="BU106" s="56">
        <v>718951</v>
      </c>
      <c r="BV106" s="56">
        <v>98</v>
      </c>
      <c r="BW106" s="56" t="s">
        <v>645</v>
      </c>
      <c r="BX106" s="56" t="s">
        <v>1401</v>
      </c>
      <c r="BY106" s="56" t="s">
        <v>663</v>
      </c>
      <c r="BZ106" s="56">
        <v>0.25</v>
      </c>
      <c r="CA106" s="56" t="s">
        <v>664</v>
      </c>
      <c r="CB106" s="56" t="s">
        <v>899</v>
      </c>
      <c r="CD106" s="56" t="s">
        <v>667</v>
      </c>
      <c r="CG106" s="56">
        <v>0</v>
      </c>
      <c r="CH106" s="56">
        <v>145</v>
      </c>
      <c r="CJ106" s="56">
        <v>100</v>
      </c>
      <c r="CK106" s="56">
        <v>5966.41</v>
      </c>
      <c r="CL106" s="56">
        <v>0</v>
      </c>
      <c r="CN106" s="56">
        <v>823.54</v>
      </c>
      <c r="CO106" s="56">
        <v>823.54</v>
      </c>
      <c r="CP106" s="56">
        <v>72.900000000000006</v>
      </c>
      <c r="CQ106" s="56" t="s">
        <v>668</v>
      </c>
      <c r="CR106" s="56">
        <v>0</v>
      </c>
      <c r="CS106" s="56">
        <v>0</v>
      </c>
      <c r="CV106" s="56">
        <v>0</v>
      </c>
      <c r="CX106" s="56">
        <v>0</v>
      </c>
      <c r="CY106" s="56">
        <v>0</v>
      </c>
      <c r="CZ106" s="56">
        <v>551.9</v>
      </c>
      <c r="DA106" s="56">
        <v>551.9</v>
      </c>
      <c r="DB106" s="56">
        <v>0</v>
      </c>
      <c r="DC106" s="56">
        <v>5414.51</v>
      </c>
      <c r="DD106" s="56">
        <v>20.95</v>
      </c>
      <c r="DE106" s="56">
        <v>0</v>
      </c>
      <c r="DF106" s="56">
        <v>20.95</v>
      </c>
      <c r="DH106" s="56" t="s">
        <v>670</v>
      </c>
      <c r="DI106" s="56" t="s">
        <v>671</v>
      </c>
      <c r="DK106" s="56">
        <v>79.650000000000006</v>
      </c>
      <c r="DL106" s="56">
        <v>5466.46</v>
      </c>
      <c r="DM106" s="56">
        <v>67</v>
      </c>
      <c r="DN106" s="56" t="s">
        <v>900</v>
      </c>
      <c r="DO106" s="56" t="s">
        <v>236</v>
      </c>
      <c r="DQ106" s="56" t="s">
        <v>674</v>
      </c>
      <c r="DR106" s="56">
        <v>3</v>
      </c>
      <c r="DW106" s="56">
        <v>280</v>
      </c>
      <c r="DX106" s="56" t="s">
        <v>678</v>
      </c>
      <c r="DY106" s="56" t="s">
        <v>679</v>
      </c>
      <c r="EL106" s="56">
        <v>25</v>
      </c>
      <c r="EM106" s="56">
        <v>15</v>
      </c>
      <c r="EN106" s="56">
        <v>4779</v>
      </c>
      <c r="EO106" s="56">
        <v>1805</v>
      </c>
      <c r="EP106" s="56">
        <v>6806</v>
      </c>
      <c r="EQ106" s="56" t="s">
        <v>901</v>
      </c>
      <c r="ER106" s="56" t="s">
        <v>902</v>
      </c>
      <c r="ES106" s="56">
        <v>2</v>
      </c>
      <c r="ET106" s="56" t="s">
        <v>682</v>
      </c>
      <c r="EU106" s="56" t="s">
        <v>683</v>
      </c>
      <c r="EV106" s="56" t="s">
        <v>683</v>
      </c>
      <c r="FD106" s="56" t="s">
        <v>1402</v>
      </c>
      <c r="FK106" s="56">
        <v>0</v>
      </c>
    </row>
    <row r="107" spans="1:167" x14ac:dyDescent="0.2">
      <c r="A107" s="56">
        <v>29068</v>
      </c>
      <c r="B107" s="56">
        <v>2</v>
      </c>
      <c r="C107" s="56">
        <v>6352</v>
      </c>
      <c r="D107" s="56" t="s">
        <v>634</v>
      </c>
      <c r="E107" s="56" t="s">
        <v>635</v>
      </c>
      <c r="K107" s="56" t="s">
        <v>1403</v>
      </c>
      <c r="L107" s="56" t="s">
        <v>637</v>
      </c>
      <c r="M107" s="56">
        <v>44935</v>
      </c>
      <c r="N107" s="56">
        <v>44937</v>
      </c>
      <c r="O107" s="56">
        <v>38</v>
      </c>
      <c r="P107" s="56" t="s">
        <v>638</v>
      </c>
      <c r="Q107" s="56">
        <v>2</v>
      </c>
      <c r="R107" s="56" t="s">
        <v>639</v>
      </c>
      <c r="S107" s="56" t="s">
        <v>893</v>
      </c>
      <c r="T107" s="56" t="s">
        <v>641</v>
      </c>
      <c r="U107" s="56" t="s">
        <v>735</v>
      </c>
      <c r="V107" s="56" t="s">
        <v>643</v>
      </c>
      <c r="W107" s="56">
        <v>48</v>
      </c>
      <c r="X107" s="56" t="s">
        <v>699</v>
      </c>
      <c r="Y107" s="56">
        <v>90</v>
      </c>
      <c r="Z107" s="56" t="s">
        <v>894</v>
      </c>
      <c r="AA107" s="56" t="s">
        <v>895</v>
      </c>
      <c r="AB107" s="56" t="s">
        <v>896</v>
      </c>
      <c r="AC107" s="56" t="s">
        <v>641</v>
      </c>
      <c r="AD107" s="56" t="s">
        <v>893</v>
      </c>
      <c r="AE107" s="56">
        <v>91</v>
      </c>
      <c r="AF107" s="56" t="s">
        <v>736</v>
      </c>
      <c r="AG107" s="56" t="s">
        <v>737</v>
      </c>
      <c r="AH107" s="56" t="s">
        <v>643</v>
      </c>
      <c r="AI107" s="56" t="s">
        <v>735</v>
      </c>
      <c r="AJ107" s="56">
        <v>90</v>
      </c>
      <c r="AK107" s="56" t="s">
        <v>894</v>
      </c>
      <c r="AL107" s="56">
        <v>91</v>
      </c>
      <c r="AM107" s="56" t="s">
        <v>736</v>
      </c>
      <c r="AN107" s="56" t="s">
        <v>737</v>
      </c>
      <c r="AO107" s="56" t="s">
        <v>738</v>
      </c>
      <c r="AP107" s="56" t="s">
        <v>643</v>
      </c>
      <c r="AQ107" s="56" t="s">
        <v>735</v>
      </c>
      <c r="AR107" s="56">
        <v>98</v>
      </c>
      <c r="AS107" s="56" t="s">
        <v>645</v>
      </c>
      <c r="AT107" s="56" t="s">
        <v>646</v>
      </c>
      <c r="AU107" s="56" t="s">
        <v>643</v>
      </c>
      <c r="AV107" s="56" t="s">
        <v>648</v>
      </c>
      <c r="AW107" s="56">
        <v>1181</v>
      </c>
      <c r="AX107" s="56" t="s">
        <v>1404</v>
      </c>
      <c r="AY107" s="56">
        <v>62</v>
      </c>
      <c r="AZ107" s="56" t="s">
        <v>22</v>
      </c>
      <c r="BA107" s="56" t="s">
        <v>1405</v>
      </c>
      <c r="BB107" s="56" t="s">
        <v>844</v>
      </c>
      <c r="BC107" s="56">
        <v>2</v>
      </c>
      <c r="BD107" s="56" t="s">
        <v>289</v>
      </c>
      <c r="BE107" s="56" t="s">
        <v>772</v>
      </c>
      <c r="BF107" s="56">
        <v>2</v>
      </c>
      <c r="BG107" s="56" t="s">
        <v>289</v>
      </c>
      <c r="BH107" s="56" t="s">
        <v>772</v>
      </c>
      <c r="BI107" s="56">
        <v>34.590000000000003</v>
      </c>
      <c r="BJ107" s="56">
        <v>89134.28</v>
      </c>
      <c r="BK107" s="56">
        <v>34590</v>
      </c>
      <c r="BL107" s="56" t="s">
        <v>897</v>
      </c>
      <c r="BM107" s="56">
        <v>3102</v>
      </c>
      <c r="BN107" s="56" t="s">
        <v>660</v>
      </c>
      <c r="BO107" s="56" t="s">
        <v>872</v>
      </c>
      <c r="BP107" s="56">
        <v>5015.55</v>
      </c>
      <c r="BQ107" s="56">
        <v>4356.9799999999996</v>
      </c>
      <c r="BR107" s="56">
        <v>0</v>
      </c>
      <c r="BS107" s="56">
        <v>0</v>
      </c>
      <c r="BT107" s="56">
        <v>0</v>
      </c>
      <c r="BU107" s="56">
        <v>718994</v>
      </c>
      <c r="BV107" s="56">
        <v>98</v>
      </c>
      <c r="BW107" s="56" t="s">
        <v>645</v>
      </c>
      <c r="BX107" s="56" t="s">
        <v>1406</v>
      </c>
      <c r="BY107" s="56" t="s">
        <v>663</v>
      </c>
      <c r="BZ107" s="56">
        <v>0.25</v>
      </c>
      <c r="CA107" s="56" t="s">
        <v>664</v>
      </c>
      <c r="CB107" s="56" t="s">
        <v>899</v>
      </c>
      <c r="CD107" s="56" t="s">
        <v>667</v>
      </c>
      <c r="CG107" s="56">
        <v>0</v>
      </c>
      <c r="CH107" s="56">
        <v>145</v>
      </c>
      <c r="CJ107" s="56">
        <v>100</v>
      </c>
      <c r="CK107" s="56">
        <v>4356.9799999999996</v>
      </c>
      <c r="CL107" s="56">
        <v>0</v>
      </c>
      <c r="CN107" s="56">
        <v>601.87</v>
      </c>
      <c r="CO107" s="56">
        <v>601.87</v>
      </c>
      <c r="CP107" s="56">
        <v>56.7</v>
      </c>
      <c r="CQ107" s="56" t="s">
        <v>668</v>
      </c>
      <c r="CR107" s="56">
        <v>0</v>
      </c>
      <c r="CS107" s="56">
        <v>0</v>
      </c>
      <c r="CV107" s="56">
        <v>0</v>
      </c>
      <c r="CX107" s="56">
        <v>0</v>
      </c>
      <c r="CY107" s="56">
        <v>0</v>
      </c>
      <c r="CZ107" s="56">
        <v>403.02</v>
      </c>
      <c r="DA107" s="56">
        <v>403.02</v>
      </c>
      <c r="DB107" s="56">
        <v>0</v>
      </c>
      <c r="DC107" s="56">
        <v>3953.96</v>
      </c>
      <c r="DD107" s="56">
        <v>15.31</v>
      </c>
      <c r="DE107" s="56">
        <v>0</v>
      </c>
      <c r="DF107" s="56">
        <v>15.31</v>
      </c>
      <c r="DH107" s="56" t="s">
        <v>670</v>
      </c>
      <c r="DI107" s="56" t="s">
        <v>671</v>
      </c>
      <c r="DK107" s="56">
        <v>79.66</v>
      </c>
      <c r="DL107" s="56">
        <v>3995.35</v>
      </c>
      <c r="DM107" s="56">
        <v>67</v>
      </c>
      <c r="DN107" s="56" t="s">
        <v>900</v>
      </c>
      <c r="DO107" s="56" t="s">
        <v>236</v>
      </c>
      <c r="DQ107" s="56" t="s">
        <v>674</v>
      </c>
      <c r="DR107" s="56">
        <v>3</v>
      </c>
      <c r="DW107" s="56">
        <v>280</v>
      </c>
      <c r="DX107" s="56" t="s">
        <v>678</v>
      </c>
      <c r="DY107" s="56" t="s">
        <v>679</v>
      </c>
      <c r="EL107" s="56">
        <v>25</v>
      </c>
      <c r="EM107" s="56">
        <v>15</v>
      </c>
      <c r="EN107" s="56">
        <v>4779</v>
      </c>
      <c r="EO107" s="56">
        <v>1805</v>
      </c>
      <c r="EP107" s="56">
        <v>6806</v>
      </c>
      <c r="EQ107" s="56" t="s">
        <v>901</v>
      </c>
      <c r="ER107" s="56" t="s">
        <v>902</v>
      </c>
      <c r="ES107" s="56">
        <v>2</v>
      </c>
      <c r="ET107" s="56" t="s">
        <v>682</v>
      </c>
      <c r="EU107" s="56" t="s">
        <v>683</v>
      </c>
      <c r="EV107" s="56" t="s">
        <v>683</v>
      </c>
      <c r="FD107" s="56" t="s">
        <v>1407</v>
      </c>
      <c r="FK107" s="56">
        <v>0</v>
      </c>
    </row>
    <row r="108" spans="1:167" x14ac:dyDescent="0.2">
      <c r="A108" s="56">
        <v>29069</v>
      </c>
      <c r="B108" s="56">
        <v>2</v>
      </c>
      <c r="C108" s="56">
        <v>6352</v>
      </c>
      <c r="D108" s="56" t="s">
        <v>634</v>
      </c>
      <c r="E108" s="56" t="s">
        <v>635</v>
      </c>
      <c r="K108" s="56" t="s">
        <v>1408</v>
      </c>
      <c r="L108" s="56" t="s">
        <v>637</v>
      </c>
      <c r="M108" s="56">
        <v>44936</v>
      </c>
      <c r="N108" s="56">
        <v>44938</v>
      </c>
      <c r="O108" s="56">
        <v>38</v>
      </c>
      <c r="P108" s="56" t="s">
        <v>638</v>
      </c>
      <c r="Q108" s="56">
        <v>2</v>
      </c>
      <c r="R108" s="56" t="s">
        <v>639</v>
      </c>
      <c r="S108" s="56" t="s">
        <v>893</v>
      </c>
      <c r="T108" s="56" t="s">
        <v>641</v>
      </c>
      <c r="U108" s="56" t="s">
        <v>735</v>
      </c>
      <c r="V108" s="56" t="s">
        <v>643</v>
      </c>
      <c r="W108" s="56">
        <v>48</v>
      </c>
      <c r="X108" s="56" t="s">
        <v>699</v>
      </c>
      <c r="Y108" s="56">
        <v>162</v>
      </c>
      <c r="Z108" s="56" t="s">
        <v>1030</v>
      </c>
      <c r="AA108" s="56" t="s">
        <v>1031</v>
      </c>
      <c r="AB108" s="56" t="s">
        <v>1032</v>
      </c>
      <c r="AC108" s="56" t="s">
        <v>641</v>
      </c>
      <c r="AD108" s="56" t="s">
        <v>893</v>
      </c>
      <c r="AE108" s="56">
        <v>91</v>
      </c>
      <c r="AF108" s="56" t="s">
        <v>736</v>
      </c>
      <c r="AG108" s="56" t="s">
        <v>737</v>
      </c>
      <c r="AH108" s="56" t="s">
        <v>643</v>
      </c>
      <c r="AI108" s="56" t="s">
        <v>735</v>
      </c>
      <c r="AJ108" s="56">
        <v>162</v>
      </c>
      <c r="AK108" s="56" t="s">
        <v>1030</v>
      </c>
      <c r="AL108" s="56">
        <v>98</v>
      </c>
      <c r="AM108" s="56" t="s">
        <v>645</v>
      </c>
      <c r="AN108" s="56" t="s">
        <v>646</v>
      </c>
      <c r="AO108" s="56" t="s">
        <v>647</v>
      </c>
      <c r="AP108" s="56" t="s">
        <v>643</v>
      </c>
      <c r="AQ108" s="56" t="s">
        <v>648</v>
      </c>
      <c r="AR108" s="56">
        <v>162</v>
      </c>
      <c r="AS108" s="56" t="s">
        <v>1030</v>
      </c>
      <c r="AT108" s="56" t="s">
        <v>1031</v>
      </c>
      <c r="AU108" s="56" t="s">
        <v>641</v>
      </c>
      <c r="AV108" s="56" t="s">
        <v>893</v>
      </c>
      <c r="AW108" s="56">
        <v>50</v>
      </c>
      <c r="AX108" s="56" t="s">
        <v>881</v>
      </c>
      <c r="AY108" s="56">
        <v>77</v>
      </c>
      <c r="AZ108" s="56" t="s">
        <v>131</v>
      </c>
      <c r="BA108" s="56" t="s">
        <v>882</v>
      </c>
      <c r="BB108" s="56" t="s">
        <v>770</v>
      </c>
      <c r="BC108" s="56">
        <v>38</v>
      </c>
      <c r="BD108" s="56" t="s">
        <v>289</v>
      </c>
      <c r="BE108" s="56" t="s">
        <v>771</v>
      </c>
      <c r="BF108" s="56">
        <v>2</v>
      </c>
      <c r="BG108" s="56" t="s">
        <v>289</v>
      </c>
      <c r="BH108" s="56" t="s">
        <v>772</v>
      </c>
      <c r="BI108" s="56">
        <v>46.88</v>
      </c>
      <c r="BJ108" s="56">
        <v>187623.14</v>
      </c>
      <c r="BK108" s="56">
        <v>46.88</v>
      </c>
      <c r="BL108" s="56" t="s">
        <v>1039</v>
      </c>
      <c r="BM108" s="56">
        <v>3105</v>
      </c>
      <c r="BN108" s="56" t="s">
        <v>786</v>
      </c>
      <c r="BO108" s="56" t="s">
        <v>883</v>
      </c>
      <c r="BP108" s="56">
        <v>6000.64</v>
      </c>
      <c r="BQ108" s="56">
        <v>5207.66</v>
      </c>
      <c r="BR108" s="56">
        <v>0</v>
      </c>
      <c r="BS108" s="56">
        <v>0</v>
      </c>
      <c r="BT108" s="56">
        <v>0</v>
      </c>
      <c r="BU108" s="56">
        <v>37349</v>
      </c>
      <c r="BV108" s="56">
        <v>162</v>
      </c>
      <c r="BW108" s="56" t="s">
        <v>1030</v>
      </c>
      <c r="BX108" s="56" t="s">
        <v>1409</v>
      </c>
      <c r="BY108" s="56" t="s">
        <v>663</v>
      </c>
      <c r="BZ108" s="56">
        <v>0.25</v>
      </c>
      <c r="CA108" s="56" t="s">
        <v>664</v>
      </c>
      <c r="CB108" s="56" t="s">
        <v>1041</v>
      </c>
      <c r="CD108" s="56" t="s">
        <v>667</v>
      </c>
      <c r="CG108" s="56">
        <v>0</v>
      </c>
      <c r="CH108" s="56">
        <v>128</v>
      </c>
      <c r="CJ108" s="56">
        <v>100</v>
      </c>
      <c r="CK108" s="56">
        <v>5207.66</v>
      </c>
      <c r="CL108" s="56">
        <v>0</v>
      </c>
      <c r="CN108" s="56">
        <v>720.08</v>
      </c>
      <c r="CO108" s="56">
        <v>720.08</v>
      </c>
      <c r="CP108" s="56">
        <v>72.900000000000006</v>
      </c>
      <c r="CQ108" s="56" t="s">
        <v>668</v>
      </c>
      <c r="CR108" s="56">
        <v>0</v>
      </c>
      <c r="CS108" s="56">
        <v>0</v>
      </c>
      <c r="CV108" s="56">
        <v>0</v>
      </c>
      <c r="CX108" s="56">
        <v>0</v>
      </c>
      <c r="CY108" s="56">
        <v>0</v>
      </c>
      <c r="CZ108" s="56">
        <v>481.71</v>
      </c>
      <c r="DA108" s="56">
        <v>481.71</v>
      </c>
      <c r="DB108" s="56">
        <v>0</v>
      </c>
      <c r="DC108" s="56">
        <v>4725.95</v>
      </c>
      <c r="DD108" s="56">
        <v>32.24</v>
      </c>
      <c r="DE108" s="56">
        <v>0</v>
      </c>
      <c r="DF108" s="56">
        <v>32.24</v>
      </c>
      <c r="DH108" s="56" t="s">
        <v>670</v>
      </c>
      <c r="DI108" s="56" t="s">
        <v>671</v>
      </c>
      <c r="DK108" s="56">
        <v>79.44</v>
      </c>
      <c r="DL108" s="56">
        <v>4766.6099999999997</v>
      </c>
      <c r="DM108" s="56">
        <v>9</v>
      </c>
      <c r="DN108" s="56">
        <v>4500914985</v>
      </c>
      <c r="DO108" s="56" t="s">
        <v>236</v>
      </c>
      <c r="DQ108" s="56" t="s">
        <v>674</v>
      </c>
      <c r="DR108" s="56">
        <v>3</v>
      </c>
      <c r="DW108" s="56">
        <v>280</v>
      </c>
      <c r="DX108" s="56" t="s">
        <v>678</v>
      </c>
      <c r="DY108" s="56" t="s">
        <v>679</v>
      </c>
      <c r="EL108" s="56">
        <v>25</v>
      </c>
      <c r="EM108" s="56">
        <v>15</v>
      </c>
      <c r="EN108" s="56">
        <v>4779</v>
      </c>
      <c r="EO108" s="56">
        <v>1805</v>
      </c>
      <c r="EP108" s="56">
        <v>6810</v>
      </c>
      <c r="EQ108" s="56" t="s">
        <v>1046</v>
      </c>
      <c r="ER108" s="56" t="s">
        <v>902</v>
      </c>
      <c r="ES108" s="56">
        <v>2</v>
      </c>
      <c r="ET108" s="56" t="s">
        <v>682</v>
      </c>
      <c r="EU108" s="56" t="s">
        <v>683</v>
      </c>
      <c r="EV108" s="56" t="s">
        <v>683</v>
      </c>
      <c r="FD108" s="56" t="s">
        <v>1410</v>
      </c>
      <c r="FK108" s="56">
        <v>0</v>
      </c>
    </row>
    <row r="109" spans="1:167" x14ac:dyDescent="0.2">
      <c r="A109" s="56">
        <v>29070</v>
      </c>
      <c r="B109" s="56">
        <v>2</v>
      </c>
      <c r="C109" s="56">
        <v>6352</v>
      </c>
      <c r="D109" s="56" t="s">
        <v>634</v>
      </c>
      <c r="E109" s="56" t="s">
        <v>635</v>
      </c>
      <c r="K109" s="56" t="s">
        <v>1411</v>
      </c>
      <c r="L109" s="56" t="s">
        <v>637</v>
      </c>
      <c r="M109" s="56">
        <v>44936</v>
      </c>
      <c r="N109" s="56">
        <v>44938</v>
      </c>
      <c r="O109" s="56">
        <v>38</v>
      </c>
      <c r="P109" s="56" t="s">
        <v>638</v>
      </c>
      <c r="Q109" s="56">
        <v>2</v>
      </c>
      <c r="R109" s="56" t="s">
        <v>639</v>
      </c>
      <c r="S109" s="56" t="s">
        <v>893</v>
      </c>
      <c r="T109" s="56" t="s">
        <v>641</v>
      </c>
      <c r="U109" s="56" t="s">
        <v>735</v>
      </c>
      <c r="V109" s="56" t="s">
        <v>643</v>
      </c>
      <c r="W109" s="56">
        <v>48</v>
      </c>
      <c r="X109" s="56" t="s">
        <v>699</v>
      </c>
      <c r="Y109" s="56">
        <v>162</v>
      </c>
      <c r="Z109" s="56" t="s">
        <v>1030</v>
      </c>
      <c r="AA109" s="56" t="s">
        <v>1031</v>
      </c>
      <c r="AB109" s="56" t="s">
        <v>1032</v>
      </c>
      <c r="AC109" s="56" t="s">
        <v>641</v>
      </c>
      <c r="AD109" s="56" t="s">
        <v>893</v>
      </c>
      <c r="AE109" s="56">
        <v>91</v>
      </c>
      <c r="AF109" s="56" t="s">
        <v>736</v>
      </c>
      <c r="AG109" s="56" t="s">
        <v>737</v>
      </c>
      <c r="AH109" s="56" t="s">
        <v>643</v>
      </c>
      <c r="AI109" s="56" t="s">
        <v>735</v>
      </c>
      <c r="AJ109" s="56">
        <v>162</v>
      </c>
      <c r="AK109" s="56" t="s">
        <v>1030</v>
      </c>
      <c r="AL109" s="56">
        <v>98</v>
      </c>
      <c r="AM109" s="56" t="s">
        <v>645</v>
      </c>
      <c r="AN109" s="56" t="s">
        <v>646</v>
      </c>
      <c r="AO109" s="56" t="s">
        <v>647</v>
      </c>
      <c r="AP109" s="56" t="s">
        <v>643</v>
      </c>
      <c r="AQ109" s="56" t="s">
        <v>648</v>
      </c>
      <c r="AR109" s="56">
        <v>162</v>
      </c>
      <c r="AS109" s="56" t="s">
        <v>1030</v>
      </c>
      <c r="AT109" s="56" t="s">
        <v>1031</v>
      </c>
      <c r="AU109" s="56" t="s">
        <v>641</v>
      </c>
      <c r="AV109" s="56" t="s">
        <v>893</v>
      </c>
      <c r="AW109" s="56">
        <v>121</v>
      </c>
      <c r="AX109" s="56" t="s">
        <v>859</v>
      </c>
      <c r="AY109" s="56">
        <v>51</v>
      </c>
      <c r="AZ109" s="56" t="s">
        <v>29</v>
      </c>
      <c r="BA109" s="56" t="s">
        <v>860</v>
      </c>
      <c r="BB109" s="56" t="s">
        <v>770</v>
      </c>
      <c r="BC109" s="56">
        <v>38</v>
      </c>
      <c r="BD109" s="56" t="s">
        <v>289</v>
      </c>
      <c r="BE109" s="56" t="s">
        <v>771</v>
      </c>
      <c r="BF109" s="56">
        <v>2</v>
      </c>
      <c r="BG109" s="56" t="s">
        <v>289</v>
      </c>
      <c r="BH109" s="56" t="s">
        <v>772</v>
      </c>
      <c r="BI109" s="56">
        <v>45.87</v>
      </c>
      <c r="BJ109" s="56">
        <v>183580.91</v>
      </c>
      <c r="BK109" s="56">
        <v>45.87</v>
      </c>
      <c r="BL109" s="56" t="s">
        <v>1039</v>
      </c>
      <c r="BM109" s="56">
        <v>3105</v>
      </c>
      <c r="BN109" s="56" t="s">
        <v>724</v>
      </c>
      <c r="BO109" s="56" t="s">
        <v>725</v>
      </c>
      <c r="BP109" s="56">
        <v>5871.36</v>
      </c>
      <c r="BQ109" s="56">
        <v>5093.8999999999996</v>
      </c>
      <c r="BR109" s="56">
        <v>0</v>
      </c>
      <c r="BS109" s="56">
        <v>0</v>
      </c>
      <c r="BT109" s="56">
        <v>0</v>
      </c>
      <c r="BU109" s="56">
        <v>37352</v>
      </c>
      <c r="BV109" s="56">
        <v>162</v>
      </c>
      <c r="BW109" s="56" t="s">
        <v>1030</v>
      </c>
      <c r="BX109" s="56" t="s">
        <v>1412</v>
      </c>
      <c r="BY109" s="56" t="s">
        <v>663</v>
      </c>
      <c r="BZ109" s="56">
        <v>0.25</v>
      </c>
      <c r="CA109" s="56" t="s">
        <v>664</v>
      </c>
      <c r="CB109" s="56" t="s">
        <v>1041</v>
      </c>
      <c r="CD109" s="56" t="s">
        <v>667</v>
      </c>
      <c r="CG109" s="56">
        <v>0</v>
      </c>
      <c r="CH109" s="56">
        <v>128</v>
      </c>
      <c r="CJ109" s="56">
        <v>100</v>
      </c>
      <c r="CK109" s="56">
        <v>5093.8999999999996</v>
      </c>
      <c r="CL109" s="56">
        <v>0</v>
      </c>
      <c r="CN109" s="56">
        <v>704.56</v>
      </c>
      <c r="CO109" s="56">
        <v>704.56</v>
      </c>
      <c r="CP109" s="56">
        <v>72.900000000000006</v>
      </c>
      <c r="CQ109" s="56" t="s">
        <v>668</v>
      </c>
      <c r="CR109" s="56">
        <v>0</v>
      </c>
      <c r="CS109" s="56">
        <v>0</v>
      </c>
      <c r="CV109" s="56">
        <v>0</v>
      </c>
      <c r="CX109" s="56">
        <v>0</v>
      </c>
      <c r="CY109" s="56">
        <v>0</v>
      </c>
      <c r="CZ109" s="56">
        <v>471.19</v>
      </c>
      <c r="DA109" s="56">
        <v>471.19</v>
      </c>
      <c r="DB109" s="56">
        <v>0</v>
      </c>
      <c r="DC109" s="56">
        <v>4622.71</v>
      </c>
      <c r="DD109" s="56">
        <v>31.54</v>
      </c>
      <c r="DE109" s="56">
        <v>0</v>
      </c>
      <c r="DF109" s="56">
        <v>31.54</v>
      </c>
      <c r="DH109" s="56" t="s">
        <v>670</v>
      </c>
      <c r="DI109" s="56" t="s">
        <v>671</v>
      </c>
      <c r="DK109" s="56">
        <v>79.44</v>
      </c>
      <c r="DL109" s="56">
        <v>4664.07</v>
      </c>
      <c r="DM109" s="56">
        <v>9</v>
      </c>
      <c r="DN109" s="56">
        <v>4500914985</v>
      </c>
      <c r="DO109" s="56" t="s">
        <v>236</v>
      </c>
      <c r="DQ109" s="56" t="s">
        <v>674</v>
      </c>
      <c r="DR109" s="56">
        <v>3</v>
      </c>
      <c r="DW109" s="56">
        <v>280</v>
      </c>
      <c r="DX109" s="56" t="s">
        <v>678</v>
      </c>
      <c r="DY109" s="56" t="s">
        <v>679</v>
      </c>
      <c r="EL109" s="56">
        <v>25</v>
      </c>
      <c r="EM109" s="56">
        <v>15</v>
      </c>
      <c r="EN109" s="56">
        <v>4779</v>
      </c>
      <c r="EO109" s="56">
        <v>1805</v>
      </c>
      <c r="EP109" s="56">
        <v>6810</v>
      </c>
      <c r="EQ109" s="56" t="s">
        <v>1046</v>
      </c>
      <c r="ER109" s="56" t="s">
        <v>902</v>
      </c>
      <c r="ES109" s="56">
        <v>2</v>
      </c>
      <c r="ET109" s="56" t="s">
        <v>682</v>
      </c>
      <c r="EU109" s="56" t="s">
        <v>683</v>
      </c>
      <c r="EV109" s="56" t="s">
        <v>683</v>
      </c>
      <c r="FD109" s="56" t="s">
        <v>1413</v>
      </c>
      <c r="FK109" s="56">
        <v>0</v>
      </c>
    </row>
    <row r="110" spans="1:167" x14ac:dyDescent="0.2">
      <c r="A110" s="56">
        <v>29071</v>
      </c>
      <c r="B110" s="56">
        <v>2</v>
      </c>
      <c r="C110" s="56">
        <v>6352</v>
      </c>
      <c r="D110" s="56" t="s">
        <v>634</v>
      </c>
      <c r="E110" s="56" t="s">
        <v>635</v>
      </c>
      <c r="K110" s="56" t="s">
        <v>1414</v>
      </c>
      <c r="L110" s="56" t="s">
        <v>637</v>
      </c>
      <c r="M110" s="56">
        <v>44936</v>
      </c>
      <c r="N110" s="56">
        <v>44938</v>
      </c>
      <c r="O110" s="56">
        <v>38</v>
      </c>
      <c r="P110" s="56" t="s">
        <v>638</v>
      </c>
      <c r="Q110" s="56">
        <v>2</v>
      </c>
      <c r="R110" s="56" t="s">
        <v>639</v>
      </c>
      <c r="S110" s="56" t="s">
        <v>893</v>
      </c>
      <c r="T110" s="56" t="s">
        <v>641</v>
      </c>
      <c r="U110" s="56" t="s">
        <v>735</v>
      </c>
      <c r="V110" s="56" t="s">
        <v>643</v>
      </c>
      <c r="W110" s="56">
        <v>48</v>
      </c>
      <c r="X110" s="56" t="s">
        <v>699</v>
      </c>
      <c r="Y110" s="56">
        <v>162</v>
      </c>
      <c r="Z110" s="56" t="s">
        <v>1030</v>
      </c>
      <c r="AA110" s="56" t="s">
        <v>1031</v>
      </c>
      <c r="AB110" s="56" t="s">
        <v>1032</v>
      </c>
      <c r="AC110" s="56" t="s">
        <v>641</v>
      </c>
      <c r="AD110" s="56" t="s">
        <v>893</v>
      </c>
      <c r="AE110" s="56">
        <v>91</v>
      </c>
      <c r="AF110" s="56" t="s">
        <v>736</v>
      </c>
      <c r="AG110" s="56" t="s">
        <v>737</v>
      </c>
      <c r="AH110" s="56" t="s">
        <v>643</v>
      </c>
      <c r="AI110" s="56" t="s">
        <v>735</v>
      </c>
      <c r="AJ110" s="56">
        <v>162</v>
      </c>
      <c r="AK110" s="56" t="s">
        <v>1030</v>
      </c>
      <c r="AL110" s="56">
        <v>98</v>
      </c>
      <c r="AM110" s="56" t="s">
        <v>645</v>
      </c>
      <c r="AN110" s="56" t="s">
        <v>646</v>
      </c>
      <c r="AO110" s="56" t="s">
        <v>647</v>
      </c>
      <c r="AP110" s="56" t="s">
        <v>643</v>
      </c>
      <c r="AQ110" s="56" t="s">
        <v>648</v>
      </c>
      <c r="AR110" s="56">
        <v>162</v>
      </c>
      <c r="AS110" s="56" t="s">
        <v>1030</v>
      </c>
      <c r="AT110" s="56" t="s">
        <v>1031</v>
      </c>
      <c r="AU110" s="56" t="s">
        <v>641</v>
      </c>
      <c r="AV110" s="56" t="s">
        <v>893</v>
      </c>
      <c r="AW110" s="56">
        <v>108</v>
      </c>
      <c r="AX110" s="56" t="s">
        <v>977</v>
      </c>
      <c r="AY110" s="56">
        <v>47</v>
      </c>
      <c r="AZ110" s="56" t="s">
        <v>32</v>
      </c>
      <c r="BA110" s="56" t="s">
        <v>978</v>
      </c>
      <c r="BB110" s="56" t="s">
        <v>770</v>
      </c>
      <c r="BC110" s="56">
        <v>38</v>
      </c>
      <c r="BD110" s="56" t="s">
        <v>289</v>
      </c>
      <c r="BE110" s="56" t="s">
        <v>771</v>
      </c>
      <c r="BF110" s="56">
        <v>2</v>
      </c>
      <c r="BG110" s="56" t="s">
        <v>289</v>
      </c>
      <c r="BH110" s="56" t="s">
        <v>772</v>
      </c>
      <c r="BI110" s="56">
        <v>46.57</v>
      </c>
      <c r="BJ110" s="56">
        <v>186382.45</v>
      </c>
      <c r="BK110" s="56">
        <v>46.57</v>
      </c>
      <c r="BL110" s="56" t="s">
        <v>1039</v>
      </c>
      <c r="BM110" s="56">
        <v>3105</v>
      </c>
      <c r="BN110" s="56" t="s">
        <v>724</v>
      </c>
      <c r="BO110" s="56" t="s">
        <v>725</v>
      </c>
      <c r="BP110" s="56">
        <v>5960.96</v>
      </c>
      <c r="BQ110" s="56">
        <v>5172.74</v>
      </c>
      <c r="BR110" s="56">
        <v>0</v>
      </c>
      <c r="BS110" s="56">
        <v>0</v>
      </c>
      <c r="BT110" s="56">
        <v>0</v>
      </c>
      <c r="BU110" s="56">
        <v>37354</v>
      </c>
      <c r="BV110" s="56">
        <v>162</v>
      </c>
      <c r="BW110" s="56" t="s">
        <v>1030</v>
      </c>
      <c r="BX110" s="56" t="s">
        <v>1415</v>
      </c>
      <c r="BY110" s="56" t="s">
        <v>663</v>
      </c>
      <c r="BZ110" s="56">
        <v>0.25</v>
      </c>
      <c r="CA110" s="56" t="s">
        <v>664</v>
      </c>
      <c r="CB110" s="56" t="s">
        <v>1041</v>
      </c>
      <c r="CD110" s="56" t="s">
        <v>667</v>
      </c>
      <c r="CG110" s="56">
        <v>0</v>
      </c>
      <c r="CH110" s="56">
        <v>128</v>
      </c>
      <c r="CJ110" s="56">
        <v>100</v>
      </c>
      <c r="CK110" s="56">
        <v>5172.74</v>
      </c>
      <c r="CL110" s="56">
        <v>0</v>
      </c>
      <c r="CN110" s="56">
        <v>715.32</v>
      </c>
      <c r="CO110" s="56">
        <v>715.32</v>
      </c>
      <c r="CP110" s="56">
        <v>72.900000000000006</v>
      </c>
      <c r="CQ110" s="56" t="s">
        <v>668</v>
      </c>
      <c r="CR110" s="56">
        <v>0</v>
      </c>
      <c r="CS110" s="56">
        <v>0</v>
      </c>
      <c r="CV110" s="56">
        <v>0</v>
      </c>
      <c r="CX110" s="56">
        <v>0</v>
      </c>
      <c r="CY110" s="56">
        <v>0</v>
      </c>
      <c r="CZ110" s="56">
        <v>478.48</v>
      </c>
      <c r="DA110" s="56">
        <v>478.48</v>
      </c>
      <c r="DB110" s="56">
        <v>0</v>
      </c>
      <c r="DC110" s="56">
        <v>4694.26</v>
      </c>
      <c r="DD110" s="56">
        <v>32.020000000000003</v>
      </c>
      <c r="DE110" s="56">
        <v>0</v>
      </c>
      <c r="DF110" s="56">
        <v>32.020000000000003</v>
      </c>
      <c r="DH110" s="56" t="s">
        <v>670</v>
      </c>
      <c r="DI110" s="56" t="s">
        <v>671</v>
      </c>
      <c r="DK110" s="56">
        <v>79.44</v>
      </c>
      <c r="DL110" s="56">
        <v>4735.1400000000003</v>
      </c>
      <c r="DM110" s="56">
        <v>9</v>
      </c>
      <c r="DN110" s="56">
        <v>4500914985</v>
      </c>
      <c r="DO110" s="56" t="s">
        <v>236</v>
      </c>
      <c r="DQ110" s="56" t="s">
        <v>674</v>
      </c>
      <c r="DR110" s="56">
        <v>3</v>
      </c>
      <c r="DW110" s="56">
        <v>280</v>
      </c>
      <c r="DX110" s="56" t="s">
        <v>678</v>
      </c>
      <c r="DY110" s="56" t="s">
        <v>679</v>
      </c>
      <c r="EL110" s="56">
        <v>25</v>
      </c>
      <c r="EM110" s="56">
        <v>15</v>
      </c>
      <c r="EN110" s="56">
        <v>4779</v>
      </c>
      <c r="EO110" s="56">
        <v>1805</v>
      </c>
      <c r="EP110" s="56">
        <v>6810</v>
      </c>
      <c r="EQ110" s="56" t="s">
        <v>1046</v>
      </c>
      <c r="ER110" s="56" t="s">
        <v>902</v>
      </c>
      <c r="ES110" s="56">
        <v>2</v>
      </c>
      <c r="ET110" s="56" t="s">
        <v>682</v>
      </c>
      <c r="EU110" s="56" t="s">
        <v>683</v>
      </c>
      <c r="EV110" s="56" t="s">
        <v>683</v>
      </c>
      <c r="FD110" s="56" t="s">
        <v>1416</v>
      </c>
      <c r="FK110" s="56">
        <v>0</v>
      </c>
    </row>
    <row r="111" spans="1:167" x14ac:dyDescent="0.2">
      <c r="A111" s="56">
        <v>29072</v>
      </c>
      <c r="B111" s="56">
        <v>2</v>
      </c>
      <c r="C111" s="56">
        <v>6352</v>
      </c>
      <c r="D111" s="56" t="s">
        <v>634</v>
      </c>
      <c r="E111" s="56" t="s">
        <v>635</v>
      </c>
      <c r="K111" s="56" t="s">
        <v>1417</v>
      </c>
      <c r="L111" s="56" t="s">
        <v>637</v>
      </c>
      <c r="M111" s="56">
        <v>44936</v>
      </c>
      <c r="N111" s="56">
        <v>44938</v>
      </c>
      <c r="O111" s="56">
        <v>38</v>
      </c>
      <c r="P111" s="56" t="s">
        <v>638</v>
      </c>
      <c r="Q111" s="56">
        <v>2</v>
      </c>
      <c r="R111" s="56" t="s">
        <v>639</v>
      </c>
      <c r="S111" s="56" t="s">
        <v>893</v>
      </c>
      <c r="T111" s="56" t="s">
        <v>641</v>
      </c>
      <c r="U111" s="56" t="s">
        <v>735</v>
      </c>
      <c r="V111" s="56" t="s">
        <v>643</v>
      </c>
      <c r="W111" s="56">
        <v>48</v>
      </c>
      <c r="X111" s="56" t="s">
        <v>699</v>
      </c>
      <c r="Y111" s="56">
        <v>90</v>
      </c>
      <c r="Z111" s="56" t="s">
        <v>894</v>
      </c>
      <c r="AA111" s="56" t="s">
        <v>895</v>
      </c>
      <c r="AB111" s="56" t="s">
        <v>896</v>
      </c>
      <c r="AC111" s="56" t="s">
        <v>641</v>
      </c>
      <c r="AD111" s="56" t="s">
        <v>893</v>
      </c>
      <c r="AE111" s="56">
        <v>91</v>
      </c>
      <c r="AF111" s="56" t="s">
        <v>736</v>
      </c>
      <c r="AG111" s="56" t="s">
        <v>737</v>
      </c>
      <c r="AH111" s="56" t="s">
        <v>643</v>
      </c>
      <c r="AI111" s="56" t="s">
        <v>735</v>
      </c>
      <c r="AJ111" s="56">
        <v>90</v>
      </c>
      <c r="AK111" s="56" t="s">
        <v>894</v>
      </c>
      <c r="AL111" s="56">
        <v>91</v>
      </c>
      <c r="AM111" s="56" t="s">
        <v>736</v>
      </c>
      <c r="AN111" s="56" t="s">
        <v>737</v>
      </c>
      <c r="AO111" s="56" t="s">
        <v>738</v>
      </c>
      <c r="AP111" s="56" t="s">
        <v>643</v>
      </c>
      <c r="AQ111" s="56" t="s">
        <v>735</v>
      </c>
      <c r="AR111" s="56">
        <v>98</v>
      </c>
      <c r="AS111" s="56" t="s">
        <v>645</v>
      </c>
      <c r="AT111" s="56" t="s">
        <v>646</v>
      </c>
      <c r="AU111" s="56" t="s">
        <v>643</v>
      </c>
      <c r="AV111" s="56" t="s">
        <v>648</v>
      </c>
      <c r="AW111" s="56">
        <v>172</v>
      </c>
      <c r="AX111" s="56" t="s">
        <v>739</v>
      </c>
      <c r="AY111" s="56">
        <v>153</v>
      </c>
      <c r="AZ111" s="56" t="s">
        <v>740</v>
      </c>
      <c r="BA111" s="56" t="s">
        <v>741</v>
      </c>
      <c r="BB111" s="56" t="s">
        <v>742</v>
      </c>
      <c r="BC111" s="56">
        <v>171</v>
      </c>
      <c r="BD111" s="56" t="s">
        <v>739</v>
      </c>
      <c r="BE111" s="56" t="s">
        <v>743</v>
      </c>
      <c r="BF111" s="56">
        <v>171</v>
      </c>
      <c r="BG111" s="56" t="s">
        <v>739</v>
      </c>
      <c r="BH111" s="56" t="s">
        <v>743</v>
      </c>
      <c r="BI111" s="56">
        <v>35.020000000000003</v>
      </c>
      <c r="BJ111" s="56">
        <v>90242.34</v>
      </c>
      <c r="BK111" s="56">
        <v>35020</v>
      </c>
      <c r="BL111" s="56" t="s">
        <v>897</v>
      </c>
      <c r="BM111" s="56">
        <v>3102</v>
      </c>
      <c r="BN111" s="56" t="s">
        <v>744</v>
      </c>
      <c r="BO111" s="56" t="s">
        <v>745</v>
      </c>
      <c r="BP111" s="56">
        <v>5077.8999999999996</v>
      </c>
      <c r="BQ111" s="56">
        <v>4419.95</v>
      </c>
      <c r="BR111" s="56">
        <v>0</v>
      </c>
      <c r="BS111" s="56">
        <v>0</v>
      </c>
      <c r="BT111" s="56">
        <v>3593.48</v>
      </c>
      <c r="BU111" s="56">
        <v>719148</v>
      </c>
      <c r="BV111" s="56">
        <v>98</v>
      </c>
      <c r="BW111" s="56" t="s">
        <v>645</v>
      </c>
      <c r="BX111" s="56" t="s">
        <v>1418</v>
      </c>
      <c r="BY111" s="56" t="s">
        <v>663</v>
      </c>
      <c r="BZ111" s="56">
        <v>0.25</v>
      </c>
      <c r="CA111" s="56" t="s">
        <v>664</v>
      </c>
      <c r="CB111" s="56" t="s">
        <v>899</v>
      </c>
      <c r="CC111" s="56" t="s">
        <v>1419</v>
      </c>
      <c r="CD111" s="56" t="s">
        <v>667</v>
      </c>
      <c r="CF111" s="56">
        <v>2874.78</v>
      </c>
      <c r="CG111" s="56">
        <v>80</v>
      </c>
      <c r="CH111" s="56">
        <v>145</v>
      </c>
      <c r="CI111" s="56">
        <v>104</v>
      </c>
      <c r="CJ111" s="56">
        <v>18.7</v>
      </c>
      <c r="CK111" s="56">
        <v>4419.95</v>
      </c>
      <c r="CL111" s="56">
        <v>3593.48</v>
      </c>
      <c r="CM111" s="56">
        <v>31.9</v>
      </c>
      <c r="CN111" s="56">
        <v>609.35</v>
      </c>
      <c r="CO111" s="56">
        <v>609.35</v>
      </c>
      <c r="CP111" s="56">
        <v>48.6</v>
      </c>
      <c r="CQ111" s="56" t="s">
        <v>668</v>
      </c>
      <c r="CR111" s="56">
        <v>0</v>
      </c>
      <c r="CS111" s="56">
        <v>48.6</v>
      </c>
      <c r="CT111" s="56" t="s">
        <v>669</v>
      </c>
      <c r="CU111" s="56">
        <v>0</v>
      </c>
      <c r="CV111" s="56">
        <v>0</v>
      </c>
      <c r="CX111" s="56">
        <v>809.37</v>
      </c>
      <c r="CY111" s="56">
        <v>0</v>
      </c>
      <c r="CZ111" s="56">
        <v>155.06</v>
      </c>
      <c r="DA111" s="56">
        <v>408.85</v>
      </c>
      <c r="DB111" s="56">
        <v>253.79</v>
      </c>
      <c r="DC111" s="56">
        <v>4264.8900000000003</v>
      </c>
      <c r="DD111" s="56">
        <v>131.22</v>
      </c>
      <c r="DE111" s="56">
        <v>0</v>
      </c>
      <c r="DF111" s="56">
        <v>15.5</v>
      </c>
      <c r="DG111" s="56">
        <v>45.12</v>
      </c>
      <c r="DH111" s="56" t="s">
        <v>670</v>
      </c>
      <c r="DI111" s="56" t="s">
        <v>671</v>
      </c>
      <c r="DK111" s="56">
        <v>10.64</v>
      </c>
      <c r="DL111" s="56">
        <v>540.19000000000005</v>
      </c>
      <c r="DM111" s="56">
        <v>67</v>
      </c>
      <c r="DN111" s="56" t="s">
        <v>900</v>
      </c>
      <c r="DO111" s="56" t="s">
        <v>236</v>
      </c>
      <c r="DP111" s="56" t="s">
        <v>673</v>
      </c>
      <c r="DQ111" s="56" t="s">
        <v>674</v>
      </c>
      <c r="DR111" s="56">
        <v>1</v>
      </c>
      <c r="DS111" s="56" t="s">
        <v>1420</v>
      </c>
      <c r="DT111" s="56" t="s">
        <v>1421</v>
      </c>
      <c r="DU111" s="56">
        <v>36</v>
      </c>
      <c r="DV111" s="56" t="s">
        <v>677</v>
      </c>
      <c r="DW111" s="56">
        <v>280</v>
      </c>
      <c r="DX111" s="56" t="s">
        <v>678</v>
      </c>
      <c r="DY111" s="56" t="s">
        <v>679</v>
      </c>
      <c r="ED111" s="56">
        <v>2</v>
      </c>
      <c r="EE111" s="56" t="s">
        <v>639</v>
      </c>
      <c r="EF111" s="56">
        <v>2</v>
      </c>
      <c r="EG111" s="56" t="s">
        <v>639</v>
      </c>
      <c r="EH111" s="56">
        <v>2</v>
      </c>
      <c r="EI111" s="56" t="s">
        <v>639</v>
      </c>
      <c r="EJ111" s="56">
        <v>2</v>
      </c>
      <c r="EK111" s="56" t="s">
        <v>639</v>
      </c>
      <c r="EL111" s="56">
        <v>25</v>
      </c>
      <c r="EM111" s="56">
        <v>15</v>
      </c>
      <c r="EN111" s="56">
        <v>4779</v>
      </c>
      <c r="EO111" s="56">
        <v>1805</v>
      </c>
      <c r="EP111" s="56">
        <v>6809</v>
      </c>
      <c r="EQ111" s="56" t="s">
        <v>901</v>
      </c>
      <c r="ER111" s="56" t="s">
        <v>902</v>
      </c>
      <c r="ES111" s="56">
        <v>2</v>
      </c>
      <c r="ET111" s="56" t="s">
        <v>682</v>
      </c>
      <c r="EU111" s="56" t="s">
        <v>683</v>
      </c>
      <c r="EV111" s="56" t="s">
        <v>683</v>
      </c>
      <c r="FD111" s="56" t="s">
        <v>1422</v>
      </c>
      <c r="FK111" s="56">
        <v>0</v>
      </c>
    </row>
    <row r="112" spans="1:167" x14ac:dyDescent="0.2">
      <c r="A112" s="56">
        <v>29073</v>
      </c>
      <c r="B112" s="56">
        <v>2</v>
      </c>
      <c r="C112" s="56">
        <v>6352</v>
      </c>
      <c r="D112" s="56" t="s">
        <v>634</v>
      </c>
      <c r="E112" s="56" t="s">
        <v>635</v>
      </c>
      <c r="K112" s="56" t="s">
        <v>1423</v>
      </c>
      <c r="L112" s="56" t="s">
        <v>637</v>
      </c>
      <c r="M112" s="56">
        <v>44936</v>
      </c>
      <c r="N112" s="56">
        <v>44938</v>
      </c>
      <c r="O112" s="56">
        <v>38</v>
      </c>
      <c r="P112" s="56" t="s">
        <v>638</v>
      </c>
      <c r="Q112" s="56">
        <v>2</v>
      </c>
      <c r="R112" s="56" t="s">
        <v>639</v>
      </c>
      <c r="S112" s="56" t="s">
        <v>893</v>
      </c>
      <c r="T112" s="56" t="s">
        <v>641</v>
      </c>
      <c r="U112" s="56" t="s">
        <v>735</v>
      </c>
      <c r="V112" s="56" t="s">
        <v>643</v>
      </c>
      <c r="W112" s="56">
        <v>48</v>
      </c>
      <c r="X112" s="56" t="s">
        <v>699</v>
      </c>
      <c r="Y112" s="56">
        <v>90</v>
      </c>
      <c r="Z112" s="56" t="s">
        <v>894</v>
      </c>
      <c r="AA112" s="56" t="s">
        <v>895</v>
      </c>
      <c r="AB112" s="56" t="s">
        <v>896</v>
      </c>
      <c r="AC112" s="56" t="s">
        <v>641</v>
      </c>
      <c r="AD112" s="56" t="s">
        <v>893</v>
      </c>
      <c r="AE112" s="56">
        <v>91</v>
      </c>
      <c r="AF112" s="56" t="s">
        <v>736</v>
      </c>
      <c r="AG112" s="56" t="s">
        <v>737</v>
      </c>
      <c r="AH112" s="56" t="s">
        <v>643</v>
      </c>
      <c r="AI112" s="56" t="s">
        <v>735</v>
      </c>
      <c r="AJ112" s="56">
        <v>90</v>
      </c>
      <c r="AK112" s="56" t="s">
        <v>894</v>
      </c>
      <c r="AL112" s="56">
        <v>91</v>
      </c>
      <c r="AM112" s="56" t="s">
        <v>736</v>
      </c>
      <c r="AN112" s="56" t="s">
        <v>737</v>
      </c>
      <c r="AO112" s="56" t="s">
        <v>738</v>
      </c>
      <c r="AP112" s="56" t="s">
        <v>643</v>
      </c>
      <c r="AQ112" s="56" t="s">
        <v>735</v>
      </c>
      <c r="AR112" s="56">
        <v>98</v>
      </c>
      <c r="AS112" s="56" t="s">
        <v>645</v>
      </c>
      <c r="AT112" s="56" t="s">
        <v>646</v>
      </c>
      <c r="AU112" s="56" t="s">
        <v>643</v>
      </c>
      <c r="AV112" s="56" t="s">
        <v>648</v>
      </c>
      <c r="AW112" s="56">
        <v>118</v>
      </c>
      <c r="AX112" s="56" t="s">
        <v>870</v>
      </c>
      <c r="AY112" s="56">
        <v>59</v>
      </c>
      <c r="AZ112" s="56" t="s">
        <v>127</v>
      </c>
      <c r="BA112" s="56" t="s">
        <v>871</v>
      </c>
      <c r="BB112" s="56" t="s">
        <v>844</v>
      </c>
      <c r="BC112" s="56">
        <v>2</v>
      </c>
      <c r="BD112" s="56" t="s">
        <v>289</v>
      </c>
      <c r="BE112" s="56" t="s">
        <v>772</v>
      </c>
      <c r="BF112" s="56">
        <v>2</v>
      </c>
      <c r="BG112" s="56" t="s">
        <v>289</v>
      </c>
      <c r="BH112" s="56" t="s">
        <v>772</v>
      </c>
      <c r="BI112" s="56">
        <v>35.14</v>
      </c>
      <c r="BJ112" s="56">
        <v>90551.56</v>
      </c>
      <c r="BK112" s="56">
        <v>35140</v>
      </c>
      <c r="BL112" s="56" t="s">
        <v>897</v>
      </c>
      <c r="BM112" s="56">
        <v>3102</v>
      </c>
      <c r="BN112" s="56" t="s">
        <v>660</v>
      </c>
      <c r="BO112" s="56" t="s">
        <v>872</v>
      </c>
      <c r="BP112" s="56">
        <v>5095.3</v>
      </c>
      <c r="BQ112" s="56">
        <v>4427.16</v>
      </c>
      <c r="BR112" s="56">
        <v>0</v>
      </c>
      <c r="BS112" s="56">
        <v>0</v>
      </c>
      <c r="BT112" s="56">
        <v>0</v>
      </c>
      <c r="BU112" s="56">
        <v>719161</v>
      </c>
      <c r="BV112" s="56">
        <v>98</v>
      </c>
      <c r="BW112" s="56" t="s">
        <v>645</v>
      </c>
      <c r="BX112" s="56" t="s">
        <v>1424</v>
      </c>
      <c r="BY112" s="56" t="s">
        <v>663</v>
      </c>
      <c r="BZ112" s="56">
        <v>0.25</v>
      </c>
      <c r="CA112" s="56" t="s">
        <v>664</v>
      </c>
      <c r="CB112" s="56" t="s">
        <v>899</v>
      </c>
      <c r="CD112" s="56" t="s">
        <v>667</v>
      </c>
      <c r="CG112" s="56">
        <v>0</v>
      </c>
      <c r="CH112" s="56">
        <v>145</v>
      </c>
      <c r="CJ112" s="56">
        <v>100</v>
      </c>
      <c r="CK112" s="56">
        <v>4427.16</v>
      </c>
      <c r="CL112" s="56">
        <v>0</v>
      </c>
      <c r="CN112" s="56">
        <v>611.44000000000005</v>
      </c>
      <c r="CO112" s="56">
        <v>611.44000000000005</v>
      </c>
      <c r="CP112" s="56">
        <v>56.7</v>
      </c>
      <c r="CQ112" s="56" t="s">
        <v>668</v>
      </c>
      <c r="CR112" s="56">
        <v>0</v>
      </c>
      <c r="CS112" s="56">
        <v>0</v>
      </c>
      <c r="CV112" s="56">
        <v>0</v>
      </c>
      <c r="CX112" s="56">
        <v>0</v>
      </c>
      <c r="CY112" s="56">
        <v>0</v>
      </c>
      <c r="CZ112" s="56">
        <v>409.51</v>
      </c>
      <c r="DA112" s="56">
        <v>409.51</v>
      </c>
      <c r="DB112" s="56">
        <v>0</v>
      </c>
      <c r="DC112" s="56">
        <v>4017.65</v>
      </c>
      <c r="DD112" s="56">
        <v>15.56</v>
      </c>
      <c r="DE112" s="56">
        <v>0</v>
      </c>
      <c r="DF112" s="56">
        <v>15.56</v>
      </c>
      <c r="DH112" s="56" t="s">
        <v>670</v>
      </c>
      <c r="DI112" s="56" t="s">
        <v>671</v>
      </c>
      <c r="DK112" s="56">
        <v>79.66</v>
      </c>
      <c r="DL112" s="56">
        <v>4058.79</v>
      </c>
      <c r="DM112" s="56">
        <v>67</v>
      </c>
      <c r="DN112" s="56" t="s">
        <v>900</v>
      </c>
      <c r="DO112" s="56" t="s">
        <v>236</v>
      </c>
      <c r="DQ112" s="56" t="s">
        <v>674</v>
      </c>
      <c r="DR112" s="56">
        <v>3</v>
      </c>
      <c r="DW112" s="56">
        <v>280</v>
      </c>
      <c r="DX112" s="56" t="s">
        <v>678</v>
      </c>
      <c r="DY112" s="56" t="s">
        <v>679</v>
      </c>
      <c r="EL112" s="56">
        <v>25</v>
      </c>
      <c r="EM112" s="56">
        <v>15</v>
      </c>
      <c r="EN112" s="56">
        <v>4779</v>
      </c>
      <c r="EO112" s="56">
        <v>1805</v>
      </c>
      <c r="EP112" s="56">
        <v>6809</v>
      </c>
      <c r="EQ112" s="56" t="s">
        <v>901</v>
      </c>
      <c r="ER112" s="56" t="s">
        <v>902</v>
      </c>
      <c r="ES112" s="56">
        <v>2</v>
      </c>
      <c r="ET112" s="56" t="s">
        <v>682</v>
      </c>
      <c r="EU112" s="56" t="s">
        <v>683</v>
      </c>
      <c r="EV112" s="56" t="s">
        <v>683</v>
      </c>
      <c r="FD112" s="56" t="s">
        <v>1425</v>
      </c>
      <c r="FK112" s="56">
        <v>0</v>
      </c>
    </row>
    <row r="113" spans="1:167" x14ac:dyDescent="0.2">
      <c r="A113" s="56">
        <v>29074</v>
      </c>
      <c r="B113" s="56">
        <v>2</v>
      </c>
      <c r="C113" s="56">
        <v>6352</v>
      </c>
      <c r="D113" s="56" t="s">
        <v>634</v>
      </c>
      <c r="E113" s="56" t="s">
        <v>635</v>
      </c>
      <c r="K113" s="56" t="s">
        <v>1426</v>
      </c>
      <c r="L113" s="56" t="s">
        <v>637</v>
      </c>
      <c r="M113" s="56">
        <v>44936</v>
      </c>
      <c r="N113" s="56">
        <v>44938</v>
      </c>
      <c r="O113" s="56">
        <v>38</v>
      </c>
      <c r="P113" s="56" t="s">
        <v>638</v>
      </c>
      <c r="Q113" s="56">
        <v>2</v>
      </c>
      <c r="R113" s="56" t="s">
        <v>639</v>
      </c>
      <c r="S113" s="56" t="s">
        <v>893</v>
      </c>
      <c r="T113" s="56" t="s">
        <v>641</v>
      </c>
      <c r="U113" s="56" t="s">
        <v>735</v>
      </c>
      <c r="V113" s="56" t="s">
        <v>643</v>
      </c>
      <c r="W113" s="56">
        <v>48</v>
      </c>
      <c r="X113" s="56" t="s">
        <v>699</v>
      </c>
      <c r="Y113" s="56">
        <v>90</v>
      </c>
      <c r="Z113" s="56" t="s">
        <v>894</v>
      </c>
      <c r="AA113" s="56" t="s">
        <v>895</v>
      </c>
      <c r="AB113" s="56" t="s">
        <v>896</v>
      </c>
      <c r="AC113" s="56" t="s">
        <v>641</v>
      </c>
      <c r="AD113" s="56" t="s">
        <v>893</v>
      </c>
      <c r="AE113" s="56">
        <v>91</v>
      </c>
      <c r="AF113" s="56" t="s">
        <v>736</v>
      </c>
      <c r="AG113" s="56" t="s">
        <v>737</v>
      </c>
      <c r="AH113" s="56" t="s">
        <v>643</v>
      </c>
      <c r="AI113" s="56" t="s">
        <v>735</v>
      </c>
      <c r="AJ113" s="56">
        <v>90</v>
      </c>
      <c r="AK113" s="56" t="s">
        <v>894</v>
      </c>
      <c r="AL113" s="56">
        <v>91</v>
      </c>
      <c r="AM113" s="56" t="s">
        <v>736</v>
      </c>
      <c r="AN113" s="56" t="s">
        <v>737</v>
      </c>
      <c r="AO113" s="56" t="s">
        <v>738</v>
      </c>
      <c r="AP113" s="56" t="s">
        <v>643</v>
      </c>
      <c r="AQ113" s="56" t="s">
        <v>735</v>
      </c>
      <c r="AR113" s="56">
        <v>98</v>
      </c>
      <c r="AS113" s="56" t="s">
        <v>645</v>
      </c>
      <c r="AT113" s="56" t="s">
        <v>646</v>
      </c>
      <c r="AU113" s="56" t="s">
        <v>643</v>
      </c>
      <c r="AV113" s="56" t="s">
        <v>648</v>
      </c>
      <c r="AW113" s="56">
        <v>113</v>
      </c>
      <c r="AX113" s="56" t="s">
        <v>1025</v>
      </c>
      <c r="AY113" s="56">
        <v>43</v>
      </c>
      <c r="AZ113" s="56" t="s">
        <v>126</v>
      </c>
      <c r="BA113" s="56" t="s">
        <v>1284</v>
      </c>
      <c r="BB113" s="56" t="s">
        <v>770</v>
      </c>
      <c r="BC113" s="56">
        <v>38</v>
      </c>
      <c r="BD113" s="56" t="s">
        <v>289</v>
      </c>
      <c r="BE113" s="56" t="s">
        <v>771</v>
      </c>
      <c r="BF113" s="56">
        <v>2</v>
      </c>
      <c r="BG113" s="56" t="s">
        <v>289</v>
      </c>
      <c r="BH113" s="56" t="s">
        <v>772</v>
      </c>
      <c r="BI113" s="56">
        <v>46.24</v>
      </c>
      <c r="BJ113" s="56">
        <v>119154.93</v>
      </c>
      <c r="BK113" s="56">
        <v>46240</v>
      </c>
      <c r="BL113" s="56" t="s">
        <v>897</v>
      </c>
      <c r="BM113" s="56">
        <v>3102</v>
      </c>
      <c r="BN113" s="56" t="s">
        <v>786</v>
      </c>
      <c r="BO113" s="56" t="s">
        <v>911</v>
      </c>
      <c r="BP113" s="56">
        <v>6704.8</v>
      </c>
      <c r="BQ113" s="56">
        <v>5827.32</v>
      </c>
      <c r="BR113" s="56">
        <v>0</v>
      </c>
      <c r="BS113" s="56">
        <v>0</v>
      </c>
      <c r="BT113" s="56">
        <v>0</v>
      </c>
      <c r="BU113" s="56">
        <v>719182</v>
      </c>
      <c r="BV113" s="56">
        <v>98</v>
      </c>
      <c r="BW113" s="56" t="s">
        <v>645</v>
      </c>
      <c r="BX113" s="56" t="s">
        <v>1427</v>
      </c>
      <c r="BY113" s="56" t="s">
        <v>663</v>
      </c>
      <c r="BZ113" s="56">
        <v>0.25</v>
      </c>
      <c r="CA113" s="56" t="s">
        <v>664</v>
      </c>
      <c r="CB113" s="56" t="s">
        <v>899</v>
      </c>
      <c r="CD113" s="56" t="s">
        <v>667</v>
      </c>
      <c r="CG113" s="56">
        <v>0</v>
      </c>
      <c r="CH113" s="56">
        <v>145</v>
      </c>
      <c r="CJ113" s="56">
        <v>100</v>
      </c>
      <c r="CK113" s="56">
        <v>5827.32</v>
      </c>
      <c r="CL113" s="56">
        <v>0</v>
      </c>
      <c r="CN113" s="56">
        <v>804.58</v>
      </c>
      <c r="CO113" s="56">
        <v>804.58</v>
      </c>
      <c r="CP113" s="56">
        <v>72.900000000000006</v>
      </c>
      <c r="CQ113" s="56" t="s">
        <v>668</v>
      </c>
      <c r="CR113" s="56">
        <v>0</v>
      </c>
      <c r="CS113" s="56">
        <v>0</v>
      </c>
      <c r="CV113" s="56">
        <v>0</v>
      </c>
      <c r="CX113" s="56">
        <v>0</v>
      </c>
      <c r="CY113" s="56">
        <v>0</v>
      </c>
      <c r="CZ113" s="56">
        <v>539.03</v>
      </c>
      <c r="DA113" s="56">
        <v>539.03</v>
      </c>
      <c r="DB113" s="56">
        <v>0</v>
      </c>
      <c r="DC113" s="56">
        <v>5288.29</v>
      </c>
      <c r="DD113" s="56">
        <v>20.47</v>
      </c>
      <c r="DE113" s="56">
        <v>0</v>
      </c>
      <c r="DF113" s="56">
        <v>20.47</v>
      </c>
      <c r="DH113" s="56" t="s">
        <v>670</v>
      </c>
      <c r="DI113" s="56" t="s">
        <v>671</v>
      </c>
      <c r="DK113" s="56">
        <v>79.66</v>
      </c>
      <c r="DL113" s="56">
        <v>5340.72</v>
      </c>
      <c r="DM113" s="56">
        <v>67</v>
      </c>
      <c r="DN113" s="56" t="s">
        <v>900</v>
      </c>
      <c r="DO113" s="56" t="s">
        <v>236</v>
      </c>
      <c r="DQ113" s="56" t="s">
        <v>674</v>
      </c>
      <c r="DR113" s="56">
        <v>3</v>
      </c>
      <c r="DW113" s="56">
        <v>280</v>
      </c>
      <c r="DX113" s="56" t="s">
        <v>678</v>
      </c>
      <c r="DY113" s="56" t="s">
        <v>679</v>
      </c>
      <c r="EL113" s="56">
        <v>25</v>
      </c>
      <c r="EM113" s="56">
        <v>15</v>
      </c>
      <c r="EN113" s="56">
        <v>4779</v>
      </c>
      <c r="EO113" s="56">
        <v>1805</v>
      </c>
      <c r="EP113" s="56">
        <v>6809</v>
      </c>
      <c r="EQ113" s="56" t="s">
        <v>901</v>
      </c>
      <c r="ER113" s="56" t="s">
        <v>902</v>
      </c>
      <c r="ES113" s="56">
        <v>2</v>
      </c>
      <c r="ET113" s="56" t="s">
        <v>682</v>
      </c>
      <c r="EU113" s="56" t="s">
        <v>683</v>
      </c>
      <c r="EV113" s="56" t="s">
        <v>683</v>
      </c>
      <c r="FD113" s="56" t="s">
        <v>1428</v>
      </c>
      <c r="FK113" s="56">
        <v>0</v>
      </c>
    </row>
    <row r="114" spans="1:167" x14ac:dyDescent="0.2">
      <c r="A114" s="56">
        <v>29723</v>
      </c>
      <c r="B114" s="56">
        <v>1</v>
      </c>
      <c r="C114" s="56">
        <v>5352</v>
      </c>
      <c r="D114" s="56" t="s">
        <v>634</v>
      </c>
      <c r="E114" s="56" t="s">
        <v>635</v>
      </c>
      <c r="K114" s="56" t="s">
        <v>1429</v>
      </c>
      <c r="L114" s="56" t="s">
        <v>637</v>
      </c>
      <c r="M114" s="56">
        <v>44936</v>
      </c>
      <c r="N114" s="56">
        <v>44938</v>
      </c>
      <c r="O114" s="56">
        <v>2</v>
      </c>
      <c r="P114" s="56" t="s">
        <v>682</v>
      </c>
      <c r="Q114" s="56">
        <v>1</v>
      </c>
      <c r="R114" s="56" t="s">
        <v>809</v>
      </c>
      <c r="S114" s="56" t="s">
        <v>642</v>
      </c>
      <c r="T114" s="56" t="s">
        <v>643</v>
      </c>
      <c r="U114" s="56" t="s">
        <v>648</v>
      </c>
      <c r="V114" s="56" t="s">
        <v>643</v>
      </c>
      <c r="W114" s="56">
        <v>46</v>
      </c>
      <c r="X114" s="56" t="s">
        <v>811</v>
      </c>
      <c r="Y114" s="56">
        <v>141</v>
      </c>
      <c r="Z114" s="56" t="s">
        <v>649</v>
      </c>
      <c r="AA114" s="56" t="s">
        <v>650</v>
      </c>
      <c r="AB114" s="56" t="s">
        <v>652</v>
      </c>
      <c r="AC114" s="56" t="s">
        <v>643</v>
      </c>
      <c r="AD114" s="56" t="s">
        <v>642</v>
      </c>
      <c r="AL114" s="56">
        <v>98</v>
      </c>
      <c r="AM114" s="56" t="s">
        <v>645</v>
      </c>
      <c r="AN114" s="56" t="s">
        <v>646</v>
      </c>
      <c r="AO114" s="56" t="s">
        <v>647</v>
      </c>
      <c r="AP114" s="56" t="s">
        <v>643</v>
      </c>
      <c r="AQ114" s="56" t="s">
        <v>648</v>
      </c>
      <c r="AR114" s="56">
        <v>98</v>
      </c>
      <c r="AS114" s="56" t="s">
        <v>645</v>
      </c>
      <c r="AT114" s="56" t="s">
        <v>646</v>
      </c>
      <c r="AU114" s="56" t="s">
        <v>643</v>
      </c>
      <c r="AV114" s="56" t="s">
        <v>648</v>
      </c>
      <c r="AW114" s="56">
        <v>991</v>
      </c>
      <c r="AX114" s="56" t="s">
        <v>1271</v>
      </c>
      <c r="AY114" s="56">
        <v>265</v>
      </c>
      <c r="AZ114" s="56" t="s">
        <v>1272</v>
      </c>
      <c r="BA114" s="56" t="s">
        <v>1273</v>
      </c>
      <c r="BB114" s="56" t="s">
        <v>1011</v>
      </c>
      <c r="BC114" s="56">
        <v>93</v>
      </c>
      <c r="BD114" s="56" t="s">
        <v>1012</v>
      </c>
      <c r="BE114" s="56" t="s">
        <v>1013</v>
      </c>
      <c r="BF114" s="56">
        <v>93</v>
      </c>
      <c r="BG114" s="56" t="s">
        <v>1012</v>
      </c>
      <c r="BH114" s="56" t="s">
        <v>1013</v>
      </c>
      <c r="BI114" s="56">
        <v>48.74</v>
      </c>
      <c r="BJ114" s="56">
        <v>100078.82</v>
      </c>
      <c r="BK114" s="56">
        <v>48.74</v>
      </c>
      <c r="BL114" s="56" t="s">
        <v>1430</v>
      </c>
      <c r="BM114" s="56">
        <v>3102</v>
      </c>
      <c r="BN114" s="56" t="s">
        <v>1275</v>
      </c>
      <c r="BO114" s="56" t="s">
        <v>1276</v>
      </c>
      <c r="BP114" s="56">
        <v>5361.4</v>
      </c>
      <c r="BQ114" s="56">
        <v>5312.8</v>
      </c>
      <c r="BR114" s="56">
        <v>0</v>
      </c>
      <c r="BS114" s="56">
        <v>0</v>
      </c>
      <c r="BT114" s="56">
        <v>4581.7</v>
      </c>
      <c r="BU114" s="56">
        <v>305602</v>
      </c>
      <c r="BV114" s="56">
        <v>98</v>
      </c>
      <c r="BW114" s="56" t="s">
        <v>645</v>
      </c>
      <c r="BX114" s="56" t="s">
        <v>1431</v>
      </c>
      <c r="BY114" s="56" t="s">
        <v>663</v>
      </c>
      <c r="BZ114" s="56">
        <v>0.25</v>
      </c>
      <c r="CA114" s="56" t="s">
        <v>664</v>
      </c>
      <c r="CB114" s="56" t="s">
        <v>1432</v>
      </c>
      <c r="CC114" s="56" t="s">
        <v>1433</v>
      </c>
      <c r="CD114" s="56" t="s">
        <v>667</v>
      </c>
      <c r="CF114" s="56">
        <v>0</v>
      </c>
      <c r="CG114" s="56">
        <v>0</v>
      </c>
      <c r="CH114" s="56">
        <v>110</v>
      </c>
      <c r="CI114" s="56">
        <v>95</v>
      </c>
      <c r="CJ114" s="56">
        <v>13.76</v>
      </c>
      <c r="CK114" s="56">
        <v>5312.8</v>
      </c>
      <c r="CL114" s="56">
        <v>4581.7</v>
      </c>
      <c r="CM114" s="56">
        <v>8.5500000000000007</v>
      </c>
      <c r="CN114" s="56">
        <v>0</v>
      </c>
      <c r="CO114" s="56">
        <v>0</v>
      </c>
      <c r="CP114" s="56">
        <v>48.6</v>
      </c>
      <c r="CQ114" s="56" t="s">
        <v>668</v>
      </c>
      <c r="CR114" s="56">
        <v>0</v>
      </c>
      <c r="CS114" s="56">
        <v>48.6</v>
      </c>
      <c r="CT114" s="56" t="s">
        <v>669</v>
      </c>
      <c r="CU114" s="56">
        <v>0</v>
      </c>
      <c r="CV114" s="56">
        <v>0</v>
      </c>
      <c r="CX114" s="56">
        <v>731.1</v>
      </c>
      <c r="CY114" s="56">
        <v>0</v>
      </c>
      <c r="CZ114" s="56">
        <v>169.08</v>
      </c>
      <c r="DA114" s="56">
        <v>491.43</v>
      </c>
      <c r="DB114" s="56">
        <v>322.35000000000002</v>
      </c>
      <c r="DC114" s="56">
        <v>5143.72</v>
      </c>
      <c r="DD114" s="56">
        <v>-33.06</v>
      </c>
      <c r="DE114" s="56">
        <v>0</v>
      </c>
      <c r="DF114" s="56">
        <v>16.98</v>
      </c>
      <c r="DG114" s="56">
        <v>50.04</v>
      </c>
      <c r="DH114" s="56" t="s">
        <v>670</v>
      </c>
      <c r="DI114" s="56" t="s">
        <v>671</v>
      </c>
      <c r="DK114" s="56">
        <v>11.1</v>
      </c>
      <c r="DL114" s="56">
        <v>595.08000000000004</v>
      </c>
      <c r="DO114" s="56" t="s">
        <v>236</v>
      </c>
      <c r="DP114" s="56" t="s">
        <v>673</v>
      </c>
      <c r="DQ114" s="56" t="s">
        <v>674</v>
      </c>
      <c r="DR114" s="56">
        <v>2</v>
      </c>
      <c r="DX114" s="56" t="s">
        <v>678</v>
      </c>
      <c r="DY114" s="56" t="s">
        <v>679</v>
      </c>
      <c r="ED114" s="56">
        <v>1</v>
      </c>
      <c r="EE114" s="56" t="s">
        <v>809</v>
      </c>
      <c r="EF114" s="56">
        <v>1</v>
      </c>
      <c r="EG114" s="56" t="s">
        <v>809</v>
      </c>
      <c r="EH114" s="56">
        <v>1</v>
      </c>
      <c r="EI114" s="56" t="s">
        <v>809</v>
      </c>
      <c r="EJ114" s="56">
        <v>1</v>
      </c>
      <c r="EK114" s="56" t="s">
        <v>809</v>
      </c>
      <c r="EL114" s="56">
        <v>15</v>
      </c>
      <c r="EM114" s="56">
        <v>15</v>
      </c>
      <c r="EN114" s="56">
        <v>1622</v>
      </c>
      <c r="EO114" s="56">
        <v>2430</v>
      </c>
      <c r="EP114" s="56">
        <v>6811</v>
      </c>
      <c r="EQ114" s="56" t="s">
        <v>1434</v>
      </c>
      <c r="ER114" s="56" t="s">
        <v>1435</v>
      </c>
      <c r="ES114" s="56">
        <v>2</v>
      </c>
      <c r="ET114" s="56" t="s">
        <v>682</v>
      </c>
      <c r="EU114" s="56" t="s">
        <v>683</v>
      </c>
      <c r="EV114" s="56" t="s">
        <v>683</v>
      </c>
      <c r="FD114" s="56" t="s">
        <v>1436</v>
      </c>
      <c r="FK114" s="56">
        <v>0</v>
      </c>
    </row>
    <row r="115" spans="1:167" x14ac:dyDescent="0.2">
      <c r="A115" s="56">
        <v>29724</v>
      </c>
      <c r="B115" s="56">
        <v>1</v>
      </c>
      <c r="C115" s="56">
        <v>5352</v>
      </c>
      <c r="D115" s="56" t="s">
        <v>634</v>
      </c>
      <c r="E115" s="56" t="s">
        <v>635</v>
      </c>
      <c r="K115" s="56" t="s">
        <v>1437</v>
      </c>
      <c r="L115" s="56" t="s">
        <v>637</v>
      </c>
      <c r="M115" s="56">
        <v>44936</v>
      </c>
      <c r="N115" s="56">
        <v>44938</v>
      </c>
      <c r="O115" s="56">
        <v>2</v>
      </c>
      <c r="P115" s="56" t="s">
        <v>682</v>
      </c>
      <c r="Q115" s="56">
        <v>1</v>
      </c>
      <c r="R115" s="56" t="s">
        <v>809</v>
      </c>
      <c r="S115" s="56" t="s">
        <v>642</v>
      </c>
      <c r="T115" s="56" t="s">
        <v>643</v>
      </c>
      <c r="U115" s="56" t="s">
        <v>648</v>
      </c>
      <c r="V115" s="56" t="s">
        <v>643</v>
      </c>
      <c r="W115" s="56">
        <v>41</v>
      </c>
      <c r="X115" s="56" t="s">
        <v>1217</v>
      </c>
      <c r="Y115" s="56">
        <v>141</v>
      </c>
      <c r="Z115" s="56" t="s">
        <v>649</v>
      </c>
      <c r="AA115" s="56" t="s">
        <v>650</v>
      </c>
      <c r="AB115" s="56" t="s">
        <v>652</v>
      </c>
      <c r="AC115" s="56" t="s">
        <v>643</v>
      </c>
      <c r="AD115" s="56" t="s">
        <v>642</v>
      </c>
      <c r="AL115" s="56">
        <v>98</v>
      </c>
      <c r="AM115" s="56" t="s">
        <v>645</v>
      </c>
      <c r="AN115" s="56" t="s">
        <v>646</v>
      </c>
      <c r="AO115" s="56" t="s">
        <v>647</v>
      </c>
      <c r="AP115" s="56" t="s">
        <v>643</v>
      </c>
      <c r="AQ115" s="56" t="s">
        <v>648</v>
      </c>
      <c r="AR115" s="56">
        <v>98</v>
      </c>
      <c r="AS115" s="56" t="s">
        <v>645</v>
      </c>
      <c r="AT115" s="56" t="s">
        <v>646</v>
      </c>
      <c r="AU115" s="56" t="s">
        <v>643</v>
      </c>
      <c r="AV115" s="56" t="s">
        <v>648</v>
      </c>
      <c r="AW115" s="56">
        <v>828</v>
      </c>
      <c r="AX115" s="56" t="s">
        <v>1288</v>
      </c>
      <c r="AY115" s="56">
        <v>965</v>
      </c>
      <c r="AZ115" s="56" t="s">
        <v>1289</v>
      </c>
      <c r="BA115" s="56" t="s">
        <v>1290</v>
      </c>
      <c r="BB115" s="56" t="s">
        <v>1291</v>
      </c>
      <c r="BC115" s="56">
        <v>765</v>
      </c>
      <c r="BD115" s="56" t="s">
        <v>1292</v>
      </c>
      <c r="BE115" s="56" t="s">
        <v>1293</v>
      </c>
      <c r="BF115" s="56">
        <v>765</v>
      </c>
      <c r="BG115" s="56" t="s">
        <v>1292</v>
      </c>
      <c r="BH115" s="56" t="s">
        <v>1293</v>
      </c>
      <c r="BI115" s="56">
        <v>48.52</v>
      </c>
      <c r="BJ115" s="56">
        <v>99627.08</v>
      </c>
      <c r="BK115" s="56">
        <v>48.52</v>
      </c>
      <c r="BL115" s="56" t="s">
        <v>1430</v>
      </c>
      <c r="BM115" s="56">
        <v>3102</v>
      </c>
      <c r="BN115" s="56" t="s">
        <v>660</v>
      </c>
      <c r="BO115" s="56" t="s">
        <v>706</v>
      </c>
      <c r="BP115" s="56">
        <v>5337.2</v>
      </c>
      <c r="BQ115" s="56">
        <v>5288.6</v>
      </c>
      <c r="BR115" s="56">
        <v>0</v>
      </c>
      <c r="BS115" s="56">
        <v>0</v>
      </c>
      <c r="BT115" s="56">
        <v>4560.8</v>
      </c>
      <c r="BU115" s="56">
        <v>305603</v>
      </c>
      <c r="BV115" s="56">
        <v>98</v>
      </c>
      <c r="BW115" s="56" t="s">
        <v>645</v>
      </c>
      <c r="BX115" s="56" t="s">
        <v>1438</v>
      </c>
      <c r="BY115" s="56" t="s">
        <v>663</v>
      </c>
      <c r="BZ115" s="56">
        <v>0.25</v>
      </c>
      <c r="CA115" s="56" t="s">
        <v>664</v>
      </c>
      <c r="CB115" s="56" t="s">
        <v>1432</v>
      </c>
      <c r="CC115" s="56" t="s">
        <v>1433</v>
      </c>
      <c r="CD115" s="56" t="s">
        <v>667</v>
      </c>
      <c r="CF115" s="56">
        <v>0</v>
      </c>
      <c r="CG115" s="56">
        <v>0</v>
      </c>
      <c r="CH115" s="56">
        <v>110</v>
      </c>
      <c r="CI115" s="56">
        <v>95</v>
      </c>
      <c r="CJ115" s="56">
        <v>13.76</v>
      </c>
      <c r="CK115" s="56">
        <v>5288.6</v>
      </c>
      <c r="CL115" s="56">
        <v>4560.8</v>
      </c>
      <c r="CM115" s="56">
        <v>8.5500000000000007</v>
      </c>
      <c r="CN115" s="56">
        <v>0</v>
      </c>
      <c r="CO115" s="56">
        <v>0</v>
      </c>
      <c r="CP115" s="56">
        <v>48.6</v>
      </c>
      <c r="CQ115" s="56" t="s">
        <v>668</v>
      </c>
      <c r="CR115" s="56">
        <v>0</v>
      </c>
      <c r="CS115" s="56">
        <v>48.6</v>
      </c>
      <c r="CT115" s="56" t="s">
        <v>669</v>
      </c>
      <c r="CU115" s="56">
        <v>0</v>
      </c>
      <c r="CV115" s="56">
        <v>0</v>
      </c>
      <c r="CX115" s="56">
        <v>727.8</v>
      </c>
      <c r="CY115" s="56">
        <v>0</v>
      </c>
      <c r="CZ115" s="56">
        <v>168.29</v>
      </c>
      <c r="DA115" s="56">
        <v>489.19</v>
      </c>
      <c r="DB115" s="56">
        <v>320.89999999999998</v>
      </c>
      <c r="DC115" s="56">
        <v>5120.3100000000004</v>
      </c>
      <c r="DD115" s="56">
        <v>-32.909999999999997</v>
      </c>
      <c r="DE115" s="56">
        <v>0</v>
      </c>
      <c r="DF115" s="56">
        <v>16.899999999999999</v>
      </c>
      <c r="DG115" s="56">
        <v>49.81</v>
      </c>
      <c r="DH115" s="56" t="s">
        <v>670</v>
      </c>
      <c r="DI115" s="56" t="s">
        <v>671</v>
      </c>
      <c r="DK115" s="56">
        <v>11.1</v>
      </c>
      <c r="DL115" s="56">
        <v>592.41999999999996</v>
      </c>
      <c r="DO115" s="56" t="s">
        <v>236</v>
      </c>
      <c r="DP115" s="56" t="s">
        <v>673</v>
      </c>
      <c r="DQ115" s="56" t="s">
        <v>674</v>
      </c>
      <c r="DR115" s="56">
        <v>2</v>
      </c>
      <c r="DX115" s="56" t="s">
        <v>678</v>
      </c>
      <c r="DY115" s="56" t="s">
        <v>679</v>
      </c>
      <c r="ED115" s="56">
        <v>1</v>
      </c>
      <c r="EE115" s="56" t="s">
        <v>809</v>
      </c>
      <c r="EF115" s="56">
        <v>1</v>
      </c>
      <c r="EG115" s="56" t="s">
        <v>809</v>
      </c>
      <c r="EH115" s="56">
        <v>1</v>
      </c>
      <c r="EI115" s="56" t="s">
        <v>809</v>
      </c>
      <c r="EJ115" s="56">
        <v>1</v>
      </c>
      <c r="EK115" s="56" t="s">
        <v>809</v>
      </c>
      <c r="EL115" s="56">
        <v>15</v>
      </c>
      <c r="EM115" s="56">
        <v>15</v>
      </c>
      <c r="EN115" s="56">
        <v>1622</v>
      </c>
      <c r="EO115" s="56">
        <v>2430</v>
      </c>
      <c r="EP115" s="56">
        <v>6811</v>
      </c>
      <c r="EQ115" s="56" t="s">
        <v>1434</v>
      </c>
      <c r="ER115" s="56" t="s">
        <v>1435</v>
      </c>
      <c r="ES115" s="56">
        <v>2</v>
      </c>
      <c r="ET115" s="56" t="s">
        <v>682</v>
      </c>
      <c r="EU115" s="56" t="s">
        <v>683</v>
      </c>
      <c r="EV115" s="56" t="s">
        <v>683</v>
      </c>
      <c r="FD115" s="56" t="s">
        <v>1439</v>
      </c>
      <c r="FK115" s="56">
        <v>0</v>
      </c>
    </row>
    <row r="116" spans="1:167" x14ac:dyDescent="0.2">
      <c r="A116" s="56">
        <v>29725</v>
      </c>
      <c r="B116" s="56">
        <v>1</v>
      </c>
      <c r="C116" s="56">
        <v>5352</v>
      </c>
      <c r="D116" s="56" t="s">
        <v>634</v>
      </c>
      <c r="E116" s="56" t="s">
        <v>635</v>
      </c>
      <c r="K116" s="56" t="s">
        <v>1437</v>
      </c>
      <c r="L116" s="56" t="s">
        <v>637</v>
      </c>
      <c r="M116" s="56">
        <v>44936</v>
      </c>
      <c r="N116" s="56">
        <v>44938</v>
      </c>
      <c r="O116" s="56">
        <v>2</v>
      </c>
      <c r="P116" s="56" t="s">
        <v>682</v>
      </c>
      <c r="Q116" s="56">
        <v>1</v>
      </c>
      <c r="R116" s="56" t="s">
        <v>809</v>
      </c>
      <c r="S116" s="56" t="s">
        <v>642</v>
      </c>
      <c r="T116" s="56" t="s">
        <v>643</v>
      </c>
      <c r="U116" s="56" t="s">
        <v>648</v>
      </c>
      <c r="V116" s="56" t="s">
        <v>643</v>
      </c>
      <c r="W116" s="56">
        <v>46</v>
      </c>
      <c r="X116" s="56" t="s">
        <v>811</v>
      </c>
      <c r="Y116" s="56">
        <v>141</v>
      </c>
      <c r="Z116" s="56" t="s">
        <v>649</v>
      </c>
      <c r="AA116" s="56" t="s">
        <v>650</v>
      </c>
      <c r="AB116" s="56" t="s">
        <v>652</v>
      </c>
      <c r="AC116" s="56" t="s">
        <v>643</v>
      </c>
      <c r="AD116" s="56" t="s">
        <v>642</v>
      </c>
      <c r="AL116" s="56">
        <v>98</v>
      </c>
      <c r="AM116" s="56" t="s">
        <v>645</v>
      </c>
      <c r="AN116" s="56" t="s">
        <v>646</v>
      </c>
      <c r="AO116" s="56" t="s">
        <v>647</v>
      </c>
      <c r="AP116" s="56" t="s">
        <v>643</v>
      </c>
      <c r="AQ116" s="56" t="s">
        <v>648</v>
      </c>
      <c r="AR116" s="56">
        <v>98</v>
      </c>
      <c r="AS116" s="56" t="s">
        <v>645</v>
      </c>
      <c r="AT116" s="56" t="s">
        <v>646</v>
      </c>
      <c r="AU116" s="56" t="s">
        <v>643</v>
      </c>
      <c r="AV116" s="56" t="s">
        <v>648</v>
      </c>
      <c r="AW116" s="56">
        <v>258</v>
      </c>
      <c r="AX116" s="56" t="s">
        <v>1187</v>
      </c>
      <c r="AY116" s="56">
        <v>91</v>
      </c>
      <c r="AZ116" s="56" t="s">
        <v>1188</v>
      </c>
      <c r="BA116" s="56" t="s">
        <v>1189</v>
      </c>
      <c r="BB116" s="56" t="s">
        <v>1011</v>
      </c>
      <c r="BC116" s="56">
        <v>93</v>
      </c>
      <c r="BD116" s="56" t="s">
        <v>1012</v>
      </c>
      <c r="BE116" s="56" t="s">
        <v>1013</v>
      </c>
      <c r="BF116" s="56">
        <v>93</v>
      </c>
      <c r="BG116" s="56" t="s">
        <v>1012</v>
      </c>
      <c r="BH116" s="56" t="s">
        <v>1013</v>
      </c>
      <c r="BI116" s="56">
        <v>48.63</v>
      </c>
      <c r="BJ116" s="56">
        <v>99852.95</v>
      </c>
      <c r="BK116" s="56">
        <v>48.63</v>
      </c>
      <c r="BL116" s="56" t="s">
        <v>1430</v>
      </c>
      <c r="BM116" s="56">
        <v>3102</v>
      </c>
      <c r="BN116" s="56" t="s">
        <v>1052</v>
      </c>
      <c r="BO116" s="56" t="s">
        <v>1081</v>
      </c>
      <c r="BP116" s="56">
        <v>5592.45</v>
      </c>
      <c r="BQ116" s="56">
        <v>5543.85</v>
      </c>
      <c r="BR116" s="56">
        <v>0</v>
      </c>
      <c r="BS116" s="56">
        <v>0</v>
      </c>
      <c r="BT116" s="56">
        <v>4571.25</v>
      </c>
      <c r="BU116" s="56">
        <v>305601</v>
      </c>
      <c r="BV116" s="56">
        <v>98</v>
      </c>
      <c r="BW116" s="56" t="s">
        <v>645</v>
      </c>
      <c r="BX116" s="56" t="s">
        <v>1440</v>
      </c>
      <c r="BY116" s="56" t="s">
        <v>663</v>
      </c>
      <c r="BZ116" s="56">
        <v>0.25</v>
      </c>
      <c r="CA116" s="56" t="s">
        <v>664</v>
      </c>
      <c r="CB116" s="56" t="s">
        <v>1432</v>
      </c>
      <c r="CC116" s="56" t="s">
        <v>1433</v>
      </c>
      <c r="CD116" s="56" t="s">
        <v>667</v>
      </c>
      <c r="CF116" s="56">
        <v>0</v>
      </c>
      <c r="CG116" s="56">
        <v>0</v>
      </c>
      <c r="CH116" s="56">
        <v>115</v>
      </c>
      <c r="CI116" s="56">
        <v>95</v>
      </c>
      <c r="CJ116" s="56">
        <v>17.54</v>
      </c>
      <c r="CK116" s="56">
        <v>5543.85</v>
      </c>
      <c r="CL116" s="56">
        <v>4571.25</v>
      </c>
      <c r="CM116" s="56">
        <v>8.5500000000000007</v>
      </c>
      <c r="CN116" s="56">
        <v>0</v>
      </c>
      <c r="CO116" s="56">
        <v>0</v>
      </c>
      <c r="CP116" s="56">
        <v>48.6</v>
      </c>
      <c r="CQ116" s="56" t="s">
        <v>668</v>
      </c>
      <c r="CR116" s="56">
        <v>0</v>
      </c>
      <c r="CS116" s="56">
        <v>48.6</v>
      </c>
      <c r="CT116" s="56" t="s">
        <v>669</v>
      </c>
      <c r="CU116" s="56">
        <v>0</v>
      </c>
      <c r="CV116" s="56">
        <v>0</v>
      </c>
      <c r="CX116" s="56">
        <v>972.6</v>
      </c>
      <c r="CY116" s="56">
        <v>0</v>
      </c>
      <c r="CZ116" s="56">
        <v>191.18</v>
      </c>
      <c r="DA116" s="56">
        <v>512.79999999999995</v>
      </c>
      <c r="DB116" s="56">
        <v>321.62</v>
      </c>
      <c r="DC116" s="56">
        <v>5352.67</v>
      </c>
      <c r="DD116" s="56">
        <v>-32.99</v>
      </c>
      <c r="DE116" s="56">
        <v>0</v>
      </c>
      <c r="DF116" s="56">
        <v>16.940000000000001</v>
      </c>
      <c r="DG116" s="56">
        <v>49.93</v>
      </c>
      <c r="DH116" s="56" t="s">
        <v>670</v>
      </c>
      <c r="DI116" s="56" t="s">
        <v>671</v>
      </c>
      <c r="DK116" s="56">
        <v>14.56</v>
      </c>
      <c r="DL116" s="56">
        <v>814.41</v>
      </c>
      <c r="DO116" s="56" t="s">
        <v>236</v>
      </c>
      <c r="DP116" s="56" t="s">
        <v>673</v>
      </c>
      <c r="DQ116" s="56" t="s">
        <v>674</v>
      </c>
      <c r="DR116" s="56">
        <v>2</v>
      </c>
      <c r="DX116" s="56" t="s">
        <v>678</v>
      </c>
      <c r="DY116" s="56" t="s">
        <v>679</v>
      </c>
      <c r="ED116" s="56">
        <v>1</v>
      </c>
      <c r="EE116" s="56" t="s">
        <v>809</v>
      </c>
      <c r="EF116" s="56">
        <v>1</v>
      </c>
      <c r="EG116" s="56" t="s">
        <v>809</v>
      </c>
      <c r="EH116" s="56">
        <v>1</v>
      </c>
      <c r="EI116" s="56" t="s">
        <v>809</v>
      </c>
      <c r="EJ116" s="56">
        <v>1</v>
      </c>
      <c r="EK116" s="56" t="s">
        <v>809</v>
      </c>
      <c r="EL116" s="56">
        <v>15</v>
      </c>
      <c r="EM116" s="56">
        <v>15</v>
      </c>
      <c r="EN116" s="56">
        <v>1622</v>
      </c>
      <c r="EO116" s="56">
        <v>2430</v>
      </c>
      <c r="EP116" s="56">
        <v>6811</v>
      </c>
      <c r="EQ116" s="56" t="s">
        <v>1434</v>
      </c>
      <c r="ER116" s="56" t="s">
        <v>1435</v>
      </c>
      <c r="ES116" s="56">
        <v>2</v>
      </c>
      <c r="ET116" s="56" t="s">
        <v>682</v>
      </c>
      <c r="EU116" s="56" t="s">
        <v>683</v>
      </c>
      <c r="EV116" s="56" t="s">
        <v>683</v>
      </c>
      <c r="FD116" s="56" t="s">
        <v>1441</v>
      </c>
      <c r="FK116" s="56">
        <v>0</v>
      </c>
    </row>
    <row r="117" spans="1:167" x14ac:dyDescent="0.2">
      <c r="A117" s="56">
        <v>29726</v>
      </c>
      <c r="B117" s="56">
        <v>1</v>
      </c>
      <c r="C117" s="56">
        <v>5352</v>
      </c>
      <c r="D117" s="56" t="s">
        <v>634</v>
      </c>
      <c r="E117" s="56" t="s">
        <v>635</v>
      </c>
      <c r="K117" s="56" t="s">
        <v>1442</v>
      </c>
      <c r="L117" s="56" t="s">
        <v>637</v>
      </c>
      <c r="M117" s="56">
        <v>44936</v>
      </c>
      <c r="N117" s="56">
        <v>44938</v>
      </c>
      <c r="O117" s="56">
        <v>2</v>
      </c>
      <c r="P117" s="56" t="s">
        <v>682</v>
      </c>
      <c r="Q117" s="56">
        <v>1</v>
      </c>
      <c r="R117" s="56" t="s">
        <v>809</v>
      </c>
      <c r="S117" s="56" t="s">
        <v>642</v>
      </c>
      <c r="T117" s="56" t="s">
        <v>643</v>
      </c>
      <c r="U117" s="56" t="s">
        <v>648</v>
      </c>
      <c r="V117" s="56" t="s">
        <v>643</v>
      </c>
      <c r="W117" s="56">
        <v>46</v>
      </c>
      <c r="X117" s="56" t="s">
        <v>811</v>
      </c>
      <c r="Y117" s="56">
        <v>141</v>
      </c>
      <c r="Z117" s="56" t="s">
        <v>649</v>
      </c>
      <c r="AA117" s="56" t="s">
        <v>650</v>
      </c>
      <c r="AB117" s="56" t="s">
        <v>652</v>
      </c>
      <c r="AC117" s="56" t="s">
        <v>643</v>
      </c>
      <c r="AD117" s="56" t="s">
        <v>642</v>
      </c>
      <c r="AL117" s="56">
        <v>98</v>
      </c>
      <c r="AM117" s="56" t="s">
        <v>645</v>
      </c>
      <c r="AN117" s="56" t="s">
        <v>646</v>
      </c>
      <c r="AO117" s="56" t="s">
        <v>647</v>
      </c>
      <c r="AP117" s="56" t="s">
        <v>643</v>
      </c>
      <c r="AQ117" s="56" t="s">
        <v>648</v>
      </c>
      <c r="AR117" s="56">
        <v>98</v>
      </c>
      <c r="AS117" s="56" t="s">
        <v>645</v>
      </c>
      <c r="AT117" s="56" t="s">
        <v>646</v>
      </c>
      <c r="AU117" s="56" t="s">
        <v>643</v>
      </c>
      <c r="AV117" s="56" t="s">
        <v>648</v>
      </c>
      <c r="AW117" s="56">
        <v>771</v>
      </c>
      <c r="AX117" s="56" t="s">
        <v>1297</v>
      </c>
      <c r="AY117" s="56">
        <v>877</v>
      </c>
      <c r="AZ117" s="56" t="s">
        <v>1298</v>
      </c>
      <c r="BA117" s="56" t="s">
        <v>1299</v>
      </c>
      <c r="BB117" s="56" t="s">
        <v>1291</v>
      </c>
      <c r="BC117" s="56">
        <v>765</v>
      </c>
      <c r="BD117" s="56" t="s">
        <v>1292</v>
      </c>
      <c r="BE117" s="56" t="s">
        <v>1293</v>
      </c>
      <c r="BF117" s="56">
        <v>765</v>
      </c>
      <c r="BG117" s="56" t="s">
        <v>1292</v>
      </c>
      <c r="BH117" s="56" t="s">
        <v>1293</v>
      </c>
      <c r="BI117" s="56">
        <v>48.28</v>
      </c>
      <c r="BJ117" s="56">
        <v>99134.29</v>
      </c>
      <c r="BK117" s="56">
        <v>48.28</v>
      </c>
      <c r="BL117" s="56" t="s">
        <v>1430</v>
      </c>
      <c r="BM117" s="56">
        <v>3102</v>
      </c>
      <c r="BN117" s="56" t="s">
        <v>660</v>
      </c>
      <c r="BO117" s="56" t="s">
        <v>706</v>
      </c>
      <c r="BP117" s="56">
        <v>5310.8</v>
      </c>
      <c r="BQ117" s="56">
        <v>5262.2</v>
      </c>
      <c r="BR117" s="56">
        <v>0</v>
      </c>
      <c r="BS117" s="56">
        <v>0</v>
      </c>
      <c r="BT117" s="56">
        <v>4538</v>
      </c>
      <c r="BU117" s="56">
        <v>305604</v>
      </c>
      <c r="BV117" s="56">
        <v>98</v>
      </c>
      <c r="BW117" s="56" t="s">
        <v>645</v>
      </c>
      <c r="BX117" s="56" t="s">
        <v>1443</v>
      </c>
      <c r="BY117" s="56" t="s">
        <v>663</v>
      </c>
      <c r="BZ117" s="56">
        <v>0.25</v>
      </c>
      <c r="CA117" s="56" t="s">
        <v>664</v>
      </c>
      <c r="CB117" s="56" t="s">
        <v>1432</v>
      </c>
      <c r="CC117" s="56" t="s">
        <v>1433</v>
      </c>
      <c r="CD117" s="56" t="s">
        <v>667</v>
      </c>
      <c r="CF117" s="56">
        <v>0</v>
      </c>
      <c r="CG117" s="56">
        <v>0</v>
      </c>
      <c r="CH117" s="56">
        <v>110</v>
      </c>
      <c r="CI117" s="56">
        <v>95</v>
      </c>
      <c r="CJ117" s="56">
        <v>13.76</v>
      </c>
      <c r="CK117" s="56">
        <v>5262.2</v>
      </c>
      <c r="CL117" s="56">
        <v>4538</v>
      </c>
      <c r="CM117" s="56">
        <v>8.5500000000000007</v>
      </c>
      <c r="CN117" s="56">
        <v>0</v>
      </c>
      <c r="CO117" s="56">
        <v>0</v>
      </c>
      <c r="CP117" s="56">
        <v>48.6</v>
      </c>
      <c r="CQ117" s="56" t="s">
        <v>668</v>
      </c>
      <c r="CR117" s="56">
        <v>0</v>
      </c>
      <c r="CS117" s="56">
        <v>48.6</v>
      </c>
      <c r="CT117" s="56" t="s">
        <v>669</v>
      </c>
      <c r="CU117" s="56">
        <v>0</v>
      </c>
      <c r="CV117" s="56">
        <v>0</v>
      </c>
      <c r="CX117" s="56">
        <v>724.2</v>
      </c>
      <c r="CY117" s="56">
        <v>0</v>
      </c>
      <c r="CZ117" s="56">
        <v>167.44</v>
      </c>
      <c r="DA117" s="56">
        <v>486.76</v>
      </c>
      <c r="DB117" s="56">
        <v>319.32</v>
      </c>
      <c r="DC117" s="56">
        <v>5094.76</v>
      </c>
      <c r="DD117" s="56">
        <v>-32.75</v>
      </c>
      <c r="DE117" s="56">
        <v>0</v>
      </c>
      <c r="DF117" s="56">
        <v>16.82</v>
      </c>
      <c r="DG117" s="56">
        <v>49.57</v>
      </c>
      <c r="DH117" s="56" t="s">
        <v>670</v>
      </c>
      <c r="DI117" s="56" t="s">
        <v>671</v>
      </c>
      <c r="DK117" s="56">
        <v>11.1</v>
      </c>
      <c r="DL117" s="56">
        <v>589.51</v>
      </c>
      <c r="DO117" s="56" t="s">
        <v>236</v>
      </c>
      <c r="DP117" s="56" t="s">
        <v>673</v>
      </c>
      <c r="DQ117" s="56" t="s">
        <v>674</v>
      </c>
      <c r="DR117" s="56">
        <v>2</v>
      </c>
      <c r="DX117" s="56" t="s">
        <v>678</v>
      </c>
      <c r="DY117" s="56" t="s">
        <v>679</v>
      </c>
      <c r="ED117" s="56">
        <v>1</v>
      </c>
      <c r="EE117" s="56" t="s">
        <v>809</v>
      </c>
      <c r="EF117" s="56">
        <v>1</v>
      </c>
      <c r="EG117" s="56" t="s">
        <v>809</v>
      </c>
      <c r="EH117" s="56">
        <v>1</v>
      </c>
      <c r="EI117" s="56" t="s">
        <v>809</v>
      </c>
      <c r="EJ117" s="56">
        <v>1</v>
      </c>
      <c r="EK117" s="56" t="s">
        <v>809</v>
      </c>
      <c r="EL117" s="56">
        <v>15</v>
      </c>
      <c r="EM117" s="56">
        <v>15</v>
      </c>
      <c r="EN117" s="56">
        <v>1622</v>
      </c>
      <c r="EO117" s="56">
        <v>2430</v>
      </c>
      <c r="EP117" s="56">
        <v>6811</v>
      </c>
      <c r="EQ117" s="56" t="s">
        <v>1434</v>
      </c>
      <c r="ER117" s="56" t="s">
        <v>1435</v>
      </c>
      <c r="ES117" s="56">
        <v>2</v>
      </c>
      <c r="ET117" s="56" t="s">
        <v>682</v>
      </c>
      <c r="EU117" s="56" t="s">
        <v>683</v>
      </c>
      <c r="EV117" s="56" t="s">
        <v>683</v>
      </c>
      <c r="FD117" s="56" t="s">
        <v>1444</v>
      </c>
      <c r="FK117" s="56">
        <v>0</v>
      </c>
    </row>
    <row r="118" spans="1:167" x14ac:dyDescent="0.2">
      <c r="A118" s="56">
        <v>29727</v>
      </c>
      <c r="B118" s="56">
        <v>1</v>
      </c>
      <c r="C118" s="56">
        <v>5352</v>
      </c>
      <c r="D118" s="56" t="s">
        <v>634</v>
      </c>
      <c r="E118" s="56" t="s">
        <v>635</v>
      </c>
      <c r="K118" s="56" t="s">
        <v>1445</v>
      </c>
      <c r="L118" s="56" t="s">
        <v>637</v>
      </c>
      <c r="M118" s="56">
        <v>44936</v>
      </c>
      <c r="N118" s="56">
        <v>44938</v>
      </c>
      <c r="O118" s="56">
        <v>2</v>
      </c>
      <c r="P118" s="56" t="s">
        <v>682</v>
      </c>
      <c r="Q118" s="56">
        <v>1</v>
      </c>
      <c r="R118" s="56" t="s">
        <v>809</v>
      </c>
      <c r="S118" s="56" t="s">
        <v>642</v>
      </c>
      <c r="T118" s="56" t="s">
        <v>643</v>
      </c>
      <c r="U118" s="56" t="s">
        <v>648</v>
      </c>
      <c r="V118" s="56" t="s">
        <v>643</v>
      </c>
      <c r="W118" s="56">
        <v>46</v>
      </c>
      <c r="X118" s="56" t="s">
        <v>811</v>
      </c>
      <c r="Y118" s="56">
        <v>141</v>
      </c>
      <c r="Z118" s="56" t="s">
        <v>649</v>
      </c>
      <c r="AA118" s="56" t="s">
        <v>650</v>
      </c>
      <c r="AB118" s="56" t="s">
        <v>652</v>
      </c>
      <c r="AC118" s="56" t="s">
        <v>643</v>
      </c>
      <c r="AD118" s="56" t="s">
        <v>642</v>
      </c>
      <c r="AL118" s="56">
        <v>98</v>
      </c>
      <c r="AM118" s="56" t="s">
        <v>645</v>
      </c>
      <c r="AN118" s="56" t="s">
        <v>646</v>
      </c>
      <c r="AO118" s="56" t="s">
        <v>647</v>
      </c>
      <c r="AP118" s="56" t="s">
        <v>643</v>
      </c>
      <c r="AQ118" s="56" t="s">
        <v>648</v>
      </c>
      <c r="AR118" s="56">
        <v>98</v>
      </c>
      <c r="AS118" s="56" t="s">
        <v>645</v>
      </c>
      <c r="AT118" s="56" t="s">
        <v>646</v>
      </c>
      <c r="AU118" s="56" t="s">
        <v>643</v>
      </c>
      <c r="AV118" s="56" t="s">
        <v>648</v>
      </c>
      <c r="AW118" s="56">
        <v>135</v>
      </c>
      <c r="AX118" s="56" t="s">
        <v>1331</v>
      </c>
      <c r="AY118" s="56">
        <v>96</v>
      </c>
      <c r="AZ118" s="56" t="s">
        <v>1332</v>
      </c>
      <c r="BA118" s="56" t="s">
        <v>1333</v>
      </c>
      <c r="BB118" s="56" t="s">
        <v>1306</v>
      </c>
      <c r="BC118" s="56">
        <v>134</v>
      </c>
      <c r="BD118" s="56" t="s">
        <v>1307</v>
      </c>
      <c r="BE118" s="56" t="s">
        <v>1308</v>
      </c>
      <c r="BF118" s="56">
        <v>134</v>
      </c>
      <c r="BG118" s="56" t="s">
        <v>1307</v>
      </c>
      <c r="BH118" s="56" t="s">
        <v>1308</v>
      </c>
      <c r="BI118" s="56">
        <v>48.48</v>
      </c>
      <c r="BJ118" s="56">
        <v>99544.960000000006</v>
      </c>
      <c r="BK118" s="56">
        <v>48.48</v>
      </c>
      <c r="BL118" s="56" t="s">
        <v>1430</v>
      </c>
      <c r="BM118" s="56">
        <v>3102</v>
      </c>
      <c r="BN118" s="56" t="s">
        <v>786</v>
      </c>
      <c r="BO118" s="56" t="s">
        <v>911</v>
      </c>
      <c r="BP118" s="56">
        <v>5332.8</v>
      </c>
      <c r="BQ118" s="56">
        <v>5284.2</v>
      </c>
      <c r="BR118" s="56">
        <v>0</v>
      </c>
      <c r="BS118" s="56">
        <v>0</v>
      </c>
      <c r="BT118" s="56">
        <v>4557</v>
      </c>
      <c r="BU118" s="56">
        <v>305605</v>
      </c>
      <c r="BV118" s="56">
        <v>98</v>
      </c>
      <c r="BW118" s="56" t="s">
        <v>645</v>
      </c>
      <c r="BX118" s="56" t="s">
        <v>1446</v>
      </c>
      <c r="BY118" s="56" t="s">
        <v>663</v>
      </c>
      <c r="BZ118" s="56">
        <v>0.25</v>
      </c>
      <c r="CA118" s="56" t="s">
        <v>664</v>
      </c>
      <c r="CB118" s="56" t="s">
        <v>1432</v>
      </c>
      <c r="CC118" s="56" t="s">
        <v>1433</v>
      </c>
      <c r="CD118" s="56" t="s">
        <v>667</v>
      </c>
      <c r="CF118" s="56">
        <v>0</v>
      </c>
      <c r="CG118" s="56">
        <v>0</v>
      </c>
      <c r="CH118" s="56">
        <v>110</v>
      </c>
      <c r="CI118" s="56">
        <v>95</v>
      </c>
      <c r="CJ118" s="56">
        <v>13.76</v>
      </c>
      <c r="CK118" s="56">
        <v>5284.2</v>
      </c>
      <c r="CL118" s="56">
        <v>4557</v>
      </c>
      <c r="CM118" s="56">
        <v>0</v>
      </c>
      <c r="CN118" s="56">
        <v>0</v>
      </c>
      <c r="CO118" s="56">
        <v>0</v>
      </c>
      <c r="CP118" s="56">
        <v>48.6</v>
      </c>
      <c r="CQ118" s="56" t="s">
        <v>668</v>
      </c>
      <c r="CR118" s="56">
        <v>0</v>
      </c>
      <c r="CS118" s="56">
        <v>48.6</v>
      </c>
      <c r="CT118" s="56" t="s">
        <v>669</v>
      </c>
      <c r="CU118" s="56">
        <v>0</v>
      </c>
      <c r="CV118" s="56">
        <v>0</v>
      </c>
      <c r="CX118" s="56">
        <v>727.2</v>
      </c>
      <c r="CY118" s="56">
        <v>0</v>
      </c>
      <c r="CZ118" s="56">
        <v>168.16</v>
      </c>
      <c r="DA118" s="56">
        <v>488.79</v>
      </c>
      <c r="DB118" s="56">
        <v>320.63</v>
      </c>
      <c r="DC118" s="56">
        <v>5116.04</v>
      </c>
      <c r="DD118" s="56">
        <v>-32.880000000000003</v>
      </c>
      <c r="DE118" s="56">
        <v>0</v>
      </c>
      <c r="DF118" s="56">
        <v>16.89</v>
      </c>
      <c r="DG118" s="56">
        <v>49.77</v>
      </c>
      <c r="DH118" s="56" t="s">
        <v>670</v>
      </c>
      <c r="DI118" s="56" t="s">
        <v>671</v>
      </c>
      <c r="DK118" s="56">
        <v>11.1</v>
      </c>
      <c r="DL118" s="56">
        <v>591.91999999999996</v>
      </c>
      <c r="DO118" s="56" t="s">
        <v>236</v>
      </c>
      <c r="DP118" s="56" t="s">
        <v>673</v>
      </c>
      <c r="DQ118" s="56" t="s">
        <v>674</v>
      </c>
      <c r="DR118" s="56">
        <v>2</v>
      </c>
      <c r="DX118" s="56" t="s">
        <v>678</v>
      </c>
      <c r="DY118" s="56" t="s">
        <v>679</v>
      </c>
      <c r="ED118" s="56">
        <v>1</v>
      </c>
      <c r="EE118" s="56" t="s">
        <v>809</v>
      </c>
      <c r="EF118" s="56">
        <v>1</v>
      </c>
      <c r="EG118" s="56" t="s">
        <v>809</v>
      </c>
      <c r="EH118" s="56">
        <v>1</v>
      </c>
      <c r="EI118" s="56" t="s">
        <v>809</v>
      </c>
      <c r="EJ118" s="56">
        <v>1</v>
      </c>
      <c r="EK118" s="56" t="s">
        <v>809</v>
      </c>
      <c r="EL118" s="56">
        <v>15</v>
      </c>
      <c r="EM118" s="56">
        <v>15</v>
      </c>
      <c r="EN118" s="56">
        <v>1622</v>
      </c>
      <c r="EO118" s="56">
        <v>2430</v>
      </c>
      <c r="EP118" s="56">
        <v>6811</v>
      </c>
      <c r="EQ118" s="56" t="s">
        <v>1434</v>
      </c>
      <c r="ER118" s="56" t="s">
        <v>1435</v>
      </c>
      <c r="ES118" s="56">
        <v>2</v>
      </c>
      <c r="ET118" s="56" t="s">
        <v>682</v>
      </c>
      <c r="EU118" s="56" t="s">
        <v>683</v>
      </c>
      <c r="EV118" s="56" t="s">
        <v>683</v>
      </c>
      <c r="FD118" s="56" t="s">
        <v>1447</v>
      </c>
      <c r="FK118" s="56">
        <v>0</v>
      </c>
    </row>
    <row r="119" spans="1:167" x14ac:dyDescent="0.2">
      <c r="A119" s="56">
        <v>29728</v>
      </c>
      <c r="B119" s="56">
        <v>1</v>
      </c>
      <c r="C119" s="56">
        <v>5352</v>
      </c>
      <c r="D119" s="56" t="s">
        <v>634</v>
      </c>
      <c r="E119" s="56" t="s">
        <v>635</v>
      </c>
      <c r="K119" s="56" t="s">
        <v>1448</v>
      </c>
      <c r="L119" s="56" t="s">
        <v>637</v>
      </c>
      <c r="M119" s="56">
        <v>44936</v>
      </c>
      <c r="N119" s="56">
        <v>44938</v>
      </c>
      <c r="O119" s="56">
        <v>2</v>
      </c>
      <c r="P119" s="56" t="s">
        <v>682</v>
      </c>
      <c r="Q119" s="56">
        <v>1</v>
      </c>
      <c r="R119" s="56" t="s">
        <v>809</v>
      </c>
      <c r="S119" s="56" t="s">
        <v>642</v>
      </c>
      <c r="T119" s="56" t="s">
        <v>643</v>
      </c>
      <c r="U119" s="56" t="s">
        <v>648</v>
      </c>
      <c r="V119" s="56" t="s">
        <v>643</v>
      </c>
      <c r="W119" s="56">
        <v>46</v>
      </c>
      <c r="X119" s="56" t="s">
        <v>811</v>
      </c>
      <c r="Y119" s="56">
        <v>141</v>
      </c>
      <c r="Z119" s="56" t="s">
        <v>649</v>
      </c>
      <c r="AA119" s="56" t="s">
        <v>650</v>
      </c>
      <c r="AB119" s="56" t="s">
        <v>652</v>
      </c>
      <c r="AC119" s="56" t="s">
        <v>643</v>
      </c>
      <c r="AD119" s="56" t="s">
        <v>642</v>
      </c>
      <c r="AL119" s="56">
        <v>98</v>
      </c>
      <c r="AM119" s="56" t="s">
        <v>645</v>
      </c>
      <c r="AN119" s="56" t="s">
        <v>646</v>
      </c>
      <c r="AO119" s="56" t="s">
        <v>647</v>
      </c>
      <c r="AP119" s="56" t="s">
        <v>643</v>
      </c>
      <c r="AQ119" s="56" t="s">
        <v>648</v>
      </c>
      <c r="AR119" s="56">
        <v>98</v>
      </c>
      <c r="AS119" s="56" t="s">
        <v>645</v>
      </c>
      <c r="AT119" s="56" t="s">
        <v>646</v>
      </c>
      <c r="AU119" s="56" t="s">
        <v>643</v>
      </c>
      <c r="AV119" s="56" t="s">
        <v>648</v>
      </c>
      <c r="AW119" s="56">
        <v>372</v>
      </c>
      <c r="AX119" s="56" t="s">
        <v>1303</v>
      </c>
      <c r="AY119" s="56">
        <v>589</v>
      </c>
      <c r="AZ119" s="56" t="s">
        <v>1304</v>
      </c>
      <c r="BA119" s="56" t="s">
        <v>1305</v>
      </c>
      <c r="BB119" s="56" t="s">
        <v>1306</v>
      </c>
      <c r="BC119" s="56">
        <v>134</v>
      </c>
      <c r="BD119" s="56" t="s">
        <v>1307</v>
      </c>
      <c r="BE119" s="56" t="s">
        <v>1308</v>
      </c>
      <c r="BF119" s="56">
        <v>134</v>
      </c>
      <c r="BG119" s="56" t="s">
        <v>1307</v>
      </c>
      <c r="BH119" s="56" t="s">
        <v>1308</v>
      </c>
      <c r="BI119" s="56">
        <v>48.31</v>
      </c>
      <c r="BJ119" s="56">
        <v>99195.89</v>
      </c>
      <c r="BK119" s="56">
        <v>48.31</v>
      </c>
      <c r="BL119" s="56" t="s">
        <v>1430</v>
      </c>
      <c r="BM119" s="56">
        <v>3102</v>
      </c>
      <c r="BN119" s="56" t="s">
        <v>660</v>
      </c>
      <c r="BO119" s="56" t="s">
        <v>1309</v>
      </c>
      <c r="BP119" s="56">
        <v>5314.1</v>
      </c>
      <c r="BQ119" s="56">
        <v>5265.5</v>
      </c>
      <c r="BR119" s="56">
        <v>0</v>
      </c>
      <c r="BS119" s="56">
        <v>0</v>
      </c>
      <c r="BT119" s="56">
        <v>4540.8500000000004</v>
      </c>
      <c r="BU119" s="56">
        <v>305606</v>
      </c>
      <c r="BV119" s="56">
        <v>98</v>
      </c>
      <c r="BW119" s="56" t="s">
        <v>645</v>
      </c>
      <c r="BX119" s="56" t="s">
        <v>1449</v>
      </c>
      <c r="BY119" s="56" t="s">
        <v>663</v>
      </c>
      <c r="BZ119" s="56">
        <v>0.25</v>
      </c>
      <c r="CA119" s="56" t="s">
        <v>664</v>
      </c>
      <c r="CB119" s="56" t="s">
        <v>1432</v>
      </c>
      <c r="CC119" s="56" t="s">
        <v>1433</v>
      </c>
      <c r="CD119" s="56" t="s">
        <v>667</v>
      </c>
      <c r="CF119" s="56">
        <v>0</v>
      </c>
      <c r="CG119" s="56">
        <v>0</v>
      </c>
      <c r="CH119" s="56">
        <v>110</v>
      </c>
      <c r="CI119" s="56">
        <v>95</v>
      </c>
      <c r="CJ119" s="56">
        <v>13.76</v>
      </c>
      <c r="CK119" s="56">
        <v>5265.5</v>
      </c>
      <c r="CL119" s="56">
        <v>4540.8500000000004</v>
      </c>
      <c r="CM119" s="56">
        <v>0</v>
      </c>
      <c r="CN119" s="56">
        <v>0</v>
      </c>
      <c r="CO119" s="56">
        <v>0</v>
      </c>
      <c r="CP119" s="56">
        <v>48.6</v>
      </c>
      <c r="CQ119" s="56" t="s">
        <v>668</v>
      </c>
      <c r="CR119" s="56">
        <v>0</v>
      </c>
      <c r="CS119" s="56">
        <v>48.6</v>
      </c>
      <c r="CT119" s="56" t="s">
        <v>669</v>
      </c>
      <c r="CU119" s="56">
        <v>0</v>
      </c>
      <c r="CV119" s="56">
        <v>0</v>
      </c>
      <c r="CX119" s="56">
        <v>724.65</v>
      </c>
      <c r="CY119" s="56">
        <v>0</v>
      </c>
      <c r="CZ119" s="56">
        <v>167.55</v>
      </c>
      <c r="DA119" s="56">
        <v>487.06</v>
      </c>
      <c r="DB119" s="56">
        <v>319.51</v>
      </c>
      <c r="DC119" s="56">
        <v>5097.95</v>
      </c>
      <c r="DD119" s="56">
        <v>-32.770000000000003</v>
      </c>
      <c r="DE119" s="56">
        <v>0</v>
      </c>
      <c r="DF119" s="56">
        <v>16.829999999999998</v>
      </c>
      <c r="DG119" s="56">
        <v>49.6</v>
      </c>
      <c r="DH119" s="56" t="s">
        <v>670</v>
      </c>
      <c r="DI119" s="56" t="s">
        <v>671</v>
      </c>
      <c r="DK119" s="56">
        <v>11.1</v>
      </c>
      <c r="DL119" s="56">
        <v>589.87</v>
      </c>
      <c r="DO119" s="56" t="s">
        <v>236</v>
      </c>
      <c r="DP119" s="56" t="s">
        <v>673</v>
      </c>
      <c r="DQ119" s="56" t="s">
        <v>674</v>
      </c>
      <c r="DR119" s="56">
        <v>2</v>
      </c>
      <c r="DX119" s="56" t="s">
        <v>678</v>
      </c>
      <c r="DY119" s="56" t="s">
        <v>679</v>
      </c>
      <c r="ED119" s="56">
        <v>1</v>
      </c>
      <c r="EE119" s="56" t="s">
        <v>809</v>
      </c>
      <c r="EF119" s="56">
        <v>1</v>
      </c>
      <c r="EG119" s="56" t="s">
        <v>809</v>
      </c>
      <c r="EH119" s="56">
        <v>1</v>
      </c>
      <c r="EI119" s="56" t="s">
        <v>809</v>
      </c>
      <c r="EJ119" s="56">
        <v>1</v>
      </c>
      <c r="EK119" s="56" t="s">
        <v>809</v>
      </c>
      <c r="EL119" s="56">
        <v>15</v>
      </c>
      <c r="EM119" s="56">
        <v>15</v>
      </c>
      <c r="EN119" s="56">
        <v>1622</v>
      </c>
      <c r="EO119" s="56">
        <v>2430</v>
      </c>
      <c r="EP119" s="56">
        <v>6811</v>
      </c>
      <c r="EQ119" s="56" t="s">
        <v>1434</v>
      </c>
      <c r="ER119" s="56" t="s">
        <v>1435</v>
      </c>
      <c r="ES119" s="56">
        <v>2</v>
      </c>
      <c r="ET119" s="56" t="s">
        <v>682</v>
      </c>
      <c r="EU119" s="56" t="s">
        <v>683</v>
      </c>
      <c r="EV119" s="56" t="s">
        <v>683</v>
      </c>
      <c r="FD119" s="56" t="s">
        <v>1450</v>
      </c>
      <c r="FK119" s="56">
        <v>0</v>
      </c>
    </row>
    <row r="120" spans="1:167" x14ac:dyDescent="0.2">
      <c r="A120" s="56">
        <v>29729</v>
      </c>
      <c r="B120" s="56">
        <v>1</v>
      </c>
      <c r="C120" s="56">
        <v>5352</v>
      </c>
      <c r="D120" s="56" t="s">
        <v>634</v>
      </c>
      <c r="E120" s="56" t="s">
        <v>635</v>
      </c>
      <c r="K120" s="56" t="s">
        <v>1451</v>
      </c>
      <c r="L120" s="56" t="s">
        <v>637</v>
      </c>
      <c r="M120" s="56">
        <v>44936</v>
      </c>
      <c r="N120" s="56">
        <v>44938</v>
      </c>
      <c r="O120" s="56">
        <v>2</v>
      </c>
      <c r="P120" s="56" t="s">
        <v>682</v>
      </c>
      <c r="Q120" s="56">
        <v>1</v>
      </c>
      <c r="R120" s="56" t="s">
        <v>809</v>
      </c>
      <c r="S120" s="56" t="s">
        <v>642</v>
      </c>
      <c r="T120" s="56" t="s">
        <v>643</v>
      </c>
      <c r="U120" s="56" t="s">
        <v>648</v>
      </c>
      <c r="V120" s="56" t="s">
        <v>643</v>
      </c>
      <c r="W120" s="56">
        <v>46</v>
      </c>
      <c r="X120" s="56" t="s">
        <v>811</v>
      </c>
      <c r="Y120" s="56">
        <v>141</v>
      </c>
      <c r="Z120" s="56" t="s">
        <v>649</v>
      </c>
      <c r="AA120" s="56" t="s">
        <v>650</v>
      </c>
      <c r="AB120" s="56" t="s">
        <v>652</v>
      </c>
      <c r="AC120" s="56" t="s">
        <v>643</v>
      </c>
      <c r="AD120" s="56" t="s">
        <v>642</v>
      </c>
      <c r="AL120" s="56">
        <v>98</v>
      </c>
      <c r="AM120" s="56" t="s">
        <v>645</v>
      </c>
      <c r="AN120" s="56" t="s">
        <v>646</v>
      </c>
      <c r="AO120" s="56" t="s">
        <v>647</v>
      </c>
      <c r="AP120" s="56" t="s">
        <v>643</v>
      </c>
      <c r="AQ120" s="56" t="s">
        <v>648</v>
      </c>
      <c r="AR120" s="56">
        <v>98</v>
      </c>
      <c r="AS120" s="56" t="s">
        <v>645</v>
      </c>
      <c r="AT120" s="56" t="s">
        <v>646</v>
      </c>
      <c r="AU120" s="56" t="s">
        <v>643</v>
      </c>
      <c r="AV120" s="56" t="s">
        <v>648</v>
      </c>
      <c r="AW120" s="56">
        <v>378</v>
      </c>
      <c r="AX120" s="56" t="s">
        <v>1325</v>
      </c>
      <c r="AY120" s="56">
        <v>90</v>
      </c>
      <c r="AZ120" s="56" t="s">
        <v>1326</v>
      </c>
      <c r="BA120" s="56" t="s">
        <v>1327</v>
      </c>
      <c r="BB120" s="56" t="s">
        <v>1306</v>
      </c>
      <c r="BC120" s="56">
        <v>134</v>
      </c>
      <c r="BD120" s="56" t="s">
        <v>1307</v>
      </c>
      <c r="BE120" s="56" t="s">
        <v>1308</v>
      </c>
      <c r="BF120" s="56">
        <v>134</v>
      </c>
      <c r="BG120" s="56" t="s">
        <v>1307</v>
      </c>
      <c r="BH120" s="56" t="s">
        <v>1308</v>
      </c>
      <c r="BI120" s="56">
        <v>47.79</v>
      </c>
      <c r="BJ120" s="56">
        <v>101011.33</v>
      </c>
      <c r="BK120" s="56">
        <v>47.79</v>
      </c>
      <c r="BL120" s="56" t="s">
        <v>1430</v>
      </c>
      <c r="BM120" s="56">
        <v>3102</v>
      </c>
      <c r="BN120" s="56" t="s">
        <v>786</v>
      </c>
      <c r="BO120" s="56" t="s">
        <v>911</v>
      </c>
      <c r="BP120" s="56">
        <v>5256.9</v>
      </c>
      <c r="BQ120" s="56">
        <v>5208.3</v>
      </c>
      <c r="BR120" s="56">
        <v>0</v>
      </c>
      <c r="BS120" s="56">
        <v>0</v>
      </c>
      <c r="BT120" s="56">
        <v>4491.45</v>
      </c>
      <c r="BU120" s="56">
        <v>305607</v>
      </c>
      <c r="BV120" s="56">
        <v>98</v>
      </c>
      <c r="BW120" s="56" t="s">
        <v>645</v>
      </c>
      <c r="BX120" s="56" t="s">
        <v>1452</v>
      </c>
      <c r="BY120" s="56" t="s">
        <v>663</v>
      </c>
      <c r="BZ120" s="56">
        <v>0.25</v>
      </c>
      <c r="CA120" s="56" t="s">
        <v>664</v>
      </c>
      <c r="CB120" s="56" t="s">
        <v>1453</v>
      </c>
      <c r="CC120" s="56" t="s">
        <v>1433</v>
      </c>
      <c r="CD120" s="56" t="s">
        <v>667</v>
      </c>
      <c r="CF120" s="56">
        <v>0</v>
      </c>
      <c r="CG120" s="56">
        <v>0</v>
      </c>
      <c r="CH120" s="56">
        <v>110</v>
      </c>
      <c r="CI120" s="56">
        <v>95</v>
      </c>
      <c r="CJ120" s="56">
        <v>13.76</v>
      </c>
      <c r="CK120" s="56">
        <v>5208.3</v>
      </c>
      <c r="CL120" s="56">
        <v>4491.45</v>
      </c>
      <c r="CM120" s="56">
        <v>0</v>
      </c>
      <c r="CN120" s="56">
        <v>0</v>
      </c>
      <c r="CO120" s="56">
        <v>0</v>
      </c>
      <c r="CP120" s="56">
        <v>48.6</v>
      </c>
      <c r="CQ120" s="56" t="s">
        <v>668</v>
      </c>
      <c r="CR120" s="56">
        <v>0</v>
      </c>
      <c r="CS120" s="56">
        <v>48.6</v>
      </c>
      <c r="CT120" s="56" t="s">
        <v>669</v>
      </c>
      <c r="CU120" s="56">
        <v>0</v>
      </c>
      <c r="CV120" s="56">
        <v>0</v>
      </c>
      <c r="CX120" s="56">
        <v>716.85</v>
      </c>
      <c r="CY120" s="56">
        <v>0</v>
      </c>
      <c r="CZ120" s="56">
        <v>165.68</v>
      </c>
      <c r="DA120" s="56">
        <v>481.77</v>
      </c>
      <c r="DB120" s="56">
        <v>316.08999999999997</v>
      </c>
      <c r="DC120" s="56">
        <v>5042.62</v>
      </c>
      <c r="DD120" s="56">
        <v>-33.369999999999997</v>
      </c>
      <c r="DE120" s="56">
        <v>0</v>
      </c>
      <c r="DF120" s="56">
        <v>17.14</v>
      </c>
      <c r="DG120" s="56">
        <v>50.51</v>
      </c>
      <c r="DH120" s="56" t="s">
        <v>670</v>
      </c>
      <c r="DI120" s="56" t="s">
        <v>671</v>
      </c>
      <c r="DK120" s="56">
        <v>11.12</v>
      </c>
      <c r="DL120" s="56">
        <v>584.54</v>
      </c>
      <c r="DO120" s="56" t="s">
        <v>236</v>
      </c>
      <c r="DP120" s="56" t="s">
        <v>673</v>
      </c>
      <c r="DQ120" s="56" t="s">
        <v>674</v>
      </c>
      <c r="DR120" s="56">
        <v>2</v>
      </c>
      <c r="DX120" s="56" t="s">
        <v>678</v>
      </c>
      <c r="DY120" s="56" t="s">
        <v>679</v>
      </c>
      <c r="EL120" s="56">
        <v>15</v>
      </c>
      <c r="EM120" s="56">
        <v>15</v>
      </c>
      <c r="EN120" s="56">
        <v>1622</v>
      </c>
      <c r="EO120" s="56">
        <v>2430</v>
      </c>
      <c r="EP120" s="56">
        <v>6811</v>
      </c>
      <c r="EQ120" s="56" t="s">
        <v>1434</v>
      </c>
      <c r="ER120" s="56" t="s">
        <v>1435</v>
      </c>
      <c r="ES120" s="56">
        <v>2</v>
      </c>
      <c r="ET120" s="56" t="s">
        <v>682</v>
      </c>
      <c r="EU120" s="56" t="s">
        <v>683</v>
      </c>
      <c r="EV120" s="56" t="s">
        <v>683</v>
      </c>
      <c r="FD120" s="56" t="s">
        <v>1454</v>
      </c>
      <c r="FK120" s="56">
        <v>0</v>
      </c>
    </row>
    <row r="121" spans="1:167" x14ac:dyDescent="0.2">
      <c r="A121" s="56">
        <v>29730</v>
      </c>
      <c r="B121" s="56">
        <v>1</v>
      </c>
      <c r="C121" s="56">
        <v>5352</v>
      </c>
      <c r="D121" s="56" t="s">
        <v>634</v>
      </c>
      <c r="E121" s="56" t="s">
        <v>635</v>
      </c>
      <c r="K121" s="56" t="s">
        <v>1455</v>
      </c>
      <c r="L121" s="56" t="s">
        <v>637</v>
      </c>
      <c r="M121" s="56">
        <v>44936</v>
      </c>
      <c r="N121" s="56">
        <v>44938</v>
      </c>
      <c r="O121" s="56">
        <v>2</v>
      </c>
      <c r="P121" s="56" t="s">
        <v>682</v>
      </c>
      <c r="Q121" s="56">
        <v>1</v>
      </c>
      <c r="R121" s="56" t="s">
        <v>809</v>
      </c>
      <c r="S121" s="56" t="s">
        <v>642</v>
      </c>
      <c r="T121" s="56" t="s">
        <v>643</v>
      </c>
      <c r="U121" s="56" t="s">
        <v>648</v>
      </c>
      <c r="V121" s="56" t="s">
        <v>643</v>
      </c>
      <c r="W121" s="56">
        <v>46</v>
      </c>
      <c r="X121" s="56" t="s">
        <v>811</v>
      </c>
      <c r="Y121" s="56">
        <v>141</v>
      </c>
      <c r="Z121" s="56" t="s">
        <v>649</v>
      </c>
      <c r="AA121" s="56" t="s">
        <v>650</v>
      </c>
      <c r="AB121" s="56" t="s">
        <v>652</v>
      </c>
      <c r="AC121" s="56" t="s">
        <v>643</v>
      </c>
      <c r="AD121" s="56" t="s">
        <v>642</v>
      </c>
      <c r="AL121" s="56">
        <v>98</v>
      </c>
      <c r="AM121" s="56" t="s">
        <v>645</v>
      </c>
      <c r="AN121" s="56" t="s">
        <v>646</v>
      </c>
      <c r="AO121" s="56" t="s">
        <v>647</v>
      </c>
      <c r="AP121" s="56" t="s">
        <v>643</v>
      </c>
      <c r="AQ121" s="56" t="s">
        <v>648</v>
      </c>
      <c r="AR121" s="56">
        <v>98</v>
      </c>
      <c r="AS121" s="56" t="s">
        <v>645</v>
      </c>
      <c r="AT121" s="56" t="s">
        <v>646</v>
      </c>
      <c r="AU121" s="56" t="s">
        <v>643</v>
      </c>
      <c r="AV121" s="56" t="s">
        <v>648</v>
      </c>
      <c r="AW121" s="56">
        <v>150</v>
      </c>
      <c r="AX121" s="56" t="s">
        <v>1456</v>
      </c>
      <c r="AY121" s="56">
        <v>776</v>
      </c>
      <c r="AZ121" s="56" t="s">
        <v>1457</v>
      </c>
      <c r="BA121" s="56" t="s">
        <v>1458</v>
      </c>
      <c r="BB121" s="56" t="s">
        <v>1306</v>
      </c>
      <c r="BC121" s="56">
        <v>134</v>
      </c>
      <c r="BD121" s="56" t="s">
        <v>1307</v>
      </c>
      <c r="BE121" s="56" t="s">
        <v>1308</v>
      </c>
      <c r="BF121" s="56">
        <v>134</v>
      </c>
      <c r="BG121" s="56" t="s">
        <v>1307</v>
      </c>
      <c r="BH121" s="56" t="s">
        <v>1308</v>
      </c>
      <c r="BI121" s="56">
        <v>48.03</v>
      </c>
      <c r="BJ121" s="56">
        <v>98620.96</v>
      </c>
      <c r="BK121" s="56">
        <v>48.03</v>
      </c>
      <c r="BL121" s="56" t="s">
        <v>1430</v>
      </c>
      <c r="BM121" s="56">
        <v>3102</v>
      </c>
      <c r="BN121" s="56" t="s">
        <v>660</v>
      </c>
      <c r="BO121" s="56" t="s">
        <v>706</v>
      </c>
      <c r="BP121" s="56">
        <v>5283.3</v>
      </c>
      <c r="BQ121" s="56">
        <v>5234.7</v>
      </c>
      <c r="BR121" s="56">
        <v>0</v>
      </c>
      <c r="BS121" s="56">
        <v>0</v>
      </c>
      <c r="BT121" s="56">
        <v>4514.25</v>
      </c>
      <c r="BU121" s="56">
        <v>305625</v>
      </c>
      <c r="BV121" s="56">
        <v>98</v>
      </c>
      <c r="BW121" s="56" t="s">
        <v>645</v>
      </c>
      <c r="BX121" s="56" t="s">
        <v>1459</v>
      </c>
      <c r="BY121" s="56" t="s">
        <v>663</v>
      </c>
      <c r="BZ121" s="56">
        <v>0.25</v>
      </c>
      <c r="CA121" s="56" t="s">
        <v>664</v>
      </c>
      <c r="CB121" s="56" t="s">
        <v>1432</v>
      </c>
      <c r="CC121" s="56" t="s">
        <v>1433</v>
      </c>
      <c r="CD121" s="56" t="s">
        <v>667</v>
      </c>
      <c r="CF121" s="56">
        <v>0</v>
      </c>
      <c r="CG121" s="56">
        <v>0</v>
      </c>
      <c r="CH121" s="56">
        <v>110</v>
      </c>
      <c r="CI121" s="56">
        <v>95</v>
      </c>
      <c r="CJ121" s="56">
        <v>13.76</v>
      </c>
      <c r="CK121" s="56">
        <v>5234.7</v>
      </c>
      <c r="CL121" s="56">
        <v>4514.25</v>
      </c>
      <c r="CM121" s="56">
        <v>8.5500000000000007</v>
      </c>
      <c r="CN121" s="56">
        <v>0</v>
      </c>
      <c r="CO121" s="56">
        <v>0</v>
      </c>
      <c r="CP121" s="56">
        <v>48.6</v>
      </c>
      <c r="CQ121" s="56" t="s">
        <v>668</v>
      </c>
      <c r="CR121" s="56">
        <v>0</v>
      </c>
      <c r="CS121" s="56">
        <v>48.6</v>
      </c>
      <c r="CT121" s="56" t="s">
        <v>669</v>
      </c>
      <c r="CU121" s="56">
        <v>0</v>
      </c>
      <c r="CV121" s="56">
        <v>0</v>
      </c>
      <c r="CX121" s="56">
        <v>720.45</v>
      </c>
      <c r="CY121" s="56">
        <v>0</v>
      </c>
      <c r="CZ121" s="56">
        <v>166.53</v>
      </c>
      <c r="DA121" s="56">
        <v>484.21</v>
      </c>
      <c r="DB121" s="56">
        <v>317.68</v>
      </c>
      <c r="DC121" s="56">
        <v>5068.17</v>
      </c>
      <c r="DD121" s="56">
        <v>-32.58</v>
      </c>
      <c r="DE121" s="56">
        <v>0</v>
      </c>
      <c r="DF121" s="56">
        <v>16.73</v>
      </c>
      <c r="DG121" s="56">
        <v>49.31</v>
      </c>
      <c r="DH121" s="56" t="s">
        <v>670</v>
      </c>
      <c r="DI121" s="56" t="s">
        <v>671</v>
      </c>
      <c r="DK121" s="56">
        <v>11.1</v>
      </c>
      <c r="DL121" s="56">
        <v>586.5</v>
      </c>
      <c r="DO121" s="56" t="s">
        <v>236</v>
      </c>
      <c r="DP121" s="56" t="s">
        <v>673</v>
      </c>
      <c r="DQ121" s="56" t="s">
        <v>674</v>
      </c>
      <c r="DR121" s="56">
        <v>2</v>
      </c>
      <c r="DX121" s="56" t="s">
        <v>678</v>
      </c>
      <c r="DY121" s="56" t="s">
        <v>679</v>
      </c>
      <c r="ED121" s="56">
        <v>1</v>
      </c>
      <c r="EE121" s="56" t="s">
        <v>809</v>
      </c>
      <c r="EF121" s="56">
        <v>1</v>
      </c>
      <c r="EG121" s="56" t="s">
        <v>809</v>
      </c>
      <c r="EH121" s="56">
        <v>1</v>
      </c>
      <c r="EI121" s="56" t="s">
        <v>809</v>
      </c>
      <c r="EJ121" s="56">
        <v>1</v>
      </c>
      <c r="EK121" s="56" t="s">
        <v>809</v>
      </c>
      <c r="EL121" s="56">
        <v>15</v>
      </c>
      <c r="EM121" s="56">
        <v>15</v>
      </c>
      <c r="EN121" s="56">
        <v>1622</v>
      </c>
      <c r="EO121" s="56">
        <v>2430</v>
      </c>
      <c r="EP121" s="56">
        <v>6811</v>
      </c>
      <c r="EQ121" s="56" t="s">
        <v>1434</v>
      </c>
      <c r="ER121" s="56" t="s">
        <v>1435</v>
      </c>
      <c r="ES121" s="56">
        <v>2</v>
      </c>
      <c r="ET121" s="56" t="s">
        <v>682</v>
      </c>
      <c r="EU121" s="56" t="s">
        <v>683</v>
      </c>
      <c r="EV121" s="56" t="s">
        <v>683</v>
      </c>
      <c r="FD121" s="56" t="s">
        <v>1460</v>
      </c>
      <c r="FK121" s="56">
        <v>0</v>
      </c>
    </row>
    <row r="122" spans="1:167" x14ac:dyDescent="0.2">
      <c r="A122" s="56">
        <v>29075</v>
      </c>
      <c r="B122" s="56">
        <v>2</v>
      </c>
      <c r="C122" s="56">
        <v>6352</v>
      </c>
      <c r="D122" s="56" t="s">
        <v>634</v>
      </c>
      <c r="E122" s="56" t="s">
        <v>635</v>
      </c>
      <c r="K122" s="56" t="s">
        <v>1461</v>
      </c>
      <c r="L122" s="56" t="s">
        <v>637</v>
      </c>
      <c r="M122" s="56">
        <v>44937</v>
      </c>
      <c r="N122" s="56">
        <v>44939</v>
      </c>
      <c r="O122" s="56">
        <v>38</v>
      </c>
      <c r="P122" s="56" t="s">
        <v>638</v>
      </c>
      <c r="Q122" s="56">
        <v>2</v>
      </c>
      <c r="R122" s="56" t="s">
        <v>639</v>
      </c>
      <c r="S122" s="56" t="s">
        <v>893</v>
      </c>
      <c r="T122" s="56" t="s">
        <v>641</v>
      </c>
      <c r="U122" s="56" t="s">
        <v>735</v>
      </c>
      <c r="V122" s="56" t="s">
        <v>643</v>
      </c>
      <c r="W122" s="56">
        <v>48</v>
      </c>
      <c r="X122" s="56" t="s">
        <v>699</v>
      </c>
      <c r="Y122" s="56">
        <v>90</v>
      </c>
      <c r="Z122" s="56" t="s">
        <v>894</v>
      </c>
      <c r="AA122" s="56" t="s">
        <v>895</v>
      </c>
      <c r="AB122" s="56" t="s">
        <v>896</v>
      </c>
      <c r="AC122" s="56" t="s">
        <v>641</v>
      </c>
      <c r="AD122" s="56" t="s">
        <v>893</v>
      </c>
      <c r="AE122" s="56">
        <v>91</v>
      </c>
      <c r="AF122" s="56" t="s">
        <v>736</v>
      </c>
      <c r="AG122" s="56" t="s">
        <v>737</v>
      </c>
      <c r="AH122" s="56" t="s">
        <v>643</v>
      </c>
      <c r="AI122" s="56" t="s">
        <v>735</v>
      </c>
      <c r="AJ122" s="56">
        <v>90</v>
      </c>
      <c r="AK122" s="56" t="s">
        <v>894</v>
      </c>
      <c r="AL122" s="56">
        <v>91</v>
      </c>
      <c r="AM122" s="56" t="s">
        <v>736</v>
      </c>
      <c r="AN122" s="56" t="s">
        <v>737</v>
      </c>
      <c r="AO122" s="56" t="s">
        <v>738</v>
      </c>
      <c r="AP122" s="56" t="s">
        <v>643</v>
      </c>
      <c r="AQ122" s="56" t="s">
        <v>735</v>
      </c>
      <c r="AR122" s="56">
        <v>98</v>
      </c>
      <c r="AS122" s="56" t="s">
        <v>645</v>
      </c>
      <c r="AT122" s="56" t="s">
        <v>646</v>
      </c>
      <c r="AU122" s="56" t="s">
        <v>643</v>
      </c>
      <c r="AV122" s="56" t="s">
        <v>648</v>
      </c>
      <c r="AW122" s="56">
        <v>109</v>
      </c>
      <c r="AX122" s="56" t="s">
        <v>826</v>
      </c>
      <c r="AY122" s="56">
        <v>20</v>
      </c>
      <c r="AZ122" s="56" t="s">
        <v>30</v>
      </c>
      <c r="BA122" s="56" t="s">
        <v>827</v>
      </c>
      <c r="BB122" s="56" t="s">
        <v>770</v>
      </c>
      <c r="BC122" s="56">
        <v>38</v>
      </c>
      <c r="BD122" s="56" t="s">
        <v>289</v>
      </c>
      <c r="BE122" s="56" t="s">
        <v>771</v>
      </c>
      <c r="BF122" s="56">
        <v>2</v>
      </c>
      <c r="BG122" s="56" t="s">
        <v>289</v>
      </c>
      <c r="BH122" s="56" t="s">
        <v>772</v>
      </c>
      <c r="BI122" s="56">
        <v>46.72</v>
      </c>
      <c r="BJ122" s="56">
        <v>120391.83</v>
      </c>
      <c r="BK122" s="56">
        <v>46720</v>
      </c>
      <c r="BL122" s="56" t="s">
        <v>897</v>
      </c>
      <c r="BM122" s="56">
        <v>3102</v>
      </c>
      <c r="BN122" s="56" t="s">
        <v>724</v>
      </c>
      <c r="BO122" s="56" t="s">
        <v>725</v>
      </c>
      <c r="BP122" s="56">
        <v>6774.4</v>
      </c>
      <c r="BQ122" s="56">
        <v>5888.57</v>
      </c>
      <c r="BR122" s="56">
        <v>0</v>
      </c>
      <c r="BS122" s="56">
        <v>0</v>
      </c>
      <c r="BT122" s="56">
        <v>0</v>
      </c>
      <c r="BU122" s="56">
        <v>719462</v>
      </c>
      <c r="BV122" s="56">
        <v>98</v>
      </c>
      <c r="BW122" s="56" t="s">
        <v>645</v>
      </c>
      <c r="BX122" s="56" t="s">
        <v>1462</v>
      </c>
      <c r="BY122" s="56" t="s">
        <v>663</v>
      </c>
      <c r="BZ122" s="56">
        <v>0.25</v>
      </c>
      <c r="CA122" s="56" t="s">
        <v>664</v>
      </c>
      <c r="CB122" s="56" t="s">
        <v>899</v>
      </c>
      <c r="CD122" s="56" t="s">
        <v>667</v>
      </c>
      <c r="CG122" s="56">
        <v>0</v>
      </c>
      <c r="CH122" s="56">
        <v>145</v>
      </c>
      <c r="CJ122" s="56">
        <v>100</v>
      </c>
      <c r="CK122" s="56">
        <v>5888.57</v>
      </c>
      <c r="CL122" s="56">
        <v>0</v>
      </c>
      <c r="CN122" s="56">
        <v>812.93</v>
      </c>
      <c r="CO122" s="56">
        <v>812.93</v>
      </c>
      <c r="CP122" s="56">
        <v>72.900000000000006</v>
      </c>
      <c r="CQ122" s="56" t="s">
        <v>668</v>
      </c>
      <c r="CR122" s="56">
        <v>0</v>
      </c>
      <c r="CS122" s="56">
        <v>0</v>
      </c>
      <c r="CV122" s="56">
        <v>0</v>
      </c>
      <c r="CX122" s="56">
        <v>0</v>
      </c>
      <c r="CY122" s="56">
        <v>0</v>
      </c>
      <c r="CZ122" s="56">
        <v>544.69000000000005</v>
      </c>
      <c r="DA122" s="56">
        <v>544.69000000000005</v>
      </c>
      <c r="DB122" s="56">
        <v>0</v>
      </c>
      <c r="DC122" s="56">
        <v>5343.88</v>
      </c>
      <c r="DD122" s="56">
        <v>20.68</v>
      </c>
      <c r="DE122" s="56">
        <v>0</v>
      </c>
      <c r="DF122" s="56">
        <v>20.68</v>
      </c>
      <c r="DH122" s="56" t="s">
        <v>670</v>
      </c>
      <c r="DI122" s="56" t="s">
        <v>671</v>
      </c>
      <c r="DK122" s="56">
        <v>79.650000000000006</v>
      </c>
      <c r="DL122" s="56">
        <v>5396.1</v>
      </c>
      <c r="DM122" s="56">
        <v>67</v>
      </c>
      <c r="DN122" s="56" t="s">
        <v>900</v>
      </c>
      <c r="DO122" s="56" t="s">
        <v>236</v>
      </c>
      <c r="DQ122" s="56" t="s">
        <v>674</v>
      </c>
      <c r="DR122" s="56">
        <v>3</v>
      </c>
      <c r="DW122" s="56">
        <v>280</v>
      </c>
      <c r="DX122" s="56" t="s">
        <v>678</v>
      </c>
      <c r="DY122" s="56" t="s">
        <v>679</v>
      </c>
      <c r="EL122" s="56">
        <v>25</v>
      </c>
      <c r="EM122" s="56">
        <v>15</v>
      </c>
      <c r="EN122" s="56">
        <v>4779</v>
      </c>
      <c r="EO122" s="56">
        <v>1805</v>
      </c>
      <c r="EP122" s="56">
        <v>6813</v>
      </c>
      <c r="EQ122" s="56" t="s">
        <v>901</v>
      </c>
      <c r="ER122" s="56" t="s">
        <v>902</v>
      </c>
      <c r="ES122" s="56">
        <v>2</v>
      </c>
      <c r="ET122" s="56" t="s">
        <v>682</v>
      </c>
      <c r="EU122" s="56" t="s">
        <v>683</v>
      </c>
      <c r="EV122" s="56" t="s">
        <v>683</v>
      </c>
      <c r="FD122" s="56" t="s">
        <v>1463</v>
      </c>
      <c r="FK122" s="56">
        <v>0</v>
      </c>
    </row>
    <row r="123" spans="1:167" x14ac:dyDescent="0.2">
      <c r="A123" s="56">
        <v>29076</v>
      </c>
      <c r="B123" s="56">
        <v>2</v>
      </c>
      <c r="C123" s="56">
        <v>6352</v>
      </c>
      <c r="D123" s="56" t="s">
        <v>634</v>
      </c>
      <c r="E123" s="56" t="s">
        <v>635</v>
      </c>
      <c r="K123" s="56" t="s">
        <v>1464</v>
      </c>
      <c r="L123" s="56" t="s">
        <v>637</v>
      </c>
      <c r="M123" s="56">
        <v>44937</v>
      </c>
      <c r="N123" s="56">
        <v>44939</v>
      </c>
      <c r="O123" s="56">
        <v>38</v>
      </c>
      <c r="P123" s="56" t="s">
        <v>638</v>
      </c>
      <c r="Q123" s="56">
        <v>2</v>
      </c>
      <c r="R123" s="56" t="s">
        <v>639</v>
      </c>
      <c r="S123" s="56" t="s">
        <v>893</v>
      </c>
      <c r="T123" s="56" t="s">
        <v>641</v>
      </c>
      <c r="U123" s="56" t="s">
        <v>642</v>
      </c>
      <c r="V123" s="56" t="s">
        <v>643</v>
      </c>
      <c r="W123" s="56">
        <v>48</v>
      </c>
      <c r="X123" s="56" t="s">
        <v>699</v>
      </c>
      <c r="Y123" s="56">
        <v>90</v>
      </c>
      <c r="Z123" s="56" t="s">
        <v>894</v>
      </c>
      <c r="AA123" s="56" t="s">
        <v>895</v>
      </c>
      <c r="AB123" s="56" t="s">
        <v>896</v>
      </c>
      <c r="AC123" s="56" t="s">
        <v>641</v>
      </c>
      <c r="AD123" s="56" t="s">
        <v>893</v>
      </c>
      <c r="AE123" s="56">
        <v>141</v>
      </c>
      <c r="AF123" s="56" t="s">
        <v>649</v>
      </c>
      <c r="AG123" s="56" t="s">
        <v>650</v>
      </c>
      <c r="AH123" s="56" t="s">
        <v>643</v>
      </c>
      <c r="AI123" s="56" t="s">
        <v>642</v>
      </c>
      <c r="AJ123" s="56">
        <v>90</v>
      </c>
      <c r="AK123" s="56" t="s">
        <v>894</v>
      </c>
      <c r="AL123" s="56">
        <v>141</v>
      </c>
      <c r="AM123" s="56" t="s">
        <v>649</v>
      </c>
      <c r="AN123" s="56" t="s">
        <v>650</v>
      </c>
      <c r="AO123" s="56" t="s">
        <v>652</v>
      </c>
      <c r="AP123" s="56" t="s">
        <v>643</v>
      </c>
      <c r="AQ123" s="56" t="s">
        <v>642</v>
      </c>
      <c r="AR123" s="56">
        <v>98</v>
      </c>
      <c r="AS123" s="56" t="s">
        <v>645</v>
      </c>
      <c r="AT123" s="56" t="s">
        <v>646</v>
      </c>
      <c r="AU123" s="56" t="s">
        <v>643</v>
      </c>
      <c r="AV123" s="56" t="s">
        <v>648</v>
      </c>
      <c r="AW123" s="56">
        <v>122</v>
      </c>
      <c r="AX123" s="56" t="s">
        <v>768</v>
      </c>
      <c r="AY123" s="56">
        <v>69</v>
      </c>
      <c r="AZ123" s="56" t="s">
        <v>26</v>
      </c>
      <c r="BA123" s="56" t="s">
        <v>769</v>
      </c>
      <c r="BB123" s="56" t="s">
        <v>770</v>
      </c>
      <c r="BC123" s="56">
        <v>38</v>
      </c>
      <c r="BD123" s="56" t="s">
        <v>289</v>
      </c>
      <c r="BE123" s="56" t="s">
        <v>771</v>
      </c>
      <c r="BF123" s="56">
        <v>2</v>
      </c>
      <c r="BG123" s="56" t="s">
        <v>289</v>
      </c>
      <c r="BH123" s="56" t="s">
        <v>772</v>
      </c>
      <c r="BI123" s="56">
        <v>47.43</v>
      </c>
      <c r="BJ123" s="56">
        <v>122221.42</v>
      </c>
      <c r="BK123" s="56">
        <v>47430</v>
      </c>
      <c r="BL123" s="56" t="s">
        <v>897</v>
      </c>
      <c r="BM123" s="56">
        <v>3102</v>
      </c>
      <c r="BN123" s="56" t="s">
        <v>724</v>
      </c>
      <c r="BO123" s="56" t="s">
        <v>773</v>
      </c>
      <c r="BP123" s="56">
        <v>7825.95</v>
      </c>
      <c r="BQ123" s="56">
        <v>6813.94</v>
      </c>
      <c r="BR123" s="56">
        <v>0</v>
      </c>
      <c r="BS123" s="56">
        <v>0</v>
      </c>
      <c r="BT123" s="56">
        <v>0</v>
      </c>
      <c r="BU123" s="56">
        <v>719470</v>
      </c>
      <c r="BV123" s="56">
        <v>98</v>
      </c>
      <c r="BW123" s="56" t="s">
        <v>645</v>
      </c>
      <c r="BX123" s="56" t="s">
        <v>1465</v>
      </c>
      <c r="BY123" s="56" t="s">
        <v>663</v>
      </c>
      <c r="BZ123" s="56">
        <v>0.25</v>
      </c>
      <c r="CA123" s="56" t="s">
        <v>664</v>
      </c>
      <c r="CB123" s="56" t="s">
        <v>899</v>
      </c>
      <c r="CD123" s="56" t="s">
        <v>667</v>
      </c>
      <c r="CG123" s="56">
        <v>0</v>
      </c>
      <c r="CH123" s="56">
        <v>165</v>
      </c>
      <c r="CJ123" s="56">
        <v>100</v>
      </c>
      <c r="CK123" s="56">
        <v>6813.94</v>
      </c>
      <c r="CL123" s="56">
        <v>0</v>
      </c>
      <c r="CN123" s="56">
        <v>939.11</v>
      </c>
      <c r="CO123" s="56">
        <v>939.11</v>
      </c>
      <c r="CP123" s="56">
        <v>72.900000000000006</v>
      </c>
      <c r="CQ123" s="56" t="s">
        <v>668</v>
      </c>
      <c r="CR123" s="56">
        <v>0</v>
      </c>
      <c r="CS123" s="56">
        <v>0</v>
      </c>
      <c r="CV123" s="56">
        <v>0</v>
      </c>
      <c r="CX123" s="56">
        <v>0</v>
      </c>
      <c r="CY123" s="56">
        <v>0</v>
      </c>
      <c r="CZ123" s="56">
        <v>630.29</v>
      </c>
      <c r="DA123" s="56">
        <v>630.29</v>
      </c>
      <c r="DB123" s="56">
        <v>0</v>
      </c>
      <c r="DC123" s="56">
        <v>6183.65</v>
      </c>
      <c r="DD123" s="56">
        <v>21</v>
      </c>
      <c r="DE123" s="56">
        <v>0</v>
      </c>
      <c r="DF123" s="56">
        <v>21</v>
      </c>
      <c r="DH123" s="56" t="s">
        <v>670</v>
      </c>
      <c r="DI123" s="56" t="s">
        <v>671</v>
      </c>
      <c r="DK123" s="56">
        <v>79.680000000000007</v>
      </c>
      <c r="DL123" s="56">
        <v>6235.55</v>
      </c>
      <c r="DM123" s="56">
        <v>40</v>
      </c>
      <c r="DN123" s="56">
        <v>761806</v>
      </c>
      <c r="DO123" s="56" t="s">
        <v>236</v>
      </c>
      <c r="DQ123" s="56" t="s">
        <v>674</v>
      </c>
      <c r="DR123" s="56">
        <v>3</v>
      </c>
      <c r="DW123" s="56">
        <v>370</v>
      </c>
      <c r="DX123" s="56" t="s">
        <v>678</v>
      </c>
      <c r="DY123" s="56" t="s">
        <v>679</v>
      </c>
      <c r="EL123" s="56">
        <v>25</v>
      </c>
      <c r="EM123" s="56">
        <v>15</v>
      </c>
      <c r="EN123" s="56">
        <v>4779</v>
      </c>
      <c r="EO123" s="56">
        <v>1622</v>
      </c>
      <c r="EP123" s="56">
        <v>6813</v>
      </c>
      <c r="EQ123" s="56" t="s">
        <v>1092</v>
      </c>
      <c r="ER123" s="56" t="s">
        <v>928</v>
      </c>
      <c r="ES123" s="56">
        <v>2</v>
      </c>
      <c r="ET123" s="56" t="s">
        <v>682</v>
      </c>
      <c r="EU123" s="56" t="s">
        <v>683</v>
      </c>
      <c r="EV123" s="56" t="s">
        <v>683</v>
      </c>
      <c r="FD123" s="56" t="s">
        <v>1466</v>
      </c>
      <c r="FK123" s="56">
        <v>0</v>
      </c>
    </row>
    <row r="124" spans="1:167" x14ac:dyDescent="0.2">
      <c r="A124" s="56">
        <v>29077</v>
      </c>
      <c r="B124" s="56">
        <v>2</v>
      </c>
      <c r="C124" s="56">
        <v>6352</v>
      </c>
      <c r="D124" s="56" t="s">
        <v>634</v>
      </c>
      <c r="E124" s="56" t="s">
        <v>635</v>
      </c>
      <c r="K124" s="56" t="s">
        <v>1467</v>
      </c>
      <c r="L124" s="56" t="s">
        <v>637</v>
      </c>
      <c r="M124" s="56">
        <v>44937</v>
      </c>
      <c r="N124" s="56">
        <v>44939</v>
      </c>
      <c r="O124" s="56">
        <v>38</v>
      </c>
      <c r="P124" s="56" t="s">
        <v>638</v>
      </c>
      <c r="Q124" s="56">
        <v>2</v>
      </c>
      <c r="R124" s="56" t="s">
        <v>639</v>
      </c>
      <c r="S124" s="56" t="s">
        <v>893</v>
      </c>
      <c r="T124" s="56" t="s">
        <v>641</v>
      </c>
      <c r="U124" s="56" t="s">
        <v>735</v>
      </c>
      <c r="V124" s="56" t="s">
        <v>643</v>
      </c>
      <c r="W124" s="56">
        <v>48</v>
      </c>
      <c r="X124" s="56" t="s">
        <v>699</v>
      </c>
      <c r="Y124" s="56">
        <v>162</v>
      </c>
      <c r="Z124" s="56" t="s">
        <v>1030</v>
      </c>
      <c r="AA124" s="56" t="s">
        <v>1031</v>
      </c>
      <c r="AB124" s="56" t="s">
        <v>1032</v>
      </c>
      <c r="AC124" s="56" t="s">
        <v>641</v>
      </c>
      <c r="AD124" s="56" t="s">
        <v>893</v>
      </c>
      <c r="AE124" s="56">
        <v>91</v>
      </c>
      <c r="AF124" s="56" t="s">
        <v>736</v>
      </c>
      <c r="AG124" s="56" t="s">
        <v>737</v>
      </c>
      <c r="AH124" s="56" t="s">
        <v>643</v>
      </c>
      <c r="AI124" s="56" t="s">
        <v>735</v>
      </c>
      <c r="AJ124" s="56">
        <v>162</v>
      </c>
      <c r="AK124" s="56" t="s">
        <v>1030</v>
      </c>
      <c r="AL124" s="56">
        <v>98</v>
      </c>
      <c r="AM124" s="56" t="s">
        <v>645</v>
      </c>
      <c r="AN124" s="56" t="s">
        <v>646</v>
      </c>
      <c r="AO124" s="56" t="s">
        <v>647</v>
      </c>
      <c r="AP124" s="56" t="s">
        <v>643</v>
      </c>
      <c r="AQ124" s="56" t="s">
        <v>648</v>
      </c>
      <c r="AR124" s="56">
        <v>162</v>
      </c>
      <c r="AS124" s="56" t="s">
        <v>1030</v>
      </c>
      <c r="AT124" s="56" t="s">
        <v>1031</v>
      </c>
      <c r="AU124" s="56" t="s">
        <v>641</v>
      </c>
      <c r="AV124" s="56" t="s">
        <v>893</v>
      </c>
      <c r="AW124" s="56">
        <v>115</v>
      </c>
      <c r="AX124" s="56" t="s">
        <v>853</v>
      </c>
      <c r="AY124" s="56">
        <v>55</v>
      </c>
      <c r="AZ124" s="56" t="s">
        <v>23</v>
      </c>
      <c r="BA124" s="56" t="s">
        <v>854</v>
      </c>
      <c r="BB124" s="56" t="s">
        <v>844</v>
      </c>
      <c r="BC124" s="56">
        <v>2</v>
      </c>
      <c r="BD124" s="56" t="s">
        <v>289</v>
      </c>
      <c r="BE124" s="56" t="s">
        <v>772</v>
      </c>
      <c r="BF124" s="56">
        <v>2</v>
      </c>
      <c r="BG124" s="56" t="s">
        <v>289</v>
      </c>
      <c r="BH124" s="56" t="s">
        <v>772</v>
      </c>
      <c r="BI124" s="56">
        <v>47.99</v>
      </c>
      <c r="BJ124" s="56">
        <v>192065.58</v>
      </c>
      <c r="BK124" s="56">
        <v>47.99</v>
      </c>
      <c r="BL124" s="56" t="s">
        <v>1039</v>
      </c>
      <c r="BM124" s="56">
        <v>3105</v>
      </c>
      <c r="BN124" s="56" t="s">
        <v>660</v>
      </c>
      <c r="BO124" s="56" t="s">
        <v>855</v>
      </c>
      <c r="BP124" s="56">
        <v>6142.72</v>
      </c>
      <c r="BQ124" s="56">
        <v>5332.69</v>
      </c>
      <c r="BR124" s="56">
        <v>0</v>
      </c>
      <c r="BS124" s="56">
        <v>0</v>
      </c>
      <c r="BT124" s="56">
        <v>0</v>
      </c>
      <c r="BU124" s="56">
        <v>37410</v>
      </c>
      <c r="BV124" s="56">
        <v>162</v>
      </c>
      <c r="BW124" s="56" t="s">
        <v>1030</v>
      </c>
      <c r="BX124" s="56" t="s">
        <v>1468</v>
      </c>
      <c r="BY124" s="56" t="s">
        <v>663</v>
      </c>
      <c r="BZ124" s="56">
        <v>0.25</v>
      </c>
      <c r="CA124" s="56" t="s">
        <v>664</v>
      </c>
      <c r="CB124" s="56" t="s">
        <v>1041</v>
      </c>
      <c r="CD124" s="56" t="s">
        <v>667</v>
      </c>
      <c r="CG124" s="56">
        <v>0</v>
      </c>
      <c r="CH124" s="56">
        <v>128</v>
      </c>
      <c r="CJ124" s="56">
        <v>100</v>
      </c>
      <c r="CK124" s="56">
        <v>5332.69</v>
      </c>
      <c r="CL124" s="56">
        <v>0</v>
      </c>
      <c r="CN124" s="56">
        <v>737.13</v>
      </c>
      <c r="CO124" s="56">
        <v>737.13</v>
      </c>
      <c r="CP124" s="56">
        <v>72.900000000000006</v>
      </c>
      <c r="CQ124" s="56" t="s">
        <v>668</v>
      </c>
      <c r="CR124" s="56">
        <v>0</v>
      </c>
      <c r="CS124" s="56">
        <v>0</v>
      </c>
      <c r="CV124" s="56">
        <v>0</v>
      </c>
      <c r="CX124" s="56">
        <v>0</v>
      </c>
      <c r="CY124" s="56">
        <v>0</v>
      </c>
      <c r="CZ124" s="56">
        <v>493.27</v>
      </c>
      <c r="DA124" s="56">
        <v>493.27</v>
      </c>
      <c r="DB124" s="56">
        <v>0</v>
      </c>
      <c r="DC124" s="56">
        <v>4839.42</v>
      </c>
      <c r="DD124" s="56">
        <v>33</v>
      </c>
      <c r="DE124" s="56">
        <v>0</v>
      </c>
      <c r="DF124" s="56">
        <v>33</v>
      </c>
      <c r="DH124" s="56" t="s">
        <v>670</v>
      </c>
      <c r="DI124" s="56" t="s">
        <v>671</v>
      </c>
      <c r="DK124" s="56">
        <v>79.430000000000007</v>
      </c>
      <c r="DL124" s="56">
        <v>4879.32</v>
      </c>
      <c r="DM124" s="56">
        <v>9</v>
      </c>
      <c r="DN124" s="56">
        <v>4500914985</v>
      </c>
      <c r="DO124" s="56" t="s">
        <v>236</v>
      </c>
      <c r="DQ124" s="56" t="s">
        <v>674</v>
      </c>
      <c r="DR124" s="56">
        <v>3</v>
      </c>
      <c r="DW124" s="56">
        <v>280</v>
      </c>
      <c r="DX124" s="56" t="s">
        <v>678</v>
      </c>
      <c r="DY124" s="56" t="s">
        <v>679</v>
      </c>
      <c r="EL124" s="56">
        <v>25</v>
      </c>
      <c r="EM124" s="56">
        <v>15</v>
      </c>
      <c r="EN124" s="56">
        <v>4779</v>
      </c>
      <c r="EO124" s="56">
        <v>1805</v>
      </c>
      <c r="EP124" s="56">
        <v>6814</v>
      </c>
      <c r="EQ124" s="56" t="s">
        <v>1046</v>
      </c>
      <c r="ER124" s="56" t="s">
        <v>902</v>
      </c>
      <c r="ES124" s="56">
        <v>2</v>
      </c>
      <c r="ET124" s="56" t="s">
        <v>682</v>
      </c>
      <c r="EU124" s="56" t="s">
        <v>683</v>
      </c>
      <c r="EV124" s="56" t="s">
        <v>683</v>
      </c>
      <c r="FD124" s="56" t="s">
        <v>1469</v>
      </c>
      <c r="FK124" s="56">
        <v>0</v>
      </c>
    </row>
    <row r="125" spans="1:167" x14ac:dyDescent="0.2">
      <c r="A125" s="56">
        <v>29078</v>
      </c>
      <c r="B125" s="56">
        <v>2</v>
      </c>
      <c r="C125" s="56">
        <v>6352</v>
      </c>
      <c r="D125" s="56" t="s">
        <v>634</v>
      </c>
      <c r="E125" s="56" t="s">
        <v>635</v>
      </c>
      <c r="K125" s="56" t="s">
        <v>1470</v>
      </c>
      <c r="L125" s="56" t="s">
        <v>637</v>
      </c>
      <c r="M125" s="56">
        <v>44937</v>
      </c>
      <c r="N125" s="56">
        <v>44939</v>
      </c>
      <c r="O125" s="56">
        <v>38</v>
      </c>
      <c r="P125" s="56" t="s">
        <v>638</v>
      </c>
      <c r="Q125" s="56">
        <v>2</v>
      </c>
      <c r="R125" s="56" t="s">
        <v>639</v>
      </c>
      <c r="S125" s="56" t="s">
        <v>893</v>
      </c>
      <c r="T125" s="56" t="s">
        <v>641</v>
      </c>
      <c r="U125" s="56" t="s">
        <v>735</v>
      </c>
      <c r="V125" s="56" t="s">
        <v>643</v>
      </c>
      <c r="W125" s="56">
        <v>48</v>
      </c>
      <c r="X125" s="56" t="s">
        <v>699</v>
      </c>
      <c r="Y125" s="56">
        <v>90</v>
      </c>
      <c r="Z125" s="56" t="s">
        <v>894</v>
      </c>
      <c r="AA125" s="56" t="s">
        <v>895</v>
      </c>
      <c r="AB125" s="56" t="s">
        <v>896</v>
      </c>
      <c r="AC125" s="56" t="s">
        <v>641</v>
      </c>
      <c r="AD125" s="56" t="s">
        <v>893</v>
      </c>
      <c r="AE125" s="56">
        <v>91</v>
      </c>
      <c r="AF125" s="56" t="s">
        <v>736</v>
      </c>
      <c r="AG125" s="56" t="s">
        <v>737</v>
      </c>
      <c r="AH125" s="56" t="s">
        <v>643</v>
      </c>
      <c r="AI125" s="56" t="s">
        <v>735</v>
      </c>
      <c r="AJ125" s="56">
        <v>90</v>
      </c>
      <c r="AK125" s="56" t="s">
        <v>894</v>
      </c>
      <c r="AL125" s="56">
        <v>91</v>
      </c>
      <c r="AM125" s="56" t="s">
        <v>736</v>
      </c>
      <c r="AN125" s="56" t="s">
        <v>737</v>
      </c>
      <c r="AO125" s="56" t="s">
        <v>738</v>
      </c>
      <c r="AP125" s="56" t="s">
        <v>643</v>
      </c>
      <c r="AQ125" s="56" t="s">
        <v>735</v>
      </c>
      <c r="AR125" s="56">
        <v>98</v>
      </c>
      <c r="AS125" s="56" t="s">
        <v>645</v>
      </c>
      <c r="AT125" s="56" t="s">
        <v>646</v>
      </c>
      <c r="AU125" s="56" t="s">
        <v>643</v>
      </c>
      <c r="AV125" s="56" t="s">
        <v>648</v>
      </c>
      <c r="AW125" s="56">
        <v>107</v>
      </c>
      <c r="AX125" s="56" t="s">
        <v>1003</v>
      </c>
      <c r="AY125" s="56">
        <v>39</v>
      </c>
      <c r="AZ125" s="56" t="s">
        <v>27</v>
      </c>
      <c r="BA125" s="56" t="s">
        <v>1004</v>
      </c>
      <c r="BB125" s="56" t="s">
        <v>770</v>
      </c>
      <c r="BC125" s="56">
        <v>38</v>
      </c>
      <c r="BD125" s="56" t="s">
        <v>289</v>
      </c>
      <c r="BE125" s="56" t="s">
        <v>771</v>
      </c>
      <c r="BF125" s="56">
        <v>2</v>
      </c>
      <c r="BG125" s="56" t="s">
        <v>289</v>
      </c>
      <c r="BH125" s="56" t="s">
        <v>772</v>
      </c>
      <c r="BI125" s="56">
        <v>46.32</v>
      </c>
      <c r="BJ125" s="56">
        <v>119361.08</v>
      </c>
      <c r="BK125" s="56">
        <v>46320</v>
      </c>
      <c r="BL125" s="56" t="s">
        <v>897</v>
      </c>
      <c r="BM125" s="56">
        <v>3102</v>
      </c>
      <c r="BN125" s="56" t="s">
        <v>786</v>
      </c>
      <c r="BO125" s="56" t="s">
        <v>911</v>
      </c>
      <c r="BP125" s="56">
        <v>6716.4</v>
      </c>
      <c r="BQ125" s="56">
        <v>5837.53</v>
      </c>
      <c r="BR125" s="56">
        <v>0</v>
      </c>
      <c r="BS125" s="56">
        <v>0</v>
      </c>
      <c r="BT125" s="56">
        <v>0</v>
      </c>
      <c r="BU125" s="56">
        <v>719476</v>
      </c>
      <c r="BV125" s="56">
        <v>98</v>
      </c>
      <c r="BW125" s="56" t="s">
        <v>645</v>
      </c>
      <c r="BX125" s="56" t="s">
        <v>1471</v>
      </c>
      <c r="BY125" s="56" t="s">
        <v>663</v>
      </c>
      <c r="BZ125" s="56">
        <v>0.25</v>
      </c>
      <c r="CA125" s="56" t="s">
        <v>664</v>
      </c>
      <c r="CB125" s="56" t="s">
        <v>899</v>
      </c>
      <c r="CD125" s="56" t="s">
        <v>667</v>
      </c>
      <c r="CG125" s="56">
        <v>0</v>
      </c>
      <c r="CH125" s="56">
        <v>145</v>
      </c>
      <c r="CJ125" s="56">
        <v>100</v>
      </c>
      <c r="CK125" s="56">
        <v>5837.53</v>
      </c>
      <c r="CL125" s="56">
        <v>0</v>
      </c>
      <c r="CN125" s="56">
        <v>805.97</v>
      </c>
      <c r="CO125" s="56">
        <v>805.97</v>
      </c>
      <c r="CP125" s="56">
        <v>72.900000000000006</v>
      </c>
      <c r="CQ125" s="56" t="s">
        <v>668</v>
      </c>
      <c r="CR125" s="56">
        <v>0</v>
      </c>
      <c r="CS125" s="56">
        <v>0</v>
      </c>
      <c r="CV125" s="56">
        <v>0</v>
      </c>
      <c r="CX125" s="56">
        <v>0</v>
      </c>
      <c r="CY125" s="56">
        <v>0</v>
      </c>
      <c r="CZ125" s="56">
        <v>539.97</v>
      </c>
      <c r="DA125" s="56">
        <v>539.97</v>
      </c>
      <c r="DB125" s="56">
        <v>0</v>
      </c>
      <c r="DC125" s="56">
        <v>5297.56</v>
      </c>
      <c r="DD125" s="56">
        <v>20.51</v>
      </c>
      <c r="DE125" s="56">
        <v>0</v>
      </c>
      <c r="DF125" s="56">
        <v>20.51</v>
      </c>
      <c r="DH125" s="56" t="s">
        <v>670</v>
      </c>
      <c r="DI125" s="56" t="s">
        <v>671</v>
      </c>
      <c r="DK125" s="56">
        <v>79.66</v>
      </c>
      <c r="DL125" s="56">
        <v>5349.95</v>
      </c>
      <c r="DM125" s="56">
        <v>67</v>
      </c>
      <c r="DN125" s="56" t="s">
        <v>900</v>
      </c>
      <c r="DO125" s="56" t="s">
        <v>236</v>
      </c>
      <c r="DQ125" s="56" t="s">
        <v>674</v>
      </c>
      <c r="DR125" s="56">
        <v>3</v>
      </c>
      <c r="DW125" s="56">
        <v>280</v>
      </c>
      <c r="DX125" s="56" t="s">
        <v>678</v>
      </c>
      <c r="DY125" s="56" t="s">
        <v>679</v>
      </c>
      <c r="EL125" s="56">
        <v>25</v>
      </c>
      <c r="EM125" s="56">
        <v>15</v>
      </c>
      <c r="EN125" s="56">
        <v>4779</v>
      </c>
      <c r="EO125" s="56">
        <v>1805</v>
      </c>
      <c r="EP125" s="56">
        <v>6813</v>
      </c>
      <c r="EQ125" s="56" t="s">
        <v>901</v>
      </c>
      <c r="ER125" s="56" t="s">
        <v>902</v>
      </c>
      <c r="ES125" s="56">
        <v>2</v>
      </c>
      <c r="ET125" s="56" t="s">
        <v>682</v>
      </c>
      <c r="EU125" s="56" t="s">
        <v>683</v>
      </c>
      <c r="EV125" s="56" t="s">
        <v>683</v>
      </c>
      <c r="FD125" s="56" t="s">
        <v>1472</v>
      </c>
      <c r="FK125" s="56">
        <v>0</v>
      </c>
    </row>
    <row r="126" spans="1:167" x14ac:dyDescent="0.2">
      <c r="A126" s="56">
        <v>29079</v>
      </c>
      <c r="B126" s="56">
        <v>2</v>
      </c>
      <c r="C126" s="56">
        <v>6352</v>
      </c>
      <c r="D126" s="56" t="s">
        <v>634</v>
      </c>
      <c r="E126" s="56" t="s">
        <v>635</v>
      </c>
      <c r="K126" s="56" t="s">
        <v>1473</v>
      </c>
      <c r="L126" s="56" t="s">
        <v>637</v>
      </c>
      <c r="M126" s="56">
        <v>44937</v>
      </c>
      <c r="N126" s="56">
        <v>44939</v>
      </c>
      <c r="O126" s="56">
        <v>38</v>
      </c>
      <c r="P126" s="56" t="s">
        <v>638</v>
      </c>
      <c r="Q126" s="56">
        <v>2</v>
      </c>
      <c r="R126" s="56" t="s">
        <v>639</v>
      </c>
      <c r="S126" s="56" t="s">
        <v>893</v>
      </c>
      <c r="T126" s="56" t="s">
        <v>641</v>
      </c>
      <c r="U126" s="56" t="s">
        <v>735</v>
      </c>
      <c r="V126" s="56" t="s">
        <v>643</v>
      </c>
      <c r="W126" s="56">
        <v>48</v>
      </c>
      <c r="X126" s="56" t="s">
        <v>699</v>
      </c>
      <c r="Y126" s="56">
        <v>162</v>
      </c>
      <c r="Z126" s="56" t="s">
        <v>1030</v>
      </c>
      <c r="AA126" s="56" t="s">
        <v>1031</v>
      </c>
      <c r="AB126" s="56" t="s">
        <v>1032</v>
      </c>
      <c r="AC126" s="56" t="s">
        <v>641</v>
      </c>
      <c r="AD126" s="56" t="s">
        <v>893</v>
      </c>
      <c r="AE126" s="56">
        <v>91</v>
      </c>
      <c r="AF126" s="56" t="s">
        <v>736</v>
      </c>
      <c r="AG126" s="56" t="s">
        <v>737</v>
      </c>
      <c r="AH126" s="56" t="s">
        <v>643</v>
      </c>
      <c r="AI126" s="56" t="s">
        <v>735</v>
      </c>
      <c r="AJ126" s="56">
        <v>162</v>
      </c>
      <c r="AK126" s="56" t="s">
        <v>1030</v>
      </c>
      <c r="AL126" s="56">
        <v>98</v>
      </c>
      <c r="AM126" s="56" t="s">
        <v>645</v>
      </c>
      <c r="AN126" s="56" t="s">
        <v>646</v>
      </c>
      <c r="AO126" s="56" t="s">
        <v>647</v>
      </c>
      <c r="AP126" s="56" t="s">
        <v>643</v>
      </c>
      <c r="AQ126" s="56" t="s">
        <v>648</v>
      </c>
      <c r="AR126" s="56">
        <v>162</v>
      </c>
      <c r="AS126" s="56" t="s">
        <v>1030</v>
      </c>
      <c r="AT126" s="56" t="s">
        <v>1031</v>
      </c>
      <c r="AU126" s="56" t="s">
        <v>641</v>
      </c>
      <c r="AV126" s="56" t="s">
        <v>893</v>
      </c>
      <c r="AW126" s="56">
        <v>112</v>
      </c>
      <c r="AX126" s="56" t="s">
        <v>842</v>
      </c>
      <c r="AY126" s="56">
        <v>16</v>
      </c>
      <c r="AZ126" s="56" t="s">
        <v>24</v>
      </c>
      <c r="BA126" s="56" t="s">
        <v>843</v>
      </c>
      <c r="BB126" s="56" t="s">
        <v>844</v>
      </c>
      <c r="BC126" s="56">
        <v>2</v>
      </c>
      <c r="BD126" s="56" t="s">
        <v>289</v>
      </c>
      <c r="BE126" s="56" t="s">
        <v>772</v>
      </c>
      <c r="BF126" s="56">
        <v>2</v>
      </c>
      <c r="BG126" s="56" t="s">
        <v>289</v>
      </c>
      <c r="BH126" s="56" t="s">
        <v>772</v>
      </c>
      <c r="BI126" s="56">
        <v>47.26</v>
      </c>
      <c r="BJ126" s="56">
        <v>189143.97</v>
      </c>
      <c r="BK126" s="56">
        <v>47.26</v>
      </c>
      <c r="BL126" s="56" t="s">
        <v>1039</v>
      </c>
      <c r="BM126" s="56">
        <v>3105</v>
      </c>
      <c r="BN126" s="56" t="s">
        <v>660</v>
      </c>
      <c r="BO126" s="56" t="s">
        <v>706</v>
      </c>
      <c r="BP126" s="56">
        <v>6049.28</v>
      </c>
      <c r="BQ126" s="56">
        <v>5250.47</v>
      </c>
      <c r="BR126" s="56">
        <v>0</v>
      </c>
      <c r="BS126" s="56">
        <v>0</v>
      </c>
      <c r="BT126" s="56">
        <v>0</v>
      </c>
      <c r="BU126" s="56">
        <v>37413</v>
      </c>
      <c r="BV126" s="56">
        <v>162</v>
      </c>
      <c r="BW126" s="56" t="s">
        <v>1030</v>
      </c>
      <c r="BX126" s="56" t="s">
        <v>1474</v>
      </c>
      <c r="BY126" s="56" t="s">
        <v>663</v>
      </c>
      <c r="BZ126" s="56">
        <v>0.25</v>
      </c>
      <c r="CA126" s="56" t="s">
        <v>664</v>
      </c>
      <c r="CB126" s="56" t="s">
        <v>1041</v>
      </c>
      <c r="CD126" s="56" t="s">
        <v>667</v>
      </c>
      <c r="CG126" s="56">
        <v>0</v>
      </c>
      <c r="CH126" s="56">
        <v>128</v>
      </c>
      <c r="CJ126" s="56">
        <v>100</v>
      </c>
      <c r="CK126" s="56">
        <v>5250.47</v>
      </c>
      <c r="CL126" s="56">
        <v>0</v>
      </c>
      <c r="CN126" s="56">
        <v>725.91</v>
      </c>
      <c r="CO126" s="56">
        <v>725.91</v>
      </c>
      <c r="CP126" s="56">
        <v>72.900000000000006</v>
      </c>
      <c r="CQ126" s="56" t="s">
        <v>668</v>
      </c>
      <c r="CR126" s="56">
        <v>0</v>
      </c>
      <c r="CS126" s="56">
        <v>0</v>
      </c>
      <c r="CV126" s="56">
        <v>0</v>
      </c>
      <c r="CX126" s="56">
        <v>0</v>
      </c>
      <c r="CY126" s="56">
        <v>0</v>
      </c>
      <c r="CZ126" s="56">
        <v>485.67</v>
      </c>
      <c r="DA126" s="56">
        <v>485.67</v>
      </c>
      <c r="DB126" s="56">
        <v>0</v>
      </c>
      <c r="DC126" s="56">
        <v>4764.8</v>
      </c>
      <c r="DD126" s="56">
        <v>32.5</v>
      </c>
      <c r="DE126" s="56">
        <v>0</v>
      </c>
      <c r="DF126" s="56">
        <v>32.5</v>
      </c>
      <c r="DH126" s="56" t="s">
        <v>670</v>
      </c>
      <c r="DI126" s="56" t="s">
        <v>671</v>
      </c>
      <c r="DK126" s="56">
        <v>79.430000000000007</v>
      </c>
      <c r="DL126" s="56">
        <v>4805.2</v>
      </c>
      <c r="DM126" s="56">
        <v>9</v>
      </c>
      <c r="DN126" s="56">
        <v>4500914985</v>
      </c>
      <c r="DO126" s="56" t="s">
        <v>236</v>
      </c>
      <c r="DQ126" s="56" t="s">
        <v>674</v>
      </c>
      <c r="DR126" s="56">
        <v>3</v>
      </c>
      <c r="DW126" s="56">
        <v>280</v>
      </c>
      <c r="DX126" s="56" t="s">
        <v>678</v>
      </c>
      <c r="DY126" s="56" t="s">
        <v>679</v>
      </c>
      <c r="EL126" s="56">
        <v>25</v>
      </c>
      <c r="EM126" s="56">
        <v>15</v>
      </c>
      <c r="EN126" s="56">
        <v>4779</v>
      </c>
      <c r="EO126" s="56">
        <v>1805</v>
      </c>
      <c r="EP126" s="56">
        <v>6814</v>
      </c>
      <c r="EQ126" s="56" t="s">
        <v>1046</v>
      </c>
      <c r="ER126" s="56" t="s">
        <v>902</v>
      </c>
      <c r="ES126" s="56">
        <v>2</v>
      </c>
      <c r="ET126" s="56" t="s">
        <v>682</v>
      </c>
      <c r="EU126" s="56" t="s">
        <v>683</v>
      </c>
      <c r="EV126" s="56" t="s">
        <v>683</v>
      </c>
      <c r="FD126" s="56" t="s">
        <v>1475</v>
      </c>
      <c r="FK126" s="56">
        <v>0</v>
      </c>
    </row>
    <row r="127" spans="1:167" x14ac:dyDescent="0.2">
      <c r="A127" s="56">
        <v>29080</v>
      </c>
      <c r="B127" s="56">
        <v>2</v>
      </c>
      <c r="C127" s="56">
        <v>6352</v>
      </c>
      <c r="D127" s="56" t="s">
        <v>634</v>
      </c>
      <c r="E127" s="56" t="s">
        <v>635</v>
      </c>
      <c r="K127" s="56" t="s">
        <v>1476</v>
      </c>
      <c r="L127" s="56" t="s">
        <v>637</v>
      </c>
      <c r="M127" s="56">
        <v>44937</v>
      </c>
      <c r="N127" s="56">
        <v>44939</v>
      </c>
      <c r="O127" s="56">
        <v>38</v>
      </c>
      <c r="P127" s="56" t="s">
        <v>638</v>
      </c>
      <c r="Q127" s="56">
        <v>2</v>
      </c>
      <c r="R127" s="56" t="s">
        <v>639</v>
      </c>
      <c r="S127" s="56" t="s">
        <v>893</v>
      </c>
      <c r="T127" s="56" t="s">
        <v>641</v>
      </c>
      <c r="U127" s="56" t="s">
        <v>735</v>
      </c>
      <c r="V127" s="56" t="s">
        <v>643</v>
      </c>
      <c r="W127" s="56">
        <v>48</v>
      </c>
      <c r="X127" s="56" t="s">
        <v>699</v>
      </c>
      <c r="Y127" s="56">
        <v>162</v>
      </c>
      <c r="Z127" s="56" t="s">
        <v>1030</v>
      </c>
      <c r="AA127" s="56" t="s">
        <v>1031</v>
      </c>
      <c r="AB127" s="56" t="s">
        <v>1032</v>
      </c>
      <c r="AC127" s="56" t="s">
        <v>641</v>
      </c>
      <c r="AD127" s="56" t="s">
        <v>893</v>
      </c>
      <c r="AE127" s="56">
        <v>91</v>
      </c>
      <c r="AF127" s="56" t="s">
        <v>736</v>
      </c>
      <c r="AG127" s="56" t="s">
        <v>737</v>
      </c>
      <c r="AH127" s="56" t="s">
        <v>643</v>
      </c>
      <c r="AI127" s="56" t="s">
        <v>735</v>
      </c>
      <c r="AJ127" s="56">
        <v>162</v>
      </c>
      <c r="AK127" s="56" t="s">
        <v>1030</v>
      </c>
      <c r="AL127" s="56">
        <v>98</v>
      </c>
      <c r="AM127" s="56" t="s">
        <v>645</v>
      </c>
      <c r="AN127" s="56" t="s">
        <v>646</v>
      </c>
      <c r="AO127" s="56" t="s">
        <v>647</v>
      </c>
      <c r="AP127" s="56" t="s">
        <v>643</v>
      </c>
      <c r="AQ127" s="56" t="s">
        <v>648</v>
      </c>
      <c r="AR127" s="56">
        <v>162</v>
      </c>
      <c r="AS127" s="56" t="s">
        <v>1030</v>
      </c>
      <c r="AT127" s="56" t="s">
        <v>1031</v>
      </c>
      <c r="AU127" s="56" t="s">
        <v>641</v>
      </c>
      <c r="AV127" s="56" t="s">
        <v>893</v>
      </c>
      <c r="AW127" s="56">
        <v>117</v>
      </c>
      <c r="AX127" s="56" t="s">
        <v>848</v>
      </c>
      <c r="AY127" s="56">
        <v>1</v>
      </c>
      <c r="AZ127" s="56" t="s">
        <v>28</v>
      </c>
      <c r="BA127" s="56" t="s">
        <v>849</v>
      </c>
      <c r="BB127" s="56" t="s">
        <v>770</v>
      </c>
      <c r="BC127" s="56">
        <v>38</v>
      </c>
      <c r="BD127" s="56" t="s">
        <v>289</v>
      </c>
      <c r="BE127" s="56" t="s">
        <v>771</v>
      </c>
      <c r="BF127" s="56">
        <v>2</v>
      </c>
      <c r="BG127" s="56" t="s">
        <v>289</v>
      </c>
      <c r="BH127" s="56" t="s">
        <v>772</v>
      </c>
      <c r="BI127" s="56">
        <v>45.72</v>
      </c>
      <c r="BJ127" s="56">
        <v>182980.58</v>
      </c>
      <c r="BK127" s="56">
        <v>45.72</v>
      </c>
      <c r="BL127" s="56" t="s">
        <v>1039</v>
      </c>
      <c r="BM127" s="56">
        <v>3105</v>
      </c>
      <c r="BN127" s="56" t="s">
        <v>724</v>
      </c>
      <c r="BO127" s="56" t="s">
        <v>725</v>
      </c>
      <c r="BP127" s="56">
        <v>5852.16</v>
      </c>
      <c r="BQ127" s="56">
        <v>5077</v>
      </c>
      <c r="BR127" s="56">
        <v>0</v>
      </c>
      <c r="BS127" s="56">
        <v>0</v>
      </c>
      <c r="BT127" s="56">
        <v>0</v>
      </c>
      <c r="BU127" s="56">
        <v>37416</v>
      </c>
      <c r="BV127" s="56">
        <v>162</v>
      </c>
      <c r="BW127" s="56" t="s">
        <v>1030</v>
      </c>
      <c r="BX127" s="56" t="s">
        <v>1477</v>
      </c>
      <c r="BY127" s="56" t="s">
        <v>663</v>
      </c>
      <c r="BZ127" s="56">
        <v>0.25</v>
      </c>
      <c r="CA127" s="56" t="s">
        <v>664</v>
      </c>
      <c r="CB127" s="56" t="s">
        <v>1041</v>
      </c>
      <c r="CD127" s="56" t="s">
        <v>667</v>
      </c>
      <c r="CG127" s="56">
        <v>0</v>
      </c>
      <c r="CH127" s="56">
        <v>128</v>
      </c>
      <c r="CJ127" s="56">
        <v>100</v>
      </c>
      <c r="CK127" s="56">
        <v>5077</v>
      </c>
      <c r="CL127" s="56">
        <v>0</v>
      </c>
      <c r="CN127" s="56">
        <v>702.26</v>
      </c>
      <c r="CO127" s="56">
        <v>702.26</v>
      </c>
      <c r="CP127" s="56">
        <v>72.900000000000006</v>
      </c>
      <c r="CQ127" s="56" t="s">
        <v>668</v>
      </c>
      <c r="CR127" s="56">
        <v>0</v>
      </c>
      <c r="CS127" s="56">
        <v>0</v>
      </c>
      <c r="CV127" s="56">
        <v>0</v>
      </c>
      <c r="CX127" s="56">
        <v>0</v>
      </c>
      <c r="CY127" s="56">
        <v>0</v>
      </c>
      <c r="CZ127" s="56">
        <v>469.62</v>
      </c>
      <c r="DA127" s="56">
        <v>469.62</v>
      </c>
      <c r="DB127" s="56">
        <v>0</v>
      </c>
      <c r="DC127" s="56">
        <v>4607.38</v>
      </c>
      <c r="DD127" s="56">
        <v>31.44</v>
      </c>
      <c r="DE127" s="56">
        <v>0</v>
      </c>
      <c r="DF127" s="56">
        <v>31.44</v>
      </c>
      <c r="DH127" s="56" t="s">
        <v>670</v>
      </c>
      <c r="DI127" s="56" t="s">
        <v>671</v>
      </c>
      <c r="DK127" s="56">
        <v>79.44</v>
      </c>
      <c r="DL127" s="56">
        <v>4648.84</v>
      </c>
      <c r="DM127" s="56">
        <v>9</v>
      </c>
      <c r="DN127" s="56">
        <v>4500914985</v>
      </c>
      <c r="DO127" s="56" t="s">
        <v>236</v>
      </c>
      <c r="DQ127" s="56" t="s">
        <v>674</v>
      </c>
      <c r="DR127" s="56">
        <v>3</v>
      </c>
      <c r="DW127" s="56">
        <v>280</v>
      </c>
      <c r="DX127" s="56" t="s">
        <v>678</v>
      </c>
      <c r="DY127" s="56" t="s">
        <v>679</v>
      </c>
      <c r="EL127" s="56">
        <v>25</v>
      </c>
      <c r="EM127" s="56">
        <v>15</v>
      </c>
      <c r="EN127" s="56">
        <v>4779</v>
      </c>
      <c r="EO127" s="56">
        <v>1805</v>
      </c>
      <c r="EP127" s="56">
        <v>6814</v>
      </c>
      <c r="EQ127" s="56" t="s">
        <v>1046</v>
      </c>
      <c r="ER127" s="56" t="s">
        <v>902</v>
      </c>
      <c r="ES127" s="56">
        <v>2</v>
      </c>
      <c r="ET127" s="56" t="s">
        <v>682</v>
      </c>
      <c r="EU127" s="56" t="s">
        <v>683</v>
      </c>
      <c r="EV127" s="56" t="s">
        <v>683</v>
      </c>
      <c r="FD127" s="56" t="s">
        <v>1478</v>
      </c>
      <c r="FK127" s="56">
        <v>0</v>
      </c>
    </row>
    <row r="128" spans="1:167" x14ac:dyDescent="0.2">
      <c r="A128" s="56">
        <v>29081</v>
      </c>
      <c r="B128" s="56">
        <v>2</v>
      </c>
      <c r="C128" s="56">
        <v>6352</v>
      </c>
      <c r="D128" s="56" t="s">
        <v>634</v>
      </c>
      <c r="E128" s="56" t="s">
        <v>635</v>
      </c>
      <c r="K128" s="56" t="s">
        <v>1479</v>
      </c>
      <c r="L128" s="56" t="s">
        <v>637</v>
      </c>
      <c r="M128" s="56">
        <v>44937</v>
      </c>
      <c r="N128" s="56">
        <v>44939</v>
      </c>
      <c r="O128" s="56">
        <v>38</v>
      </c>
      <c r="P128" s="56" t="s">
        <v>638</v>
      </c>
      <c r="Q128" s="56">
        <v>2</v>
      </c>
      <c r="R128" s="56" t="s">
        <v>639</v>
      </c>
      <c r="S128" s="56" t="s">
        <v>1269</v>
      </c>
      <c r="T128" s="56" t="s">
        <v>641</v>
      </c>
      <c r="U128" s="56" t="s">
        <v>735</v>
      </c>
      <c r="V128" s="56" t="s">
        <v>643</v>
      </c>
      <c r="W128" s="56">
        <v>48</v>
      </c>
      <c r="X128" s="56" t="s">
        <v>699</v>
      </c>
      <c r="Y128" s="56">
        <v>98</v>
      </c>
      <c r="Z128" s="56" t="s">
        <v>645</v>
      </c>
      <c r="AA128" s="56" t="s">
        <v>646</v>
      </c>
      <c r="AB128" s="56" t="s">
        <v>647</v>
      </c>
      <c r="AC128" s="56" t="s">
        <v>643</v>
      </c>
      <c r="AD128" s="56" t="s">
        <v>648</v>
      </c>
      <c r="AE128" s="56">
        <v>91</v>
      </c>
      <c r="AF128" s="56" t="s">
        <v>736</v>
      </c>
      <c r="AG128" s="56" t="s">
        <v>737</v>
      </c>
      <c r="AH128" s="56" t="s">
        <v>643</v>
      </c>
      <c r="AI128" s="56" t="s">
        <v>735</v>
      </c>
      <c r="AJ128" s="56">
        <v>183</v>
      </c>
      <c r="AK128" s="56" t="s">
        <v>1270</v>
      </c>
      <c r="AL128" s="56">
        <v>91</v>
      </c>
      <c r="AM128" s="56" t="s">
        <v>736</v>
      </c>
      <c r="AN128" s="56" t="s">
        <v>737</v>
      </c>
      <c r="AO128" s="56" t="s">
        <v>738</v>
      </c>
      <c r="AP128" s="56" t="s">
        <v>643</v>
      </c>
      <c r="AQ128" s="56" t="s">
        <v>735</v>
      </c>
      <c r="AR128" s="56">
        <v>98</v>
      </c>
      <c r="AS128" s="56" t="s">
        <v>645</v>
      </c>
      <c r="AT128" s="56" t="s">
        <v>646</v>
      </c>
      <c r="AU128" s="56" t="s">
        <v>643</v>
      </c>
      <c r="AV128" s="56" t="s">
        <v>648</v>
      </c>
      <c r="AW128" s="56">
        <v>110</v>
      </c>
      <c r="AX128" s="56" t="s">
        <v>864</v>
      </c>
      <c r="AY128" s="56">
        <v>68</v>
      </c>
      <c r="AZ128" s="56" t="s">
        <v>25</v>
      </c>
      <c r="BA128" s="56" t="s">
        <v>865</v>
      </c>
      <c r="BB128" s="56" t="s">
        <v>844</v>
      </c>
      <c r="BC128" s="56">
        <v>2</v>
      </c>
      <c r="BD128" s="56" t="s">
        <v>289</v>
      </c>
      <c r="BE128" s="56" t="s">
        <v>772</v>
      </c>
      <c r="BF128" s="56">
        <v>2</v>
      </c>
      <c r="BG128" s="56" t="s">
        <v>289</v>
      </c>
      <c r="BH128" s="56" t="s">
        <v>772</v>
      </c>
      <c r="BI128" s="56">
        <v>47.8</v>
      </c>
      <c r="BJ128" s="56">
        <v>75547.42</v>
      </c>
      <c r="BK128" s="56">
        <v>47.8</v>
      </c>
      <c r="BL128" s="56" t="s">
        <v>1274</v>
      </c>
      <c r="BM128" s="56">
        <v>3102</v>
      </c>
      <c r="BN128" s="56" t="s">
        <v>660</v>
      </c>
      <c r="BO128" s="56" t="s">
        <v>866</v>
      </c>
      <c r="BP128" s="56">
        <v>6596.4</v>
      </c>
      <c r="BQ128" s="56">
        <v>5604.13</v>
      </c>
      <c r="BR128" s="56">
        <v>0</v>
      </c>
      <c r="BS128" s="56">
        <v>0</v>
      </c>
      <c r="BT128" s="56">
        <v>0</v>
      </c>
      <c r="BU128" s="56">
        <v>10373</v>
      </c>
      <c r="BV128" s="56">
        <v>98</v>
      </c>
      <c r="BW128" s="56" t="s">
        <v>645</v>
      </c>
      <c r="BX128" s="56" t="s">
        <v>1480</v>
      </c>
      <c r="BY128" s="56" t="s">
        <v>663</v>
      </c>
      <c r="BZ128" s="56">
        <v>0.25</v>
      </c>
      <c r="CA128" s="56" t="s">
        <v>664</v>
      </c>
      <c r="CB128" s="56" t="s">
        <v>1278</v>
      </c>
      <c r="CD128" s="56" t="s">
        <v>667</v>
      </c>
      <c r="CG128" s="56">
        <v>0</v>
      </c>
      <c r="CH128" s="56">
        <v>138</v>
      </c>
      <c r="CJ128" s="56">
        <v>100</v>
      </c>
      <c r="CK128" s="56">
        <v>5604.13</v>
      </c>
      <c r="CL128" s="56">
        <v>0</v>
      </c>
      <c r="CN128" s="56">
        <v>791.57</v>
      </c>
      <c r="CO128" s="56">
        <v>791.57</v>
      </c>
      <c r="CP128" s="56">
        <v>200.7</v>
      </c>
      <c r="CQ128" s="56" t="s">
        <v>668</v>
      </c>
      <c r="CR128" s="56">
        <v>0</v>
      </c>
      <c r="CS128" s="56">
        <v>0</v>
      </c>
      <c r="CV128" s="56">
        <v>0</v>
      </c>
      <c r="CX128" s="56">
        <v>0</v>
      </c>
      <c r="CY128" s="56">
        <v>0</v>
      </c>
      <c r="CZ128" s="56">
        <v>518.38</v>
      </c>
      <c r="DA128" s="56">
        <v>518.38</v>
      </c>
      <c r="DB128" s="56">
        <v>0</v>
      </c>
      <c r="DC128" s="56">
        <v>5085.75</v>
      </c>
      <c r="DD128" s="56">
        <v>12.98</v>
      </c>
      <c r="DE128" s="56">
        <v>0</v>
      </c>
      <c r="DF128" s="56">
        <v>12.98</v>
      </c>
      <c r="DH128" s="56" t="s">
        <v>670</v>
      </c>
      <c r="DI128" s="56" t="s">
        <v>671</v>
      </c>
      <c r="DK128" s="56">
        <v>79.94</v>
      </c>
      <c r="DL128" s="56">
        <v>5273.47</v>
      </c>
      <c r="DM128" s="56">
        <v>46</v>
      </c>
      <c r="DN128" s="56">
        <v>148722</v>
      </c>
      <c r="DO128" s="56" t="s">
        <v>236</v>
      </c>
      <c r="DQ128" s="56" t="s">
        <v>674</v>
      </c>
      <c r="DR128" s="56">
        <v>3</v>
      </c>
      <c r="DW128" s="56">
        <v>305</v>
      </c>
      <c r="DX128" s="56" t="s">
        <v>678</v>
      </c>
      <c r="DY128" s="56" t="s">
        <v>679</v>
      </c>
      <c r="EL128" s="56">
        <v>25</v>
      </c>
      <c r="EM128" s="56">
        <v>15</v>
      </c>
      <c r="EN128" s="56">
        <v>4842</v>
      </c>
      <c r="EO128" s="56">
        <v>1805</v>
      </c>
      <c r="EP128" s="56">
        <v>6813</v>
      </c>
      <c r="EQ128" s="56" t="s">
        <v>1280</v>
      </c>
      <c r="ER128" s="56" t="s">
        <v>1281</v>
      </c>
      <c r="ES128" s="56">
        <v>2</v>
      </c>
      <c r="ET128" s="56" t="s">
        <v>682</v>
      </c>
      <c r="EU128" s="56" t="s">
        <v>683</v>
      </c>
      <c r="EV128" s="56" t="s">
        <v>683</v>
      </c>
      <c r="FD128" s="56" t="s">
        <v>1481</v>
      </c>
      <c r="FK128" s="56">
        <v>0</v>
      </c>
    </row>
    <row r="129" spans="1:167" x14ac:dyDescent="0.2">
      <c r="A129" s="56">
        <v>29082</v>
      </c>
      <c r="B129" s="56">
        <v>2</v>
      </c>
      <c r="C129" s="56">
        <v>6352</v>
      </c>
      <c r="D129" s="56" t="s">
        <v>634</v>
      </c>
      <c r="E129" s="56" t="s">
        <v>635</v>
      </c>
      <c r="K129" s="56" t="s">
        <v>1482</v>
      </c>
      <c r="L129" s="56" t="s">
        <v>637</v>
      </c>
      <c r="M129" s="56">
        <v>44937</v>
      </c>
      <c r="N129" s="56">
        <v>44939</v>
      </c>
      <c r="O129" s="56">
        <v>38</v>
      </c>
      <c r="P129" s="56" t="s">
        <v>638</v>
      </c>
      <c r="Q129" s="56">
        <v>2</v>
      </c>
      <c r="R129" s="56" t="s">
        <v>639</v>
      </c>
      <c r="S129" s="56" t="s">
        <v>893</v>
      </c>
      <c r="T129" s="56" t="s">
        <v>641</v>
      </c>
      <c r="U129" s="56" t="s">
        <v>642</v>
      </c>
      <c r="V129" s="56" t="s">
        <v>643</v>
      </c>
      <c r="W129" s="56">
        <v>48</v>
      </c>
      <c r="X129" s="56" t="s">
        <v>699</v>
      </c>
      <c r="Y129" s="56">
        <v>90</v>
      </c>
      <c r="Z129" s="56" t="s">
        <v>894</v>
      </c>
      <c r="AA129" s="56" t="s">
        <v>895</v>
      </c>
      <c r="AB129" s="56" t="s">
        <v>896</v>
      </c>
      <c r="AC129" s="56" t="s">
        <v>641</v>
      </c>
      <c r="AD129" s="56" t="s">
        <v>893</v>
      </c>
      <c r="AE129" s="56">
        <v>141</v>
      </c>
      <c r="AF129" s="56" t="s">
        <v>649</v>
      </c>
      <c r="AG129" s="56" t="s">
        <v>650</v>
      </c>
      <c r="AH129" s="56" t="s">
        <v>643</v>
      </c>
      <c r="AI129" s="56" t="s">
        <v>642</v>
      </c>
      <c r="AJ129" s="56">
        <v>90</v>
      </c>
      <c r="AK129" s="56" t="s">
        <v>894</v>
      </c>
      <c r="AL129" s="56">
        <v>141</v>
      </c>
      <c r="AM129" s="56" t="s">
        <v>649</v>
      </c>
      <c r="AN129" s="56" t="s">
        <v>650</v>
      </c>
      <c r="AO129" s="56" t="s">
        <v>652</v>
      </c>
      <c r="AP129" s="56" t="s">
        <v>643</v>
      </c>
      <c r="AQ129" s="56" t="s">
        <v>642</v>
      </c>
      <c r="AR129" s="56">
        <v>98</v>
      </c>
      <c r="AS129" s="56" t="s">
        <v>645</v>
      </c>
      <c r="AT129" s="56" t="s">
        <v>646</v>
      </c>
      <c r="AU129" s="56" t="s">
        <v>643</v>
      </c>
      <c r="AV129" s="56" t="s">
        <v>648</v>
      </c>
      <c r="AW129" s="56">
        <v>114</v>
      </c>
      <c r="AX129" s="56" t="s">
        <v>1396</v>
      </c>
      <c r="AY129" s="56">
        <v>27</v>
      </c>
      <c r="AZ129" s="56" t="s">
        <v>33</v>
      </c>
      <c r="BA129" s="56" t="s">
        <v>1397</v>
      </c>
      <c r="BB129" s="56" t="s">
        <v>770</v>
      </c>
      <c r="BC129" s="56">
        <v>38</v>
      </c>
      <c r="BD129" s="56" t="s">
        <v>289</v>
      </c>
      <c r="BE129" s="56" t="s">
        <v>771</v>
      </c>
      <c r="BF129" s="56">
        <v>2</v>
      </c>
      <c r="BG129" s="56" t="s">
        <v>289</v>
      </c>
      <c r="BH129" s="56" t="s">
        <v>772</v>
      </c>
      <c r="BI129" s="56">
        <v>45.73</v>
      </c>
      <c r="BJ129" s="56">
        <v>117840.72</v>
      </c>
      <c r="BK129" s="56">
        <v>45730</v>
      </c>
      <c r="BL129" s="56" t="s">
        <v>897</v>
      </c>
      <c r="BM129" s="56">
        <v>3102</v>
      </c>
      <c r="BN129" s="56" t="s">
        <v>786</v>
      </c>
      <c r="BO129" s="56" t="s">
        <v>883</v>
      </c>
      <c r="BP129" s="56">
        <v>7545.45</v>
      </c>
      <c r="BQ129" s="56">
        <v>6567.1</v>
      </c>
      <c r="BR129" s="56">
        <v>0</v>
      </c>
      <c r="BS129" s="56">
        <v>0</v>
      </c>
      <c r="BT129" s="56">
        <v>0</v>
      </c>
      <c r="BU129" s="56">
        <v>719491</v>
      </c>
      <c r="BV129" s="56">
        <v>98</v>
      </c>
      <c r="BW129" s="56" t="s">
        <v>645</v>
      </c>
      <c r="BX129" s="56" t="s">
        <v>1483</v>
      </c>
      <c r="BY129" s="56" t="s">
        <v>663</v>
      </c>
      <c r="BZ129" s="56">
        <v>0.25</v>
      </c>
      <c r="CA129" s="56" t="s">
        <v>664</v>
      </c>
      <c r="CB129" s="56" t="s">
        <v>899</v>
      </c>
      <c r="CD129" s="56" t="s">
        <v>667</v>
      </c>
      <c r="CG129" s="56">
        <v>0</v>
      </c>
      <c r="CH129" s="56">
        <v>165</v>
      </c>
      <c r="CJ129" s="56">
        <v>100</v>
      </c>
      <c r="CK129" s="56">
        <v>6567.1</v>
      </c>
      <c r="CL129" s="56">
        <v>0</v>
      </c>
      <c r="CN129" s="56">
        <v>905.45</v>
      </c>
      <c r="CO129" s="56">
        <v>905.45</v>
      </c>
      <c r="CP129" s="56">
        <v>72.900000000000006</v>
      </c>
      <c r="CQ129" s="56" t="s">
        <v>668</v>
      </c>
      <c r="CR129" s="56">
        <v>0</v>
      </c>
      <c r="CS129" s="56">
        <v>0</v>
      </c>
      <c r="CV129" s="56">
        <v>0</v>
      </c>
      <c r="CX129" s="56">
        <v>0</v>
      </c>
      <c r="CY129" s="56">
        <v>0</v>
      </c>
      <c r="CZ129" s="56">
        <v>607.46</v>
      </c>
      <c r="DA129" s="56">
        <v>607.46</v>
      </c>
      <c r="DB129" s="56">
        <v>0</v>
      </c>
      <c r="DC129" s="56">
        <v>5959.64</v>
      </c>
      <c r="DD129" s="56">
        <v>20.25</v>
      </c>
      <c r="DE129" s="56">
        <v>0</v>
      </c>
      <c r="DF129" s="56">
        <v>20.25</v>
      </c>
      <c r="DH129" s="56" t="s">
        <v>670</v>
      </c>
      <c r="DI129" s="56" t="s">
        <v>671</v>
      </c>
      <c r="DK129" s="56">
        <v>79.680000000000007</v>
      </c>
      <c r="DL129" s="56">
        <v>6012.29</v>
      </c>
      <c r="DM129" s="56">
        <v>40</v>
      </c>
      <c r="DN129" s="56">
        <v>761806</v>
      </c>
      <c r="DO129" s="56" t="s">
        <v>236</v>
      </c>
      <c r="DQ129" s="56" t="s">
        <v>674</v>
      </c>
      <c r="DR129" s="56">
        <v>3</v>
      </c>
      <c r="DW129" s="56">
        <v>370</v>
      </c>
      <c r="DX129" s="56" t="s">
        <v>678</v>
      </c>
      <c r="DY129" s="56" t="s">
        <v>679</v>
      </c>
      <c r="EL129" s="56">
        <v>25</v>
      </c>
      <c r="EM129" s="56">
        <v>15</v>
      </c>
      <c r="EN129" s="56">
        <v>4779</v>
      </c>
      <c r="EO129" s="56">
        <v>1622</v>
      </c>
      <c r="EP129" s="56">
        <v>6813</v>
      </c>
      <c r="EQ129" s="56" t="s">
        <v>1092</v>
      </c>
      <c r="ER129" s="56" t="s">
        <v>928</v>
      </c>
      <c r="ES129" s="56">
        <v>2</v>
      </c>
      <c r="ET129" s="56" t="s">
        <v>682</v>
      </c>
      <c r="EU129" s="56" t="s">
        <v>683</v>
      </c>
      <c r="EV129" s="56" t="s">
        <v>683</v>
      </c>
      <c r="FD129" s="56" t="s">
        <v>1484</v>
      </c>
      <c r="FK129" s="56">
        <v>0</v>
      </c>
    </row>
    <row r="130" spans="1:167" x14ac:dyDescent="0.2">
      <c r="A130" s="56">
        <v>29083</v>
      </c>
      <c r="B130" s="56">
        <v>2</v>
      </c>
      <c r="C130" s="56">
        <v>6352</v>
      </c>
      <c r="D130" s="56" t="s">
        <v>634</v>
      </c>
      <c r="E130" s="56" t="s">
        <v>635</v>
      </c>
      <c r="K130" s="56" t="s">
        <v>1485</v>
      </c>
      <c r="L130" s="56" t="s">
        <v>637</v>
      </c>
      <c r="M130" s="56">
        <v>44937</v>
      </c>
      <c r="N130" s="56">
        <v>44939</v>
      </c>
      <c r="O130" s="56">
        <v>38</v>
      </c>
      <c r="P130" s="56" t="s">
        <v>638</v>
      </c>
      <c r="Q130" s="56">
        <v>2</v>
      </c>
      <c r="R130" s="56" t="s">
        <v>639</v>
      </c>
      <c r="S130" s="56" t="s">
        <v>893</v>
      </c>
      <c r="T130" s="56" t="s">
        <v>641</v>
      </c>
      <c r="U130" s="56" t="s">
        <v>642</v>
      </c>
      <c r="V130" s="56" t="s">
        <v>643</v>
      </c>
      <c r="W130" s="56">
        <v>48</v>
      </c>
      <c r="X130" s="56" t="s">
        <v>699</v>
      </c>
      <c r="Y130" s="56">
        <v>90</v>
      </c>
      <c r="Z130" s="56" t="s">
        <v>894</v>
      </c>
      <c r="AA130" s="56" t="s">
        <v>895</v>
      </c>
      <c r="AB130" s="56" t="s">
        <v>896</v>
      </c>
      <c r="AC130" s="56" t="s">
        <v>641</v>
      </c>
      <c r="AD130" s="56" t="s">
        <v>893</v>
      </c>
      <c r="AE130" s="56">
        <v>141</v>
      </c>
      <c r="AF130" s="56" t="s">
        <v>649</v>
      </c>
      <c r="AG130" s="56" t="s">
        <v>650</v>
      </c>
      <c r="AH130" s="56" t="s">
        <v>643</v>
      </c>
      <c r="AI130" s="56" t="s">
        <v>642</v>
      </c>
      <c r="AJ130" s="56">
        <v>90</v>
      </c>
      <c r="AK130" s="56" t="s">
        <v>894</v>
      </c>
      <c r="AL130" s="56">
        <v>141</v>
      </c>
      <c r="AM130" s="56" t="s">
        <v>649</v>
      </c>
      <c r="AN130" s="56" t="s">
        <v>650</v>
      </c>
      <c r="AO130" s="56" t="s">
        <v>652</v>
      </c>
      <c r="AP130" s="56" t="s">
        <v>643</v>
      </c>
      <c r="AQ130" s="56" t="s">
        <v>642</v>
      </c>
      <c r="AR130" s="56">
        <v>98</v>
      </c>
      <c r="AS130" s="56" t="s">
        <v>645</v>
      </c>
      <c r="AT130" s="56" t="s">
        <v>646</v>
      </c>
      <c r="AU130" s="56" t="s">
        <v>643</v>
      </c>
      <c r="AV130" s="56" t="s">
        <v>648</v>
      </c>
      <c r="AW130" s="56">
        <v>121</v>
      </c>
      <c r="AX130" s="56" t="s">
        <v>859</v>
      </c>
      <c r="AY130" s="56">
        <v>51</v>
      </c>
      <c r="AZ130" s="56" t="s">
        <v>29</v>
      </c>
      <c r="BA130" s="56" t="s">
        <v>860</v>
      </c>
      <c r="BB130" s="56" t="s">
        <v>770</v>
      </c>
      <c r="BC130" s="56">
        <v>38</v>
      </c>
      <c r="BD130" s="56" t="s">
        <v>289</v>
      </c>
      <c r="BE130" s="56" t="s">
        <v>771</v>
      </c>
      <c r="BF130" s="56">
        <v>2</v>
      </c>
      <c r="BG130" s="56" t="s">
        <v>289</v>
      </c>
      <c r="BH130" s="56" t="s">
        <v>772</v>
      </c>
      <c r="BI130" s="56">
        <v>46.02</v>
      </c>
      <c r="BJ130" s="56">
        <v>118588.02</v>
      </c>
      <c r="BK130" s="56">
        <v>46020</v>
      </c>
      <c r="BL130" s="56" t="s">
        <v>897</v>
      </c>
      <c r="BM130" s="56">
        <v>3102</v>
      </c>
      <c r="BN130" s="56" t="s">
        <v>724</v>
      </c>
      <c r="BO130" s="56" t="s">
        <v>725</v>
      </c>
      <c r="BP130" s="56">
        <v>7593.3</v>
      </c>
      <c r="BQ130" s="56">
        <v>6609.2</v>
      </c>
      <c r="BR130" s="56">
        <v>0</v>
      </c>
      <c r="BS130" s="56">
        <v>0</v>
      </c>
      <c r="BT130" s="56">
        <v>0</v>
      </c>
      <c r="BU130" s="56">
        <v>719509</v>
      </c>
      <c r="BV130" s="56">
        <v>98</v>
      </c>
      <c r="BW130" s="56" t="s">
        <v>645</v>
      </c>
      <c r="BX130" s="56" t="s">
        <v>1486</v>
      </c>
      <c r="BY130" s="56" t="s">
        <v>663</v>
      </c>
      <c r="BZ130" s="56">
        <v>0.25</v>
      </c>
      <c r="CA130" s="56" t="s">
        <v>664</v>
      </c>
      <c r="CB130" s="56" t="s">
        <v>899</v>
      </c>
      <c r="CD130" s="56" t="s">
        <v>667</v>
      </c>
      <c r="CG130" s="56">
        <v>0</v>
      </c>
      <c r="CH130" s="56">
        <v>165</v>
      </c>
      <c r="CJ130" s="56">
        <v>100</v>
      </c>
      <c r="CK130" s="56">
        <v>6609.2</v>
      </c>
      <c r="CL130" s="56">
        <v>0</v>
      </c>
      <c r="CN130" s="56">
        <v>911.2</v>
      </c>
      <c r="CO130" s="56">
        <v>911.2</v>
      </c>
      <c r="CP130" s="56">
        <v>72.900000000000006</v>
      </c>
      <c r="CQ130" s="56" t="s">
        <v>668</v>
      </c>
      <c r="CR130" s="56">
        <v>0</v>
      </c>
      <c r="CS130" s="56">
        <v>0</v>
      </c>
      <c r="CV130" s="56">
        <v>0</v>
      </c>
      <c r="CX130" s="56">
        <v>0</v>
      </c>
      <c r="CY130" s="56">
        <v>0</v>
      </c>
      <c r="CZ130" s="56">
        <v>611.35</v>
      </c>
      <c r="DA130" s="56">
        <v>611.35</v>
      </c>
      <c r="DB130" s="56">
        <v>0</v>
      </c>
      <c r="DC130" s="56">
        <v>5997.85</v>
      </c>
      <c r="DD130" s="56">
        <v>20.37</v>
      </c>
      <c r="DE130" s="56">
        <v>0</v>
      </c>
      <c r="DF130" s="56">
        <v>20.37</v>
      </c>
      <c r="DH130" s="56" t="s">
        <v>670</v>
      </c>
      <c r="DI130" s="56" t="s">
        <v>671</v>
      </c>
      <c r="DK130" s="56">
        <v>79.680000000000007</v>
      </c>
      <c r="DL130" s="56">
        <v>6050.38</v>
      </c>
      <c r="DM130" s="56">
        <v>40</v>
      </c>
      <c r="DN130" s="56">
        <v>761806</v>
      </c>
      <c r="DO130" s="56" t="s">
        <v>236</v>
      </c>
      <c r="DQ130" s="56" t="s">
        <v>674</v>
      </c>
      <c r="DR130" s="56">
        <v>3</v>
      </c>
      <c r="DW130" s="56">
        <v>370</v>
      </c>
      <c r="DX130" s="56" t="s">
        <v>678</v>
      </c>
      <c r="DY130" s="56" t="s">
        <v>679</v>
      </c>
      <c r="EL130" s="56">
        <v>25</v>
      </c>
      <c r="EM130" s="56">
        <v>15</v>
      </c>
      <c r="EN130" s="56">
        <v>4779</v>
      </c>
      <c r="EO130" s="56">
        <v>1622</v>
      </c>
      <c r="EP130" s="56">
        <v>6813</v>
      </c>
      <c r="EQ130" s="56" t="s">
        <v>1092</v>
      </c>
      <c r="ER130" s="56" t="s">
        <v>928</v>
      </c>
      <c r="ES130" s="56">
        <v>2</v>
      </c>
      <c r="ET130" s="56" t="s">
        <v>682</v>
      </c>
      <c r="EU130" s="56" t="s">
        <v>683</v>
      </c>
      <c r="EV130" s="56" t="s">
        <v>683</v>
      </c>
      <c r="FD130" s="56" t="s">
        <v>1487</v>
      </c>
      <c r="FK130" s="56">
        <v>0</v>
      </c>
    </row>
    <row r="131" spans="1:167" x14ac:dyDescent="0.2">
      <c r="A131" s="56">
        <v>29084</v>
      </c>
      <c r="B131" s="56">
        <v>2</v>
      </c>
      <c r="C131" s="56">
        <v>6352</v>
      </c>
      <c r="D131" s="56" t="s">
        <v>634</v>
      </c>
      <c r="E131" s="56" t="s">
        <v>635</v>
      </c>
      <c r="K131" s="56" t="s">
        <v>1488</v>
      </c>
      <c r="L131" s="56" t="s">
        <v>637</v>
      </c>
      <c r="M131" s="56">
        <v>44937</v>
      </c>
      <c r="N131" s="56">
        <v>44939</v>
      </c>
      <c r="O131" s="56">
        <v>38</v>
      </c>
      <c r="P131" s="56" t="s">
        <v>638</v>
      </c>
      <c r="Q131" s="56">
        <v>2</v>
      </c>
      <c r="R131" s="56" t="s">
        <v>639</v>
      </c>
      <c r="S131" s="56" t="s">
        <v>893</v>
      </c>
      <c r="T131" s="56" t="s">
        <v>641</v>
      </c>
      <c r="U131" s="56" t="s">
        <v>735</v>
      </c>
      <c r="V131" s="56" t="s">
        <v>643</v>
      </c>
      <c r="W131" s="56">
        <v>48</v>
      </c>
      <c r="X131" s="56" t="s">
        <v>699</v>
      </c>
      <c r="Y131" s="56">
        <v>162</v>
      </c>
      <c r="Z131" s="56" t="s">
        <v>1030</v>
      </c>
      <c r="AA131" s="56" t="s">
        <v>1031</v>
      </c>
      <c r="AB131" s="56" t="s">
        <v>1032</v>
      </c>
      <c r="AC131" s="56" t="s">
        <v>641</v>
      </c>
      <c r="AD131" s="56" t="s">
        <v>893</v>
      </c>
      <c r="AE131" s="56">
        <v>91</v>
      </c>
      <c r="AF131" s="56" t="s">
        <v>736</v>
      </c>
      <c r="AG131" s="56" t="s">
        <v>737</v>
      </c>
      <c r="AH131" s="56" t="s">
        <v>643</v>
      </c>
      <c r="AI131" s="56" t="s">
        <v>735</v>
      </c>
      <c r="AJ131" s="56">
        <v>162</v>
      </c>
      <c r="AK131" s="56" t="s">
        <v>1030</v>
      </c>
      <c r="AL131" s="56">
        <v>98</v>
      </c>
      <c r="AM131" s="56" t="s">
        <v>645</v>
      </c>
      <c r="AN131" s="56" t="s">
        <v>646</v>
      </c>
      <c r="AO131" s="56" t="s">
        <v>647</v>
      </c>
      <c r="AP131" s="56" t="s">
        <v>643</v>
      </c>
      <c r="AQ131" s="56" t="s">
        <v>648</v>
      </c>
      <c r="AR131" s="56">
        <v>162</v>
      </c>
      <c r="AS131" s="56" t="s">
        <v>1030</v>
      </c>
      <c r="AT131" s="56" t="s">
        <v>1031</v>
      </c>
      <c r="AU131" s="56" t="s">
        <v>641</v>
      </c>
      <c r="AV131" s="56" t="s">
        <v>893</v>
      </c>
      <c r="AW131" s="56">
        <v>120</v>
      </c>
      <c r="AX131" s="56" t="s">
        <v>836</v>
      </c>
      <c r="AY131" s="56">
        <v>7</v>
      </c>
      <c r="AZ131" s="56" t="s">
        <v>128</v>
      </c>
      <c r="BA131" s="56" t="s">
        <v>837</v>
      </c>
      <c r="BB131" s="56" t="s">
        <v>770</v>
      </c>
      <c r="BC131" s="56">
        <v>38</v>
      </c>
      <c r="BD131" s="56" t="s">
        <v>289</v>
      </c>
      <c r="BE131" s="56" t="s">
        <v>771</v>
      </c>
      <c r="BF131" s="56">
        <v>2</v>
      </c>
      <c r="BG131" s="56" t="s">
        <v>289</v>
      </c>
      <c r="BH131" s="56" t="s">
        <v>772</v>
      </c>
      <c r="BI131" s="56">
        <v>46.64</v>
      </c>
      <c r="BJ131" s="56">
        <v>180564.43</v>
      </c>
      <c r="BK131" s="56">
        <v>46.64</v>
      </c>
      <c r="BL131" s="56" t="s">
        <v>1110</v>
      </c>
      <c r="BM131" s="56">
        <v>3105</v>
      </c>
      <c r="BN131" s="56" t="s">
        <v>724</v>
      </c>
      <c r="BO131" s="56" t="s">
        <v>725</v>
      </c>
      <c r="BP131" s="56">
        <v>5969.92</v>
      </c>
      <c r="BQ131" s="56">
        <v>5180.63</v>
      </c>
      <c r="BR131" s="56">
        <v>0</v>
      </c>
      <c r="BS131" s="56">
        <v>0</v>
      </c>
      <c r="BT131" s="56">
        <v>0</v>
      </c>
      <c r="BU131" s="56">
        <v>37418</v>
      </c>
      <c r="BV131" s="56">
        <v>162</v>
      </c>
      <c r="BW131" s="56" t="s">
        <v>1030</v>
      </c>
      <c r="BX131" s="56" t="s">
        <v>1489</v>
      </c>
      <c r="BY131" s="56" t="s">
        <v>663</v>
      </c>
      <c r="BZ131" s="56">
        <v>0.25</v>
      </c>
      <c r="CA131" s="56" t="s">
        <v>664</v>
      </c>
      <c r="CB131" s="56" t="s">
        <v>1117</v>
      </c>
      <c r="CD131" s="56" t="s">
        <v>667</v>
      </c>
      <c r="CG131" s="56">
        <v>0</v>
      </c>
      <c r="CH131" s="56">
        <v>128</v>
      </c>
      <c r="CJ131" s="56">
        <v>100</v>
      </c>
      <c r="CK131" s="56">
        <v>5180.63</v>
      </c>
      <c r="CL131" s="56">
        <v>0</v>
      </c>
      <c r="CN131" s="56">
        <v>716.39</v>
      </c>
      <c r="CO131" s="56">
        <v>716.39</v>
      </c>
      <c r="CP131" s="56">
        <v>72.900000000000006</v>
      </c>
      <c r="CQ131" s="56" t="s">
        <v>668</v>
      </c>
      <c r="CR131" s="56">
        <v>0</v>
      </c>
      <c r="CS131" s="56">
        <v>0</v>
      </c>
      <c r="CV131" s="56">
        <v>0</v>
      </c>
      <c r="CX131" s="56">
        <v>0</v>
      </c>
      <c r="CY131" s="56">
        <v>0</v>
      </c>
      <c r="CZ131" s="56">
        <v>479.21</v>
      </c>
      <c r="DA131" s="56">
        <v>479.21</v>
      </c>
      <c r="DB131" s="56">
        <v>0</v>
      </c>
      <c r="DC131" s="56">
        <v>4701.42</v>
      </c>
      <c r="DD131" s="56">
        <v>31.02</v>
      </c>
      <c r="DE131" s="56">
        <v>0</v>
      </c>
      <c r="DF131" s="56">
        <v>31.02</v>
      </c>
      <c r="DH131" s="56" t="s">
        <v>670</v>
      </c>
      <c r="DI131" s="56" t="s">
        <v>671</v>
      </c>
      <c r="DK131" s="56">
        <v>79.45</v>
      </c>
      <c r="DL131" s="56">
        <v>4743.3</v>
      </c>
      <c r="DM131" s="56">
        <v>26</v>
      </c>
      <c r="DN131" s="56">
        <v>4500914986</v>
      </c>
      <c r="DO131" s="56" t="s">
        <v>236</v>
      </c>
      <c r="DQ131" s="56" t="s">
        <v>674</v>
      </c>
      <c r="DR131" s="56">
        <v>3</v>
      </c>
      <c r="DW131" s="56">
        <v>280</v>
      </c>
      <c r="DX131" s="56" t="s">
        <v>678</v>
      </c>
      <c r="DY131" s="56" t="s">
        <v>679</v>
      </c>
      <c r="EL131" s="56">
        <v>25</v>
      </c>
      <c r="EM131" s="56">
        <v>15</v>
      </c>
      <c r="EN131" s="56">
        <v>4779</v>
      </c>
      <c r="EO131" s="56">
        <v>1805</v>
      </c>
      <c r="EP131" s="56">
        <v>6814</v>
      </c>
      <c r="EQ131" s="56" t="s">
        <v>1113</v>
      </c>
      <c r="ER131" s="56" t="s">
        <v>902</v>
      </c>
      <c r="ES131" s="56">
        <v>2</v>
      </c>
      <c r="ET131" s="56" t="s">
        <v>682</v>
      </c>
      <c r="EU131" s="56" t="s">
        <v>683</v>
      </c>
      <c r="EV131" s="56" t="s">
        <v>683</v>
      </c>
      <c r="FD131" s="56" t="s">
        <v>1490</v>
      </c>
      <c r="FK131" s="56">
        <v>0</v>
      </c>
    </row>
    <row r="132" spans="1:167" x14ac:dyDescent="0.2">
      <c r="A132" s="56">
        <v>29085</v>
      </c>
      <c r="B132" s="56">
        <v>2</v>
      </c>
      <c r="C132" s="56">
        <v>6352</v>
      </c>
      <c r="D132" s="56" t="s">
        <v>634</v>
      </c>
      <c r="E132" s="56" t="s">
        <v>635</v>
      </c>
      <c r="K132" s="56" t="s">
        <v>1491</v>
      </c>
      <c r="L132" s="56" t="s">
        <v>637</v>
      </c>
      <c r="M132" s="56">
        <v>44937</v>
      </c>
      <c r="N132" s="56">
        <v>44939</v>
      </c>
      <c r="O132" s="56">
        <v>38</v>
      </c>
      <c r="P132" s="56" t="s">
        <v>638</v>
      </c>
      <c r="Q132" s="56">
        <v>2</v>
      </c>
      <c r="R132" s="56" t="s">
        <v>639</v>
      </c>
      <c r="S132" s="56" t="s">
        <v>893</v>
      </c>
      <c r="T132" s="56" t="s">
        <v>641</v>
      </c>
      <c r="U132" s="56" t="s">
        <v>735</v>
      </c>
      <c r="V132" s="56" t="s">
        <v>643</v>
      </c>
      <c r="W132" s="56">
        <v>48</v>
      </c>
      <c r="X132" s="56" t="s">
        <v>699</v>
      </c>
      <c r="Y132" s="56">
        <v>162</v>
      </c>
      <c r="Z132" s="56" t="s">
        <v>1030</v>
      </c>
      <c r="AA132" s="56" t="s">
        <v>1031</v>
      </c>
      <c r="AB132" s="56" t="s">
        <v>1032</v>
      </c>
      <c r="AC132" s="56" t="s">
        <v>641</v>
      </c>
      <c r="AD132" s="56" t="s">
        <v>893</v>
      </c>
      <c r="AE132" s="56">
        <v>91</v>
      </c>
      <c r="AF132" s="56" t="s">
        <v>736</v>
      </c>
      <c r="AG132" s="56" t="s">
        <v>737</v>
      </c>
      <c r="AH132" s="56" t="s">
        <v>643</v>
      </c>
      <c r="AI132" s="56" t="s">
        <v>735</v>
      </c>
      <c r="AJ132" s="56">
        <v>162</v>
      </c>
      <c r="AK132" s="56" t="s">
        <v>1030</v>
      </c>
      <c r="AL132" s="56">
        <v>98</v>
      </c>
      <c r="AM132" s="56" t="s">
        <v>645</v>
      </c>
      <c r="AN132" s="56" t="s">
        <v>646</v>
      </c>
      <c r="AO132" s="56" t="s">
        <v>647</v>
      </c>
      <c r="AP132" s="56" t="s">
        <v>643</v>
      </c>
      <c r="AQ132" s="56" t="s">
        <v>648</v>
      </c>
      <c r="AR132" s="56">
        <v>162</v>
      </c>
      <c r="AS132" s="56" t="s">
        <v>1030</v>
      </c>
      <c r="AT132" s="56" t="s">
        <v>1031</v>
      </c>
      <c r="AU132" s="56" t="s">
        <v>641</v>
      </c>
      <c r="AV132" s="56" t="s">
        <v>893</v>
      </c>
      <c r="AW132" s="56">
        <v>108</v>
      </c>
      <c r="AX132" s="56" t="s">
        <v>977</v>
      </c>
      <c r="AY132" s="56">
        <v>47</v>
      </c>
      <c r="AZ132" s="56" t="s">
        <v>32</v>
      </c>
      <c r="BA132" s="56" t="s">
        <v>978</v>
      </c>
      <c r="BB132" s="56" t="s">
        <v>770</v>
      </c>
      <c r="BC132" s="56">
        <v>38</v>
      </c>
      <c r="BD132" s="56" t="s">
        <v>289</v>
      </c>
      <c r="BE132" s="56" t="s">
        <v>771</v>
      </c>
      <c r="BF132" s="56">
        <v>2</v>
      </c>
      <c r="BG132" s="56" t="s">
        <v>289</v>
      </c>
      <c r="BH132" s="56" t="s">
        <v>772</v>
      </c>
      <c r="BI132" s="56">
        <v>46.43</v>
      </c>
      <c r="BJ132" s="56">
        <v>179751.42</v>
      </c>
      <c r="BK132" s="56">
        <v>46.43</v>
      </c>
      <c r="BL132" s="56" t="s">
        <v>1110</v>
      </c>
      <c r="BM132" s="56">
        <v>3105</v>
      </c>
      <c r="BN132" s="56" t="s">
        <v>724</v>
      </c>
      <c r="BO132" s="56" t="s">
        <v>725</v>
      </c>
      <c r="BP132" s="56">
        <v>5943.04</v>
      </c>
      <c r="BQ132" s="56">
        <v>5156.9799999999996</v>
      </c>
      <c r="BR132" s="56">
        <v>0</v>
      </c>
      <c r="BS132" s="56">
        <v>0</v>
      </c>
      <c r="BT132" s="56">
        <v>0</v>
      </c>
      <c r="BU132" s="56">
        <v>37420</v>
      </c>
      <c r="BV132" s="56">
        <v>162</v>
      </c>
      <c r="BW132" s="56" t="s">
        <v>1030</v>
      </c>
      <c r="BX132" s="56" t="s">
        <v>1492</v>
      </c>
      <c r="BY132" s="56" t="s">
        <v>663</v>
      </c>
      <c r="BZ132" s="56">
        <v>0.25</v>
      </c>
      <c r="CA132" s="56" t="s">
        <v>664</v>
      </c>
      <c r="CB132" s="56" t="s">
        <v>1112</v>
      </c>
      <c r="CD132" s="56" t="s">
        <v>667</v>
      </c>
      <c r="CG132" s="56">
        <v>0</v>
      </c>
      <c r="CH132" s="56">
        <v>128</v>
      </c>
      <c r="CJ132" s="56">
        <v>100</v>
      </c>
      <c r="CK132" s="56">
        <v>5156.9799999999996</v>
      </c>
      <c r="CL132" s="56">
        <v>0</v>
      </c>
      <c r="CN132" s="56">
        <v>713.16</v>
      </c>
      <c r="CO132" s="56">
        <v>713.16</v>
      </c>
      <c r="CP132" s="56">
        <v>72.900000000000006</v>
      </c>
      <c r="CQ132" s="56" t="s">
        <v>668</v>
      </c>
      <c r="CR132" s="56">
        <v>0</v>
      </c>
      <c r="CS132" s="56">
        <v>0</v>
      </c>
      <c r="CV132" s="56">
        <v>0</v>
      </c>
      <c r="CX132" s="56">
        <v>0</v>
      </c>
      <c r="CY132" s="56">
        <v>0</v>
      </c>
      <c r="CZ132" s="56">
        <v>477.02</v>
      </c>
      <c r="DA132" s="56">
        <v>477.02</v>
      </c>
      <c r="DB132" s="56">
        <v>0</v>
      </c>
      <c r="DC132" s="56">
        <v>4679.96</v>
      </c>
      <c r="DD132" s="56">
        <v>30.88</v>
      </c>
      <c r="DE132" s="56">
        <v>0</v>
      </c>
      <c r="DF132" s="56">
        <v>30.88</v>
      </c>
      <c r="DH132" s="56" t="s">
        <v>670</v>
      </c>
      <c r="DI132" s="56" t="s">
        <v>671</v>
      </c>
      <c r="DK132" s="56">
        <v>79.45</v>
      </c>
      <c r="DL132" s="56">
        <v>4721.9799999999996</v>
      </c>
      <c r="DM132" s="56">
        <v>26</v>
      </c>
      <c r="DN132" s="56">
        <v>4500914986</v>
      </c>
      <c r="DO132" s="56" t="s">
        <v>236</v>
      </c>
      <c r="DQ132" s="56" t="s">
        <v>674</v>
      </c>
      <c r="DR132" s="56">
        <v>3</v>
      </c>
      <c r="DW132" s="56">
        <v>280</v>
      </c>
      <c r="DX132" s="56" t="s">
        <v>678</v>
      </c>
      <c r="DY132" s="56" t="s">
        <v>679</v>
      </c>
      <c r="EL132" s="56">
        <v>25</v>
      </c>
      <c r="EM132" s="56">
        <v>15</v>
      </c>
      <c r="EN132" s="56">
        <v>4779</v>
      </c>
      <c r="EO132" s="56">
        <v>1805</v>
      </c>
      <c r="EP132" s="56">
        <v>6814</v>
      </c>
      <c r="EQ132" s="56" t="s">
        <v>1113</v>
      </c>
      <c r="ER132" s="56" t="s">
        <v>902</v>
      </c>
      <c r="ES132" s="56">
        <v>2</v>
      </c>
      <c r="ET132" s="56" t="s">
        <v>682</v>
      </c>
      <c r="EU132" s="56" t="s">
        <v>683</v>
      </c>
      <c r="EV132" s="56" t="s">
        <v>683</v>
      </c>
      <c r="FD132" s="56" t="s">
        <v>1493</v>
      </c>
      <c r="FK132" s="56">
        <v>0</v>
      </c>
    </row>
    <row r="133" spans="1:167" x14ac:dyDescent="0.2">
      <c r="A133" s="56">
        <v>29086</v>
      </c>
      <c r="B133" s="56">
        <v>2</v>
      </c>
      <c r="C133" s="56">
        <v>6352</v>
      </c>
      <c r="D133" s="56" t="s">
        <v>634</v>
      </c>
      <c r="E133" s="56" t="s">
        <v>635</v>
      </c>
      <c r="K133" s="56" t="s">
        <v>1494</v>
      </c>
      <c r="L133" s="56" t="s">
        <v>637</v>
      </c>
      <c r="M133" s="56">
        <v>44937</v>
      </c>
      <c r="N133" s="56">
        <v>44939</v>
      </c>
      <c r="O133" s="56">
        <v>38</v>
      </c>
      <c r="P133" s="56" t="s">
        <v>638</v>
      </c>
      <c r="Q133" s="56">
        <v>2</v>
      </c>
      <c r="R133" s="56" t="s">
        <v>639</v>
      </c>
      <c r="S133" s="56" t="s">
        <v>893</v>
      </c>
      <c r="T133" s="56" t="s">
        <v>641</v>
      </c>
      <c r="U133" s="56" t="s">
        <v>642</v>
      </c>
      <c r="V133" s="56" t="s">
        <v>643</v>
      </c>
      <c r="W133" s="56">
        <v>48</v>
      </c>
      <c r="X133" s="56" t="s">
        <v>699</v>
      </c>
      <c r="Y133" s="56">
        <v>90</v>
      </c>
      <c r="Z133" s="56" t="s">
        <v>894</v>
      </c>
      <c r="AA133" s="56" t="s">
        <v>895</v>
      </c>
      <c r="AB133" s="56" t="s">
        <v>896</v>
      </c>
      <c r="AC133" s="56" t="s">
        <v>641</v>
      </c>
      <c r="AD133" s="56" t="s">
        <v>893</v>
      </c>
      <c r="AE133" s="56">
        <v>141</v>
      </c>
      <c r="AF133" s="56" t="s">
        <v>649</v>
      </c>
      <c r="AG133" s="56" t="s">
        <v>650</v>
      </c>
      <c r="AH133" s="56" t="s">
        <v>643</v>
      </c>
      <c r="AI133" s="56" t="s">
        <v>642</v>
      </c>
      <c r="AJ133" s="56">
        <v>90</v>
      </c>
      <c r="AK133" s="56" t="s">
        <v>894</v>
      </c>
      <c r="AL133" s="56">
        <v>141</v>
      </c>
      <c r="AM133" s="56" t="s">
        <v>649</v>
      </c>
      <c r="AN133" s="56" t="s">
        <v>650</v>
      </c>
      <c r="AO133" s="56" t="s">
        <v>652</v>
      </c>
      <c r="AP133" s="56" t="s">
        <v>643</v>
      </c>
      <c r="AQ133" s="56" t="s">
        <v>642</v>
      </c>
      <c r="AR133" s="56">
        <v>98</v>
      </c>
      <c r="AS133" s="56" t="s">
        <v>645</v>
      </c>
      <c r="AT133" s="56" t="s">
        <v>646</v>
      </c>
      <c r="AU133" s="56" t="s">
        <v>643</v>
      </c>
      <c r="AV133" s="56" t="s">
        <v>648</v>
      </c>
      <c r="AW133" s="56">
        <v>116</v>
      </c>
      <c r="AX133" s="56" t="s">
        <v>876</v>
      </c>
      <c r="AY133" s="56">
        <v>35</v>
      </c>
      <c r="AZ133" s="56" t="s">
        <v>124</v>
      </c>
      <c r="BA133" s="56" t="s">
        <v>877</v>
      </c>
      <c r="BB133" s="56" t="s">
        <v>770</v>
      </c>
      <c r="BC133" s="56">
        <v>38</v>
      </c>
      <c r="BD133" s="56" t="s">
        <v>289</v>
      </c>
      <c r="BE133" s="56" t="s">
        <v>771</v>
      </c>
      <c r="BF133" s="56">
        <v>2</v>
      </c>
      <c r="BG133" s="56" t="s">
        <v>289</v>
      </c>
      <c r="BH133" s="56" t="s">
        <v>772</v>
      </c>
      <c r="BI133" s="56">
        <v>45.85</v>
      </c>
      <c r="BJ133" s="56">
        <v>118149.95</v>
      </c>
      <c r="BK133" s="56">
        <v>45850</v>
      </c>
      <c r="BL133" s="56" t="s">
        <v>897</v>
      </c>
      <c r="BM133" s="56">
        <v>3102</v>
      </c>
      <c r="BN133" s="56" t="s">
        <v>724</v>
      </c>
      <c r="BO133" s="56" t="s">
        <v>725</v>
      </c>
      <c r="BP133" s="56">
        <v>7565.25</v>
      </c>
      <c r="BQ133" s="56">
        <v>6584.52</v>
      </c>
      <c r="BR133" s="56">
        <v>0</v>
      </c>
      <c r="BS133" s="56">
        <v>0</v>
      </c>
      <c r="BT133" s="56">
        <v>0</v>
      </c>
      <c r="BU133" s="56">
        <v>719517</v>
      </c>
      <c r="BV133" s="56">
        <v>98</v>
      </c>
      <c r="BW133" s="56" t="s">
        <v>645</v>
      </c>
      <c r="BX133" s="56" t="s">
        <v>1495</v>
      </c>
      <c r="BY133" s="56" t="s">
        <v>663</v>
      </c>
      <c r="BZ133" s="56">
        <v>0.25</v>
      </c>
      <c r="CA133" s="56" t="s">
        <v>664</v>
      </c>
      <c r="CB133" s="56" t="s">
        <v>899</v>
      </c>
      <c r="CD133" s="56" t="s">
        <v>667</v>
      </c>
      <c r="CG133" s="56">
        <v>0</v>
      </c>
      <c r="CH133" s="56">
        <v>165</v>
      </c>
      <c r="CJ133" s="56">
        <v>100</v>
      </c>
      <c r="CK133" s="56">
        <v>6584.52</v>
      </c>
      <c r="CL133" s="56">
        <v>0</v>
      </c>
      <c r="CN133" s="56">
        <v>907.83</v>
      </c>
      <c r="CO133" s="56">
        <v>907.83</v>
      </c>
      <c r="CP133" s="56">
        <v>72.900000000000006</v>
      </c>
      <c r="CQ133" s="56" t="s">
        <v>668</v>
      </c>
      <c r="CR133" s="56">
        <v>0</v>
      </c>
      <c r="CS133" s="56">
        <v>0</v>
      </c>
      <c r="CV133" s="56">
        <v>0</v>
      </c>
      <c r="CX133" s="56">
        <v>0</v>
      </c>
      <c r="CY133" s="56">
        <v>0</v>
      </c>
      <c r="CZ133" s="56">
        <v>609.05999999999995</v>
      </c>
      <c r="DA133" s="56">
        <v>609.05999999999995</v>
      </c>
      <c r="DB133" s="56">
        <v>0</v>
      </c>
      <c r="DC133" s="56">
        <v>5975.46</v>
      </c>
      <c r="DD133" s="56">
        <v>20.3</v>
      </c>
      <c r="DE133" s="56">
        <v>0</v>
      </c>
      <c r="DF133" s="56">
        <v>20.3</v>
      </c>
      <c r="DH133" s="56" t="s">
        <v>670</v>
      </c>
      <c r="DI133" s="56" t="s">
        <v>671</v>
      </c>
      <c r="DK133" s="56">
        <v>79.680000000000007</v>
      </c>
      <c r="DL133" s="56">
        <v>6028.06</v>
      </c>
      <c r="DM133" s="56">
        <v>40</v>
      </c>
      <c r="DN133" s="56">
        <v>761806</v>
      </c>
      <c r="DO133" s="56" t="s">
        <v>236</v>
      </c>
      <c r="DQ133" s="56" t="s">
        <v>674</v>
      </c>
      <c r="DR133" s="56">
        <v>3</v>
      </c>
      <c r="DW133" s="56">
        <v>370</v>
      </c>
      <c r="DX133" s="56" t="s">
        <v>678</v>
      </c>
      <c r="DY133" s="56" t="s">
        <v>679</v>
      </c>
      <c r="EL133" s="56">
        <v>25</v>
      </c>
      <c r="EM133" s="56">
        <v>15</v>
      </c>
      <c r="EN133" s="56">
        <v>4779</v>
      </c>
      <c r="EO133" s="56">
        <v>1622</v>
      </c>
      <c r="EP133" s="56">
        <v>6813</v>
      </c>
      <c r="EQ133" s="56" t="s">
        <v>1092</v>
      </c>
      <c r="ER133" s="56" t="s">
        <v>928</v>
      </c>
      <c r="ES133" s="56">
        <v>2</v>
      </c>
      <c r="ET133" s="56" t="s">
        <v>682</v>
      </c>
      <c r="EU133" s="56" t="s">
        <v>683</v>
      </c>
      <c r="EV133" s="56" t="s">
        <v>683</v>
      </c>
      <c r="FD133" s="56" t="s">
        <v>1496</v>
      </c>
      <c r="FK133" s="56">
        <v>0</v>
      </c>
    </row>
    <row r="134" spans="1:167" x14ac:dyDescent="0.2">
      <c r="A134" s="56">
        <v>29087</v>
      </c>
      <c r="B134" s="56">
        <v>2</v>
      </c>
      <c r="C134" s="56">
        <v>6352</v>
      </c>
      <c r="D134" s="56" t="s">
        <v>634</v>
      </c>
      <c r="E134" s="56" t="s">
        <v>635</v>
      </c>
      <c r="K134" s="56" t="s">
        <v>1497</v>
      </c>
      <c r="L134" s="56" t="s">
        <v>637</v>
      </c>
      <c r="M134" s="56">
        <v>44937</v>
      </c>
      <c r="N134" s="56">
        <v>44939</v>
      </c>
      <c r="O134" s="56">
        <v>38</v>
      </c>
      <c r="P134" s="56" t="s">
        <v>638</v>
      </c>
      <c r="Q134" s="56">
        <v>2</v>
      </c>
      <c r="R134" s="56" t="s">
        <v>639</v>
      </c>
      <c r="S134" s="56" t="s">
        <v>893</v>
      </c>
      <c r="T134" s="56" t="s">
        <v>641</v>
      </c>
      <c r="U134" s="56" t="s">
        <v>735</v>
      </c>
      <c r="V134" s="56" t="s">
        <v>643</v>
      </c>
      <c r="W134" s="56">
        <v>48</v>
      </c>
      <c r="X134" s="56" t="s">
        <v>699</v>
      </c>
      <c r="Y134" s="56">
        <v>162</v>
      </c>
      <c r="Z134" s="56" t="s">
        <v>1030</v>
      </c>
      <c r="AA134" s="56" t="s">
        <v>1031</v>
      </c>
      <c r="AB134" s="56" t="s">
        <v>1032</v>
      </c>
      <c r="AC134" s="56" t="s">
        <v>641</v>
      </c>
      <c r="AD134" s="56" t="s">
        <v>893</v>
      </c>
      <c r="AE134" s="56">
        <v>91</v>
      </c>
      <c r="AF134" s="56" t="s">
        <v>736</v>
      </c>
      <c r="AG134" s="56" t="s">
        <v>737</v>
      </c>
      <c r="AH134" s="56" t="s">
        <v>643</v>
      </c>
      <c r="AI134" s="56" t="s">
        <v>735</v>
      </c>
      <c r="AJ134" s="56">
        <v>162</v>
      </c>
      <c r="AK134" s="56" t="s">
        <v>1030</v>
      </c>
      <c r="AL134" s="56">
        <v>98</v>
      </c>
      <c r="AM134" s="56" t="s">
        <v>645</v>
      </c>
      <c r="AN134" s="56" t="s">
        <v>646</v>
      </c>
      <c r="AO134" s="56" t="s">
        <v>647</v>
      </c>
      <c r="AP134" s="56" t="s">
        <v>643</v>
      </c>
      <c r="AQ134" s="56" t="s">
        <v>648</v>
      </c>
      <c r="AR134" s="56">
        <v>162</v>
      </c>
      <c r="AS134" s="56" t="s">
        <v>1030</v>
      </c>
      <c r="AT134" s="56" t="s">
        <v>1031</v>
      </c>
      <c r="AU134" s="56" t="s">
        <v>641</v>
      </c>
      <c r="AV134" s="56" t="s">
        <v>893</v>
      </c>
      <c r="AW134" s="56">
        <v>113</v>
      </c>
      <c r="AX134" s="56" t="s">
        <v>1025</v>
      </c>
      <c r="AY134" s="56">
        <v>43</v>
      </c>
      <c r="AZ134" s="56" t="s">
        <v>126</v>
      </c>
      <c r="BA134" s="56" t="s">
        <v>1284</v>
      </c>
      <c r="BB134" s="56" t="s">
        <v>770</v>
      </c>
      <c r="BC134" s="56">
        <v>38</v>
      </c>
      <c r="BD134" s="56" t="s">
        <v>289</v>
      </c>
      <c r="BE134" s="56" t="s">
        <v>771</v>
      </c>
      <c r="BF134" s="56">
        <v>2</v>
      </c>
      <c r="BG134" s="56" t="s">
        <v>289</v>
      </c>
      <c r="BH134" s="56" t="s">
        <v>772</v>
      </c>
      <c r="BI134" s="56">
        <v>46.06</v>
      </c>
      <c r="BJ134" s="56">
        <v>178318.99</v>
      </c>
      <c r="BK134" s="56">
        <v>46.06</v>
      </c>
      <c r="BL134" s="56" t="s">
        <v>1110</v>
      </c>
      <c r="BM134" s="56">
        <v>3105</v>
      </c>
      <c r="BN134" s="56" t="s">
        <v>786</v>
      </c>
      <c r="BO134" s="56" t="s">
        <v>911</v>
      </c>
      <c r="BP134" s="56">
        <v>5895.68</v>
      </c>
      <c r="BQ134" s="56">
        <v>5115.3</v>
      </c>
      <c r="BR134" s="56">
        <v>0</v>
      </c>
      <c r="BS134" s="56">
        <v>0</v>
      </c>
      <c r="BT134" s="56">
        <v>0</v>
      </c>
      <c r="BU134" s="56">
        <v>37422</v>
      </c>
      <c r="BV134" s="56">
        <v>162</v>
      </c>
      <c r="BW134" s="56" t="s">
        <v>1030</v>
      </c>
      <c r="BX134" s="56" t="s">
        <v>1498</v>
      </c>
      <c r="BY134" s="56" t="s">
        <v>663</v>
      </c>
      <c r="BZ134" s="56">
        <v>0.25</v>
      </c>
      <c r="CA134" s="56" t="s">
        <v>664</v>
      </c>
      <c r="CB134" s="56" t="s">
        <v>1117</v>
      </c>
      <c r="CD134" s="56" t="s">
        <v>667</v>
      </c>
      <c r="CG134" s="56">
        <v>0</v>
      </c>
      <c r="CH134" s="56">
        <v>128</v>
      </c>
      <c r="CJ134" s="56">
        <v>100</v>
      </c>
      <c r="CK134" s="56">
        <v>5115.3</v>
      </c>
      <c r="CL134" s="56">
        <v>0</v>
      </c>
      <c r="CN134" s="56">
        <v>707.48</v>
      </c>
      <c r="CO134" s="56">
        <v>707.48</v>
      </c>
      <c r="CP134" s="56">
        <v>72.900000000000006</v>
      </c>
      <c r="CQ134" s="56" t="s">
        <v>668</v>
      </c>
      <c r="CR134" s="56">
        <v>0</v>
      </c>
      <c r="CS134" s="56">
        <v>0</v>
      </c>
      <c r="CV134" s="56">
        <v>0</v>
      </c>
      <c r="CX134" s="56">
        <v>0</v>
      </c>
      <c r="CY134" s="56">
        <v>0</v>
      </c>
      <c r="CZ134" s="56">
        <v>473.16</v>
      </c>
      <c r="DA134" s="56">
        <v>473.16</v>
      </c>
      <c r="DB134" s="56">
        <v>0</v>
      </c>
      <c r="DC134" s="56">
        <v>4642.1400000000003</v>
      </c>
      <c r="DD134" s="56">
        <v>30.64</v>
      </c>
      <c r="DE134" s="56">
        <v>0</v>
      </c>
      <c r="DF134" s="56">
        <v>30.64</v>
      </c>
      <c r="DH134" s="56" t="s">
        <v>670</v>
      </c>
      <c r="DI134" s="56" t="s">
        <v>671</v>
      </c>
      <c r="DK134" s="56">
        <v>79.45</v>
      </c>
      <c r="DL134" s="56">
        <v>4684.3999999999996</v>
      </c>
      <c r="DM134" s="56">
        <v>26</v>
      </c>
      <c r="DN134" s="56">
        <v>4500914986</v>
      </c>
      <c r="DO134" s="56" t="s">
        <v>236</v>
      </c>
      <c r="DQ134" s="56" t="s">
        <v>674</v>
      </c>
      <c r="DR134" s="56">
        <v>3</v>
      </c>
      <c r="DW134" s="56">
        <v>280</v>
      </c>
      <c r="DX134" s="56" t="s">
        <v>678</v>
      </c>
      <c r="DY134" s="56" t="s">
        <v>679</v>
      </c>
      <c r="EL134" s="56">
        <v>25</v>
      </c>
      <c r="EM134" s="56">
        <v>15</v>
      </c>
      <c r="EN134" s="56">
        <v>4779</v>
      </c>
      <c r="EO134" s="56">
        <v>1805</v>
      </c>
      <c r="EP134" s="56">
        <v>6814</v>
      </c>
      <c r="EQ134" s="56" t="s">
        <v>1113</v>
      </c>
      <c r="ER134" s="56" t="s">
        <v>902</v>
      </c>
      <c r="ES134" s="56">
        <v>2</v>
      </c>
      <c r="ET134" s="56" t="s">
        <v>682</v>
      </c>
      <c r="EU134" s="56" t="s">
        <v>683</v>
      </c>
      <c r="EV134" s="56" t="s">
        <v>683</v>
      </c>
      <c r="FD134" s="56" t="s">
        <v>1499</v>
      </c>
      <c r="FK134" s="56">
        <v>0</v>
      </c>
    </row>
    <row r="135" spans="1:167" x14ac:dyDescent="0.2">
      <c r="A135" s="56">
        <v>29088</v>
      </c>
      <c r="B135" s="56">
        <v>2</v>
      </c>
      <c r="C135" s="56">
        <v>6352</v>
      </c>
      <c r="D135" s="56" t="s">
        <v>634</v>
      </c>
      <c r="E135" s="56" t="s">
        <v>635</v>
      </c>
      <c r="K135" s="56" t="s">
        <v>1500</v>
      </c>
      <c r="L135" s="56" t="s">
        <v>637</v>
      </c>
      <c r="M135" s="56">
        <v>44937</v>
      </c>
      <c r="N135" s="56">
        <v>44939</v>
      </c>
      <c r="O135" s="56">
        <v>38</v>
      </c>
      <c r="P135" s="56" t="s">
        <v>638</v>
      </c>
      <c r="Q135" s="56">
        <v>2</v>
      </c>
      <c r="R135" s="56" t="s">
        <v>639</v>
      </c>
      <c r="S135" s="56" t="s">
        <v>893</v>
      </c>
      <c r="T135" s="56" t="s">
        <v>641</v>
      </c>
      <c r="U135" s="56" t="s">
        <v>735</v>
      </c>
      <c r="V135" s="56" t="s">
        <v>643</v>
      </c>
      <c r="W135" s="56">
        <v>48</v>
      </c>
      <c r="X135" s="56" t="s">
        <v>699</v>
      </c>
      <c r="Y135" s="56">
        <v>162</v>
      </c>
      <c r="Z135" s="56" t="s">
        <v>1030</v>
      </c>
      <c r="AA135" s="56" t="s">
        <v>1031</v>
      </c>
      <c r="AB135" s="56" t="s">
        <v>1032</v>
      </c>
      <c r="AC135" s="56" t="s">
        <v>641</v>
      </c>
      <c r="AD135" s="56" t="s">
        <v>893</v>
      </c>
      <c r="AE135" s="56">
        <v>91</v>
      </c>
      <c r="AF135" s="56" t="s">
        <v>736</v>
      </c>
      <c r="AG135" s="56" t="s">
        <v>737</v>
      </c>
      <c r="AH135" s="56" t="s">
        <v>643</v>
      </c>
      <c r="AI135" s="56" t="s">
        <v>735</v>
      </c>
      <c r="AJ135" s="56">
        <v>162</v>
      </c>
      <c r="AK135" s="56" t="s">
        <v>1030</v>
      </c>
      <c r="AL135" s="56">
        <v>98</v>
      </c>
      <c r="AM135" s="56" t="s">
        <v>645</v>
      </c>
      <c r="AN135" s="56" t="s">
        <v>646</v>
      </c>
      <c r="AO135" s="56" t="s">
        <v>647</v>
      </c>
      <c r="AP135" s="56" t="s">
        <v>643</v>
      </c>
      <c r="AQ135" s="56" t="s">
        <v>648</v>
      </c>
      <c r="AR135" s="56">
        <v>162</v>
      </c>
      <c r="AS135" s="56" t="s">
        <v>1030</v>
      </c>
      <c r="AT135" s="56" t="s">
        <v>1031</v>
      </c>
      <c r="AU135" s="56" t="s">
        <v>641</v>
      </c>
      <c r="AV135" s="56" t="s">
        <v>893</v>
      </c>
      <c r="AW135" s="56">
        <v>50</v>
      </c>
      <c r="AX135" s="56" t="s">
        <v>881</v>
      </c>
      <c r="AY135" s="56">
        <v>77</v>
      </c>
      <c r="AZ135" s="56" t="s">
        <v>131</v>
      </c>
      <c r="BA135" s="56" t="s">
        <v>882</v>
      </c>
      <c r="BB135" s="56" t="s">
        <v>770</v>
      </c>
      <c r="BC135" s="56">
        <v>38</v>
      </c>
      <c r="BD135" s="56" t="s">
        <v>289</v>
      </c>
      <c r="BE135" s="56" t="s">
        <v>771</v>
      </c>
      <c r="BF135" s="56">
        <v>2</v>
      </c>
      <c r="BG135" s="56" t="s">
        <v>289</v>
      </c>
      <c r="BH135" s="56" t="s">
        <v>772</v>
      </c>
      <c r="BI135" s="56">
        <v>46.28</v>
      </c>
      <c r="BJ135" s="56">
        <v>179170.71</v>
      </c>
      <c r="BK135" s="56">
        <v>46.28</v>
      </c>
      <c r="BL135" s="56" t="s">
        <v>1110</v>
      </c>
      <c r="BM135" s="56">
        <v>3105</v>
      </c>
      <c r="BN135" s="56" t="s">
        <v>786</v>
      </c>
      <c r="BO135" s="56" t="s">
        <v>883</v>
      </c>
      <c r="BP135" s="56">
        <v>5923.84</v>
      </c>
      <c r="BQ135" s="56">
        <v>5140.08</v>
      </c>
      <c r="BR135" s="56">
        <v>0</v>
      </c>
      <c r="BS135" s="56">
        <v>0</v>
      </c>
      <c r="BT135" s="56">
        <v>0</v>
      </c>
      <c r="BU135" s="56">
        <v>37424</v>
      </c>
      <c r="BV135" s="56">
        <v>162</v>
      </c>
      <c r="BW135" s="56" t="s">
        <v>1030</v>
      </c>
      <c r="BX135" s="56" t="s">
        <v>1501</v>
      </c>
      <c r="BY135" s="56" t="s">
        <v>663</v>
      </c>
      <c r="BZ135" s="56">
        <v>0.25</v>
      </c>
      <c r="CA135" s="56" t="s">
        <v>664</v>
      </c>
      <c r="CB135" s="56" t="s">
        <v>1117</v>
      </c>
      <c r="CD135" s="56" t="s">
        <v>667</v>
      </c>
      <c r="CG135" s="56">
        <v>0</v>
      </c>
      <c r="CH135" s="56">
        <v>128</v>
      </c>
      <c r="CJ135" s="56">
        <v>100</v>
      </c>
      <c r="CK135" s="56">
        <v>5140.08</v>
      </c>
      <c r="CL135" s="56">
        <v>0</v>
      </c>
      <c r="CN135" s="56">
        <v>710.86</v>
      </c>
      <c r="CO135" s="56">
        <v>710.86</v>
      </c>
      <c r="CP135" s="56">
        <v>72.900000000000006</v>
      </c>
      <c r="CQ135" s="56" t="s">
        <v>668</v>
      </c>
      <c r="CR135" s="56">
        <v>0</v>
      </c>
      <c r="CS135" s="56">
        <v>0</v>
      </c>
      <c r="CV135" s="56">
        <v>0</v>
      </c>
      <c r="CX135" s="56">
        <v>0</v>
      </c>
      <c r="CY135" s="56">
        <v>0</v>
      </c>
      <c r="CZ135" s="56">
        <v>475.46</v>
      </c>
      <c r="DA135" s="56">
        <v>475.46</v>
      </c>
      <c r="DB135" s="56">
        <v>0</v>
      </c>
      <c r="DC135" s="56">
        <v>4664.62</v>
      </c>
      <c r="DD135" s="56">
        <v>30.78</v>
      </c>
      <c r="DE135" s="56">
        <v>0</v>
      </c>
      <c r="DF135" s="56">
        <v>30.78</v>
      </c>
      <c r="DH135" s="56" t="s">
        <v>670</v>
      </c>
      <c r="DI135" s="56" t="s">
        <v>671</v>
      </c>
      <c r="DK135" s="56">
        <v>79.45</v>
      </c>
      <c r="DL135" s="56">
        <v>4706.74</v>
      </c>
      <c r="DM135" s="56">
        <v>26</v>
      </c>
      <c r="DN135" s="56">
        <v>4500914986</v>
      </c>
      <c r="DO135" s="56" t="s">
        <v>236</v>
      </c>
      <c r="DQ135" s="56" t="s">
        <v>674</v>
      </c>
      <c r="DR135" s="56">
        <v>3</v>
      </c>
      <c r="DW135" s="56">
        <v>280</v>
      </c>
      <c r="DX135" s="56" t="s">
        <v>678</v>
      </c>
      <c r="DY135" s="56" t="s">
        <v>679</v>
      </c>
      <c r="EL135" s="56">
        <v>25</v>
      </c>
      <c r="EM135" s="56">
        <v>15</v>
      </c>
      <c r="EN135" s="56">
        <v>4779</v>
      </c>
      <c r="EO135" s="56">
        <v>1805</v>
      </c>
      <c r="EP135" s="56">
        <v>6814</v>
      </c>
      <c r="EQ135" s="56" t="s">
        <v>1113</v>
      </c>
      <c r="ER135" s="56" t="s">
        <v>902</v>
      </c>
      <c r="ES135" s="56">
        <v>2</v>
      </c>
      <c r="ET135" s="56" t="s">
        <v>682</v>
      </c>
      <c r="EU135" s="56" t="s">
        <v>683</v>
      </c>
      <c r="EV135" s="56" t="s">
        <v>683</v>
      </c>
      <c r="FD135" s="56" t="s">
        <v>1502</v>
      </c>
      <c r="FK135" s="56">
        <v>0</v>
      </c>
    </row>
    <row r="136" spans="1:167" x14ac:dyDescent="0.2">
      <c r="A136" s="56">
        <v>29090</v>
      </c>
      <c r="B136" s="56">
        <v>2</v>
      </c>
      <c r="C136" s="56">
        <v>6352</v>
      </c>
      <c r="D136" s="56" t="s">
        <v>634</v>
      </c>
      <c r="E136" s="56" t="s">
        <v>635</v>
      </c>
      <c r="K136" s="56" t="s">
        <v>1503</v>
      </c>
      <c r="L136" s="56" t="s">
        <v>637</v>
      </c>
      <c r="M136" s="56">
        <v>44937</v>
      </c>
      <c r="N136" s="56">
        <v>44939</v>
      </c>
      <c r="O136" s="56">
        <v>38</v>
      </c>
      <c r="P136" s="56" t="s">
        <v>638</v>
      </c>
      <c r="Q136" s="56">
        <v>2</v>
      </c>
      <c r="R136" s="56" t="s">
        <v>639</v>
      </c>
      <c r="S136" s="56" t="s">
        <v>893</v>
      </c>
      <c r="T136" s="56" t="s">
        <v>641</v>
      </c>
      <c r="U136" s="56" t="s">
        <v>735</v>
      </c>
      <c r="V136" s="56" t="s">
        <v>643</v>
      </c>
      <c r="W136" s="56">
        <v>48</v>
      </c>
      <c r="X136" s="56" t="s">
        <v>699</v>
      </c>
      <c r="Y136" s="56">
        <v>162</v>
      </c>
      <c r="Z136" s="56" t="s">
        <v>1030</v>
      </c>
      <c r="AA136" s="56" t="s">
        <v>1031</v>
      </c>
      <c r="AB136" s="56" t="s">
        <v>1032</v>
      </c>
      <c r="AC136" s="56" t="s">
        <v>641</v>
      </c>
      <c r="AD136" s="56" t="s">
        <v>893</v>
      </c>
      <c r="AE136" s="56">
        <v>91</v>
      </c>
      <c r="AF136" s="56" t="s">
        <v>736</v>
      </c>
      <c r="AG136" s="56" t="s">
        <v>737</v>
      </c>
      <c r="AH136" s="56" t="s">
        <v>643</v>
      </c>
      <c r="AI136" s="56" t="s">
        <v>735</v>
      </c>
      <c r="AJ136" s="56">
        <v>162</v>
      </c>
      <c r="AK136" s="56" t="s">
        <v>1030</v>
      </c>
      <c r="AL136" s="56">
        <v>98</v>
      </c>
      <c r="AM136" s="56" t="s">
        <v>645</v>
      </c>
      <c r="AN136" s="56" t="s">
        <v>646</v>
      </c>
      <c r="AO136" s="56" t="s">
        <v>647</v>
      </c>
      <c r="AP136" s="56" t="s">
        <v>643</v>
      </c>
      <c r="AQ136" s="56" t="s">
        <v>648</v>
      </c>
      <c r="AR136" s="56">
        <v>162</v>
      </c>
      <c r="AS136" s="56" t="s">
        <v>1030</v>
      </c>
      <c r="AT136" s="56" t="s">
        <v>1031</v>
      </c>
      <c r="AU136" s="56" t="s">
        <v>641</v>
      </c>
      <c r="AV136" s="56" t="s">
        <v>893</v>
      </c>
      <c r="AW136" s="56">
        <v>905</v>
      </c>
      <c r="AX136" s="56" t="s">
        <v>1504</v>
      </c>
      <c r="AY136" s="56">
        <v>1451</v>
      </c>
      <c r="AZ136" s="56" t="s">
        <v>1505</v>
      </c>
      <c r="BA136" s="56" t="s">
        <v>1506</v>
      </c>
      <c r="BB136" s="56" t="s">
        <v>1507</v>
      </c>
      <c r="BC136" s="56">
        <v>1014</v>
      </c>
      <c r="BD136" s="56" t="s">
        <v>1508</v>
      </c>
      <c r="BE136" s="56" t="s">
        <v>1509</v>
      </c>
      <c r="BF136" s="56">
        <v>1014</v>
      </c>
      <c r="BG136" s="56" t="s">
        <v>1508</v>
      </c>
      <c r="BH136" s="56" t="s">
        <v>1509</v>
      </c>
      <c r="BI136" s="56">
        <v>47.4</v>
      </c>
      <c r="BJ136" s="56">
        <v>183506.73</v>
      </c>
      <c r="BK136" s="56">
        <v>47.4</v>
      </c>
      <c r="BL136" s="56" t="s">
        <v>1110</v>
      </c>
      <c r="BM136" s="56">
        <v>3105</v>
      </c>
      <c r="BN136" s="56" t="s">
        <v>744</v>
      </c>
      <c r="BO136" s="56" t="s">
        <v>1510</v>
      </c>
      <c r="BP136" s="56">
        <v>6067.2</v>
      </c>
      <c r="BQ136" s="56">
        <v>5266.24</v>
      </c>
      <c r="BR136" s="56">
        <v>0</v>
      </c>
      <c r="BS136" s="56">
        <v>0</v>
      </c>
      <c r="BT136" s="56">
        <v>3956.1</v>
      </c>
      <c r="BU136" s="56">
        <v>37450</v>
      </c>
      <c r="BV136" s="56">
        <v>162</v>
      </c>
      <c r="BW136" s="56" t="s">
        <v>1030</v>
      </c>
      <c r="BX136" s="56" t="s">
        <v>1511</v>
      </c>
      <c r="BY136" s="56" t="s">
        <v>663</v>
      </c>
      <c r="BZ136" s="56">
        <v>0.25</v>
      </c>
      <c r="CA136" s="56" t="s">
        <v>664</v>
      </c>
      <c r="CB136" s="56" t="s">
        <v>1117</v>
      </c>
      <c r="CC136" s="56" t="s">
        <v>1512</v>
      </c>
      <c r="CD136" s="56" t="s">
        <v>667</v>
      </c>
      <c r="CF136" s="56">
        <v>3100</v>
      </c>
      <c r="CG136" s="56">
        <v>78.36</v>
      </c>
      <c r="CH136" s="56">
        <v>128</v>
      </c>
      <c r="CI136" s="56">
        <v>85</v>
      </c>
      <c r="CJ136" s="56">
        <v>24.88</v>
      </c>
      <c r="CK136" s="56">
        <v>5266.24</v>
      </c>
      <c r="CL136" s="56">
        <v>3956.1</v>
      </c>
      <c r="CM136" s="56">
        <v>52.18</v>
      </c>
      <c r="CN136" s="56">
        <v>728.06</v>
      </c>
      <c r="CO136" s="56">
        <v>728.06</v>
      </c>
      <c r="CP136" s="56">
        <v>72.900000000000006</v>
      </c>
      <c r="CQ136" s="56" t="s">
        <v>668</v>
      </c>
      <c r="CR136" s="56">
        <v>0</v>
      </c>
      <c r="CS136" s="56">
        <v>72.900000000000006</v>
      </c>
      <c r="CT136" s="56" t="s">
        <v>669</v>
      </c>
      <c r="CU136" s="56">
        <v>0</v>
      </c>
      <c r="CV136" s="56">
        <v>0</v>
      </c>
      <c r="CX136" s="56">
        <v>1291.08</v>
      </c>
      <c r="CY136" s="56">
        <v>0</v>
      </c>
      <c r="CZ136" s="56">
        <v>114.44</v>
      </c>
      <c r="DA136" s="56">
        <v>487.12</v>
      </c>
      <c r="DB136" s="56">
        <v>372.68</v>
      </c>
      <c r="DC136" s="56">
        <v>5151.8</v>
      </c>
      <c r="DD136" s="56">
        <v>-41.16</v>
      </c>
      <c r="DE136" s="56">
        <v>0</v>
      </c>
      <c r="DF136" s="56">
        <v>31.53</v>
      </c>
      <c r="DG136" s="56">
        <v>91.75</v>
      </c>
      <c r="DH136" s="56" t="s">
        <v>670</v>
      </c>
      <c r="DI136" s="56" t="s">
        <v>671</v>
      </c>
      <c r="DK136" s="56">
        <v>20.39</v>
      </c>
      <c r="DL136" s="56">
        <v>1236.8599999999999</v>
      </c>
      <c r="DM136" s="56">
        <v>26</v>
      </c>
      <c r="DN136" s="56">
        <v>4500914986</v>
      </c>
      <c r="DO136" s="56" t="s">
        <v>236</v>
      </c>
      <c r="DP136" s="56" t="s">
        <v>673</v>
      </c>
      <c r="DQ136" s="56" t="s">
        <v>674</v>
      </c>
      <c r="DR136" s="56">
        <v>3</v>
      </c>
      <c r="DS136" s="56" t="s">
        <v>1513</v>
      </c>
      <c r="DT136" s="56" t="s">
        <v>1514</v>
      </c>
      <c r="DU136" s="56">
        <v>36</v>
      </c>
      <c r="DV136" s="56" t="s">
        <v>677</v>
      </c>
      <c r="DW136" s="56">
        <v>280</v>
      </c>
      <c r="DX136" s="56" t="s">
        <v>678</v>
      </c>
      <c r="DY136" s="56" t="s">
        <v>679</v>
      </c>
      <c r="ED136" s="56">
        <v>2</v>
      </c>
      <c r="EE136" s="56" t="s">
        <v>639</v>
      </c>
      <c r="EF136" s="56">
        <v>2</v>
      </c>
      <c r="EG136" s="56" t="s">
        <v>639</v>
      </c>
      <c r="EH136" s="56">
        <v>2</v>
      </c>
      <c r="EI136" s="56" t="s">
        <v>639</v>
      </c>
      <c r="EJ136" s="56">
        <v>2</v>
      </c>
      <c r="EK136" s="56" t="s">
        <v>639</v>
      </c>
      <c r="EL136" s="56">
        <v>25</v>
      </c>
      <c r="EM136" s="56">
        <v>15</v>
      </c>
      <c r="EN136" s="56">
        <v>4779</v>
      </c>
      <c r="EO136" s="56">
        <v>1805</v>
      </c>
      <c r="EP136" s="56">
        <v>6814</v>
      </c>
      <c r="EQ136" s="56" t="s">
        <v>1113</v>
      </c>
      <c r="ER136" s="56" t="s">
        <v>902</v>
      </c>
      <c r="ES136" s="56">
        <v>2</v>
      </c>
      <c r="ET136" s="56" t="s">
        <v>682</v>
      </c>
      <c r="EU136" s="56" t="s">
        <v>683</v>
      </c>
      <c r="EV136" s="56" t="s">
        <v>683</v>
      </c>
      <c r="FD136" s="56" t="s">
        <v>1515</v>
      </c>
      <c r="FK136" s="56">
        <v>0</v>
      </c>
    </row>
    <row r="137" spans="1:167" x14ac:dyDescent="0.2">
      <c r="A137" s="56">
        <v>29091</v>
      </c>
      <c r="B137" s="56">
        <v>2</v>
      </c>
      <c r="C137" s="56">
        <v>6352</v>
      </c>
      <c r="D137" s="56" t="s">
        <v>634</v>
      </c>
      <c r="E137" s="56" t="s">
        <v>635</v>
      </c>
      <c r="K137" s="56" t="s">
        <v>1516</v>
      </c>
      <c r="L137" s="56" t="s">
        <v>637</v>
      </c>
      <c r="M137" s="56">
        <v>44937</v>
      </c>
      <c r="N137" s="56">
        <v>44939</v>
      </c>
      <c r="O137" s="56">
        <v>38</v>
      </c>
      <c r="P137" s="56" t="s">
        <v>638</v>
      </c>
      <c r="Q137" s="56">
        <v>2</v>
      </c>
      <c r="R137" s="56" t="s">
        <v>639</v>
      </c>
      <c r="S137" s="56" t="s">
        <v>893</v>
      </c>
      <c r="T137" s="56" t="s">
        <v>641</v>
      </c>
      <c r="U137" s="56" t="s">
        <v>735</v>
      </c>
      <c r="V137" s="56" t="s">
        <v>643</v>
      </c>
      <c r="W137" s="56">
        <v>48</v>
      </c>
      <c r="X137" s="56" t="s">
        <v>699</v>
      </c>
      <c r="Y137" s="56">
        <v>162</v>
      </c>
      <c r="Z137" s="56" t="s">
        <v>1030</v>
      </c>
      <c r="AA137" s="56" t="s">
        <v>1031</v>
      </c>
      <c r="AB137" s="56" t="s">
        <v>1032</v>
      </c>
      <c r="AC137" s="56" t="s">
        <v>641</v>
      </c>
      <c r="AD137" s="56" t="s">
        <v>893</v>
      </c>
      <c r="AE137" s="56">
        <v>91</v>
      </c>
      <c r="AF137" s="56" t="s">
        <v>736</v>
      </c>
      <c r="AG137" s="56" t="s">
        <v>737</v>
      </c>
      <c r="AH137" s="56" t="s">
        <v>643</v>
      </c>
      <c r="AI137" s="56" t="s">
        <v>735</v>
      </c>
      <c r="AJ137" s="56">
        <v>162</v>
      </c>
      <c r="AK137" s="56" t="s">
        <v>1030</v>
      </c>
      <c r="AL137" s="56">
        <v>98</v>
      </c>
      <c r="AM137" s="56" t="s">
        <v>645</v>
      </c>
      <c r="AN137" s="56" t="s">
        <v>646</v>
      </c>
      <c r="AO137" s="56" t="s">
        <v>647</v>
      </c>
      <c r="AP137" s="56" t="s">
        <v>643</v>
      </c>
      <c r="AQ137" s="56" t="s">
        <v>648</v>
      </c>
      <c r="AR137" s="56">
        <v>162</v>
      </c>
      <c r="AS137" s="56" t="s">
        <v>1030</v>
      </c>
      <c r="AT137" s="56" t="s">
        <v>1031</v>
      </c>
      <c r="AU137" s="56" t="s">
        <v>641</v>
      </c>
      <c r="AV137" s="56" t="s">
        <v>893</v>
      </c>
      <c r="AW137" s="56">
        <v>569</v>
      </c>
      <c r="AX137" s="56" t="s">
        <v>686</v>
      </c>
      <c r="AY137" s="56">
        <v>617</v>
      </c>
      <c r="AZ137" s="56" t="s">
        <v>687</v>
      </c>
      <c r="BA137" s="56" t="s">
        <v>688</v>
      </c>
      <c r="BB137" s="56" t="s">
        <v>689</v>
      </c>
      <c r="BC137" s="56">
        <v>69</v>
      </c>
      <c r="BD137" s="56" t="s">
        <v>690</v>
      </c>
      <c r="BE137" s="56" t="s">
        <v>691</v>
      </c>
      <c r="BF137" s="56">
        <v>69</v>
      </c>
      <c r="BG137" s="56" t="s">
        <v>690</v>
      </c>
      <c r="BH137" s="56" t="s">
        <v>691</v>
      </c>
      <c r="BI137" s="56">
        <v>33.840000000000003</v>
      </c>
      <c r="BJ137" s="56">
        <v>131009.87</v>
      </c>
      <c r="BK137" s="56">
        <v>33.840000000000003</v>
      </c>
      <c r="BL137" s="56" t="s">
        <v>1110</v>
      </c>
      <c r="BM137" s="56">
        <v>3105</v>
      </c>
      <c r="BN137" s="56" t="s">
        <v>660</v>
      </c>
      <c r="BO137" s="56" t="s">
        <v>692</v>
      </c>
      <c r="BP137" s="56">
        <v>4331.5200000000004</v>
      </c>
      <c r="BQ137" s="56">
        <v>3763.14</v>
      </c>
      <c r="BR137" s="56">
        <v>0</v>
      </c>
      <c r="BS137" s="56">
        <v>0</v>
      </c>
      <c r="BT137" s="56">
        <v>2827.8</v>
      </c>
      <c r="BU137" s="56">
        <v>37451</v>
      </c>
      <c r="BV137" s="56">
        <v>162</v>
      </c>
      <c r="BW137" s="56" t="s">
        <v>1030</v>
      </c>
      <c r="BX137" s="56" t="s">
        <v>1517</v>
      </c>
      <c r="BY137" s="56" t="s">
        <v>663</v>
      </c>
      <c r="BZ137" s="56">
        <v>0.25</v>
      </c>
      <c r="CA137" s="56" t="s">
        <v>664</v>
      </c>
      <c r="CB137" s="56" t="s">
        <v>1117</v>
      </c>
      <c r="CC137" s="56" t="s">
        <v>1518</v>
      </c>
      <c r="CD137" s="56" t="s">
        <v>667</v>
      </c>
      <c r="CF137" s="56">
        <v>2200</v>
      </c>
      <c r="CG137" s="56">
        <v>77.8</v>
      </c>
      <c r="CH137" s="56">
        <v>128</v>
      </c>
      <c r="CI137" s="56">
        <v>85</v>
      </c>
      <c r="CJ137" s="56">
        <v>24.86</v>
      </c>
      <c r="CK137" s="56">
        <v>3763.14</v>
      </c>
      <c r="CL137" s="56">
        <v>2827.8</v>
      </c>
      <c r="CM137" s="56">
        <v>8.5500000000000007</v>
      </c>
      <c r="CN137" s="56">
        <v>519.78</v>
      </c>
      <c r="CO137" s="56">
        <v>519.78</v>
      </c>
      <c r="CP137" s="56">
        <v>48.6</v>
      </c>
      <c r="CQ137" s="56" t="s">
        <v>668</v>
      </c>
      <c r="CR137" s="56">
        <v>0</v>
      </c>
      <c r="CS137" s="56">
        <v>48.6</v>
      </c>
      <c r="CT137" s="56" t="s">
        <v>669</v>
      </c>
      <c r="CU137" s="56">
        <v>0</v>
      </c>
      <c r="CV137" s="56">
        <v>0</v>
      </c>
      <c r="CX137" s="56">
        <v>921.57</v>
      </c>
      <c r="CY137" s="56">
        <v>0</v>
      </c>
      <c r="CZ137" s="56">
        <v>147.41</v>
      </c>
      <c r="DA137" s="56">
        <v>348.09</v>
      </c>
      <c r="DB137" s="56">
        <v>200.68</v>
      </c>
      <c r="DC137" s="56">
        <v>3615.73</v>
      </c>
      <c r="DD137" s="56">
        <v>-29.22</v>
      </c>
      <c r="DE137" s="56">
        <v>0</v>
      </c>
      <c r="DF137" s="56">
        <v>22.51</v>
      </c>
      <c r="DG137" s="56">
        <v>65.5</v>
      </c>
      <c r="DH137" s="56" t="s">
        <v>670</v>
      </c>
      <c r="DI137" s="56" t="s">
        <v>671</v>
      </c>
      <c r="DK137" s="56">
        <v>18.87</v>
      </c>
      <c r="DL137" s="56">
        <v>817.15</v>
      </c>
      <c r="DM137" s="56">
        <v>26</v>
      </c>
      <c r="DN137" s="56">
        <v>4500914986</v>
      </c>
      <c r="DO137" s="56" t="s">
        <v>236</v>
      </c>
      <c r="DP137" s="56" t="s">
        <v>673</v>
      </c>
      <c r="DQ137" s="56" t="s">
        <v>674</v>
      </c>
      <c r="DR137" s="56">
        <v>2</v>
      </c>
      <c r="DS137" s="56" t="s">
        <v>1519</v>
      </c>
      <c r="DT137" s="56" t="s">
        <v>1520</v>
      </c>
      <c r="DU137" s="56">
        <v>36</v>
      </c>
      <c r="DV137" s="56" t="s">
        <v>677</v>
      </c>
      <c r="DW137" s="56">
        <v>280</v>
      </c>
      <c r="DX137" s="56" t="s">
        <v>678</v>
      </c>
      <c r="DY137" s="56" t="s">
        <v>679</v>
      </c>
      <c r="ED137" s="56">
        <v>2</v>
      </c>
      <c r="EE137" s="56" t="s">
        <v>639</v>
      </c>
      <c r="EF137" s="56">
        <v>2</v>
      </c>
      <c r="EG137" s="56" t="s">
        <v>639</v>
      </c>
      <c r="EH137" s="56">
        <v>2</v>
      </c>
      <c r="EI137" s="56" t="s">
        <v>639</v>
      </c>
      <c r="EJ137" s="56">
        <v>2</v>
      </c>
      <c r="EK137" s="56" t="s">
        <v>639</v>
      </c>
      <c r="EL137" s="56">
        <v>25</v>
      </c>
      <c r="EM137" s="56">
        <v>15</v>
      </c>
      <c r="EN137" s="56">
        <v>4779</v>
      </c>
      <c r="EO137" s="56">
        <v>1805</v>
      </c>
      <c r="EP137" s="56">
        <v>6814</v>
      </c>
      <c r="EQ137" s="56" t="s">
        <v>1113</v>
      </c>
      <c r="ER137" s="56" t="s">
        <v>902</v>
      </c>
      <c r="ES137" s="56">
        <v>2</v>
      </c>
      <c r="ET137" s="56" t="s">
        <v>682</v>
      </c>
      <c r="EU137" s="56" t="s">
        <v>683</v>
      </c>
      <c r="EV137" s="56" t="s">
        <v>683</v>
      </c>
      <c r="FD137" s="56" t="s">
        <v>1521</v>
      </c>
      <c r="FK137" s="56">
        <v>0</v>
      </c>
    </row>
    <row r="138" spans="1:167" x14ac:dyDescent="0.2">
      <c r="A138" s="56">
        <v>29092</v>
      </c>
      <c r="B138" s="56">
        <v>2</v>
      </c>
      <c r="C138" s="56">
        <v>6352</v>
      </c>
      <c r="D138" s="56" t="s">
        <v>634</v>
      </c>
      <c r="E138" s="56" t="s">
        <v>635</v>
      </c>
      <c r="K138" s="56" t="s">
        <v>1522</v>
      </c>
      <c r="L138" s="56" t="s">
        <v>637</v>
      </c>
      <c r="M138" s="56">
        <v>44937</v>
      </c>
      <c r="N138" s="56">
        <v>44939</v>
      </c>
      <c r="O138" s="56">
        <v>38</v>
      </c>
      <c r="P138" s="56" t="s">
        <v>638</v>
      </c>
      <c r="Q138" s="56">
        <v>2</v>
      </c>
      <c r="R138" s="56" t="s">
        <v>639</v>
      </c>
      <c r="S138" s="56" t="s">
        <v>893</v>
      </c>
      <c r="T138" s="56" t="s">
        <v>641</v>
      </c>
      <c r="U138" s="56" t="s">
        <v>642</v>
      </c>
      <c r="V138" s="56" t="s">
        <v>643</v>
      </c>
      <c r="W138" s="56">
        <v>49</v>
      </c>
      <c r="X138" s="56" t="s">
        <v>887</v>
      </c>
      <c r="Y138" s="56">
        <v>90</v>
      </c>
      <c r="Z138" s="56" t="s">
        <v>894</v>
      </c>
      <c r="AA138" s="56" t="s">
        <v>895</v>
      </c>
      <c r="AB138" s="56" t="s">
        <v>896</v>
      </c>
      <c r="AC138" s="56" t="s">
        <v>641</v>
      </c>
      <c r="AD138" s="56" t="s">
        <v>893</v>
      </c>
      <c r="AE138" s="56">
        <v>141</v>
      </c>
      <c r="AF138" s="56" t="s">
        <v>649</v>
      </c>
      <c r="AG138" s="56" t="s">
        <v>650</v>
      </c>
      <c r="AH138" s="56" t="s">
        <v>643</v>
      </c>
      <c r="AI138" s="56" t="s">
        <v>642</v>
      </c>
      <c r="AJ138" s="56">
        <v>90</v>
      </c>
      <c r="AK138" s="56" t="s">
        <v>894</v>
      </c>
      <c r="AL138" s="56">
        <v>141</v>
      </c>
      <c r="AM138" s="56" t="s">
        <v>649</v>
      </c>
      <c r="AN138" s="56" t="s">
        <v>650</v>
      </c>
      <c r="AO138" s="56" t="s">
        <v>652</v>
      </c>
      <c r="AP138" s="56" t="s">
        <v>643</v>
      </c>
      <c r="AQ138" s="56" t="s">
        <v>642</v>
      </c>
      <c r="AR138" s="56">
        <v>98</v>
      </c>
      <c r="AS138" s="56" t="s">
        <v>645</v>
      </c>
      <c r="AT138" s="56" t="s">
        <v>646</v>
      </c>
      <c r="AU138" s="56" t="s">
        <v>643</v>
      </c>
      <c r="AV138" s="56" t="s">
        <v>648</v>
      </c>
      <c r="AW138" s="56">
        <v>118</v>
      </c>
      <c r="AX138" s="56" t="s">
        <v>870</v>
      </c>
      <c r="AY138" s="56">
        <v>59</v>
      </c>
      <c r="AZ138" s="56" t="s">
        <v>127</v>
      </c>
      <c r="BA138" s="56" t="s">
        <v>871</v>
      </c>
      <c r="BB138" s="56" t="s">
        <v>844</v>
      </c>
      <c r="BC138" s="56">
        <v>2</v>
      </c>
      <c r="BD138" s="56" t="s">
        <v>289</v>
      </c>
      <c r="BE138" s="56" t="s">
        <v>772</v>
      </c>
      <c r="BF138" s="56">
        <v>2</v>
      </c>
      <c r="BG138" s="56" t="s">
        <v>289</v>
      </c>
      <c r="BH138" s="56" t="s">
        <v>772</v>
      </c>
      <c r="BI138" s="56">
        <v>35.299999999999997</v>
      </c>
      <c r="BJ138" s="56">
        <v>90963.86</v>
      </c>
      <c r="BK138" s="56">
        <v>35300</v>
      </c>
      <c r="BL138" s="56" t="s">
        <v>897</v>
      </c>
      <c r="BM138" s="56">
        <v>3102</v>
      </c>
      <c r="BN138" s="56" t="s">
        <v>660</v>
      </c>
      <c r="BO138" s="56" t="s">
        <v>872</v>
      </c>
      <c r="BP138" s="56">
        <v>5824.5</v>
      </c>
      <c r="BQ138" s="56">
        <v>5068.8599999999997</v>
      </c>
      <c r="BR138" s="56">
        <v>0</v>
      </c>
      <c r="BS138" s="56">
        <v>0</v>
      </c>
      <c r="BT138" s="56">
        <v>0</v>
      </c>
      <c r="BU138" s="56">
        <v>719717</v>
      </c>
      <c r="BV138" s="56">
        <v>98</v>
      </c>
      <c r="BW138" s="56" t="s">
        <v>645</v>
      </c>
      <c r="BX138" s="56" t="s">
        <v>1523</v>
      </c>
      <c r="BY138" s="56" t="s">
        <v>663</v>
      </c>
      <c r="BZ138" s="56">
        <v>0.25</v>
      </c>
      <c r="CA138" s="56" t="s">
        <v>664</v>
      </c>
      <c r="CB138" s="56" t="s">
        <v>899</v>
      </c>
      <c r="CD138" s="56" t="s">
        <v>667</v>
      </c>
      <c r="CG138" s="56">
        <v>0</v>
      </c>
      <c r="CH138" s="56">
        <v>165</v>
      </c>
      <c r="CJ138" s="56">
        <v>100</v>
      </c>
      <c r="CK138" s="56">
        <v>5068.8599999999997</v>
      </c>
      <c r="CL138" s="56">
        <v>0</v>
      </c>
      <c r="CN138" s="56">
        <v>698.94</v>
      </c>
      <c r="CO138" s="56">
        <v>698.94</v>
      </c>
      <c r="CP138" s="56">
        <v>56.7</v>
      </c>
      <c r="CQ138" s="56" t="s">
        <v>668</v>
      </c>
      <c r="CR138" s="56">
        <v>0</v>
      </c>
      <c r="CS138" s="56">
        <v>0</v>
      </c>
      <c r="CV138" s="56">
        <v>0</v>
      </c>
      <c r="CX138" s="56">
        <v>0</v>
      </c>
      <c r="CY138" s="56">
        <v>0</v>
      </c>
      <c r="CZ138" s="56">
        <v>468.87</v>
      </c>
      <c r="DA138" s="56">
        <v>468.87</v>
      </c>
      <c r="DB138" s="56">
        <v>0</v>
      </c>
      <c r="DC138" s="56">
        <v>4599.99</v>
      </c>
      <c r="DD138" s="56">
        <v>15.63</v>
      </c>
      <c r="DE138" s="56">
        <v>0</v>
      </c>
      <c r="DF138" s="56">
        <v>15.63</v>
      </c>
      <c r="DH138" s="56" t="s">
        <v>670</v>
      </c>
      <c r="DI138" s="56" t="s">
        <v>671</v>
      </c>
      <c r="DK138" s="56">
        <v>79.680000000000007</v>
      </c>
      <c r="DL138" s="56">
        <v>4641.0600000000004</v>
      </c>
      <c r="DM138" s="56">
        <v>40</v>
      </c>
      <c r="DN138" s="56">
        <v>761806</v>
      </c>
      <c r="DO138" s="56" t="s">
        <v>236</v>
      </c>
      <c r="DQ138" s="56" t="s">
        <v>674</v>
      </c>
      <c r="DR138" s="56">
        <v>3</v>
      </c>
      <c r="DW138" s="56">
        <v>370</v>
      </c>
      <c r="DX138" s="56" t="s">
        <v>678</v>
      </c>
      <c r="DY138" s="56" t="s">
        <v>679</v>
      </c>
      <c r="EL138" s="56">
        <v>25</v>
      </c>
      <c r="EM138" s="56">
        <v>15</v>
      </c>
      <c r="EN138" s="56">
        <v>4779</v>
      </c>
      <c r="EO138" s="56">
        <v>1622</v>
      </c>
      <c r="EP138" s="56">
        <v>6813</v>
      </c>
      <c r="EQ138" s="56" t="s">
        <v>1092</v>
      </c>
      <c r="ER138" s="56" t="s">
        <v>928</v>
      </c>
      <c r="ES138" s="56">
        <v>2</v>
      </c>
      <c r="ET138" s="56" t="s">
        <v>682</v>
      </c>
      <c r="EU138" s="56" t="s">
        <v>683</v>
      </c>
      <c r="EV138" s="56" t="s">
        <v>683</v>
      </c>
      <c r="FD138" s="56" t="s">
        <v>1524</v>
      </c>
      <c r="FK138" s="56">
        <v>0</v>
      </c>
    </row>
    <row r="139" spans="1:167" x14ac:dyDescent="0.2">
      <c r="A139" s="56">
        <v>29093</v>
      </c>
      <c r="B139" s="56">
        <v>2</v>
      </c>
      <c r="C139" s="56">
        <v>6352</v>
      </c>
      <c r="D139" s="56" t="s">
        <v>634</v>
      </c>
      <c r="E139" s="56" t="s">
        <v>635</v>
      </c>
      <c r="K139" s="56" t="s">
        <v>1525</v>
      </c>
      <c r="L139" s="56" t="s">
        <v>637</v>
      </c>
      <c r="M139" s="56">
        <v>44937</v>
      </c>
      <c r="N139" s="56">
        <v>44939</v>
      </c>
      <c r="O139" s="56">
        <v>38</v>
      </c>
      <c r="P139" s="56" t="s">
        <v>638</v>
      </c>
      <c r="Q139" s="56">
        <v>2</v>
      </c>
      <c r="R139" s="56" t="s">
        <v>639</v>
      </c>
      <c r="S139" s="56" t="s">
        <v>893</v>
      </c>
      <c r="T139" s="56" t="s">
        <v>641</v>
      </c>
      <c r="U139" s="56" t="s">
        <v>642</v>
      </c>
      <c r="V139" s="56" t="s">
        <v>643</v>
      </c>
      <c r="W139" s="56">
        <v>49</v>
      </c>
      <c r="X139" s="56" t="s">
        <v>887</v>
      </c>
      <c r="Y139" s="56">
        <v>90</v>
      </c>
      <c r="Z139" s="56" t="s">
        <v>894</v>
      </c>
      <c r="AA139" s="56" t="s">
        <v>895</v>
      </c>
      <c r="AB139" s="56" t="s">
        <v>896</v>
      </c>
      <c r="AC139" s="56" t="s">
        <v>641</v>
      </c>
      <c r="AD139" s="56" t="s">
        <v>893</v>
      </c>
      <c r="AE139" s="56">
        <v>141</v>
      </c>
      <c r="AF139" s="56" t="s">
        <v>649</v>
      </c>
      <c r="AG139" s="56" t="s">
        <v>650</v>
      </c>
      <c r="AH139" s="56" t="s">
        <v>643</v>
      </c>
      <c r="AI139" s="56" t="s">
        <v>642</v>
      </c>
      <c r="AJ139" s="56">
        <v>90</v>
      </c>
      <c r="AK139" s="56" t="s">
        <v>894</v>
      </c>
      <c r="AL139" s="56">
        <v>141</v>
      </c>
      <c r="AM139" s="56" t="s">
        <v>649</v>
      </c>
      <c r="AN139" s="56" t="s">
        <v>650</v>
      </c>
      <c r="AO139" s="56" t="s">
        <v>652</v>
      </c>
      <c r="AP139" s="56" t="s">
        <v>643</v>
      </c>
      <c r="AQ139" s="56" t="s">
        <v>642</v>
      </c>
      <c r="AR139" s="56">
        <v>98</v>
      </c>
      <c r="AS139" s="56" t="s">
        <v>645</v>
      </c>
      <c r="AT139" s="56" t="s">
        <v>646</v>
      </c>
      <c r="AU139" s="56" t="s">
        <v>643</v>
      </c>
      <c r="AV139" s="56" t="s">
        <v>648</v>
      </c>
      <c r="AW139" s="56">
        <v>1181</v>
      </c>
      <c r="AX139" s="56" t="s">
        <v>1404</v>
      </c>
      <c r="AY139" s="56">
        <v>62</v>
      </c>
      <c r="AZ139" s="56" t="s">
        <v>22</v>
      </c>
      <c r="BA139" s="56" t="s">
        <v>1405</v>
      </c>
      <c r="BB139" s="56" t="s">
        <v>844</v>
      </c>
      <c r="BC139" s="56">
        <v>2</v>
      </c>
      <c r="BD139" s="56" t="s">
        <v>289</v>
      </c>
      <c r="BE139" s="56" t="s">
        <v>772</v>
      </c>
      <c r="BF139" s="56">
        <v>2</v>
      </c>
      <c r="BG139" s="56" t="s">
        <v>289</v>
      </c>
      <c r="BH139" s="56" t="s">
        <v>772</v>
      </c>
      <c r="BI139" s="56">
        <v>35.58</v>
      </c>
      <c r="BJ139" s="56">
        <v>91685.39</v>
      </c>
      <c r="BK139" s="56">
        <v>35580</v>
      </c>
      <c r="BL139" s="56" t="s">
        <v>897</v>
      </c>
      <c r="BM139" s="56">
        <v>3102</v>
      </c>
      <c r="BN139" s="56" t="s">
        <v>660</v>
      </c>
      <c r="BO139" s="56" t="s">
        <v>872</v>
      </c>
      <c r="BP139" s="56">
        <v>5870.7</v>
      </c>
      <c r="BQ139" s="56">
        <v>5109.5200000000004</v>
      </c>
      <c r="BR139" s="56">
        <v>0</v>
      </c>
      <c r="BS139" s="56">
        <v>0</v>
      </c>
      <c r="BT139" s="56">
        <v>0</v>
      </c>
      <c r="BU139" s="56">
        <v>719718</v>
      </c>
      <c r="BV139" s="56">
        <v>98</v>
      </c>
      <c r="BW139" s="56" t="s">
        <v>645</v>
      </c>
      <c r="BX139" s="56" t="s">
        <v>1526</v>
      </c>
      <c r="BY139" s="56" t="s">
        <v>663</v>
      </c>
      <c r="BZ139" s="56">
        <v>0.25</v>
      </c>
      <c r="CA139" s="56" t="s">
        <v>664</v>
      </c>
      <c r="CB139" s="56" t="s">
        <v>899</v>
      </c>
      <c r="CD139" s="56" t="s">
        <v>667</v>
      </c>
      <c r="CG139" s="56">
        <v>0</v>
      </c>
      <c r="CH139" s="56">
        <v>165</v>
      </c>
      <c r="CJ139" s="56">
        <v>100</v>
      </c>
      <c r="CK139" s="56">
        <v>5109.5200000000004</v>
      </c>
      <c r="CL139" s="56">
        <v>0</v>
      </c>
      <c r="CN139" s="56">
        <v>704.48</v>
      </c>
      <c r="CO139" s="56">
        <v>704.48</v>
      </c>
      <c r="CP139" s="56">
        <v>56.7</v>
      </c>
      <c r="CQ139" s="56" t="s">
        <v>668</v>
      </c>
      <c r="CR139" s="56">
        <v>0</v>
      </c>
      <c r="CS139" s="56">
        <v>0</v>
      </c>
      <c r="CV139" s="56">
        <v>0</v>
      </c>
      <c r="CX139" s="56">
        <v>0</v>
      </c>
      <c r="CY139" s="56">
        <v>0</v>
      </c>
      <c r="CZ139" s="56">
        <v>472.63</v>
      </c>
      <c r="DA139" s="56">
        <v>472.63</v>
      </c>
      <c r="DB139" s="56">
        <v>0</v>
      </c>
      <c r="DC139" s="56">
        <v>4636.8900000000003</v>
      </c>
      <c r="DD139" s="56">
        <v>15.75</v>
      </c>
      <c r="DE139" s="56">
        <v>0</v>
      </c>
      <c r="DF139" s="56">
        <v>15.75</v>
      </c>
      <c r="DH139" s="56" t="s">
        <v>670</v>
      </c>
      <c r="DI139" s="56" t="s">
        <v>671</v>
      </c>
      <c r="DK139" s="56">
        <v>79.680000000000007</v>
      </c>
      <c r="DL139" s="56">
        <v>4677.84</v>
      </c>
      <c r="DM139" s="56">
        <v>40</v>
      </c>
      <c r="DN139" s="56">
        <v>761806</v>
      </c>
      <c r="DO139" s="56" t="s">
        <v>236</v>
      </c>
      <c r="DQ139" s="56" t="s">
        <v>674</v>
      </c>
      <c r="DR139" s="56">
        <v>3</v>
      </c>
      <c r="DW139" s="56">
        <v>370</v>
      </c>
      <c r="DX139" s="56" t="s">
        <v>678</v>
      </c>
      <c r="DY139" s="56" t="s">
        <v>679</v>
      </c>
      <c r="EL139" s="56">
        <v>25</v>
      </c>
      <c r="EM139" s="56">
        <v>15</v>
      </c>
      <c r="EN139" s="56">
        <v>4779</v>
      </c>
      <c r="EO139" s="56">
        <v>1622</v>
      </c>
      <c r="EP139" s="56">
        <v>6813</v>
      </c>
      <c r="EQ139" s="56" t="s">
        <v>1092</v>
      </c>
      <c r="ER139" s="56" t="s">
        <v>928</v>
      </c>
      <c r="ES139" s="56">
        <v>2</v>
      </c>
      <c r="ET139" s="56" t="s">
        <v>682</v>
      </c>
      <c r="EU139" s="56" t="s">
        <v>683</v>
      </c>
      <c r="EV139" s="56" t="s">
        <v>683</v>
      </c>
      <c r="FD139" s="56" t="s">
        <v>1527</v>
      </c>
      <c r="FK139" s="56">
        <v>0</v>
      </c>
    </row>
    <row r="140" spans="1:167" x14ac:dyDescent="0.2">
      <c r="A140" s="56">
        <v>29094</v>
      </c>
      <c r="B140" s="56">
        <v>2</v>
      </c>
      <c r="C140" s="56">
        <v>6352</v>
      </c>
      <c r="D140" s="56" t="s">
        <v>634</v>
      </c>
      <c r="E140" s="56" t="s">
        <v>635</v>
      </c>
      <c r="K140" s="56" t="s">
        <v>1528</v>
      </c>
      <c r="L140" s="56" t="s">
        <v>637</v>
      </c>
      <c r="M140" s="56">
        <v>44938</v>
      </c>
      <c r="N140" s="56">
        <v>44940</v>
      </c>
      <c r="O140" s="56">
        <v>38</v>
      </c>
      <c r="P140" s="56" t="s">
        <v>638</v>
      </c>
      <c r="Q140" s="56">
        <v>2</v>
      </c>
      <c r="R140" s="56" t="s">
        <v>639</v>
      </c>
      <c r="S140" s="56" t="s">
        <v>893</v>
      </c>
      <c r="T140" s="56" t="s">
        <v>641</v>
      </c>
      <c r="U140" s="56" t="s">
        <v>642</v>
      </c>
      <c r="V140" s="56" t="s">
        <v>643</v>
      </c>
      <c r="W140" s="56">
        <v>49</v>
      </c>
      <c r="X140" s="56" t="s">
        <v>887</v>
      </c>
      <c r="Y140" s="56">
        <v>90</v>
      </c>
      <c r="Z140" s="56" t="s">
        <v>894</v>
      </c>
      <c r="AA140" s="56" t="s">
        <v>895</v>
      </c>
      <c r="AB140" s="56" t="s">
        <v>896</v>
      </c>
      <c r="AC140" s="56" t="s">
        <v>641</v>
      </c>
      <c r="AD140" s="56" t="s">
        <v>893</v>
      </c>
      <c r="AE140" s="56">
        <v>141</v>
      </c>
      <c r="AF140" s="56" t="s">
        <v>649</v>
      </c>
      <c r="AG140" s="56" t="s">
        <v>650</v>
      </c>
      <c r="AH140" s="56" t="s">
        <v>643</v>
      </c>
      <c r="AI140" s="56" t="s">
        <v>642</v>
      </c>
      <c r="AJ140" s="56">
        <v>90</v>
      </c>
      <c r="AK140" s="56" t="s">
        <v>894</v>
      </c>
      <c r="AL140" s="56">
        <v>141</v>
      </c>
      <c r="AM140" s="56" t="s">
        <v>649</v>
      </c>
      <c r="AN140" s="56" t="s">
        <v>650</v>
      </c>
      <c r="AO140" s="56" t="s">
        <v>652</v>
      </c>
      <c r="AP140" s="56" t="s">
        <v>643</v>
      </c>
      <c r="AQ140" s="56" t="s">
        <v>642</v>
      </c>
      <c r="AR140" s="56">
        <v>98</v>
      </c>
      <c r="AS140" s="56" t="s">
        <v>645</v>
      </c>
      <c r="AT140" s="56" t="s">
        <v>646</v>
      </c>
      <c r="AU140" s="56" t="s">
        <v>643</v>
      </c>
      <c r="AV140" s="56" t="s">
        <v>648</v>
      </c>
      <c r="AW140" s="56">
        <v>172</v>
      </c>
      <c r="AX140" s="56" t="s">
        <v>739</v>
      </c>
      <c r="AY140" s="56">
        <v>153</v>
      </c>
      <c r="AZ140" s="56" t="s">
        <v>740</v>
      </c>
      <c r="BA140" s="56" t="s">
        <v>741</v>
      </c>
      <c r="BB140" s="56" t="s">
        <v>742</v>
      </c>
      <c r="BC140" s="56">
        <v>171</v>
      </c>
      <c r="BD140" s="56" t="s">
        <v>739</v>
      </c>
      <c r="BE140" s="56" t="s">
        <v>743</v>
      </c>
      <c r="BF140" s="56">
        <v>171</v>
      </c>
      <c r="BG140" s="56" t="s">
        <v>739</v>
      </c>
      <c r="BH140" s="56" t="s">
        <v>743</v>
      </c>
      <c r="BI140" s="56">
        <v>35.520000000000003</v>
      </c>
      <c r="BJ140" s="56">
        <v>91530.78</v>
      </c>
      <c r="BK140" s="56">
        <v>35520</v>
      </c>
      <c r="BL140" s="56" t="s">
        <v>897</v>
      </c>
      <c r="BM140" s="56">
        <v>3102</v>
      </c>
      <c r="BN140" s="56" t="s">
        <v>744</v>
      </c>
      <c r="BO140" s="56" t="s">
        <v>745</v>
      </c>
      <c r="BP140" s="56">
        <v>5860.8</v>
      </c>
      <c r="BQ140" s="56">
        <v>5108.8999999999996</v>
      </c>
      <c r="BR140" s="56">
        <v>0</v>
      </c>
      <c r="BS140" s="56">
        <v>0</v>
      </c>
      <c r="BT140" s="56">
        <v>4036.2</v>
      </c>
      <c r="BU140" s="56">
        <v>719749</v>
      </c>
      <c r="BV140" s="56">
        <v>98</v>
      </c>
      <c r="BW140" s="56" t="s">
        <v>645</v>
      </c>
      <c r="BX140" s="56" t="s">
        <v>1529</v>
      </c>
      <c r="BY140" s="56" t="s">
        <v>663</v>
      </c>
      <c r="BZ140" s="56">
        <v>0.25</v>
      </c>
      <c r="CA140" s="56" t="s">
        <v>664</v>
      </c>
      <c r="CB140" s="56" t="s">
        <v>899</v>
      </c>
      <c r="CC140" s="56" t="s">
        <v>694</v>
      </c>
      <c r="CD140" s="56" t="s">
        <v>667</v>
      </c>
      <c r="CF140" s="56">
        <v>3228.96</v>
      </c>
      <c r="CG140" s="56">
        <v>80</v>
      </c>
      <c r="CH140" s="56">
        <v>165</v>
      </c>
      <c r="CI140" s="56">
        <v>115</v>
      </c>
      <c r="CJ140" s="56">
        <v>21</v>
      </c>
      <c r="CK140" s="56">
        <v>5108.8999999999996</v>
      </c>
      <c r="CL140" s="56">
        <v>4036.2</v>
      </c>
      <c r="CM140" s="56">
        <v>35.340000000000003</v>
      </c>
      <c r="CN140" s="56">
        <v>703.3</v>
      </c>
      <c r="CO140" s="56">
        <v>703.3</v>
      </c>
      <c r="CP140" s="56">
        <v>48.6</v>
      </c>
      <c r="CQ140" s="56" t="s">
        <v>668</v>
      </c>
      <c r="CR140" s="56">
        <v>0</v>
      </c>
      <c r="CS140" s="56">
        <v>48.6</v>
      </c>
      <c r="CT140" s="56" t="s">
        <v>669</v>
      </c>
      <c r="CU140" s="56">
        <v>0</v>
      </c>
      <c r="CV140" s="56">
        <v>0</v>
      </c>
      <c r="CX140" s="56">
        <v>1053.47</v>
      </c>
      <c r="CY140" s="56">
        <v>0</v>
      </c>
      <c r="CZ140" s="56">
        <v>188.07</v>
      </c>
      <c r="DA140" s="56">
        <v>472.58</v>
      </c>
      <c r="DB140" s="56">
        <v>284.51</v>
      </c>
      <c r="DC140" s="56">
        <v>4920.83</v>
      </c>
      <c r="DD140" s="56">
        <v>150.63999999999999</v>
      </c>
      <c r="DE140" s="56">
        <v>0</v>
      </c>
      <c r="DF140" s="56">
        <v>15.73</v>
      </c>
      <c r="DG140" s="56">
        <v>45.77</v>
      </c>
      <c r="DH140" s="56" t="s">
        <v>670</v>
      </c>
      <c r="DI140" s="56" t="s">
        <v>671</v>
      </c>
      <c r="DK140" s="56">
        <v>12.52</v>
      </c>
      <c r="DL140" s="56">
        <v>733.99</v>
      </c>
      <c r="DM140" s="56">
        <v>40</v>
      </c>
      <c r="DN140" s="56">
        <v>761806</v>
      </c>
      <c r="DO140" s="56" t="s">
        <v>236</v>
      </c>
      <c r="DP140" s="56" t="s">
        <v>673</v>
      </c>
      <c r="DQ140" s="56" t="s">
        <v>674</v>
      </c>
      <c r="DR140" s="56">
        <v>1</v>
      </c>
      <c r="DS140" s="56" t="s">
        <v>1530</v>
      </c>
      <c r="DT140" s="56" t="s">
        <v>1531</v>
      </c>
      <c r="DU140" s="56">
        <v>36</v>
      </c>
      <c r="DV140" s="56" t="s">
        <v>677</v>
      </c>
      <c r="DW140" s="56">
        <v>370</v>
      </c>
      <c r="DX140" s="56" t="s">
        <v>678</v>
      </c>
      <c r="DY140" s="56" t="s">
        <v>679</v>
      </c>
      <c r="ED140" s="56">
        <v>2</v>
      </c>
      <c r="EE140" s="56" t="s">
        <v>639</v>
      </c>
      <c r="EF140" s="56">
        <v>2</v>
      </c>
      <c r="EG140" s="56" t="s">
        <v>639</v>
      </c>
      <c r="EH140" s="56">
        <v>2</v>
      </c>
      <c r="EI140" s="56" t="s">
        <v>639</v>
      </c>
      <c r="EJ140" s="56">
        <v>2</v>
      </c>
      <c r="EK140" s="56" t="s">
        <v>639</v>
      </c>
      <c r="EL140" s="56">
        <v>25</v>
      </c>
      <c r="EM140" s="56">
        <v>15</v>
      </c>
      <c r="EN140" s="56">
        <v>4779</v>
      </c>
      <c r="EO140" s="56">
        <v>1622</v>
      </c>
      <c r="EP140" s="56">
        <v>6813</v>
      </c>
      <c r="EQ140" s="56" t="s">
        <v>1092</v>
      </c>
      <c r="ER140" s="56" t="s">
        <v>928</v>
      </c>
      <c r="ES140" s="56">
        <v>2</v>
      </c>
      <c r="ET140" s="56" t="s">
        <v>682</v>
      </c>
      <c r="EU140" s="56" t="s">
        <v>683</v>
      </c>
      <c r="EV140" s="56" t="s">
        <v>683</v>
      </c>
      <c r="FD140" s="56" t="s">
        <v>1532</v>
      </c>
      <c r="FK140" s="56">
        <v>0</v>
      </c>
    </row>
    <row r="141" spans="1:167" x14ac:dyDescent="0.2">
      <c r="A141" s="56">
        <v>29095</v>
      </c>
      <c r="B141" s="56">
        <v>2</v>
      </c>
      <c r="C141" s="56">
        <v>6352</v>
      </c>
      <c r="D141" s="56" t="s">
        <v>634</v>
      </c>
      <c r="E141" s="56" t="s">
        <v>635</v>
      </c>
      <c r="K141" s="56" t="s">
        <v>1533</v>
      </c>
      <c r="L141" s="56" t="s">
        <v>637</v>
      </c>
      <c r="M141" s="56">
        <v>44938</v>
      </c>
      <c r="N141" s="56">
        <v>44940</v>
      </c>
      <c r="O141" s="56">
        <v>38</v>
      </c>
      <c r="P141" s="56" t="s">
        <v>638</v>
      </c>
      <c r="Q141" s="56">
        <v>2</v>
      </c>
      <c r="R141" s="56" t="s">
        <v>639</v>
      </c>
      <c r="S141" s="56" t="s">
        <v>893</v>
      </c>
      <c r="T141" s="56" t="s">
        <v>641</v>
      </c>
      <c r="U141" s="56" t="s">
        <v>642</v>
      </c>
      <c r="V141" s="56" t="s">
        <v>643</v>
      </c>
      <c r="W141" s="56">
        <v>48</v>
      </c>
      <c r="X141" s="56" t="s">
        <v>699</v>
      </c>
      <c r="Y141" s="56">
        <v>90</v>
      </c>
      <c r="Z141" s="56" t="s">
        <v>894</v>
      </c>
      <c r="AA141" s="56" t="s">
        <v>895</v>
      </c>
      <c r="AB141" s="56" t="s">
        <v>896</v>
      </c>
      <c r="AC141" s="56" t="s">
        <v>641</v>
      </c>
      <c r="AD141" s="56" t="s">
        <v>893</v>
      </c>
      <c r="AE141" s="56">
        <v>141</v>
      </c>
      <c r="AF141" s="56" t="s">
        <v>649</v>
      </c>
      <c r="AG141" s="56" t="s">
        <v>650</v>
      </c>
      <c r="AH141" s="56" t="s">
        <v>643</v>
      </c>
      <c r="AI141" s="56" t="s">
        <v>642</v>
      </c>
      <c r="AJ141" s="56">
        <v>90</v>
      </c>
      <c r="AK141" s="56" t="s">
        <v>894</v>
      </c>
      <c r="AL141" s="56">
        <v>141</v>
      </c>
      <c r="AM141" s="56" t="s">
        <v>649</v>
      </c>
      <c r="AN141" s="56" t="s">
        <v>650</v>
      </c>
      <c r="AO141" s="56" t="s">
        <v>652</v>
      </c>
      <c r="AP141" s="56" t="s">
        <v>643</v>
      </c>
      <c r="AQ141" s="56" t="s">
        <v>642</v>
      </c>
      <c r="AR141" s="56">
        <v>98</v>
      </c>
      <c r="AS141" s="56" t="s">
        <v>645</v>
      </c>
      <c r="AT141" s="56" t="s">
        <v>646</v>
      </c>
      <c r="AU141" s="56" t="s">
        <v>643</v>
      </c>
      <c r="AV141" s="56" t="s">
        <v>648</v>
      </c>
      <c r="AW141" s="56">
        <v>109</v>
      </c>
      <c r="AX141" s="56" t="s">
        <v>826</v>
      </c>
      <c r="AY141" s="56">
        <v>20</v>
      </c>
      <c r="AZ141" s="56" t="s">
        <v>30</v>
      </c>
      <c r="BA141" s="56" t="s">
        <v>827</v>
      </c>
      <c r="BB141" s="56" t="s">
        <v>770</v>
      </c>
      <c r="BC141" s="56">
        <v>38</v>
      </c>
      <c r="BD141" s="56" t="s">
        <v>289</v>
      </c>
      <c r="BE141" s="56" t="s">
        <v>771</v>
      </c>
      <c r="BF141" s="56">
        <v>2</v>
      </c>
      <c r="BG141" s="56" t="s">
        <v>289</v>
      </c>
      <c r="BH141" s="56" t="s">
        <v>772</v>
      </c>
      <c r="BI141" s="56">
        <v>46.46</v>
      </c>
      <c r="BJ141" s="56">
        <v>119721.84</v>
      </c>
      <c r="BK141" s="56">
        <v>46460</v>
      </c>
      <c r="BL141" s="56" t="s">
        <v>897</v>
      </c>
      <c r="BM141" s="56">
        <v>3102</v>
      </c>
      <c r="BN141" s="56" t="s">
        <v>724</v>
      </c>
      <c r="BO141" s="56" t="s">
        <v>725</v>
      </c>
      <c r="BP141" s="56">
        <v>7665.9</v>
      </c>
      <c r="BQ141" s="56">
        <v>6673.09</v>
      </c>
      <c r="BR141" s="56">
        <v>0</v>
      </c>
      <c r="BS141" s="56">
        <v>0</v>
      </c>
      <c r="BT141" s="56">
        <v>0</v>
      </c>
      <c r="BU141" s="56">
        <v>719799</v>
      </c>
      <c r="BV141" s="56">
        <v>98</v>
      </c>
      <c r="BW141" s="56" t="s">
        <v>645</v>
      </c>
      <c r="BX141" s="56" t="s">
        <v>1534</v>
      </c>
      <c r="BY141" s="56" t="s">
        <v>663</v>
      </c>
      <c r="BZ141" s="56">
        <v>0.25</v>
      </c>
      <c r="CA141" s="56" t="s">
        <v>664</v>
      </c>
      <c r="CB141" s="56" t="s">
        <v>899</v>
      </c>
      <c r="CD141" s="56" t="s">
        <v>667</v>
      </c>
      <c r="CG141" s="56">
        <v>0</v>
      </c>
      <c r="CH141" s="56">
        <v>165</v>
      </c>
      <c r="CJ141" s="56">
        <v>100</v>
      </c>
      <c r="CK141" s="56">
        <v>6673.09</v>
      </c>
      <c r="CL141" s="56">
        <v>0</v>
      </c>
      <c r="CN141" s="56">
        <v>919.91</v>
      </c>
      <c r="CO141" s="56">
        <v>919.91</v>
      </c>
      <c r="CP141" s="56">
        <v>72.900000000000006</v>
      </c>
      <c r="CQ141" s="56" t="s">
        <v>668</v>
      </c>
      <c r="CR141" s="56">
        <v>0</v>
      </c>
      <c r="CS141" s="56">
        <v>0</v>
      </c>
      <c r="CV141" s="56">
        <v>0</v>
      </c>
      <c r="CX141" s="56">
        <v>0</v>
      </c>
      <c r="CY141" s="56">
        <v>0</v>
      </c>
      <c r="CZ141" s="56">
        <v>617.26</v>
      </c>
      <c r="DA141" s="56">
        <v>617.26</v>
      </c>
      <c r="DB141" s="56">
        <v>0</v>
      </c>
      <c r="DC141" s="56">
        <v>6055.83</v>
      </c>
      <c r="DD141" s="56">
        <v>20.57</v>
      </c>
      <c r="DE141" s="56">
        <v>0</v>
      </c>
      <c r="DF141" s="56">
        <v>20.57</v>
      </c>
      <c r="DH141" s="56" t="s">
        <v>670</v>
      </c>
      <c r="DI141" s="56" t="s">
        <v>671</v>
      </c>
      <c r="DK141" s="56">
        <v>79.680000000000007</v>
      </c>
      <c r="DL141" s="56">
        <v>6108.16</v>
      </c>
      <c r="DM141" s="56">
        <v>40</v>
      </c>
      <c r="DN141" s="56">
        <v>761806</v>
      </c>
      <c r="DO141" s="56" t="s">
        <v>236</v>
      </c>
      <c r="DQ141" s="56" t="s">
        <v>674</v>
      </c>
      <c r="DR141" s="56">
        <v>3</v>
      </c>
      <c r="DW141" s="56">
        <v>370</v>
      </c>
      <c r="DX141" s="56" t="s">
        <v>678</v>
      </c>
      <c r="DY141" s="56" t="s">
        <v>679</v>
      </c>
      <c r="EL141" s="56">
        <v>25</v>
      </c>
      <c r="EM141" s="56">
        <v>15</v>
      </c>
      <c r="EN141" s="56">
        <v>4779</v>
      </c>
      <c r="EO141" s="56">
        <v>1622</v>
      </c>
      <c r="EP141" s="56">
        <v>6813</v>
      </c>
      <c r="EQ141" s="56" t="s">
        <v>1092</v>
      </c>
      <c r="ER141" s="56" t="s">
        <v>928</v>
      </c>
      <c r="ES141" s="56">
        <v>2</v>
      </c>
      <c r="ET141" s="56" t="s">
        <v>682</v>
      </c>
      <c r="EU141" s="56" t="s">
        <v>683</v>
      </c>
      <c r="EV141" s="56" t="s">
        <v>683</v>
      </c>
      <c r="FD141" s="56" t="s">
        <v>1535</v>
      </c>
      <c r="FK141" s="56">
        <v>0</v>
      </c>
    </row>
    <row r="142" spans="1:167" x14ac:dyDescent="0.2">
      <c r="A142" s="56">
        <v>29096</v>
      </c>
      <c r="B142" s="56">
        <v>2</v>
      </c>
      <c r="C142" s="56">
        <v>6352</v>
      </c>
      <c r="D142" s="56" t="s">
        <v>634</v>
      </c>
      <c r="E142" s="56" t="s">
        <v>635</v>
      </c>
      <c r="K142" s="56" t="s">
        <v>1536</v>
      </c>
      <c r="L142" s="56" t="s">
        <v>637</v>
      </c>
      <c r="M142" s="56">
        <v>44938</v>
      </c>
      <c r="N142" s="56">
        <v>44940</v>
      </c>
      <c r="O142" s="56">
        <v>38</v>
      </c>
      <c r="P142" s="56" t="s">
        <v>638</v>
      </c>
      <c r="Q142" s="56">
        <v>2</v>
      </c>
      <c r="R142" s="56" t="s">
        <v>639</v>
      </c>
      <c r="S142" s="56" t="s">
        <v>893</v>
      </c>
      <c r="T142" s="56" t="s">
        <v>641</v>
      </c>
      <c r="U142" s="56" t="s">
        <v>642</v>
      </c>
      <c r="V142" s="56" t="s">
        <v>643</v>
      </c>
      <c r="W142" s="56">
        <v>48</v>
      </c>
      <c r="X142" s="56" t="s">
        <v>699</v>
      </c>
      <c r="Y142" s="56">
        <v>90</v>
      </c>
      <c r="Z142" s="56" t="s">
        <v>894</v>
      </c>
      <c r="AA142" s="56" t="s">
        <v>895</v>
      </c>
      <c r="AB142" s="56" t="s">
        <v>896</v>
      </c>
      <c r="AC142" s="56" t="s">
        <v>641</v>
      </c>
      <c r="AD142" s="56" t="s">
        <v>893</v>
      </c>
      <c r="AE142" s="56">
        <v>141</v>
      </c>
      <c r="AF142" s="56" t="s">
        <v>649</v>
      </c>
      <c r="AG142" s="56" t="s">
        <v>650</v>
      </c>
      <c r="AH142" s="56" t="s">
        <v>643</v>
      </c>
      <c r="AI142" s="56" t="s">
        <v>642</v>
      </c>
      <c r="AJ142" s="56">
        <v>90</v>
      </c>
      <c r="AK142" s="56" t="s">
        <v>894</v>
      </c>
      <c r="AL142" s="56">
        <v>141</v>
      </c>
      <c r="AM142" s="56" t="s">
        <v>649</v>
      </c>
      <c r="AN142" s="56" t="s">
        <v>650</v>
      </c>
      <c r="AO142" s="56" t="s">
        <v>652</v>
      </c>
      <c r="AP142" s="56" t="s">
        <v>643</v>
      </c>
      <c r="AQ142" s="56" t="s">
        <v>642</v>
      </c>
      <c r="AR142" s="56">
        <v>98</v>
      </c>
      <c r="AS142" s="56" t="s">
        <v>645</v>
      </c>
      <c r="AT142" s="56" t="s">
        <v>646</v>
      </c>
      <c r="AU142" s="56" t="s">
        <v>643</v>
      </c>
      <c r="AV142" s="56" t="s">
        <v>648</v>
      </c>
      <c r="AW142" s="56">
        <v>107</v>
      </c>
      <c r="AX142" s="56" t="s">
        <v>1003</v>
      </c>
      <c r="AY142" s="56">
        <v>39</v>
      </c>
      <c r="AZ142" s="56" t="s">
        <v>27</v>
      </c>
      <c r="BA142" s="56" t="s">
        <v>1004</v>
      </c>
      <c r="BB142" s="56" t="s">
        <v>770</v>
      </c>
      <c r="BC142" s="56">
        <v>38</v>
      </c>
      <c r="BD142" s="56" t="s">
        <v>289</v>
      </c>
      <c r="BE142" s="56" t="s">
        <v>771</v>
      </c>
      <c r="BF142" s="56">
        <v>2</v>
      </c>
      <c r="BG142" s="56" t="s">
        <v>289</v>
      </c>
      <c r="BH142" s="56" t="s">
        <v>772</v>
      </c>
      <c r="BI142" s="56">
        <v>46.14</v>
      </c>
      <c r="BJ142" s="56">
        <v>118897.24</v>
      </c>
      <c r="BK142" s="56">
        <v>46140</v>
      </c>
      <c r="BL142" s="56" t="s">
        <v>897</v>
      </c>
      <c r="BM142" s="56">
        <v>3102</v>
      </c>
      <c r="BN142" s="56" t="s">
        <v>786</v>
      </c>
      <c r="BO142" s="56" t="s">
        <v>911</v>
      </c>
      <c r="BP142" s="56">
        <v>7613.1</v>
      </c>
      <c r="BQ142" s="56">
        <v>6626.63</v>
      </c>
      <c r="BR142" s="56">
        <v>0</v>
      </c>
      <c r="BS142" s="56">
        <v>0</v>
      </c>
      <c r="BT142" s="56">
        <v>0</v>
      </c>
      <c r="BU142" s="56">
        <v>719803</v>
      </c>
      <c r="BV142" s="56">
        <v>98</v>
      </c>
      <c r="BW142" s="56" t="s">
        <v>645</v>
      </c>
      <c r="BX142" s="56" t="s">
        <v>1537</v>
      </c>
      <c r="BY142" s="56" t="s">
        <v>663</v>
      </c>
      <c r="BZ142" s="56">
        <v>0.25</v>
      </c>
      <c r="CA142" s="56" t="s">
        <v>664</v>
      </c>
      <c r="CB142" s="56" t="s">
        <v>899</v>
      </c>
      <c r="CD142" s="56" t="s">
        <v>667</v>
      </c>
      <c r="CG142" s="56">
        <v>0</v>
      </c>
      <c r="CH142" s="56">
        <v>165</v>
      </c>
      <c r="CJ142" s="56">
        <v>100</v>
      </c>
      <c r="CK142" s="56">
        <v>6626.63</v>
      </c>
      <c r="CL142" s="56">
        <v>0</v>
      </c>
      <c r="CN142" s="56">
        <v>913.57</v>
      </c>
      <c r="CO142" s="56">
        <v>913.57</v>
      </c>
      <c r="CP142" s="56">
        <v>72.900000000000006</v>
      </c>
      <c r="CQ142" s="56" t="s">
        <v>668</v>
      </c>
      <c r="CR142" s="56">
        <v>0</v>
      </c>
      <c r="CS142" s="56">
        <v>0</v>
      </c>
      <c r="CV142" s="56">
        <v>0</v>
      </c>
      <c r="CX142" s="56">
        <v>0</v>
      </c>
      <c r="CY142" s="56">
        <v>0</v>
      </c>
      <c r="CZ142" s="56">
        <v>612.96</v>
      </c>
      <c r="DA142" s="56">
        <v>612.96</v>
      </c>
      <c r="DB142" s="56">
        <v>0</v>
      </c>
      <c r="DC142" s="56">
        <v>6013.67</v>
      </c>
      <c r="DD142" s="56">
        <v>20.43</v>
      </c>
      <c r="DE142" s="56">
        <v>0</v>
      </c>
      <c r="DF142" s="56">
        <v>20.43</v>
      </c>
      <c r="DH142" s="56" t="s">
        <v>670</v>
      </c>
      <c r="DI142" s="56" t="s">
        <v>671</v>
      </c>
      <c r="DK142" s="56">
        <v>79.680000000000007</v>
      </c>
      <c r="DL142" s="56">
        <v>6066.14</v>
      </c>
      <c r="DM142" s="56">
        <v>40</v>
      </c>
      <c r="DN142" s="56">
        <v>761806</v>
      </c>
      <c r="DO142" s="56" t="s">
        <v>236</v>
      </c>
      <c r="DQ142" s="56" t="s">
        <v>674</v>
      </c>
      <c r="DR142" s="56">
        <v>3</v>
      </c>
      <c r="DW142" s="56">
        <v>370</v>
      </c>
      <c r="DX142" s="56" t="s">
        <v>678</v>
      </c>
      <c r="DY142" s="56" t="s">
        <v>679</v>
      </c>
      <c r="EL142" s="56">
        <v>25</v>
      </c>
      <c r="EM142" s="56">
        <v>15</v>
      </c>
      <c r="EN142" s="56">
        <v>4779</v>
      </c>
      <c r="EO142" s="56">
        <v>1622</v>
      </c>
      <c r="EP142" s="56">
        <v>6813</v>
      </c>
      <c r="EQ142" s="56" t="s">
        <v>1092</v>
      </c>
      <c r="ER142" s="56" t="s">
        <v>928</v>
      </c>
      <c r="ES142" s="56">
        <v>2</v>
      </c>
      <c r="ET142" s="56" t="s">
        <v>682</v>
      </c>
      <c r="EU142" s="56" t="s">
        <v>683</v>
      </c>
      <c r="EV142" s="56" t="s">
        <v>683</v>
      </c>
      <c r="FD142" s="56" t="s">
        <v>1538</v>
      </c>
      <c r="FK142" s="56">
        <v>0</v>
      </c>
    </row>
    <row r="143" spans="1:167" x14ac:dyDescent="0.2">
      <c r="A143" s="56">
        <v>29097</v>
      </c>
      <c r="B143" s="56">
        <v>2</v>
      </c>
      <c r="C143" s="56">
        <v>6352</v>
      </c>
      <c r="D143" s="56" t="s">
        <v>634</v>
      </c>
      <c r="E143" s="56" t="s">
        <v>635</v>
      </c>
      <c r="K143" s="56" t="s">
        <v>1539</v>
      </c>
      <c r="L143" s="56" t="s">
        <v>637</v>
      </c>
      <c r="M143" s="56">
        <v>44938</v>
      </c>
      <c r="N143" s="56">
        <v>44940</v>
      </c>
      <c r="O143" s="56">
        <v>38</v>
      </c>
      <c r="P143" s="56" t="s">
        <v>638</v>
      </c>
      <c r="Q143" s="56">
        <v>2</v>
      </c>
      <c r="R143" s="56" t="s">
        <v>639</v>
      </c>
      <c r="S143" s="56" t="s">
        <v>893</v>
      </c>
      <c r="T143" s="56" t="s">
        <v>641</v>
      </c>
      <c r="U143" s="56" t="s">
        <v>735</v>
      </c>
      <c r="V143" s="56" t="s">
        <v>643</v>
      </c>
      <c r="W143" s="56">
        <v>48</v>
      </c>
      <c r="X143" s="56" t="s">
        <v>699</v>
      </c>
      <c r="Y143" s="56">
        <v>90</v>
      </c>
      <c r="Z143" s="56" t="s">
        <v>894</v>
      </c>
      <c r="AA143" s="56" t="s">
        <v>895</v>
      </c>
      <c r="AB143" s="56" t="s">
        <v>896</v>
      </c>
      <c r="AC143" s="56" t="s">
        <v>641</v>
      </c>
      <c r="AD143" s="56" t="s">
        <v>893</v>
      </c>
      <c r="AE143" s="56">
        <v>91</v>
      </c>
      <c r="AF143" s="56" t="s">
        <v>736</v>
      </c>
      <c r="AG143" s="56" t="s">
        <v>737</v>
      </c>
      <c r="AH143" s="56" t="s">
        <v>643</v>
      </c>
      <c r="AI143" s="56" t="s">
        <v>735</v>
      </c>
      <c r="AJ143" s="56">
        <v>90</v>
      </c>
      <c r="AK143" s="56" t="s">
        <v>894</v>
      </c>
      <c r="AL143" s="56">
        <v>91</v>
      </c>
      <c r="AM143" s="56" t="s">
        <v>736</v>
      </c>
      <c r="AN143" s="56" t="s">
        <v>737</v>
      </c>
      <c r="AO143" s="56" t="s">
        <v>738</v>
      </c>
      <c r="AP143" s="56" t="s">
        <v>643</v>
      </c>
      <c r="AQ143" s="56" t="s">
        <v>735</v>
      </c>
      <c r="AR143" s="56">
        <v>98</v>
      </c>
      <c r="AS143" s="56" t="s">
        <v>645</v>
      </c>
      <c r="AT143" s="56" t="s">
        <v>646</v>
      </c>
      <c r="AU143" s="56" t="s">
        <v>643</v>
      </c>
      <c r="AV143" s="56" t="s">
        <v>648</v>
      </c>
      <c r="AW143" s="56">
        <v>112</v>
      </c>
      <c r="AX143" s="56" t="s">
        <v>842</v>
      </c>
      <c r="AY143" s="56">
        <v>16</v>
      </c>
      <c r="AZ143" s="56" t="s">
        <v>24</v>
      </c>
      <c r="BA143" s="56" t="s">
        <v>843</v>
      </c>
      <c r="BB143" s="56" t="s">
        <v>844</v>
      </c>
      <c r="BC143" s="56">
        <v>2</v>
      </c>
      <c r="BD143" s="56" t="s">
        <v>289</v>
      </c>
      <c r="BE143" s="56" t="s">
        <v>772</v>
      </c>
      <c r="BF143" s="56">
        <v>2</v>
      </c>
      <c r="BG143" s="56" t="s">
        <v>289</v>
      </c>
      <c r="BH143" s="56" t="s">
        <v>772</v>
      </c>
      <c r="BI143" s="56">
        <v>47.03</v>
      </c>
      <c r="BJ143" s="56">
        <v>121190.67</v>
      </c>
      <c r="BK143" s="56">
        <v>47030</v>
      </c>
      <c r="BL143" s="56" t="s">
        <v>897</v>
      </c>
      <c r="BM143" s="56">
        <v>3102</v>
      </c>
      <c r="BN143" s="56" t="s">
        <v>660</v>
      </c>
      <c r="BO143" s="56" t="s">
        <v>706</v>
      </c>
      <c r="BP143" s="56">
        <v>6819.35</v>
      </c>
      <c r="BQ143" s="56">
        <v>5928.13</v>
      </c>
      <c r="BR143" s="56">
        <v>0</v>
      </c>
      <c r="BS143" s="56">
        <v>0</v>
      </c>
      <c r="BT143" s="56">
        <v>0</v>
      </c>
      <c r="BU143" s="56">
        <v>719807</v>
      </c>
      <c r="BV143" s="56">
        <v>98</v>
      </c>
      <c r="BW143" s="56" t="s">
        <v>645</v>
      </c>
      <c r="BX143" s="56" t="s">
        <v>1540</v>
      </c>
      <c r="BY143" s="56" t="s">
        <v>663</v>
      </c>
      <c r="BZ143" s="56">
        <v>0.25</v>
      </c>
      <c r="CA143" s="56" t="s">
        <v>664</v>
      </c>
      <c r="CB143" s="56" t="s">
        <v>899</v>
      </c>
      <c r="CD143" s="56" t="s">
        <v>667</v>
      </c>
      <c r="CG143" s="56">
        <v>0</v>
      </c>
      <c r="CH143" s="56">
        <v>145</v>
      </c>
      <c r="CJ143" s="56">
        <v>100</v>
      </c>
      <c r="CK143" s="56">
        <v>5928.13</v>
      </c>
      <c r="CL143" s="56">
        <v>0</v>
      </c>
      <c r="CN143" s="56">
        <v>818.32</v>
      </c>
      <c r="CO143" s="56">
        <v>818.32</v>
      </c>
      <c r="CP143" s="56">
        <v>72.900000000000006</v>
      </c>
      <c r="CQ143" s="56" t="s">
        <v>668</v>
      </c>
      <c r="CR143" s="56">
        <v>0</v>
      </c>
      <c r="CS143" s="56">
        <v>0</v>
      </c>
      <c r="CV143" s="56">
        <v>0</v>
      </c>
      <c r="CX143" s="56">
        <v>0</v>
      </c>
      <c r="CY143" s="56">
        <v>0</v>
      </c>
      <c r="CZ143" s="56">
        <v>548.35</v>
      </c>
      <c r="DA143" s="56">
        <v>548.35</v>
      </c>
      <c r="DB143" s="56">
        <v>0</v>
      </c>
      <c r="DC143" s="56">
        <v>5379.78</v>
      </c>
      <c r="DD143" s="56">
        <v>20.82</v>
      </c>
      <c r="DE143" s="56">
        <v>0</v>
      </c>
      <c r="DF143" s="56">
        <v>20.82</v>
      </c>
      <c r="DH143" s="56" t="s">
        <v>670</v>
      </c>
      <c r="DI143" s="56" t="s">
        <v>671</v>
      </c>
      <c r="DK143" s="56">
        <v>79.650000000000006</v>
      </c>
      <c r="DL143" s="56">
        <v>5431.86</v>
      </c>
      <c r="DM143" s="56">
        <v>67</v>
      </c>
      <c r="DN143" s="56" t="s">
        <v>900</v>
      </c>
      <c r="DO143" s="56" t="s">
        <v>236</v>
      </c>
      <c r="DQ143" s="56" t="s">
        <v>674</v>
      </c>
      <c r="DR143" s="56">
        <v>3</v>
      </c>
      <c r="DW143" s="56">
        <v>280</v>
      </c>
      <c r="DX143" s="56" t="s">
        <v>678</v>
      </c>
      <c r="DY143" s="56" t="s">
        <v>679</v>
      </c>
      <c r="EL143" s="56">
        <v>25</v>
      </c>
      <c r="EM143" s="56">
        <v>15</v>
      </c>
      <c r="EN143" s="56">
        <v>4779</v>
      </c>
      <c r="EO143" s="56">
        <v>1805</v>
      </c>
      <c r="EP143" s="56">
        <v>6813</v>
      </c>
      <c r="EQ143" s="56" t="s">
        <v>901</v>
      </c>
      <c r="ER143" s="56" t="s">
        <v>902</v>
      </c>
      <c r="ES143" s="56">
        <v>2</v>
      </c>
      <c r="ET143" s="56" t="s">
        <v>682</v>
      </c>
      <c r="EU143" s="56" t="s">
        <v>683</v>
      </c>
      <c r="EV143" s="56" t="s">
        <v>683</v>
      </c>
      <c r="FD143" s="56" t="s">
        <v>1541</v>
      </c>
      <c r="FK143" s="56">
        <v>0</v>
      </c>
    </row>
    <row r="144" spans="1:167" x14ac:dyDescent="0.2">
      <c r="A144" s="56">
        <v>29098</v>
      </c>
      <c r="B144" s="56">
        <v>2</v>
      </c>
      <c r="C144" s="56">
        <v>6352</v>
      </c>
      <c r="D144" s="56" t="s">
        <v>634</v>
      </c>
      <c r="E144" s="56" t="s">
        <v>635</v>
      </c>
      <c r="K144" s="56" t="s">
        <v>1542</v>
      </c>
      <c r="L144" s="56" t="s">
        <v>637</v>
      </c>
      <c r="M144" s="56">
        <v>44938</v>
      </c>
      <c r="N144" s="56">
        <v>44940</v>
      </c>
      <c r="O144" s="56">
        <v>38</v>
      </c>
      <c r="P144" s="56" t="s">
        <v>638</v>
      </c>
      <c r="Q144" s="56">
        <v>2</v>
      </c>
      <c r="R144" s="56" t="s">
        <v>639</v>
      </c>
      <c r="S144" s="56" t="s">
        <v>893</v>
      </c>
      <c r="T144" s="56" t="s">
        <v>641</v>
      </c>
      <c r="U144" s="56" t="s">
        <v>735</v>
      </c>
      <c r="V144" s="56" t="s">
        <v>643</v>
      </c>
      <c r="W144" s="56">
        <v>48</v>
      </c>
      <c r="X144" s="56" t="s">
        <v>699</v>
      </c>
      <c r="Y144" s="56">
        <v>90</v>
      </c>
      <c r="Z144" s="56" t="s">
        <v>894</v>
      </c>
      <c r="AA144" s="56" t="s">
        <v>895</v>
      </c>
      <c r="AB144" s="56" t="s">
        <v>896</v>
      </c>
      <c r="AC144" s="56" t="s">
        <v>641</v>
      </c>
      <c r="AD144" s="56" t="s">
        <v>893</v>
      </c>
      <c r="AE144" s="56">
        <v>91</v>
      </c>
      <c r="AF144" s="56" t="s">
        <v>736</v>
      </c>
      <c r="AG144" s="56" t="s">
        <v>737</v>
      </c>
      <c r="AH144" s="56" t="s">
        <v>643</v>
      </c>
      <c r="AI144" s="56" t="s">
        <v>735</v>
      </c>
      <c r="AJ144" s="56">
        <v>90</v>
      </c>
      <c r="AK144" s="56" t="s">
        <v>894</v>
      </c>
      <c r="AL144" s="56">
        <v>91</v>
      </c>
      <c r="AM144" s="56" t="s">
        <v>736</v>
      </c>
      <c r="AN144" s="56" t="s">
        <v>737</v>
      </c>
      <c r="AO144" s="56" t="s">
        <v>738</v>
      </c>
      <c r="AP144" s="56" t="s">
        <v>643</v>
      </c>
      <c r="AQ144" s="56" t="s">
        <v>735</v>
      </c>
      <c r="AR144" s="56">
        <v>98</v>
      </c>
      <c r="AS144" s="56" t="s">
        <v>645</v>
      </c>
      <c r="AT144" s="56" t="s">
        <v>646</v>
      </c>
      <c r="AU144" s="56" t="s">
        <v>643</v>
      </c>
      <c r="AV144" s="56" t="s">
        <v>648</v>
      </c>
      <c r="AW144" s="56">
        <v>110</v>
      </c>
      <c r="AX144" s="56" t="s">
        <v>864</v>
      </c>
      <c r="AY144" s="56">
        <v>68</v>
      </c>
      <c r="AZ144" s="56" t="s">
        <v>25</v>
      </c>
      <c r="BA144" s="56" t="s">
        <v>865</v>
      </c>
      <c r="BB144" s="56" t="s">
        <v>844</v>
      </c>
      <c r="BC144" s="56">
        <v>2</v>
      </c>
      <c r="BD144" s="56" t="s">
        <v>289</v>
      </c>
      <c r="BE144" s="56" t="s">
        <v>772</v>
      </c>
      <c r="BF144" s="56">
        <v>2</v>
      </c>
      <c r="BG144" s="56" t="s">
        <v>289</v>
      </c>
      <c r="BH144" s="56" t="s">
        <v>772</v>
      </c>
      <c r="BI144" s="56">
        <v>48.34</v>
      </c>
      <c r="BJ144" s="56">
        <v>124566.38</v>
      </c>
      <c r="BK144" s="56">
        <v>48340</v>
      </c>
      <c r="BL144" s="56" t="s">
        <v>897</v>
      </c>
      <c r="BM144" s="56">
        <v>3102</v>
      </c>
      <c r="BN144" s="56" t="s">
        <v>660</v>
      </c>
      <c r="BO144" s="56" t="s">
        <v>866</v>
      </c>
      <c r="BP144" s="56">
        <v>7009.3</v>
      </c>
      <c r="BQ144" s="56">
        <v>6095.28</v>
      </c>
      <c r="BR144" s="56">
        <v>0</v>
      </c>
      <c r="BS144" s="56">
        <v>0</v>
      </c>
      <c r="BT144" s="56">
        <v>0</v>
      </c>
      <c r="BU144" s="56">
        <v>719835</v>
      </c>
      <c r="BV144" s="56">
        <v>98</v>
      </c>
      <c r="BW144" s="56" t="s">
        <v>645</v>
      </c>
      <c r="BX144" s="56" t="s">
        <v>1543</v>
      </c>
      <c r="BY144" s="56" t="s">
        <v>663</v>
      </c>
      <c r="BZ144" s="56">
        <v>0.25</v>
      </c>
      <c r="CA144" s="56" t="s">
        <v>664</v>
      </c>
      <c r="CB144" s="56" t="s">
        <v>899</v>
      </c>
      <c r="CD144" s="56" t="s">
        <v>667</v>
      </c>
      <c r="CG144" s="56">
        <v>0</v>
      </c>
      <c r="CH144" s="56">
        <v>145</v>
      </c>
      <c r="CJ144" s="56">
        <v>100</v>
      </c>
      <c r="CK144" s="56">
        <v>6095.28</v>
      </c>
      <c r="CL144" s="56">
        <v>0</v>
      </c>
      <c r="CN144" s="56">
        <v>841.12</v>
      </c>
      <c r="CO144" s="56">
        <v>841.12</v>
      </c>
      <c r="CP144" s="56">
        <v>72.900000000000006</v>
      </c>
      <c r="CQ144" s="56" t="s">
        <v>668</v>
      </c>
      <c r="CR144" s="56">
        <v>0</v>
      </c>
      <c r="CS144" s="56">
        <v>0</v>
      </c>
      <c r="CV144" s="56">
        <v>0</v>
      </c>
      <c r="CX144" s="56">
        <v>0</v>
      </c>
      <c r="CY144" s="56">
        <v>0</v>
      </c>
      <c r="CZ144" s="56">
        <v>563.80999999999995</v>
      </c>
      <c r="DA144" s="56">
        <v>563.80999999999995</v>
      </c>
      <c r="DB144" s="56">
        <v>0</v>
      </c>
      <c r="DC144" s="56">
        <v>5531.47</v>
      </c>
      <c r="DD144" s="56">
        <v>21.4</v>
      </c>
      <c r="DE144" s="56">
        <v>0</v>
      </c>
      <c r="DF144" s="56">
        <v>21.4</v>
      </c>
      <c r="DH144" s="56" t="s">
        <v>670</v>
      </c>
      <c r="DI144" s="56" t="s">
        <v>671</v>
      </c>
      <c r="DK144" s="56">
        <v>79.650000000000006</v>
      </c>
      <c r="DL144" s="56">
        <v>5582.97</v>
      </c>
      <c r="DM144" s="56">
        <v>67</v>
      </c>
      <c r="DN144" s="56" t="s">
        <v>900</v>
      </c>
      <c r="DO144" s="56" t="s">
        <v>236</v>
      </c>
      <c r="DQ144" s="56" t="s">
        <v>674</v>
      </c>
      <c r="DR144" s="56">
        <v>3</v>
      </c>
      <c r="DW144" s="56">
        <v>280</v>
      </c>
      <c r="DX144" s="56" t="s">
        <v>678</v>
      </c>
      <c r="DY144" s="56" t="s">
        <v>679</v>
      </c>
      <c r="EL144" s="56">
        <v>25</v>
      </c>
      <c r="EM144" s="56">
        <v>15</v>
      </c>
      <c r="EN144" s="56">
        <v>4779</v>
      </c>
      <c r="EO144" s="56">
        <v>1805</v>
      </c>
      <c r="EP144" s="56">
        <v>6813</v>
      </c>
      <c r="EQ144" s="56" t="s">
        <v>901</v>
      </c>
      <c r="ER144" s="56" t="s">
        <v>902</v>
      </c>
      <c r="ES144" s="56">
        <v>2</v>
      </c>
      <c r="ET144" s="56" t="s">
        <v>682</v>
      </c>
      <c r="EU144" s="56" t="s">
        <v>683</v>
      </c>
      <c r="EV144" s="56" t="s">
        <v>683</v>
      </c>
      <c r="FD144" s="56" t="s">
        <v>1544</v>
      </c>
      <c r="FK144" s="56">
        <v>0</v>
      </c>
    </row>
    <row r="145" spans="1:167" x14ac:dyDescent="0.2">
      <c r="A145" s="56">
        <v>29099</v>
      </c>
      <c r="B145" s="56">
        <v>2</v>
      </c>
      <c r="C145" s="56">
        <v>6352</v>
      </c>
      <c r="D145" s="56" t="s">
        <v>634</v>
      </c>
      <c r="E145" s="56" t="s">
        <v>635</v>
      </c>
      <c r="K145" s="56" t="s">
        <v>1545</v>
      </c>
      <c r="L145" s="56" t="s">
        <v>637</v>
      </c>
      <c r="M145" s="56">
        <v>44938</v>
      </c>
      <c r="N145" s="56">
        <v>44940</v>
      </c>
      <c r="O145" s="56">
        <v>38</v>
      </c>
      <c r="P145" s="56" t="s">
        <v>638</v>
      </c>
      <c r="Q145" s="56">
        <v>2</v>
      </c>
      <c r="R145" s="56" t="s">
        <v>639</v>
      </c>
      <c r="S145" s="56" t="s">
        <v>893</v>
      </c>
      <c r="T145" s="56" t="s">
        <v>641</v>
      </c>
      <c r="U145" s="56" t="s">
        <v>642</v>
      </c>
      <c r="V145" s="56" t="s">
        <v>643</v>
      </c>
      <c r="W145" s="56">
        <v>48</v>
      </c>
      <c r="X145" s="56" t="s">
        <v>699</v>
      </c>
      <c r="Y145" s="56">
        <v>90</v>
      </c>
      <c r="Z145" s="56" t="s">
        <v>894</v>
      </c>
      <c r="AA145" s="56" t="s">
        <v>895</v>
      </c>
      <c r="AB145" s="56" t="s">
        <v>896</v>
      </c>
      <c r="AC145" s="56" t="s">
        <v>641</v>
      </c>
      <c r="AD145" s="56" t="s">
        <v>893</v>
      </c>
      <c r="AE145" s="56">
        <v>141</v>
      </c>
      <c r="AF145" s="56" t="s">
        <v>649</v>
      </c>
      <c r="AG145" s="56" t="s">
        <v>650</v>
      </c>
      <c r="AH145" s="56" t="s">
        <v>643</v>
      </c>
      <c r="AI145" s="56" t="s">
        <v>642</v>
      </c>
      <c r="AJ145" s="56">
        <v>90</v>
      </c>
      <c r="AK145" s="56" t="s">
        <v>894</v>
      </c>
      <c r="AL145" s="56">
        <v>141</v>
      </c>
      <c r="AM145" s="56" t="s">
        <v>649</v>
      </c>
      <c r="AN145" s="56" t="s">
        <v>650</v>
      </c>
      <c r="AO145" s="56" t="s">
        <v>652</v>
      </c>
      <c r="AP145" s="56" t="s">
        <v>643</v>
      </c>
      <c r="AQ145" s="56" t="s">
        <v>642</v>
      </c>
      <c r="AR145" s="56">
        <v>98</v>
      </c>
      <c r="AS145" s="56" t="s">
        <v>645</v>
      </c>
      <c r="AT145" s="56" t="s">
        <v>646</v>
      </c>
      <c r="AU145" s="56" t="s">
        <v>643</v>
      </c>
      <c r="AV145" s="56" t="s">
        <v>648</v>
      </c>
      <c r="AW145" s="56">
        <v>117</v>
      </c>
      <c r="AX145" s="56" t="s">
        <v>848</v>
      </c>
      <c r="AY145" s="56">
        <v>1</v>
      </c>
      <c r="AZ145" s="56" t="s">
        <v>28</v>
      </c>
      <c r="BA145" s="56" t="s">
        <v>849</v>
      </c>
      <c r="BB145" s="56" t="s">
        <v>770</v>
      </c>
      <c r="BC145" s="56">
        <v>38</v>
      </c>
      <c r="BD145" s="56" t="s">
        <v>289</v>
      </c>
      <c r="BE145" s="56" t="s">
        <v>771</v>
      </c>
      <c r="BF145" s="56">
        <v>2</v>
      </c>
      <c r="BG145" s="56" t="s">
        <v>289</v>
      </c>
      <c r="BH145" s="56" t="s">
        <v>772</v>
      </c>
      <c r="BI145" s="56">
        <v>46.3</v>
      </c>
      <c r="BJ145" s="56">
        <v>119309.54</v>
      </c>
      <c r="BK145" s="56">
        <v>46300</v>
      </c>
      <c r="BL145" s="56" t="s">
        <v>897</v>
      </c>
      <c r="BM145" s="56">
        <v>3102</v>
      </c>
      <c r="BN145" s="56" t="s">
        <v>724</v>
      </c>
      <c r="BO145" s="56" t="s">
        <v>725</v>
      </c>
      <c r="BP145" s="56">
        <v>7639.5</v>
      </c>
      <c r="BQ145" s="56">
        <v>6649.86</v>
      </c>
      <c r="BR145" s="56">
        <v>0</v>
      </c>
      <c r="BS145" s="56">
        <v>0</v>
      </c>
      <c r="BT145" s="56">
        <v>0</v>
      </c>
      <c r="BU145" s="56">
        <v>719862</v>
      </c>
      <c r="BV145" s="56">
        <v>98</v>
      </c>
      <c r="BW145" s="56" t="s">
        <v>645</v>
      </c>
      <c r="BX145" s="56" t="s">
        <v>1546</v>
      </c>
      <c r="BY145" s="56" t="s">
        <v>663</v>
      </c>
      <c r="BZ145" s="56">
        <v>0.25</v>
      </c>
      <c r="CA145" s="56" t="s">
        <v>664</v>
      </c>
      <c r="CB145" s="56" t="s">
        <v>899</v>
      </c>
      <c r="CD145" s="56" t="s">
        <v>667</v>
      </c>
      <c r="CG145" s="56">
        <v>0</v>
      </c>
      <c r="CH145" s="56">
        <v>165</v>
      </c>
      <c r="CJ145" s="56">
        <v>100</v>
      </c>
      <c r="CK145" s="56">
        <v>6649.86</v>
      </c>
      <c r="CL145" s="56">
        <v>0</v>
      </c>
      <c r="CN145" s="56">
        <v>916.74</v>
      </c>
      <c r="CO145" s="56">
        <v>916.74</v>
      </c>
      <c r="CP145" s="56">
        <v>72.900000000000006</v>
      </c>
      <c r="CQ145" s="56" t="s">
        <v>668</v>
      </c>
      <c r="CR145" s="56">
        <v>0</v>
      </c>
      <c r="CS145" s="56">
        <v>0</v>
      </c>
      <c r="CV145" s="56">
        <v>0</v>
      </c>
      <c r="CX145" s="56">
        <v>0</v>
      </c>
      <c r="CY145" s="56">
        <v>0</v>
      </c>
      <c r="CZ145" s="56">
        <v>615.11</v>
      </c>
      <c r="DA145" s="56">
        <v>615.11</v>
      </c>
      <c r="DB145" s="56">
        <v>0</v>
      </c>
      <c r="DC145" s="56">
        <v>6034.75</v>
      </c>
      <c r="DD145" s="56">
        <v>20.5</v>
      </c>
      <c r="DE145" s="56">
        <v>0</v>
      </c>
      <c r="DF145" s="56">
        <v>20.5</v>
      </c>
      <c r="DH145" s="56" t="s">
        <v>670</v>
      </c>
      <c r="DI145" s="56" t="s">
        <v>671</v>
      </c>
      <c r="DK145" s="56">
        <v>79.680000000000007</v>
      </c>
      <c r="DL145" s="56">
        <v>6087.15</v>
      </c>
      <c r="DM145" s="56">
        <v>40</v>
      </c>
      <c r="DN145" s="56">
        <v>761806</v>
      </c>
      <c r="DO145" s="56" t="s">
        <v>236</v>
      </c>
      <c r="DQ145" s="56" t="s">
        <v>674</v>
      </c>
      <c r="DR145" s="56">
        <v>3</v>
      </c>
      <c r="DW145" s="56">
        <v>370</v>
      </c>
      <c r="DX145" s="56" t="s">
        <v>678</v>
      </c>
      <c r="DY145" s="56" t="s">
        <v>679</v>
      </c>
      <c r="EL145" s="56">
        <v>25</v>
      </c>
      <c r="EM145" s="56">
        <v>15</v>
      </c>
      <c r="EN145" s="56">
        <v>4779</v>
      </c>
      <c r="EO145" s="56">
        <v>1622</v>
      </c>
      <c r="EP145" s="56">
        <v>6813</v>
      </c>
      <c r="EQ145" s="56" t="s">
        <v>1092</v>
      </c>
      <c r="ER145" s="56" t="s">
        <v>928</v>
      </c>
      <c r="ES145" s="56">
        <v>2</v>
      </c>
      <c r="ET145" s="56" t="s">
        <v>682</v>
      </c>
      <c r="EU145" s="56" t="s">
        <v>683</v>
      </c>
      <c r="EV145" s="56" t="s">
        <v>683</v>
      </c>
      <c r="FD145" s="56" t="s">
        <v>1547</v>
      </c>
      <c r="FK145" s="56">
        <v>0</v>
      </c>
    </row>
    <row r="146" spans="1:167" x14ac:dyDescent="0.2">
      <c r="A146" s="56">
        <v>29100</v>
      </c>
      <c r="B146" s="56">
        <v>2</v>
      </c>
      <c r="C146" s="56">
        <v>6352</v>
      </c>
      <c r="D146" s="56" t="s">
        <v>634</v>
      </c>
      <c r="E146" s="56" t="s">
        <v>635</v>
      </c>
      <c r="K146" s="56" t="s">
        <v>1548</v>
      </c>
      <c r="L146" s="56" t="s">
        <v>637</v>
      </c>
      <c r="M146" s="56">
        <v>44938</v>
      </c>
      <c r="N146" s="56">
        <v>44940</v>
      </c>
      <c r="O146" s="56">
        <v>38</v>
      </c>
      <c r="P146" s="56" t="s">
        <v>638</v>
      </c>
      <c r="Q146" s="56">
        <v>2</v>
      </c>
      <c r="R146" s="56" t="s">
        <v>639</v>
      </c>
      <c r="S146" s="56" t="s">
        <v>893</v>
      </c>
      <c r="T146" s="56" t="s">
        <v>641</v>
      </c>
      <c r="U146" s="56" t="s">
        <v>735</v>
      </c>
      <c r="V146" s="56" t="s">
        <v>643</v>
      </c>
      <c r="W146" s="56">
        <v>48</v>
      </c>
      <c r="X146" s="56" t="s">
        <v>699</v>
      </c>
      <c r="Y146" s="56">
        <v>90</v>
      </c>
      <c r="Z146" s="56" t="s">
        <v>894</v>
      </c>
      <c r="AA146" s="56" t="s">
        <v>895</v>
      </c>
      <c r="AB146" s="56" t="s">
        <v>896</v>
      </c>
      <c r="AC146" s="56" t="s">
        <v>641</v>
      </c>
      <c r="AD146" s="56" t="s">
        <v>893</v>
      </c>
      <c r="AE146" s="56">
        <v>91</v>
      </c>
      <c r="AF146" s="56" t="s">
        <v>736</v>
      </c>
      <c r="AG146" s="56" t="s">
        <v>737</v>
      </c>
      <c r="AH146" s="56" t="s">
        <v>643</v>
      </c>
      <c r="AI146" s="56" t="s">
        <v>735</v>
      </c>
      <c r="AJ146" s="56">
        <v>90</v>
      </c>
      <c r="AK146" s="56" t="s">
        <v>894</v>
      </c>
      <c r="AL146" s="56">
        <v>91</v>
      </c>
      <c r="AM146" s="56" t="s">
        <v>736</v>
      </c>
      <c r="AN146" s="56" t="s">
        <v>737</v>
      </c>
      <c r="AO146" s="56" t="s">
        <v>738</v>
      </c>
      <c r="AP146" s="56" t="s">
        <v>643</v>
      </c>
      <c r="AQ146" s="56" t="s">
        <v>735</v>
      </c>
      <c r="AR146" s="56">
        <v>98</v>
      </c>
      <c r="AS146" s="56" t="s">
        <v>645</v>
      </c>
      <c r="AT146" s="56" t="s">
        <v>646</v>
      </c>
      <c r="AU146" s="56" t="s">
        <v>643</v>
      </c>
      <c r="AV146" s="56" t="s">
        <v>648</v>
      </c>
      <c r="AW146" s="56">
        <v>115</v>
      </c>
      <c r="AX146" s="56" t="s">
        <v>853</v>
      </c>
      <c r="AY146" s="56">
        <v>55</v>
      </c>
      <c r="AZ146" s="56" t="s">
        <v>23</v>
      </c>
      <c r="BA146" s="56" t="s">
        <v>854</v>
      </c>
      <c r="BB146" s="56" t="s">
        <v>844</v>
      </c>
      <c r="BC146" s="56">
        <v>2</v>
      </c>
      <c r="BD146" s="56" t="s">
        <v>289</v>
      </c>
      <c r="BE146" s="56" t="s">
        <v>772</v>
      </c>
      <c r="BF146" s="56">
        <v>2</v>
      </c>
      <c r="BG146" s="56" t="s">
        <v>289</v>
      </c>
      <c r="BH146" s="56" t="s">
        <v>772</v>
      </c>
      <c r="BI146" s="56">
        <v>46.71</v>
      </c>
      <c r="BJ146" s="56">
        <v>120366.06</v>
      </c>
      <c r="BK146" s="56">
        <v>46710</v>
      </c>
      <c r="BL146" s="56" t="s">
        <v>897</v>
      </c>
      <c r="BM146" s="56">
        <v>3102</v>
      </c>
      <c r="BN146" s="56" t="s">
        <v>660</v>
      </c>
      <c r="BO146" s="56" t="s">
        <v>855</v>
      </c>
      <c r="BP146" s="56">
        <v>6772.95</v>
      </c>
      <c r="BQ146" s="56">
        <v>5887.3</v>
      </c>
      <c r="BR146" s="56">
        <v>0</v>
      </c>
      <c r="BS146" s="56">
        <v>0</v>
      </c>
      <c r="BT146" s="56">
        <v>0</v>
      </c>
      <c r="BU146" s="56">
        <v>719864</v>
      </c>
      <c r="BV146" s="56">
        <v>98</v>
      </c>
      <c r="BW146" s="56" t="s">
        <v>645</v>
      </c>
      <c r="BX146" s="56" t="s">
        <v>1549</v>
      </c>
      <c r="BY146" s="56" t="s">
        <v>663</v>
      </c>
      <c r="BZ146" s="56">
        <v>0.25</v>
      </c>
      <c r="CA146" s="56" t="s">
        <v>664</v>
      </c>
      <c r="CB146" s="56" t="s">
        <v>899</v>
      </c>
      <c r="CD146" s="56" t="s">
        <v>667</v>
      </c>
      <c r="CG146" s="56">
        <v>0</v>
      </c>
      <c r="CH146" s="56">
        <v>145</v>
      </c>
      <c r="CJ146" s="56">
        <v>100</v>
      </c>
      <c r="CK146" s="56">
        <v>5887.3</v>
      </c>
      <c r="CL146" s="56">
        <v>0</v>
      </c>
      <c r="CN146" s="56">
        <v>812.75</v>
      </c>
      <c r="CO146" s="56">
        <v>812.75</v>
      </c>
      <c r="CP146" s="56">
        <v>72.900000000000006</v>
      </c>
      <c r="CQ146" s="56" t="s">
        <v>668</v>
      </c>
      <c r="CR146" s="56">
        <v>0</v>
      </c>
      <c r="CS146" s="56">
        <v>0</v>
      </c>
      <c r="CV146" s="56">
        <v>0</v>
      </c>
      <c r="CX146" s="56">
        <v>0</v>
      </c>
      <c r="CY146" s="56">
        <v>0</v>
      </c>
      <c r="CZ146" s="56">
        <v>544.57000000000005</v>
      </c>
      <c r="DA146" s="56">
        <v>544.57000000000005</v>
      </c>
      <c r="DB146" s="56">
        <v>0</v>
      </c>
      <c r="DC146" s="56">
        <v>5342.73</v>
      </c>
      <c r="DD146" s="56">
        <v>20.68</v>
      </c>
      <c r="DE146" s="56">
        <v>0</v>
      </c>
      <c r="DF146" s="56">
        <v>20.68</v>
      </c>
      <c r="DH146" s="56" t="s">
        <v>670</v>
      </c>
      <c r="DI146" s="56" t="s">
        <v>671</v>
      </c>
      <c r="DK146" s="56">
        <v>79.650000000000006</v>
      </c>
      <c r="DL146" s="56">
        <v>5394.95</v>
      </c>
      <c r="DM146" s="56">
        <v>67</v>
      </c>
      <c r="DN146" s="56" t="s">
        <v>900</v>
      </c>
      <c r="DO146" s="56" t="s">
        <v>236</v>
      </c>
      <c r="DQ146" s="56" t="s">
        <v>674</v>
      </c>
      <c r="DR146" s="56">
        <v>3</v>
      </c>
      <c r="DW146" s="56">
        <v>280</v>
      </c>
      <c r="DX146" s="56" t="s">
        <v>678</v>
      </c>
      <c r="DY146" s="56" t="s">
        <v>679</v>
      </c>
      <c r="EL146" s="56">
        <v>25</v>
      </c>
      <c r="EM146" s="56">
        <v>15</v>
      </c>
      <c r="EN146" s="56">
        <v>4779</v>
      </c>
      <c r="EO146" s="56">
        <v>1805</v>
      </c>
      <c r="EP146" s="56">
        <v>6813</v>
      </c>
      <c r="EQ146" s="56" t="s">
        <v>901</v>
      </c>
      <c r="ER146" s="56" t="s">
        <v>902</v>
      </c>
      <c r="ES146" s="56">
        <v>2</v>
      </c>
      <c r="ET146" s="56" t="s">
        <v>682</v>
      </c>
      <c r="EU146" s="56" t="s">
        <v>683</v>
      </c>
      <c r="EV146" s="56" t="s">
        <v>683</v>
      </c>
      <c r="FD146" s="56" t="s">
        <v>1550</v>
      </c>
      <c r="FK146" s="56">
        <v>0</v>
      </c>
    </row>
    <row r="147" spans="1:167" x14ac:dyDescent="0.2">
      <c r="A147" s="56">
        <v>29101</v>
      </c>
      <c r="B147" s="56">
        <v>2</v>
      </c>
      <c r="C147" s="56">
        <v>6352</v>
      </c>
      <c r="D147" s="56" t="s">
        <v>634</v>
      </c>
      <c r="E147" s="56" t="s">
        <v>635</v>
      </c>
      <c r="K147" s="56" t="s">
        <v>1551</v>
      </c>
      <c r="L147" s="56" t="s">
        <v>637</v>
      </c>
      <c r="M147" s="56">
        <v>44938</v>
      </c>
      <c r="N147" s="56">
        <v>44940</v>
      </c>
      <c r="O147" s="56">
        <v>38</v>
      </c>
      <c r="P147" s="56" t="s">
        <v>638</v>
      </c>
      <c r="Q147" s="56">
        <v>2</v>
      </c>
      <c r="R147" s="56" t="s">
        <v>639</v>
      </c>
      <c r="S147" s="56" t="s">
        <v>893</v>
      </c>
      <c r="T147" s="56" t="s">
        <v>641</v>
      </c>
      <c r="U147" s="56" t="s">
        <v>642</v>
      </c>
      <c r="V147" s="56" t="s">
        <v>643</v>
      </c>
      <c r="W147" s="56">
        <v>48</v>
      </c>
      <c r="X147" s="56" t="s">
        <v>699</v>
      </c>
      <c r="Y147" s="56">
        <v>90</v>
      </c>
      <c r="Z147" s="56" t="s">
        <v>894</v>
      </c>
      <c r="AA147" s="56" t="s">
        <v>895</v>
      </c>
      <c r="AB147" s="56" t="s">
        <v>896</v>
      </c>
      <c r="AC147" s="56" t="s">
        <v>641</v>
      </c>
      <c r="AD147" s="56" t="s">
        <v>893</v>
      </c>
      <c r="AE147" s="56">
        <v>141</v>
      </c>
      <c r="AF147" s="56" t="s">
        <v>649</v>
      </c>
      <c r="AG147" s="56" t="s">
        <v>650</v>
      </c>
      <c r="AH147" s="56" t="s">
        <v>643</v>
      </c>
      <c r="AI147" s="56" t="s">
        <v>642</v>
      </c>
      <c r="AJ147" s="56">
        <v>90</v>
      </c>
      <c r="AK147" s="56" t="s">
        <v>894</v>
      </c>
      <c r="AL147" s="56">
        <v>141</v>
      </c>
      <c r="AM147" s="56" t="s">
        <v>649</v>
      </c>
      <c r="AN147" s="56" t="s">
        <v>650</v>
      </c>
      <c r="AO147" s="56" t="s">
        <v>652</v>
      </c>
      <c r="AP147" s="56" t="s">
        <v>643</v>
      </c>
      <c r="AQ147" s="56" t="s">
        <v>642</v>
      </c>
      <c r="AR147" s="56">
        <v>98</v>
      </c>
      <c r="AS147" s="56" t="s">
        <v>645</v>
      </c>
      <c r="AT147" s="56" t="s">
        <v>646</v>
      </c>
      <c r="AU147" s="56" t="s">
        <v>643</v>
      </c>
      <c r="AV147" s="56" t="s">
        <v>648</v>
      </c>
      <c r="AW147" s="56">
        <v>121</v>
      </c>
      <c r="AX147" s="56" t="s">
        <v>859</v>
      </c>
      <c r="AY147" s="56">
        <v>51</v>
      </c>
      <c r="AZ147" s="56" t="s">
        <v>29</v>
      </c>
      <c r="BA147" s="56" t="s">
        <v>860</v>
      </c>
      <c r="BB147" s="56" t="s">
        <v>770</v>
      </c>
      <c r="BC147" s="56">
        <v>38</v>
      </c>
      <c r="BD147" s="56" t="s">
        <v>289</v>
      </c>
      <c r="BE147" s="56" t="s">
        <v>771</v>
      </c>
      <c r="BF147" s="56">
        <v>2</v>
      </c>
      <c r="BG147" s="56" t="s">
        <v>289</v>
      </c>
      <c r="BH147" s="56" t="s">
        <v>772</v>
      </c>
      <c r="BI147" s="56">
        <v>46.58</v>
      </c>
      <c r="BJ147" s="56">
        <v>120031.07</v>
      </c>
      <c r="BK147" s="56">
        <v>46580</v>
      </c>
      <c r="BL147" s="56" t="s">
        <v>897</v>
      </c>
      <c r="BM147" s="56">
        <v>3102</v>
      </c>
      <c r="BN147" s="56" t="s">
        <v>724</v>
      </c>
      <c r="BO147" s="56" t="s">
        <v>725</v>
      </c>
      <c r="BP147" s="56">
        <v>7685.7</v>
      </c>
      <c r="BQ147" s="56">
        <v>6690.52</v>
      </c>
      <c r="BR147" s="56">
        <v>0</v>
      </c>
      <c r="BS147" s="56">
        <v>0</v>
      </c>
      <c r="BT147" s="56">
        <v>0</v>
      </c>
      <c r="BU147" s="56">
        <v>719884</v>
      </c>
      <c r="BV147" s="56">
        <v>98</v>
      </c>
      <c r="BW147" s="56" t="s">
        <v>645</v>
      </c>
      <c r="BX147" s="56" t="s">
        <v>1552</v>
      </c>
      <c r="BY147" s="56" t="s">
        <v>663</v>
      </c>
      <c r="BZ147" s="56">
        <v>0.25</v>
      </c>
      <c r="CA147" s="56" t="s">
        <v>664</v>
      </c>
      <c r="CB147" s="56" t="s">
        <v>899</v>
      </c>
      <c r="CD147" s="56" t="s">
        <v>667</v>
      </c>
      <c r="CG147" s="56">
        <v>0</v>
      </c>
      <c r="CH147" s="56">
        <v>165</v>
      </c>
      <c r="CJ147" s="56">
        <v>100</v>
      </c>
      <c r="CK147" s="56">
        <v>6690.52</v>
      </c>
      <c r="CL147" s="56">
        <v>0</v>
      </c>
      <c r="CN147" s="56">
        <v>922.28</v>
      </c>
      <c r="CO147" s="56">
        <v>922.28</v>
      </c>
      <c r="CP147" s="56">
        <v>72.900000000000006</v>
      </c>
      <c r="CQ147" s="56" t="s">
        <v>668</v>
      </c>
      <c r="CR147" s="56">
        <v>0</v>
      </c>
      <c r="CS147" s="56">
        <v>0</v>
      </c>
      <c r="CV147" s="56">
        <v>0</v>
      </c>
      <c r="CX147" s="56">
        <v>0</v>
      </c>
      <c r="CY147" s="56">
        <v>0</v>
      </c>
      <c r="CZ147" s="56">
        <v>618.87</v>
      </c>
      <c r="DA147" s="56">
        <v>618.87</v>
      </c>
      <c r="DB147" s="56">
        <v>0</v>
      </c>
      <c r="DC147" s="56">
        <v>6071.65</v>
      </c>
      <c r="DD147" s="56">
        <v>20.62</v>
      </c>
      <c r="DE147" s="56">
        <v>0</v>
      </c>
      <c r="DF147" s="56">
        <v>20.62</v>
      </c>
      <c r="DH147" s="56" t="s">
        <v>670</v>
      </c>
      <c r="DI147" s="56" t="s">
        <v>671</v>
      </c>
      <c r="DK147" s="56">
        <v>79.680000000000007</v>
      </c>
      <c r="DL147" s="56">
        <v>6123.93</v>
      </c>
      <c r="DM147" s="56">
        <v>40</v>
      </c>
      <c r="DN147" s="56">
        <v>761806</v>
      </c>
      <c r="DO147" s="56" t="s">
        <v>236</v>
      </c>
      <c r="DQ147" s="56" t="s">
        <v>674</v>
      </c>
      <c r="DR147" s="56">
        <v>3</v>
      </c>
      <c r="DW147" s="56">
        <v>370</v>
      </c>
      <c r="DX147" s="56" t="s">
        <v>678</v>
      </c>
      <c r="DY147" s="56" t="s">
        <v>679</v>
      </c>
      <c r="EL147" s="56">
        <v>25</v>
      </c>
      <c r="EM147" s="56">
        <v>15</v>
      </c>
      <c r="EN147" s="56">
        <v>4779</v>
      </c>
      <c r="EO147" s="56">
        <v>1622</v>
      </c>
      <c r="EP147" s="56">
        <v>6813</v>
      </c>
      <c r="EQ147" s="56" t="s">
        <v>1092</v>
      </c>
      <c r="ER147" s="56" t="s">
        <v>928</v>
      </c>
      <c r="ES147" s="56">
        <v>2</v>
      </c>
      <c r="ET147" s="56" t="s">
        <v>682</v>
      </c>
      <c r="EU147" s="56" t="s">
        <v>683</v>
      </c>
      <c r="EV147" s="56" t="s">
        <v>683</v>
      </c>
      <c r="FD147" s="56" t="s">
        <v>1553</v>
      </c>
      <c r="FK147" s="56">
        <v>0</v>
      </c>
    </row>
    <row r="148" spans="1:167" x14ac:dyDescent="0.2">
      <c r="A148" s="56">
        <v>29102</v>
      </c>
      <c r="B148" s="56">
        <v>2</v>
      </c>
      <c r="C148" s="56">
        <v>6352</v>
      </c>
      <c r="D148" s="56" t="s">
        <v>634</v>
      </c>
      <c r="E148" s="56" t="s">
        <v>635</v>
      </c>
      <c r="K148" s="56" t="s">
        <v>1554</v>
      </c>
      <c r="L148" s="56" t="s">
        <v>637</v>
      </c>
      <c r="M148" s="56">
        <v>44938</v>
      </c>
      <c r="N148" s="56">
        <v>44940</v>
      </c>
      <c r="O148" s="56">
        <v>38</v>
      </c>
      <c r="P148" s="56" t="s">
        <v>638</v>
      </c>
      <c r="Q148" s="56">
        <v>2</v>
      </c>
      <c r="R148" s="56" t="s">
        <v>639</v>
      </c>
      <c r="S148" s="56" t="s">
        <v>893</v>
      </c>
      <c r="T148" s="56" t="s">
        <v>641</v>
      </c>
      <c r="U148" s="56" t="s">
        <v>735</v>
      </c>
      <c r="V148" s="56" t="s">
        <v>643</v>
      </c>
      <c r="W148" s="56">
        <v>48</v>
      </c>
      <c r="X148" s="56" t="s">
        <v>699</v>
      </c>
      <c r="Y148" s="56">
        <v>90</v>
      </c>
      <c r="Z148" s="56" t="s">
        <v>894</v>
      </c>
      <c r="AA148" s="56" t="s">
        <v>895</v>
      </c>
      <c r="AB148" s="56" t="s">
        <v>896</v>
      </c>
      <c r="AC148" s="56" t="s">
        <v>641</v>
      </c>
      <c r="AD148" s="56" t="s">
        <v>893</v>
      </c>
      <c r="AE148" s="56">
        <v>91</v>
      </c>
      <c r="AF148" s="56" t="s">
        <v>736</v>
      </c>
      <c r="AG148" s="56" t="s">
        <v>737</v>
      </c>
      <c r="AH148" s="56" t="s">
        <v>643</v>
      </c>
      <c r="AI148" s="56" t="s">
        <v>735</v>
      </c>
      <c r="AJ148" s="56">
        <v>90</v>
      </c>
      <c r="AK148" s="56" t="s">
        <v>894</v>
      </c>
      <c r="AL148" s="56">
        <v>91</v>
      </c>
      <c r="AM148" s="56" t="s">
        <v>736</v>
      </c>
      <c r="AN148" s="56" t="s">
        <v>737</v>
      </c>
      <c r="AO148" s="56" t="s">
        <v>738</v>
      </c>
      <c r="AP148" s="56" t="s">
        <v>643</v>
      </c>
      <c r="AQ148" s="56" t="s">
        <v>735</v>
      </c>
      <c r="AR148" s="56">
        <v>98</v>
      </c>
      <c r="AS148" s="56" t="s">
        <v>645</v>
      </c>
      <c r="AT148" s="56" t="s">
        <v>646</v>
      </c>
      <c r="AU148" s="56" t="s">
        <v>643</v>
      </c>
      <c r="AV148" s="56" t="s">
        <v>648</v>
      </c>
      <c r="AW148" s="56">
        <v>120</v>
      </c>
      <c r="AX148" s="56" t="s">
        <v>836</v>
      </c>
      <c r="AY148" s="56">
        <v>7</v>
      </c>
      <c r="AZ148" s="56" t="s">
        <v>128</v>
      </c>
      <c r="BA148" s="56" t="s">
        <v>837</v>
      </c>
      <c r="BB148" s="56" t="s">
        <v>770</v>
      </c>
      <c r="BC148" s="56">
        <v>38</v>
      </c>
      <c r="BD148" s="56" t="s">
        <v>289</v>
      </c>
      <c r="BE148" s="56" t="s">
        <v>771</v>
      </c>
      <c r="BF148" s="56">
        <v>2</v>
      </c>
      <c r="BG148" s="56" t="s">
        <v>289</v>
      </c>
      <c r="BH148" s="56" t="s">
        <v>772</v>
      </c>
      <c r="BI148" s="56">
        <v>46.62</v>
      </c>
      <c r="BJ148" s="56">
        <v>120134.15</v>
      </c>
      <c r="BK148" s="56">
        <v>46620</v>
      </c>
      <c r="BL148" s="56" t="s">
        <v>897</v>
      </c>
      <c r="BM148" s="56">
        <v>3102</v>
      </c>
      <c r="BN148" s="56" t="s">
        <v>724</v>
      </c>
      <c r="BO148" s="56" t="s">
        <v>725</v>
      </c>
      <c r="BP148" s="56">
        <v>6759.9</v>
      </c>
      <c r="BQ148" s="56">
        <v>5875.81</v>
      </c>
      <c r="BR148" s="56">
        <v>0</v>
      </c>
      <c r="BS148" s="56">
        <v>0</v>
      </c>
      <c r="BT148" s="56">
        <v>0</v>
      </c>
      <c r="BU148" s="56">
        <v>719891</v>
      </c>
      <c r="BV148" s="56">
        <v>98</v>
      </c>
      <c r="BW148" s="56" t="s">
        <v>645</v>
      </c>
      <c r="BX148" s="56" t="s">
        <v>1555</v>
      </c>
      <c r="BY148" s="56" t="s">
        <v>663</v>
      </c>
      <c r="BZ148" s="56">
        <v>0.25</v>
      </c>
      <c r="CA148" s="56" t="s">
        <v>664</v>
      </c>
      <c r="CB148" s="56" t="s">
        <v>899</v>
      </c>
      <c r="CD148" s="56" t="s">
        <v>667</v>
      </c>
      <c r="CG148" s="56">
        <v>0</v>
      </c>
      <c r="CH148" s="56">
        <v>145</v>
      </c>
      <c r="CJ148" s="56">
        <v>100</v>
      </c>
      <c r="CK148" s="56">
        <v>5875.81</v>
      </c>
      <c r="CL148" s="56">
        <v>0</v>
      </c>
      <c r="CN148" s="56">
        <v>811.19</v>
      </c>
      <c r="CO148" s="56">
        <v>811.19</v>
      </c>
      <c r="CP148" s="56">
        <v>72.900000000000006</v>
      </c>
      <c r="CQ148" s="56" t="s">
        <v>668</v>
      </c>
      <c r="CR148" s="56">
        <v>0</v>
      </c>
      <c r="CS148" s="56">
        <v>0</v>
      </c>
      <c r="CV148" s="56">
        <v>0</v>
      </c>
      <c r="CX148" s="56">
        <v>0</v>
      </c>
      <c r="CY148" s="56">
        <v>0</v>
      </c>
      <c r="CZ148" s="56">
        <v>543.51</v>
      </c>
      <c r="DA148" s="56">
        <v>543.51</v>
      </c>
      <c r="DB148" s="56">
        <v>0</v>
      </c>
      <c r="DC148" s="56">
        <v>5332.3</v>
      </c>
      <c r="DD148" s="56">
        <v>20.64</v>
      </c>
      <c r="DE148" s="56">
        <v>0</v>
      </c>
      <c r="DF148" s="56">
        <v>20.64</v>
      </c>
      <c r="DH148" s="56" t="s">
        <v>670</v>
      </c>
      <c r="DI148" s="56" t="s">
        <v>671</v>
      </c>
      <c r="DK148" s="56">
        <v>79.650000000000006</v>
      </c>
      <c r="DL148" s="56">
        <v>5384.56</v>
      </c>
      <c r="DM148" s="56">
        <v>67</v>
      </c>
      <c r="DN148" s="56" t="s">
        <v>900</v>
      </c>
      <c r="DO148" s="56" t="s">
        <v>236</v>
      </c>
      <c r="DQ148" s="56" t="s">
        <v>674</v>
      </c>
      <c r="DR148" s="56">
        <v>3</v>
      </c>
      <c r="DW148" s="56">
        <v>280</v>
      </c>
      <c r="DX148" s="56" t="s">
        <v>678</v>
      </c>
      <c r="DY148" s="56" t="s">
        <v>679</v>
      </c>
      <c r="EL148" s="56">
        <v>25</v>
      </c>
      <c r="EM148" s="56">
        <v>15</v>
      </c>
      <c r="EN148" s="56">
        <v>4779</v>
      </c>
      <c r="EO148" s="56">
        <v>1805</v>
      </c>
      <c r="EP148" s="56">
        <v>6813</v>
      </c>
      <c r="EQ148" s="56" t="s">
        <v>901</v>
      </c>
      <c r="ER148" s="56" t="s">
        <v>902</v>
      </c>
      <c r="ES148" s="56">
        <v>2</v>
      </c>
      <c r="ET148" s="56" t="s">
        <v>682</v>
      </c>
      <c r="EU148" s="56" t="s">
        <v>683</v>
      </c>
      <c r="EV148" s="56" t="s">
        <v>683</v>
      </c>
      <c r="FD148" s="56" t="s">
        <v>1556</v>
      </c>
      <c r="FK148" s="56">
        <v>0</v>
      </c>
    </row>
    <row r="149" spans="1:167" x14ac:dyDescent="0.2">
      <c r="A149" s="56">
        <v>29103</v>
      </c>
      <c r="B149" s="56">
        <v>2</v>
      </c>
      <c r="C149" s="56">
        <v>6352</v>
      </c>
      <c r="D149" s="56" t="s">
        <v>634</v>
      </c>
      <c r="E149" s="56" t="s">
        <v>635</v>
      </c>
      <c r="K149" s="56" t="s">
        <v>1557</v>
      </c>
      <c r="L149" s="56" t="s">
        <v>637</v>
      </c>
      <c r="M149" s="56">
        <v>44938</v>
      </c>
      <c r="N149" s="56">
        <v>44940</v>
      </c>
      <c r="O149" s="56">
        <v>38</v>
      </c>
      <c r="P149" s="56" t="s">
        <v>638</v>
      </c>
      <c r="Q149" s="56">
        <v>2</v>
      </c>
      <c r="R149" s="56" t="s">
        <v>639</v>
      </c>
      <c r="S149" s="56" t="s">
        <v>893</v>
      </c>
      <c r="T149" s="56" t="s">
        <v>641</v>
      </c>
      <c r="U149" s="56" t="s">
        <v>735</v>
      </c>
      <c r="V149" s="56" t="s">
        <v>643</v>
      </c>
      <c r="W149" s="56">
        <v>48</v>
      </c>
      <c r="X149" s="56" t="s">
        <v>699</v>
      </c>
      <c r="Y149" s="56">
        <v>90</v>
      </c>
      <c r="Z149" s="56" t="s">
        <v>894</v>
      </c>
      <c r="AA149" s="56" t="s">
        <v>895</v>
      </c>
      <c r="AB149" s="56" t="s">
        <v>896</v>
      </c>
      <c r="AC149" s="56" t="s">
        <v>641</v>
      </c>
      <c r="AD149" s="56" t="s">
        <v>893</v>
      </c>
      <c r="AE149" s="56">
        <v>91</v>
      </c>
      <c r="AF149" s="56" t="s">
        <v>736</v>
      </c>
      <c r="AG149" s="56" t="s">
        <v>737</v>
      </c>
      <c r="AH149" s="56" t="s">
        <v>643</v>
      </c>
      <c r="AI149" s="56" t="s">
        <v>735</v>
      </c>
      <c r="AJ149" s="56">
        <v>90</v>
      </c>
      <c r="AK149" s="56" t="s">
        <v>894</v>
      </c>
      <c r="AL149" s="56">
        <v>91</v>
      </c>
      <c r="AM149" s="56" t="s">
        <v>736</v>
      </c>
      <c r="AN149" s="56" t="s">
        <v>737</v>
      </c>
      <c r="AO149" s="56" t="s">
        <v>738</v>
      </c>
      <c r="AP149" s="56" t="s">
        <v>643</v>
      </c>
      <c r="AQ149" s="56" t="s">
        <v>735</v>
      </c>
      <c r="AR149" s="56">
        <v>98</v>
      </c>
      <c r="AS149" s="56" t="s">
        <v>645</v>
      </c>
      <c r="AT149" s="56" t="s">
        <v>646</v>
      </c>
      <c r="AU149" s="56" t="s">
        <v>643</v>
      </c>
      <c r="AV149" s="56" t="s">
        <v>648</v>
      </c>
      <c r="AW149" s="56">
        <v>108</v>
      </c>
      <c r="AX149" s="56" t="s">
        <v>977</v>
      </c>
      <c r="AY149" s="56">
        <v>47</v>
      </c>
      <c r="AZ149" s="56" t="s">
        <v>32</v>
      </c>
      <c r="BA149" s="56" t="s">
        <v>978</v>
      </c>
      <c r="BB149" s="56" t="s">
        <v>770</v>
      </c>
      <c r="BC149" s="56">
        <v>38</v>
      </c>
      <c r="BD149" s="56" t="s">
        <v>289</v>
      </c>
      <c r="BE149" s="56" t="s">
        <v>771</v>
      </c>
      <c r="BF149" s="56">
        <v>2</v>
      </c>
      <c r="BG149" s="56" t="s">
        <v>289</v>
      </c>
      <c r="BH149" s="56" t="s">
        <v>772</v>
      </c>
      <c r="BI149" s="56">
        <v>46.45</v>
      </c>
      <c r="BJ149" s="56">
        <v>119696.08</v>
      </c>
      <c r="BK149" s="56">
        <v>46450</v>
      </c>
      <c r="BL149" s="56" t="s">
        <v>897</v>
      </c>
      <c r="BM149" s="56">
        <v>3102</v>
      </c>
      <c r="BN149" s="56" t="s">
        <v>724</v>
      </c>
      <c r="BO149" s="56" t="s">
        <v>725</v>
      </c>
      <c r="BP149" s="56">
        <v>6735.25</v>
      </c>
      <c r="BQ149" s="56">
        <v>5854.12</v>
      </c>
      <c r="BR149" s="56">
        <v>0</v>
      </c>
      <c r="BS149" s="56">
        <v>0</v>
      </c>
      <c r="BT149" s="56">
        <v>0</v>
      </c>
      <c r="BU149" s="56">
        <v>719893</v>
      </c>
      <c r="BV149" s="56">
        <v>98</v>
      </c>
      <c r="BW149" s="56" t="s">
        <v>645</v>
      </c>
      <c r="BX149" s="56" t="s">
        <v>1558</v>
      </c>
      <c r="BY149" s="56" t="s">
        <v>663</v>
      </c>
      <c r="BZ149" s="56">
        <v>0.25</v>
      </c>
      <c r="CA149" s="56" t="s">
        <v>664</v>
      </c>
      <c r="CB149" s="56" t="s">
        <v>899</v>
      </c>
      <c r="CD149" s="56" t="s">
        <v>667</v>
      </c>
      <c r="CG149" s="56">
        <v>0</v>
      </c>
      <c r="CH149" s="56">
        <v>145</v>
      </c>
      <c r="CJ149" s="56">
        <v>100</v>
      </c>
      <c r="CK149" s="56">
        <v>5854.12</v>
      </c>
      <c r="CL149" s="56">
        <v>0</v>
      </c>
      <c r="CN149" s="56">
        <v>808.23</v>
      </c>
      <c r="CO149" s="56">
        <v>808.23</v>
      </c>
      <c r="CP149" s="56">
        <v>72.900000000000006</v>
      </c>
      <c r="CQ149" s="56" t="s">
        <v>668</v>
      </c>
      <c r="CR149" s="56">
        <v>0</v>
      </c>
      <c r="CS149" s="56">
        <v>0</v>
      </c>
      <c r="CV149" s="56">
        <v>0</v>
      </c>
      <c r="CX149" s="56">
        <v>0</v>
      </c>
      <c r="CY149" s="56">
        <v>0</v>
      </c>
      <c r="CZ149" s="56">
        <v>541.5</v>
      </c>
      <c r="DA149" s="56">
        <v>541.5</v>
      </c>
      <c r="DB149" s="56">
        <v>0</v>
      </c>
      <c r="DC149" s="56">
        <v>5312.62</v>
      </c>
      <c r="DD149" s="56">
        <v>20.56</v>
      </c>
      <c r="DE149" s="56">
        <v>0</v>
      </c>
      <c r="DF149" s="56">
        <v>20.56</v>
      </c>
      <c r="DH149" s="56" t="s">
        <v>670</v>
      </c>
      <c r="DI149" s="56" t="s">
        <v>671</v>
      </c>
      <c r="DK149" s="56">
        <v>79.650000000000006</v>
      </c>
      <c r="DL149" s="56">
        <v>5364.96</v>
      </c>
      <c r="DM149" s="56">
        <v>67</v>
      </c>
      <c r="DN149" s="56" t="s">
        <v>900</v>
      </c>
      <c r="DO149" s="56" t="s">
        <v>236</v>
      </c>
      <c r="DQ149" s="56" t="s">
        <v>674</v>
      </c>
      <c r="DR149" s="56">
        <v>3</v>
      </c>
      <c r="DW149" s="56">
        <v>280</v>
      </c>
      <c r="DX149" s="56" t="s">
        <v>678</v>
      </c>
      <c r="DY149" s="56" t="s">
        <v>679</v>
      </c>
      <c r="EL149" s="56">
        <v>25</v>
      </c>
      <c r="EM149" s="56">
        <v>15</v>
      </c>
      <c r="EN149" s="56">
        <v>4779</v>
      </c>
      <c r="EO149" s="56">
        <v>1805</v>
      </c>
      <c r="EP149" s="56">
        <v>6813</v>
      </c>
      <c r="EQ149" s="56" t="s">
        <v>901</v>
      </c>
      <c r="ER149" s="56" t="s">
        <v>902</v>
      </c>
      <c r="ES149" s="56">
        <v>2</v>
      </c>
      <c r="ET149" s="56" t="s">
        <v>682</v>
      </c>
      <c r="EU149" s="56" t="s">
        <v>683</v>
      </c>
      <c r="EV149" s="56" t="s">
        <v>683</v>
      </c>
      <c r="FD149" s="56" t="s">
        <v>1559</v>
      </c>
      <c r="FK149" s="56">
        <v>0</v>
      </c>
    </row>
    <row r="150" spans="1:167" x14ac:dyDescent="0.2">
      <c r="A150" s="56">
        <v>29104</v>
      </c>
      <c r="B150" s="56">
        <v>2</v>
      </c>
      <c r="C150" s="56">
        <v>6352</v>
      </c>
      <c r="D150" s="56" t="s">
        <v>634</v>
      </c>
      <c r="E150" s="56" t="s">
        <v>635</v>
      </c>
      <c r="K150" s="56" t="s">
        <v>1560</v>
      </c>
      <c r="L150" s="56" t="s">
        <v>637</v>
      </c>
      <c r="M150" s="56">
        <v>44938</v>
      </c>
      <c r="N150" s="56">
        <v>44940</v>
      </c>
      <c r="O150" s="56">
        <v>38</v>
      </c>
      <c r="P150" s="56" t="s">
        <v>638</v>
      </c>
      <c r="Q150" s="56">
        <v>2</v>
      </c>
      <c r="R150" s="56" t="s">
        <v>639</v>
      </c>
      <c r="S150" s="56" t="s">
        <v>893</v>
      </c>
      <c r="T150" s="56" t="s">
        <v>641</v>
      </c>
      <c r="U150" s="56" t="s">
        <v>642</v>
      </c>
      <c r="V150" s="56" t="s">
        <v>643</v>
      </c>
      <c r="W150" s="56">
        <v>48</v>
      </c>
      <c r="X150" s="56" t="s">
        <v>699</v>
      </c>
      <c r="Y150" s="56">
        <v>90</v>
      </c>
      <c r="Z150" s="56" t="s">
        <v>894</v>
      </c>
      <c r="AA150" s="56" t="s">
        <v>895</v>
      </c>
      <c r="AB150" s="56" t="s">
        <v>896</v>
      </c>
      <c r="AC150" s="56" t="s">
        <v>641</v>
      </c>
      <c r="AD150" s="56" t="s">
        <v>893</v>
      </c>
      <c r="AE150" s="56">
        <v>141</v>
      </c>
      <c r="AF150" s="56" t="s">
        <v>649</v>
      </c>
      <c r="AG150" s="56" t="s">
        <v>650</v>
      </c>
      <c r="AH150" s="56" t="s">
        <v>643</v>
      </c>
      <c r="AI150" s="56" t="s">
        <v>642</v>
      </c>
      <c r="AJ150" s="56">
        <v>90</v>
      </c>
      <c r="AK150" s="56" t="s">
        <v>894</v>
      </c>
      <c r="AL150" s="56">
        <v>141</v>
      </c>
      <c r="AM150" s="56" t="s">
        <v>649</v>
      </c>
      <c r="AN150" s="56" t="s">
        <v>650</v>
      </c>
      <c r="AO150" s="56" t="s">
        <v>652</v>
      </c>
      <c r="AP150" s="56" t="s">
        <v>643</v>
      </c>
      <c r="AQ150" s="56" t="s">
        <v>642</v>
      </c>
      <c r="AR150" s="56">
        <v>98</v>
      </c>
      <c r="AS150" s="56" t="s">
        <v>645</v>
      </c>
      <c r="AT150" s="56" t="s">
        <v>646</v>
      </c>
      <c r="AU150" s="56" t="s">
        <v>643</v>
      </c>
      <c r="AV150" s="56" t="s">
        <v>648</v>
      </c>
      <c r="AW150" s="56">
        <v>50</v>
      </c>
      <c r="AX150" s="56" t="s">
        <v>881</v>
      </c>
      <c r="AY150" s="56">
        <v>77</v>
      </c>
      <c r="AZ150" s="56" t="s">
        <v>131</v>
      </c>
      <c r="BA150" s="56" t="s">
        <v>882</v>
      </c>
      <c r="BB150" s="56" t="s">
        <v>770</v>
      </c>
      <c r="BC150" s="56">
        <v>38</v>
      </c>
      <c r="BD150" s="56" t="s">
        <v>289</v>
      </c>
      <c r="BE150" s="56" t="s">
        <v>771</v>
      </c>
      <c r="BF150" s="56">
        <v>2</v>
      </c>
      <c r="BG150" s="56" t="s">
        <v>289</v>
      </c>
      <c r="BH150" s="56" t="s">
        <v>772</v>
      </c>
      <c r="BI150" s="56">
        <v>45.67</v>
      </c>
      <c r="BJ150" s="56">
        <v>117686.11</v>
      </c>
      <c r="BK150" s="56">
        <v>45670</v>
      </c>
      <c r="BL150" s="56" t="s">
        <v>897</v>
      </c>
      <c r="BM150" s="56">
        <v>3102</v>
      </c>
      <c r="BN150" s="56" t="s">
        <v>786</v>
      </c>
      <c r="BO150" s="56" t="s">
        <v>883</v>
      </c>
      <c r="BP150" s="56">
        <v>7535.55</v>
      </c>
      <c r="BQ150" s="56">
        <v>6558.38</v>
      </c>
      <c r="BR150" s="56">
        <v>0</v>
      </c>
      <c r="BS150" s="56">
        <v>0</v>
      </c>
      <c r="BT150" s="56">
        <v>0</v>
      </c>
      <c r="BU150" s="56">
        <v>719903</v>
      </c>
      <c r="BV150" s="56">
        <v>98</v>
      </c>
      <c r="BW150" s="56" t="s">
        <v>645</v>
      </c>
      <c r="BX150" s="56" t="s">
        <v>1561</v>
      </c>
      <c r="BY150" s="56" t="s">
        <v>663</v>
      </c>
      <c r="BZ150" s="56">
        <v>0.25</v>
      </c>
      <c r="CA150" s="56" t="s">
        <v>664</v>
      </c>
      <c r="CB150" s="56" t="s">
        <v>899</v>
      </c>
      <c r="CD150" s="56" t="s">
        <v>667</v>
      </c>
      <c r="CG150" s="56">
        <v>0</v>
      </c>
      <c r="CH150" s="56">
        <v>165</v>
      </c>
      <c r="CJ150" s="56">
        <v>100</v>
      </c>
      <c r="CK150" s="56">
        <v>6558.38</v>
      </c>
      <c r="CL150" s="56">
        <v>0</v>
      </c>
      <c r="CN150" s="56">
        <v>904.27</v>
      </c>
      <c r="CO150" s="56">
        <v>904.27</v>
      </c>
      <c r="CP150" s="56">
        <v>72.900000000000006</v>
      </c>
      <c r="CQ150" s="56" t="s">
        <v>668</v>
      </c>
      <c r="CR150" s="56">
        <v>0</v>
      </c>
      <c r="CS150" s="56">
        <v>0</v>
      </c>
      <c r="CV150" s="56">
        <v>0</v>
      </c>
      <c r="CX150" s="56">
        <v>0</v>
      </c>
      <c r="CY150" s="56">
        <v>0</v>
      </c>
      <c r="CZ150" s="56">
        <v>606.65</v>
      </c>
      <c r="DA150" s="56">
        <v>606.65</v>
      </c>
      <c r="DB150" s="56">
        <v>0</v>
      </c>
      <c r="DC150" s="56">
        <v>5951.73</v>
      </c>
      <c r="DD150" s="56">
        <v>20.22</v>
      </c>
      <c r="DE150" s="56">
        <v>0</v>
      </c>
      <c r="DF150" s="56">
        <v>20.22</v>
      </c>
      <c r="DH150" s="56" t="s">
        <v>670</v>
      </c>
      <c r="DI150" s="56" t="s">
        <v>671</v>
      </c>
      <c r="DK150" s="56">
        <v>79.680000000000007</v>
      </c>
      <c r="DL150" s="56">
        <v>6004.41</v>
      </c>
      <c r="DM150" s="56">
        <v>40</v>
      </c>
      <c r="DN150" s="56">
        <v>761806</v>
      </c>
      <c r="DO150" s="56" t="s">
        <v>236</v>
      </c>
      <c r="DQ150" s="56" t="s">
        <v>674</v>
      </c>
      <c r="DR150" s="56">
        <v>3</v>
      </c>
      <c r="DW150" s="56">
        <v>370</v>
      </c>
      <c r="DX150" s="56" t="s">
        <v>678</v>
      </c>
      <c r="DY150" s="56" t="s">
        <v>679</v>
      </c>
      <c r="EL150" s="56">
        <v>25</v>
      </c>
      <c r="EM150" s="56">
        <v>15</v>
      </c>
      <c r="EN150" s="56">
        <v>4779</v>
      </c>
      <c r="EO150" s="56">
        <v>1622</v>
      </c>
      <c r="EP150" s="56">
        <v>6813</v>
      </c>
      <c r="EQ150" s="56" t="s">
        <v>1092</v>
      </c>
      <c r="ER150" s="56" t="s">
        <v>928</v>
      </c>
      <c r="ES150" s="56">
        <v>2</v>
      </c>
      <c r="ET150" s="56" t="s">
        <v>682</v>
      </c>
      <c r="EU150" s="56" t="s">
        <v>683</v>
      </c>
      <c r="EV150" s="56" t="s">
        <v>683</v>
      </c>
      <c r="FD150" s="56" t="s">
        <v>1562</v>
      </c>
      <c r="FK150" s="56">
        <v>0</v>
      </c>
    </row>
    <row r="151" spans="1:167" x14ac:dyDescent="0.2">
      <c r="A151" s="56">
        <v>29105</v>
      </c>
      <c r="B151" s="56">
        <v>2</v>
      </c>
      <c r="C151" s="56">
        <v>6352</v>
      </c>
      <c r="D151" s="56" t="s">
        <v>634</v>
      </c>
      <c r="E151" s="56" t="s">
        <v>635</v>
      </c>
      <c r="K151" s="56" t="s">
        <v>1563</v>
      </c>
      <c r="L151" s="56" t="s">
        <v>637</v>
      </c>
      <c r="M151" s="56">
        <v>44938</v>
      </c>
      <c r="N151" s="56">
        <v>44940</v>
      </c>
      <c r="O151" s="56">
        <v>38</v>
      </c>
      <c r="P151" s="56" t="s">
        <v>638</v>
      </c>
      <c r="Q151" s="56">
        <v>2</v>
      </c>
      <c r="R151" s="56" t="s">
        <v>639</v>
      </c>
      <c r="S151" s="56" t="s">
        <v>893</v>
      </c>
      <c r="T151" s="56" t="s">
        <v>641</v>
      </c>
      <c r="U151" s="56" t="s">
        <v>642</v>
      </c>
      <c r="V151" s="56" t="s">
        <v>643</v>
      </c>
      <c r="W151" s="56">
        <v>48</v>
      </c>
      <c r="X151" s="56" t="s">
        <v>699</v>
      </c>
      <c r="Y151" s="56">
        <v>90</v>
      </c>
      <c r="Z151" s="56" t="s">
        <v>894</v>
      </c>
      <c r="AA151" s="56" t="s">
        <v>895</v>
      </c>
      <c r="AB151" s="56" t="s">
        <v>896</v>
      </c>
      <c r="AC151" s="56" t="s">
        <v>641</v>
      </c>
      <c r="AD151" s="56" t="s">
        <v>893</v>
      </c>
      <c r="AE151" s="56">
        <v>141</v>
      </c>
      <c r="AF151" s="56" t="s">
        <v>649</v>
      </c>
      <c r="AG151" s="56" t="s">
        <v>650</v>
      </c>
      <c r="AH151" s="56" t="s">
        <v>643</v>
      </c>
      <c r="AI151" s="56" t="s">
        <v>642</v>
      </c>
      <c r="AJ151" s="56">
        <v>90</v>
      </c>
      <c r="AK151" s="56" t="s">
        <v>894</v>
      </c>
      <c r="AL151" s="56">
        <v>141</v>
      </c>
      <c r="AM151" s="56" t="s">
        <v>649</v>
      </c>
      <c r="AN151" s="56" t="s">
        <v>650</v>
      </c>
      <c r="AO151" s="56" t="s">
        <v>652</v>
      </c>
      <c r="AP151" s="56" t="s">
        <v>643</v>
      </c>
      <c r="AQ151" s="56" t="s">
        <v>642</v>
      </c>
      <c r="AR151" s="56">
        <v>98</v>
      </c>
      <c r="AS151" s="56" t="s">
        <v>645</v>
      </c>
      <c r="AT151" s="56" t="s">
        <v>646</v>
      </c>
      <c r="AU151" s="56" t="s">
        <v>643</v>
      </c>
      <c r="AV151" s="56" t="s">
        <v>648</v>
      </c>
      <c r="AW151" s="56">
        <v>116</v>
      </c>
      <c r="AX151" s="56" t="s">
        <v>876</v>
      </c>
      <c r="AY151" s="56">
        <v>35</v>
      </c>
      <c r="AZ151" s="56" t="s">
        <v>124</v>
      </c>
      <c r="BA151" s="56" t="s">
        <v>877</v>
      </c>
      <c r="BB151" s="56" t="s">
        <v>770</v>
      </c>
      <c r="BC151" s="56">
        <v>38</v>
      </c>
      <c r="BD151" s="56" t="s">
        <v>289</v>
      </c>
      <c r="BE151" s="56" t="s">
        <v>771</v>
      </c>
      <c r="BF151" s="56">
        <v>2</v>
      </c>
      <c r="BG151" s="56" t="s">
        <v>289</v>
      </c>
      <c r="BH151" s="56" t="s">
        <v>772</v>
      </c>
      <c r="BI151" s="56">
        <v>46.51</v>
      </c>
      <c r="BJ151" s="56">
        <v>157972.15</v>
      </c>
      <c r="BK151" s="56">
        <v>46510</v>
      </c>
      <c r="BL151" s="56" t="s">
        <v>922</v>
      </c>
      <c r="BM151" s="56">
        <v>3105</v>
      </c>
      <c r="BN151" s="56" t="s">
        <v>724</v>
      </c>
      <c r="BO151" s="56" t="s">
        <v>725</v>
      </c>
      <c r="BP151" s="56">
        <v>6557.91</v>
      </c>
      <c r="BQ151" s="56">
        <v>5698.06</v>
      </c>
      <c r="BR151" s="56">
        <v>0</v>
      </c>
      <c r="BS151" s="56">
        <v>0</v>
      </c>
      <c r="BT151" s="56">
        <v>0</v>
      </c>
      <c r="BU151" s="56">
        <v>719931</v>
      </c>
      <c r="BV151" s="56">
        <v>98</v>
      </c>
      <c r="BW151" s="56" t="s">
        <v>645</v>
      </c>
      <c r="BX151" s="56" t="s">
        <v>1564</v>
      </c>
      <c r="BY151" s="56" t="s">
        <v>663</v>
      </c>
      <c r="BZ151" s="56">
        <v>0.25</v>
      </c>
      <c r="CA151" s="56" t="s">
        <v>664</v>
      </c>
      <c r="CB151" s="56" t="s">
        <v>925</v>
      </c>
      <c r="CD151" s="56" t="s">
        <v>667</v>
      </c>
      <c r="CG151" s="56">
        <v>0</v>
      </c>
      <c r="CH151" s="56">
        <v>141</v>
      </c>
      <c r="CJ151" s="56">
        <v>100</v>
      </c>
      <c r="CK151" s="56">
        <v>5698.06</v>
      </c>
      <c r="CL151" s="56">
        <v>0</v>
      </c>
      <c r="CN151" s="56">
        <v>786.95</v>
      </c>
      <c r="CO151" s="56">
        <v>786.95</v>
      </c>
      <c r="CP151" s="56">
        <v>72.900000000000006</v>
      </c>
      <c r="CQ151" s="56" t="s">
        <v>668</v>
      </c>
      <c r="CR151" s="56">
        <v>0</v>
      </c>
      <c r="CS151" s="56">
        <v>0</v>
      </c>
      <c r="CV151" s="56">
        <v>0</v>
      </c>
      <c r="CX151" s="56">
        <v>0</v>
      </c>
      <c r="CY151" s="56">
        <v>0</v>
      </c>
      <c r="CZ151" s="56">
        <v>527.07000000000005</v>
      </c>
      <c r="DA151" s="56">
        <v>527.07000000000005</v>
      </c>
      <c r="DB151" s="56">
        <v>0</v>
      </c>
      <c r="DC151" s="56">
        <v>5170.99</v>
      </c>
      <c r="DD151" s="56">
        <v>27.14</v>
      </c>
      <c r="DE151" s="56">
        <v>0</v>
      </c>
      <c r="DF151" s="56">
        <v>27.14</v>
      </c>
      <c r="DH151" s="56" t="s">
        <v>670</v>
      </c>
      <c r="DI151" s="56" t="s">
        <v>671</v>
      </c>
      <c r="DK151" s="56">
        <v>79.55</v>
      </c>
      <c r="DL151" s="56">
        <v>5216.75</v>
      </c>
      <c r="DM151" s="56">
        <v>62</v>
      </c>
      <c r="DN151" s="56">
        <v>4500837836</v>
      </c>
      <c r="DO151" s="56" t="s">
        <v>236</v>
      </c>
      <c r="DQ151" s="56" t="s">
        <v>674</v>
      </c>
      <c r="DR151" s="56">
        <v>3</v>
      </c>
      <c r="DW151" s="56">
        <v>370</v>
      </c>
      <c r="DX151" s="56" t="s">
        <v>678</v>
      </c>
      <c r="DY151" s="56" t="s">
        <v>679</v>
      </c>
      <c r="EL151" s="56">
        <v>25</v>
      </c>
      <c r="EM151" s="56">
        <v>15</v>
      </c>
      <c r="EN151" s="56">
        <v>4779</v>
      </c>
      <c r="EO151" s="56">
        <v>1622</v>
      </c>
      <c r="EP151" s="56">
        <v>6813</v>
      </c>
      <c r="EQ151" s="56" t="s">
        <v>927</v>
      </c>
      <c r="ER151" s="56" t="s">
        <v>928</v>
      </c>
      <c r="ES151" s="56">
        <v>2</v>
      </c>
      <c r="ET151" s="56" t="s">
        <v>682</v>
      </c>
      <c r="EU151" s="56" t="s">
        <v>683</v>
      </c>
      <c r="EV151" s="56" t="s">
        <v>683</v>
      </c>
      <c r="FD151" s="56" t="s">
        <v>1565</v>
      </c>
      <c r="FK151" s="56">
        <v>0</v>
      </c>
    </row>
    <row r="152" spans="1:167" x14ac:dyDescent="0.2">
      <c r="A152" s="56">
        <v>29106</v>
      </c>
      <c r="B152" s="56">
        <v>2</v>
      </c>
      <c r="C152" s="56">
        <v>6352</v>
      </c>
      <c r="D152" s="56" t="s">
        <v>634</v>
      </c>
      <c r="E152" s="56" t="s">
        <v>635</v>
      </c>
      <c r="K152" s="56" t="s">
        <v>1566</v>
      </c>
      <c r="L152" s="56" t="s">
        <v>637</v>
      </c>
      <c r="M152" s="56">
        <v>44938</v>
      </c>
      <c r="N152" s="56">
        <v>44940</v>
      </c>
      <c r="O152" s="56">
        <v>38</v>
      </c>
      <c r="P152" s="56" t="s">
        <v>638</v>
      </c>
      <c r="Q152" s="56">
        <v>2</v>
      </c>
      <c r="R152" s="56" t="s">
        <v>639</v>
      </c>
      <c r="S152" s="56" t="s">
        <v>893</v>
      </c>
      <c r="T152" s="56" t="s">
        <v>641</v>
      </c>
      <c r="U152" s="56" t="s">
        <v>642</v>
      </c>
      <c r="V152" s="56" t="s">
        <v>643</v>
      </c>
      <c r="W152" s="56">
        <v>48</v>
      </c>
      <c r="X152" s="56" t="s">
        <v>699</v>
      </c>
      <c r="Y152" s="56">
        <v>90</v>
      </c>
      <c r="Z152" s="56" t="s">
        <v>894</v>
      </c>
      <c r="AA152" s="56" t="s">
        <v>895</v>
      </c>
      <c r="AB152" s="56" t="s">
        <v>896</v>
      </c>
      <c r="AC152" s="56" t="s">
        <v>641</v>
      </c>
      <c r="AD152" s="56" t="s">
        <v>893</v>
      </c>
      <c r="AE152" s="56">
        <v>141</v>
      </c>
      <c r="AF152" s="56" t="s">
        <v>649</v>
      </c>
      <c r="AG152" s="56" t="s">
        <v>650</v>
      </c>
      <c r="AH152" s="56" t="s">
        <v>643</v>
      </c>
      <c r="AI152" s="56" t="s">
        <v>642</v>
      </c>
      <c r="AJ152" s="56">
        <v>90</v>
      </c>
      <c r="AK152" s="56" t="s">
        <v>894</v>
      </c>
      <c r="AL152" s="56">
        <v>141</v>
      </c>
      <c r="AM152" s="56" t="s">
        <v>649</v>
      </c>
      <c r="AN152" s="56" t="s">
        <v>650</v>
      </c>
      <c r="AO152" s="56" t="s">
        <v>652</v>
      </c>
      <c r="AP152" s="56" t="s">
        <v>643</v>
      </c>
      <c r="AQ152" s="56" t="s">
        <v>642</v>
      </c>
      <c r="AR152" s="56">
        <v>98</v>
      </c>
      <c r="AS152" s="56" t="s">
        <v>645</v>
      </c>
      <c r="AT152" s="56" t="s">
        <v>646</v>
      </c>
      <c r="AU152" s="56" t="s">
        <v>643</v>
      </c>
      <c r="AV152" s="56" t="s">
        <v>648</v>
      </c>
      <c r="AW152" s="56">
        <v>113</v>
      </c>
      <c r="AX152" s="56" t="s">
        <v>1025</v>
      </c>
      <c r="AY152" s="56">
        <v>43</v>
      </c>
      <c r="AZ152" s="56" t="s">
        <v>126</v>
      </c>
      <c r="BA152" s="56" t="s">
        <v>1284</v>
      </c>
      <c r="BB152" s="56" t="s">
        <v>770</v>
      </c>
      <c r="BC152" s="56">
        <v>38</v>
      </c>
      <c r="BD152" s="56" t="s">
        <v>289</v>
      </c>
      <c r="BE152" s="56" t="s">
        <v>771</v>
      </c>
      <c r="BF152" s="56">
        <v>2</v>
      </c>
      <c r="BG152" s="56" t="s">
        <v>289</v>
      </c>
      <c r="BH152" s="56" t="s">
        <v>772</v>
      </c>
      <c r="BI152" s="56">
        <v>45.98</v>
      </c>
      <c r="BJ152" s="56">
        <v>156171.99</v>
      </c>
      <c r="BK152" s="56">
        <v>45980</v>
      </c>
      <c r="BL152" s="56" t="s">
        <v>922</v>
      </c>
      <c r="BM152" s="56">
        <v>3105</v>
      </c>
      <c r="BN152" s="56" t="s">
        <v>786</v>
      </c>
      <c r="BO152" s="56" t="s">
        <v>911</v>
      </c>
      <c r="BP152" s="56">
        <v>6483.18</v>
      </c>
      <c r="BQ152" s="56">
        <v>5632.3</v>
      </c>
      <c r="BR152" s="56">
        <v>0</v>
      </c>
      <c r="BS152" s="56">
        <v>0</v>
      </c>
      <c r="BT152" s="56">
        <v>0</v>
      </c>
      <c r="BU152" s="56">
        <v>719960</v>
      </c>
      <c r="BV152" s="56">
        <v>98</v>
      </c>
      <c r="BW152" s="56" t="s">
        <v>645</v>
      </c>
      <c r="BX152" s="56" t="s">
        <v>1567</v>
      </c>
      <c r="BY152" s="56" t="s">
        <v>663</v>
      </c>
      <c r="BZ152" s="56">
        <v>0.25</v>
      </c>
      <c r="CA152" s="56" t="s">
        <v>664</v>
      </c>
      <c r="CB152" s="56" t="s">
        <v>925</v>
      </c>
      <c r="CD152" s="56" t="s">
        <v>667</v>
      </c>
      <c r="CG152" s="56">
        <v>0</v>
      </c>
      <c r="CH152" s="56">
        <v>141</v>
      </c>
      <c r="CJ152" s="56">
        <v>100</v>
      </c>
      <c r="CK152" s="56">
        <v>5632.3</v>
      </c>
      <c r="CL152" s="56">
        <v>0</v>
      </c>
      <c r="CN152" s="56">
        <v>777.98</v>
      </c>
      <c r="CO152" s="56">
        <v>777.98</v>
      </c>
      <c r="CP152" s="56">
        <v>72.900000000000006</v>
      </c>
      <c r="CQ152" s="56" t="s">
        <v>668</v>
      </c>
      <c r="CR152" s="56">
        <v>0</v>
      </c>
      <c r="CS152" s="56">
        <v>0</v>
      </c>
      <c r="CV152" s="56">
        <v>0</v>
      </c>
      <c r="CX152" s="56">
        <v>0</v>
      </c>
      <c r="CY152" s="56">
        <v>0</v>
      </c>
      <c r="CZ152" s="56">
        <v>520.98</v>
      </c>
      <c r="DA152" s="56">
        <v>520.98</v>
      </c>
      <c r="DB152" s="56">
        <v>0</v>
      </c>
      <c r="DC152" s="56">
        <v>5111.32</v>
      </c>
      <c r="DD152" s="56">
        <v>26.83</v>
      </c>
      <c r="DE152" s="56">
        <v>0</v>
      </c>
      <c r="DF152" s="56">
        <v>26.83</v>
      </c>
      <c r="DH152" s="56" t="s">
        <v>670</v>
      </c>
      <c r="DI152" s="56" t="s">
        <v>671</v>
      </c>
      <c r="DK152" s="56">
        <v>79.55</v>
      </c>
      <c r="DL152" s="56">
        <v>5157.3900000000003</v>
      </c>
      <c r="DM152" s="56">
        <v>62</v>
      </c>
      <c r="DN152" s="56">
        <v>4500837836</v>
      </c>
      <c r="DO152" s="56" t="s">
        <v>236</v>
      </c>
      <c r="DQ152" s="56" t="s">
        <v>674</v>
      </c>
      <c r="DR152" s="56">
        <v>3</v>
      </c>
      <c r="DW152" s="56">
        <v>370</v>
      </c>
      <c r="DX152" s="56" t="s">
        <v>678</v>
      </c>
      <c r="DY152" s="56" t="s">
        <v>679</v>
      </c>
      <c r="EL152" s="56">
        <v>25</v>
      </c>
      <c r="EM152" s="56">
        <v>15</v>
      </c>
      <c r="EN152" s="56">
        <v>4779</v>
      </c>
      <c r="EO152" s="56">
        <v>1622</v>
      </c>
      <c r="EP152" s="56">
        <v>6813</v>
      </c>
      <c r="EQ152" s="56" t="s">
        <v>927</v>
      </c>
      <c r="ER152" s="56" t="s">
        <v>928</v>
      </c>
      <c r="ES152" s="56">
        <v>2</v>
      </c>
      <c r="ET152" s="56" t="s">
        <v>682</v>
      </c>
      <c r="EU152" s="56" t="s">
        <v>683</v>
      </c>
      <c r="EV152" s="56" t="s">
        <v>683</v>
      </c>
      <c r="FD152" s="56" t="s">
        <v>1568</v>
      </c>
      <c r="FK152" s="56">
        <v>0</v>
      </c>
    </row>
    <row r="153" spans="1:167" x14ac:dyDescent="0.2">
      <c r="A153" s="56">
        <v>29108</v>
      </c>
      <c r="B153" s="56">
        <v>2</v>
      </c>
      <c r="C153" s="56">
        <v>6352</v>
      </c>
      <c r="D153" s="56" t="s">
        <v>634</v>
      </c>
      <c r="E153" s="56" t="s">
        <v>635</v>
      </c>
      <c r="K153" s="56" t="s">
        <v>1569</v>
      </c>
      <c r="L153" s="56" t="s">
        <v>637</v>
      </c>
      <c r="M153" s="56">
        <v>44938</v>
      </c>
      <c r="N153" s="56">
        <v>44940</v>
      </c>
      <c r="O153" s="56">
        <v>38</v>
      </c>
      <c r="P153" s="56" t="s">
        <v>638</v>
      </c>
      <c r="Q153" s="56">
        <v>2</v>
      </c>
      <c r="R153" s="56" t="s">
        <v>639</v>
      </c>
      <c r="S153" s="56" t="s">
        <v>893</v>
      </c>
      <c r="T153" s="56" t="s">
        <v>641</v>
      </c>
      <c r="U153" s="56" t="s">
        <v>642</v>
      </c>
      <c r="V153" s="56" t="s">
        <v>643</v>
      </c>
      <c r="W153" s="56">
        <v>49</v>
      </c>
      <c r="X153" s="56" t="s">
        <v>887</v>
      </c>
      <c r="Y153" s="56">
        <v>90</v>
      </c>
      <c r="Z153" s="56" t="s">
        <v>894</v>
      </c>
      <c r="AA153" s="56" t="s">
        <v>895</v>
      </c>
      <c r="AB153" s="56" t="s">
        <v>896</v>
      </c>
      <c r="AC153" s="56" t="s">
        <v>641</v>
      </c>
      <c r="AD153" s="56" t="s">
        <v>893</v>
      </c>
      <c r="AE153" s="56">
        <v>141</v>
      </c>
      <c r="AF153" s="56" t="s">
        <v>649</v>
      </c>
      <c r="AG153" s="56" t="s">
        <v>650</v>
      </c>
      <c r="AH153" s="56" t="s">
        <v>643</v>
      </c>
      <c r="AI153" s="56" t="s">
        <v>642</v>
      </c>
      <c r="AJ153" s="56">
        <v>90</v>
      </c>
      <c r="AK153" s="56" t="s">
        <v>894</v>
      </c>
      <c r="AL153" s="56">
        <v>141</v>
      </c>
      <c r="AM153" s="56" t="s">
        <v>649</v>
      </c>
      <c r="AN153" s="56" t="s">
        <v>650</v>
      </c>
      <c r="AO153" s="56" t="s">
        <v>652</v>
      </c>
      <c r="AP153" s="56" t="s">
        <v>643</v>
      </c>
      <c r="AQ153" s="56" t="s">
        <v>642</v>
      </c>
      <c r="AR153" s="56">
        <v>98</v>
      </c>
      <c r="AS153" s="56" t="s">
        <v>645</v>
      </c>
      <c r="AT153" s="56" t="s">
        <v>646</v>
      </c>
      <c r="AU153" s="56" t="s">
        <v>643</v>
      </c>
      <c r="AV153" s="56" t="s">
        <v>648</v>
      </c>
      <c r="AW153" s="56">
        <v>1198</v>
      </c>
      <c r="AX153" s="56" t="s">
        <v>1570</v>
      </c>
      <c r="AY153" s="56">
        <v>482</v>
      </c>
      <c r="AZ153" s="56" t="s">
        <v>1571</v>
      </c>
      <c r="BA153" s="56" t="s">
        <v>1572</v>
      </c>
      <c r="BB153" s="56" t="s">
        <v>1573</v>
      </c>
      <c r="BC153" s="56">
        <v>1195</v>
      </c>
      <c r="BD153" s="56" t="s">
        <v>1574</v>
      </c>
      <c r="BE153" s="56" t="s">
        <v>1575</v>
      </c>
      <c r="BF153" s="56">
        <v>1195</v>
      </c>
      <c r="BG153" s="56" t="s">
        <v>1574</v>
      </c>
      <c r="BH153" s="56" t="s">
        <v>1575</v>
      </c>
      <c r="BI153" s="56">
        <v>46.33</v>
      </c>
      <c r="BJ153" s="56">
        <v>157360.76999999999</v>
      </c>
      <c r="BK153" s="56">
        <v>46330</v>
      </c>
      <c r="BL153" s="56" t="s">
        <v>922</v>
      </c>
      <c r="BM153" s="56">
        <v>3105</v>
      </c>
      <c r="BN153" s="56" t="s">
        <v>660</v>
      </c>
      <c r="BO153" s="56" t="s">
        <v>1576</v>
      </c>
      <c r="BP153" s="56">
        <v>6532.53</v>
      </c>
      <c r="BQ153" s="56">
        <v>5675.73</v>
      </c>
      <c r="BR153" s="56">
        <v>0</v>
      </c>
      <c r="BS153" s="56">
        <v>0</v>
      </c>
      <c r="BT153" s="56">
        <v>4560.1000000000004</v>
      </c>
      <c r="BU153" s="56">
        <v>719965</v>
      </c>
      <c r="BV153" s="56">
        <v>98</v>
      </c>
      <c r="BW153" s="56" t="s">
        <v>645</v>
      </c>
      <c r="BX153" s="56" t="s">
        <v>1577</v>
      </c>
      <c r="BY153" s="56" t="s">
        <v>663</v>
      </c>
      <c r="BZ153" s="56">
        <v>0.25</v>
      </c>
      <c r="CA153" s="56" t="s">
        <v>664</v>
      </c>
      <c r="CB153" s="56" t="s">
        <v>925</v>
      </c>
      <c r="CC153" s="56" t="s">
        <v>926</v>
      </c>
      <c r="CD153" s="56" t="s">
        <v>667</v>
      </c>
      <c r="CF153" s="56">
        <v>0</v>
      </c>
      <c r="CG153" s="56">
        <v>0</v>
      </c>
      <c r="CH153" s="56">
        <v>141</v>
      </c>
      <c r="CI153" s="56">
        <v>100</v>
      </c>
      <c r="CJ153" s="56">
        <v>19.66</v>
      </c>
      <c r="CK153" s="56">
        <v>5675.73</v>
      </c>
      <c r="CL153" s="56">
        <v>4560.1000000000004</v>
      </c>
      <c r="CM153" s="56">
        <v>55.29</v>
      </c>
      <c r="CN153" s="56">
        <v>783.9</v>
      </c>
      <c r="CO153" s="56">
        <v>783.9</v>
      </c>
      <c r="CP153" s="56">
        <v>72.900000000000006</v>
      </c>
      <c r="CQ153" s="56" t="s">
        <v>668</v>
      </c>
      <c r="CR153" s="56">
        <v>0</v>
      </c>
      <c r="CS153" s="56">
        <v>72.900000000000006</v>
      </c>
      <c r="CT153" s="56" t="s">
        <v>669</v>
      </c>
      <c r="CU153" s="56">
        <v>0</v>
      </c>
      <c r="CV153" s="56">
        <v>0</v>
      </c>
      <c r="CX153" s="56">
        <v>1093.5</v>
      </c>
      <c r="CY153" s="56">
        <v>0</v>
      </c>
      <c r="CZ153" s="56">
        <v>201.91</v>
      </c>
      <c r="DA153" s="56">
        <v>525.01</v>
      </c>
      <c r="DB153" s="56">
        <v>323.10000000000002</v>
      </c>
      <c r="DC153" s="56">
        <v>5473.82</v>
      </c>
      <c r="DD153" s="56">
        <v>-29.51</v>
      </c>
      <c r="DE153" s="56">
        <v>0</v>
      </c>
      <c r="DF153" s="56">
        <v>27.04</v>
      </c>
      <c r="DG153" s="56">
        <v>78.680000000000007</v>
      </c>
      <c r="DH153" s="56" t="s">
        <v>670</v>
      </c>
      <c r="DI153" s="56" t="s">
        <v>671</v>
      </c>
      <c r="DK153" s="56">
        <v>14.78</v>
      </c>
      <c r="DL153" s="56">
        <v>965.36</v>
      </c>
      <c r="DM153" s="56">
        <v>62</v>
      </c>
      <c r="DN153" s="56">
        <v>4500837836</v>
      </c>
      <c r="DO153" s="56" t="s">
        <v>236</v>
      </c>
      <c r="DP153" s="56" t="s">
        <v>673</v>
      </c>
      <c r="DQ153" s="56" t="s">
        <v>674</v>
      </c>
      <c r="DR153" s="56">
        <v>2</v>
      </c>
      <c r="DS153" s="56" t="s">
        <v>1578</v>
      </c>
      <c r="DT153" s="56" t="s">
        <v>1579</v>
      </c>
      <c r="DU153" s="56">
        <v>36</v>
      </c>
      <c r="DV153" s="56" t="s">
        <v>677</v>
      </c>
      <c r="DW153" s="56">
        <v>370</v>
      </c>
      <c r="DX153" s="56" t="s">
        <v>678</v>
      </c>
      <c r="DY153" s="56" t="s">
        <v>679</v>
      </c>
      <c r="ED153" s="56">
        <v>2</v>
      </c>
      <c r="EE153" s="56" t="s">
        <v>639</v>
      </c>
      <c r="EF153" s="56">
        <v>2</v>
      </c>
      <c r="EG153" s="56" t="s">
        <v>639</v>
      </c>
      <c r="EH153" s="56">
        <v>2</v>
      </c>
      <c r="EI153" s="56" t="s">
        <v>639</v>
      </c>
      <c r="EJ153" s="56">
        <v>2</v>
      </c>
      <c r="EK153" s="56" t="s">
        <v>639</v>
      </c>
      <c r="EL153" s="56">
        <v>25</v>
      </c>
      <c r="EM153" s="56">
        <v>15</v>
      </c>
      <c r="EN153" s="56">
        <v>4779</v>
      </c>
      <c r="EO153" s="56">
        <v>1622</v>
      </c>
      <c r="EP153" s="56">
        <v>6813</v>
      </c>
      <c r="EQ153" s="56" t="s">
        <v>927</v>
      </c>
      <c r="ER153" s="56" t="s">
        <v>928</v>
      </c>
      <c r="ES153" s="56">
        <v>2</v>
      </c>
      <c r="ET153" s="56" t="s">
        <v>682</v>
      </c>
      <c r="EU153" s="56" t="s">
        <v>683</v>
      </c>
      <c r="EV153" s="56" t="s">
        <v>683</v>
      </c>
      <c r="FD153" s="56" t="s">
        <v>1580</v>
      </c>
      <c r="FK153" s="56">
        <v>0</v>
      </c>
    </row>
    <row r="154" spans="1:167" x14ac:dyDescent="0.2">
      <c r="A154" s="56">
        <v>29731</v>
      </c>
      <c r="B154" s="56">
        <v>1</v>
      </c>
      <c r="C154" s="56">
        <v>5352</v>
      </c>
      <c r="D154" s="56" t="s">
        <v>634</v>
      </c>
      <c r="E154" s="56" t="s">
        <v>635</v>
      </c>
      <c r="K154" s="56" t="s">
        <v>1581</v>
      </c>
      <c r="L154" s="56" t="s">
        <v>637</v>
      </c>
      <c r="M154" s="56">
        <v>44938</v>
      </c>
      <c r="N154" s="56">
        <v>44940</v>
      </c>
      <c r="O154" s="56">
        <v>2</v>
      </c>
      <c r="P154" s="56" t="s">
        <v>682</v>
      </c>
      <c r="Q154" s="56">
        <v>1</v>
      </c>
      <c r="R154" s="56" t="s">
        <v>809</v>
      </c>
      <c r="S154" s="56" t="s">
        <v>1582</v>
      </c>
      <c r="T154" s="56" t="s">
        <v>643</v>
      </c>
      <c r="U154" s="56" t="s">
        <v>1227</v>
      </c>
      <c r="V154" s="56" t="s">
        <v>643</v>
      </c>
      <c r="W154" s="56">
        <v>41</v>
      </c>
      <c r="X154" s="56" t="s">
        <v>1217</v>
      </c>
      <c r="Y154" s="56">
        <v>51</v>
      </c>
      <c r="Z154" s="56" t="s">
        <v>1228</v>
      </c>
      <c r="AA154" s="56" t="s">
        <v>1583</v>
      </c>
      <c r="AB154" s="56" t="s">
        <v>1584</v>
      </c>
      <c r="AC154" s="56" t="s">
        <v>643</v>
      </c>
      <c r="AD154" s="56" t="s">
        <v>1582</v>
      </c>
      <c r="AL154" s="56">
        <v>52</v>
      </c>
      <c r="AM154" s="56" t="s">
        <v>1228</v>
      </c>
      <c r="AN154" s="56" t="s">
        <v>1229</v>
      </c>
      <c r="AO154" s="56" t="s">
        <v>1230</v>
      </c>
      <c r="AP154" s="56" t="s">
        <v>643</v>
      </c>
      <c r="AQ154" s="56" t="s">
        <v>1227</v>
      </c>
      <c r="AR154" s="56">
        <v>52</v>
      </c>
      <c r="AS154" s="56" t="s">
        <v>1228</v>
      </c>
      <c r="AT154" s="56" t="s">
        <v>1229</v>
      </c>
      <c r="AU154" s="56" t="s">
        <v>643</v>
      </c>
      <c r="AV154" s="56" t="s">
        <v>1227</v>
      </c>
      <c r="AW154" s="56">
        <v>114</v>
      </c>
      <c r="AX154" s="56" t="s">
        <v>1396</v>
      </c>
      <c r="AY154" s="56">
        <v>27</v>
      </c>
      <c r="AZ154" s="56" t="s">
        <v>33</v>
      </c>
      <c r="BA154" s="56" t="s">
        <v>1397</v>
      </c>
      <c r="BB154" s="56" t="s">
        <v>770</v>
      </c>
      <c r="BC154" s="56">
        <v>38</v>
      </c>
      <c r="BD154" s="56" t="s">
        <v>289</v>
      </c>
      <c r="BE154" s="56" t="s">
        <v>771</v>
      </c>
      <c r="BF154" s="56">
        <v>2</v>
      </c>
      <c r="BG154" s="56" t="s">
        <v>289</v>
      </c>
      <c r="BH154" s="56" t="s">
        <v>772</v>
      </c>
      <c r="BI154" s="56">
        <v>45.95</v>
      </c>
      <c r="BJ154" s="56">
        <v>272861.21000000002</v>
      </c>
      <c r="BK154" s="56">
        <v>45.95</v>
      </c>
      <c r="BL154" s="56" t="s">
        <v>1585</v>
      </c>
      <c r="BM154" s="56">
        <v>3104</v>
      </c>
      <c r="BN154" s="56" t="s">
        <v>786</v>
      </c>
      <c r="BO154" s="56" t="s">
        <v>883</v>
      </c>
      <c r="BP154" s="56">
        <v>5514</v>
      </c>
      <c r="BQ154" s="56">
        <v>5514</v>
      </c>
      <c r="BR154" s="56">
        <v>0</v>
      </c>
      <c r="BS154" s="56">
        <v>0</v>
      </c>
      <c r="BT154" s="56">
        <v>0</v>
      </c>
      <c r="BU154" s="56">
        <v>208544</v>
      </c>
      <c r="BV154" s="56">
        <v>52</v>
      </c>
      <c r="BW154" s="56" t="s">
        <v>1228</v>
      </c>
      <c r="BX154" s="56" t="s">
        <v>1586</v>
      </c>
      <c r="BY154" s="56" t="s">
        <v>663</v>
      </c>
      <c r="BZ154" s="56">
        <v>0.5</v>
      </c>
      <c r="CA154" s="56" t="s">
        <v>1587</v>
      </c>
      <c r="CB154" s="56" t="s">
        <v>1588</v>
      </c>
      <c r="CD154" s="56" t="s">
        <v>667</v>
      </c>
      <c r="CG154" s="56">
        <v>0</v>
      </c>
      <c r="CH154" s="56">
        <v>120</v>
      </c>
      <c r="CJ154" s="56">
        <v>100</v>
      </c>
      <c r="CK154" s="56">
        <v>5514</v>
      </c>
      <c r="CL154" s="56">
        <v>0</v>
      </c>
      <c r="CN154" s="56">
        <v>0</v>
      </c>
      <c r="CO154" s="56">
        <v>0</v>
      </c>
      <c r="CP154" s="56">
        <v>0</v>
      </c>
      <c r="CQ154" s="56" t="s">
        <v>708</v>
      </c>
      <c r="CR154" s="56">
        <v>0</v>
      </c>
      <c r="CS154" s="56">
        <v>0</v>
      </c>
      <c r="CV154" s="56">
        <v>0</v>
      </c>
      <c r="CX154" s="56">
        <v>0</v>
      </c>
      <c r="CY154" s="56">
        <v>0</v>
      </c>
      <c r="CZ154" s="56">
        <v>510.04</v>
      </c>
      <c r="DA154" s="56">
        <v>510.04</v>
      </c>
      <c r="DB154" s="56">
        <v>0</v>
      </c>
      <c r="DC154" s="56">
        <v>5003.96</v>
      </c>
      <c r="DD154" s="56">
        <v>46.29</v>
      </c>
      <c r="DE154" s="56">
        <v>0</v>
      </c>
      <c r="DF154" s="56">
        <v>46.29</v>
      </c>
      <c r="DH154" s="56" t="s">
        <v>670</v>
      </c>
      <c r="DI154" s="56" t="s">
        <v>671</v>
      </c>
      <c r="DK154" s="56">
        <v>89.91</v>
      </c>
      <c r="DL154" s="56">
        <v>4957.67</v>
      </c>
      <c r="DO154" s="56" t="s">
        <v>236</v>
      </c>
      <c r="DQ154" s="56" t="s">
        <v>674</v>
      </c>
      <c r="DR154" s="56">
        <v>3</v>
      </c>
      <c r="DX154" s="56" t="s">
        <v>678</v>
      </c>
      <c r="DY154" s="56" t="s">
        <v>679</v>
      </c>
      <c r="EL154" s="56">
        <v>15</v>
      </c>
      <c r="EM154" s="56">
        <v>15</v>
      </c>
      <c r="EN154" s="56">
        <v>1950</v>
      </c>
      <c r="EO154" s="56">
        <v>2420</v>
      </c>
      <c r="EP154" s="56">
        <v>6812</v>
      </c>
      <c r="EQ154" s="56" t="s">
        <v>1434</v>
      </c>
      <c r="ER154" s="56" t="s">
        <v>1589</v>
      </c>
      <c r="ES154" s="56">
        <v>2</v>
      </c>
      <c r="ET154" s="56" t="s">
        <v>682</v>
      </c>
      <c r="EU154" s="56" t="s">
        <v>683</v>
      </c>
      <c r="EV154" s="56" t="s">
        <v>683</v>
      </c>
      <c r="FD154" s="56" t="s">
        <v>1590</v>
      </c>
      <c r="FK154" s="56">
        <v>0</v>
      </c>
    </row>
    <row r="155" spans="1:167" x14ac:dyDescent="0.2">
      <c r="A155" s="56">
        <v>29732</v>
      </c>
      <c r="B155" s="56">
        <v>1</v>
      </c>
      <c r="C155" s="56">
        <v>5352</v>
      </c>
      <c r="D155" s="56" t="s">
        <v>634</v>
      </c>
      <c r="E155" s="56" t="s">
        <v>635</v>
      </c>
      <c r="K155" s="56" t="s">
        <v>1591</v>
      </c>
      <c r="L155" s="56" t="s">
        <v>637</v>
      </c>
      <c r="M155" s="56">
        <v>44938</v>
      </c>
      <c r="N155" s="56">
        <v>44940</v>
      </c>
      <c r="O155" s="56">
        <v>2</v>
      </c>
      <c r="P155" s="56" t="s">
        <v>682</v>
      </c>
      <c r="Q155" s="56">
        <v>1</v>
      </c>
      <c r="R155" s="56" t="s">
        <v>809</v>
      </c>
      <c r="S155" s="56" t="s">
        <v>1582</v>
      </c>
      <c r="T155" s="56" t="s">
        <v>643</v>
      </c>
      <c r="U155" s="56" t="s">
        <v>1227</v>
      </c>
      <c r="V155" s="56" t="s">
        <v>643</v>
      </c>
      <c r="W155" s="56">
        <v>41</v>
      </c>
      <c r="X155" s="56" t="s">
        <v>1217</v>
      </c>
      <c r="Y155" s="56">
        <v>51</v>
      </c>
      <c r="Z155" s="56" t="s">
        <v>1228</v>
      </c>
      <c r="AA155" s="56" t="s">
        <v>1583</v>
      </c>
      <c r="AB155" s="56" t="s">
        <v>1584</v>
      </c>
      <c r="AC155" s="56" t="s">
        <v>643</v>
      </c>
      <c r="AD155" s="56" t="s">
        <v>1582</v>
      </c>
      <c r="AL155" s="56">
        <v>52</v>
      </c>
      <c r="AM155" s="56" t="s">
        <v>1228</v>
      </c>
      <c r="AN155" s="56" t="s">
        <v>1229</v>
      </c>
      <c r="AO155" s="56" t="s">
        <v>1230</v>
      </c>
      <c r="AP155" s="56" t="s">
        <v>643</v>
      </c>
      <c r="AQ155" s="56" t="s">
        <v>1227</v>
      </c>
      <c r="AR155" s="56">
        <v>52</v>
      </c>
      <c r="AS155" s="56" t="s">
        <v>1228</v>
      </c>
      <c r="AT155" s="56" t="s">
        <v>1229</v>
      </c>
      <c r="AU155" s="56" t="s">
        <v>643</v>
      </c>
      <c r="AV155" s="56" t="s">
        <v>1227</v>
      </c>
      <c r="AW155" s="56">
        <v>122</v>
      </c>
      <c r="AX155" s="56" t="s">
        <v>768</v>
      </c>
      <c r="AY155" s="56">
        <v>69</v>
      </c>
      <c r="AZ155" s="56" t="s">
        <v>26</v>
      </c>
      <c r="BA155" s="56" t="s">
        <v>769</v>
      </c>
      <c r="BB155" s="56" t="s">
        <v>770</v>
      </c>
      <c r="BC155" s="56">
        <v>38</v>
      </c>
      <c r="BD155" s="56" t="s">
        <v>289</v>
      </c>
      <c r="BE155" s="56" t="s">
        <v>771</v>
      </c>
      <c r="BF155" s="56">
        <v>2</v>
      </c>
      <c r="BG155" s="56" t="s">
        <v>289</v>
      </c>
      <c r="BH155" s="56" t="s">
        <v>772</v>
      </c>
      <c r="BI155" s="56">
        <v>45.95</v>
      </c>
      <c r="BJ155" s="56">
        <v>272861.21000000002</v>
      </c>
      <c r="BK155" s="56">
        <v>45.95</v>
      </c>
      <c r="BL155" s="56" t="s">
        <v>1585</v>
      </c>
      <c r="BM155" s="56">
        <v>3104</v>
      </c>
      <c r="BN155" s="56" t="s">
        <v>724</v>
      </c>
      <c r="BO155" s="56" t="s">
        <v>773</v>
      </c>
      <c r="BP155" s="56">
        <v>5514</v>
      </c>
      <c r="BQ155" s="56">
        <v>5514</v>
      </c>
      <c r="BR155" s="56">
        <v>0</v>
      </c>
      <c r="BS155" s="56">
        <v>0</v>
      </c>
      <c r="BT155" s="56">
        <v>0</v>
      </c>
      <c r="BU155" s="56">
        <v>208544</v>
      </c>
      <c r="BV155" s="56">
        <v>52</v>
      </c>
      <c r="BW155" s="56" t="s">
        <v>1228</v>
      </c>
      <c r="BX155" s="56" t="s">
        <v>1586</v>
      </c>
      <c r="BY155" s="56" t="s">
        <v>663</v>
      </c>
      <c r="BZ155" s="56">
        <v>0.5</v>
      </c>
      <c r="CA155" s="56" t="s">
        <v>1587</v>
      </c>
      <c r="CB155" s="56" t="s">
        <v>1588</v>
      </c>
      <c r="CD155" s="56" t="s">
        <v>667</v>
      </c>
      <c r="CG155" s="56">
        <v>0</v>
      </c>
      <c r="CH155" s="56">
        <v>120</v>
      </c>
      <c r="CJ155" s="56">
        <v>100</v>
      </c>
      <c r="CK155" s="56">
        <v>5514</v>
      </c>
      <c r="CL155" s="56">
        <v>0</v>
      </c>
      <c r="CN155" s="56">
        <v>0</v>
      </c>
      <c r="CO155" s="56">
        <v>0</v>
      </c>
      <c r="CP155" s="56">
        <v>0</v>
      </c>
      <c r="CQ155" s="56" t="s">
        <v>708</v>
      </c>
      <c r="CR155" s="56">
        <v>0</v>
      </c>
      <c r="CS155" s="56">
        <v>0</v>
      </c>
      <c r="CV155" s="56">
        <v>0</v>
      </c>
      <c r="CX155" s="56">
        <v>0</v>
      </c>
      <c r="CY155" s="56">
        <v>0</v>
      </c>
      <c r="CZ155" s="56">
        <v>510.04</v>
      </c>
      <c r="DA155" s="56">
        <v>510.04</v>
      </c>
      <c r="DB155" s="56">
        <v>0</v>
      </c>
      <c r="DC155" s="56">
        <v>5003.96</v>
      </c>
      <c r="DD155" s="56">
        <v>46.29</v>
      </c>
      <c r="DE155" s="56">
        <v>0</v>
      </c>
      <c r="DF155" s="56">
        <v>46.29</v>
      </c>
      <c r="DH155" s="56" t="s">
        <v>670</v>
      </c>
      <c r="DI155" s="56" t="s">
        <v>671</v>
      </c>
      <c r="DK155" s="56">
        <v>89.91</v>
      </c>
      <c r="DL155" s="56">
        <v>4957.67</v>
      </c>
      <c r="DO155" s="56" t="s">
        <v>236</v>
      </c>
      <c r="DQ155" s="56" t="s">
        <v>674</v>
      </c>
      <c r="DR155" s="56">
        <v>3</v>
      </c>
      <c r="DX155" s="56" t="s">
        <v>678</v>
      </c>
      <c r="DY155" s="56" t="s">
        <v>679</v>
      </c>
      <c r="EL155" s="56">
        <v>15</v>
      </c>
      <c r="EM155" s="56">
        <v>15</v>
      </c>
      <c r="EN155" s="56">
        <v>1950</v>
      </c>
      <c r="EO155" s="56">
        <v>2420</v>
      </c>
      <c r="EP155" s="56">
        <v>6812</v>
      </c>
      <c r="EQ155" s="56" t="s">
        <v>1434</v>
      </c>
      <c r="ER155" s="56" t="s">
        <v>1589</v>
      </c>
      <c r="ES155" s="56">
        <v>2</v>
      </c>
      <c r="ET155" s="56" t="s">
        <v>682</v>
      </c>
      <c r="EU155" s="56" t="s">
        <v>683</v>
      </c>
      <c r="EV155" s="56" t="s">
        <v>683</v>
      </c>
      <c r="FD155" s="56" t="s">
        <v>1592</v>
      </c>
      <c r="FK155" s="56">
        <v>0</v>
      </c>
    </row>
    <row r="156" spans="1:167" x14ac:dyDescent="0.2">
      <c r="A156" s="56">
        <v>29109</v>
      </c>
      <c r="B156" s="56">
        <v>2</v>
      </c>
      <c r="C156" s="56">
        <v>6352</v>
      </c>
      <c r="D156" s="56" t="s">
        <v>634</v>
      </c>
      <c r="E156" s="56" t="s">
        <v>635</v>
      </c>
      <c r="K156" s="56" t="s">
        <v>1593</v>
      </c>
      <c r="L156" s="56" t="s">
        <v>637</v>
      </c>
      <c r="M156" s="56">
        <v>44939</v>
      </c>
      <c r="N156" s="56">
        <v>44941</v>
      </c>
      <c r="O156" s="56">
        <v>38</v>
      </c>
      <c r="P156" s="56" t="s">
        <v>638</v>
      </c>
      <c r="Q156" s="56">
        <v>2</v>
      </c>
      <c r="R156" s="56" t="s">
        <v>639</v>
      </c>
      <c r="S156" s="56" t="s">
        <v>893</v>
      </c>
      <c r="T156" s="56" t="s">
        <v>641</v>
      </c>
      <c r="U156" s="56" t="s">
        <v>642</v>
      </c>
      <c r="V156" s="56" t="s">
        <v>643</v>
      </c>
      <c r="W156" s="56">
        <v>48</v>
      </c>
      <c r="X156" s="56" t="s">
        <v>699</v>
      </c>
      <c r="Y156" s="56">
        <v>90</v>
      </c>
      <c r="Z156" s="56" t="s">
        <v>894</v>
      </c>
      <c r="AA156" s="56" t="s">
        <v>895</v>
      </c>
      <c r="AB156" s="56" t="s">
        <v>896</v>
      </c>
      <c r="AC156" s="56" t="s">
        <v>641</v>
      </c>
      <c r="AD156" s="56" t="s">
        <v>893</v>
      </c>
      <c r="AE156" s="56">
        <v>141</v>
      </c>
      <c r="AF156" s="56" t="s">
        <v>649</v>
      </c>
      <c r="AG156" s="56" t="s">
        <v>650</v>
      </c>
      <c r="AH156" s="56" t="s">
        <v>643</v>
      </c>
      <c r="AI156" s="56" t="s">
        <v>642</v>
      </c>
      <c r="AJ156" s="56">
        <v>90</v>
      </c>
      <c r="AK156" s="56" t="s">
        <v>894</v>
      </c>
      <c r="AL156" s="56">
        <v>141</v>
      </c>
      <c r="AM156" s="56" t="s">
        <v>649</v>
      </c>
      <c r="AN156" s="56" t="s">
        <v>650</v>
      </c>
      <c r="AO156" s="56" t="s">
        <v>652</v>
      </c>
      <c r="AP156" s="56" t="s">
        <v>643</v>
      </c>
      <c r="AQ156" s="56" t="s">
        <v>642</v>
      </c>
      <c r="AR156" s="56">
        <v>98</v>
      </c>
      <c r="AS156" s="56" t="s">
        <v>645</v>
      </c>
      <c r="AT156" s="56" t="s">
        <v>646</v>
      </c>
      <c r="AU156" s="56" t="s">
        <v>643</v>
      </c>
      <c r="AV156" s="56" t="s">
        <v>648</v>
      </c>
      <c r="AW156" s="56">
        <v>107</v>
      </c>
      <c r="AX156" s="56" t="s">
        <v>1003</v>
      </c>
      <c r="AY156" s="56">
        <v>39</v>
      </c>
      <c r="AZ156" s="56" t="s">
        <v>27</v>
      </c>
      <c r="BA156" s="56" t="s">
        <v>1004</v>
      </c>
      <c r="BB156" s="56" t="s">
        <v>770</v>
      </c>
      <c r="BC156" s="56">
        <v>38</v>
      </c>
      <c r="BD156" s="56" t="s">
        <v>289</v>
      </c>
      <c r="BE156" s="56" t="s">
        <v>771</v>
      </c>
      <c r="BF156" s="56">
        <v>2</v>
      </c>
      <c r="BG156" s="56" t="s">
        <v>289</v>
      </c>
      <c r="BH156" s="56" t="s">
        <v>772</v>
      </c>
      <c r="BI156" s="56">
        <v>46.29</v>
      </c>
      <c r="BJ156" s="56">
        <v>157224.91</v>
      </c>
      <c r="BK156" s="56">
        <v>46290</v>
      </c>
      <c r="BL156" s="56" t="s">
        <v>922</v>
      </c>
      <c r="BM156" s="56">
        <v>3105</v>
      </c>
      <c r="BN156" s="56" t="s">
        <v>786</v>
      </c>
      <c r="BO156" s="56" t="s">
        <v>911</v>
      </c>
      <c r="BP156" s="56">
        <v>6526.89</v>
      </c>
      <c r="BQ156" s="56">
        <v>5670.76</v>
      </c>
      <c r="BR156" s="56">
        <v>0</v>
      </c>
      <c r="BS156" s="56">
        <v>0</v>
      </c>
      <c r="BT156" s="56">
        <v>0</v>
      </c>
      <c r="BU156" s="56">
        <v>720240</v>
      </c>
      <c r="BV156" s="56">
        <v>98</v>
      </c>
      <c r="BW156" s="56" t="s">
        <v>645</v>
      </c>
      <c r="BX156" s="56" t="s">
        <v>1594</v>
      </c>
      <c r="BY156" s="56" t="s">
        <v>663</v>
      </c>
      <c r="BZ156" s="56">
        <v>0.25</v>
      </c>
      <c r="CA156" s="56" t="s">
        <v>664</v>
      </c>
      <c r="CB156" s="56" t="s">
        <v>925</v>
      </c>
      <c r="CD156" s="56" t="s">
        <v>667</v>
      </c>
      <c r="CG156" s="56">
        <v>0</v>
      </c>
      <c r="CH156" s="56">
        <v>141</v>
      </c>
      <c r="CJ156" s="56">
        <v>100</v>
      </c>
      <c r="CK156" s="56">
        <v>5670.76</v>
      </c>
      <c r="CL156" s="56">
        <v>0</v>
      </c>
      <c r="CN156" s="56">
        <v>783.23</v>
      </c>
      <c r="CO156" s="56">
        <v>783.23</v>
      </c>
      <c r="CP156" s="56">
        <v>72.900000000000006</v>
      </c>
      <c r="CQ156" s="56" t="s">
        <v>668</v>
      </c>
      <c r="CR156" s="56">
        <v>0</v>
      </c>
      <c r="CS156" s="56">
        <v>0</v>
      </c>
      <c r="CV156" s="56">
        <v>0</v>
      </c>
      <c r="CX156" s="56">
        <v>0</v>
      </c>
      <c r="CY156" s="56">
        <v>0</v>
      </c>
      <c r="CZ156" s="56">
        <v>524.54999999999995</v>
      </c>
      <c r="DA156" s="56">
        <v>524.54999999999995</v>
      </c>
      <c r="DB156" s="56">
        <v>0</v>
      </c>
      <c r="DC156" s="56">
        <v>5146.21</v>
      </c>
      <c r="DD156" s="56">
        <v>27.01</v>
      </c>
      <c r="DE156" s="56">
        <v>0</v>
      </c>
      <c r="DF156" s="56">
        <v>27.01</v>
      </c>
      <c r="DH156" s="56" t="s">
        <v>670</v>
      </c>
      <c r="DI156" s="56" t="s">
        <v>671</v>
      </c>
      <c r="DK156" s="56">
        <v>79.55</v>
      </c>
      <c r="DL156" s="56">
        <v>5192.1000000000004</v>
      </c>
      <c r="DM156" s="56">
        <v>62</v>
      </c>
      <c r="DN156" s="56">
        <v>4500837836</v>
      </c>
      <c r="DO156" s="56" t="s">
        <v>236</v>
      </c>
      <c r="DQ156" s="56" t="s">
        <v>674</v>
      </c>
      <c r="DR156" s="56">
        <v>3</v>
      </c>
      <c r="DW156" s="56">
        <v>370</v>
      </c>
      <c r="DX156" s="56" t="s">
        <v>678</v>
      </c>
      <c r="DY156" s="56" t="s">
        <v>679</v>
      </c>
      <c r="EL156" s="56">
        <v>25</v>
      </c>
      <c r="EM156" s="56">
        <v>15</v>
      </c>
      <c r="EN156" s="56">
        <v>4779</v>
      </c>
      <c r="EO156" s="56">
        <v>1622</v>
      </c>
      <c r="EP156" s="56">
        <v>6813</v>
      </c>
      <c r="EQ156" s="56" t="s">
        <v>927</v>
      </c>
      <c r="ER156" s="56" t="s">
        <v>928</v>
      </c>
      <c r="ES156" s="56">
        <v>2</v>
      </c>
      <c r="ET156" s="56" t="s">
        <v>682</v>
      </c>
      <c r="EU156" s="56" t="s">
        <v>683</v>
      </c>
      <c r="EV156" s="56" t="s">
        <v>683</v>
      </c>
      <c r="FD156" s="56" t="s">
        <v>1595</v>
      </c>
      <c r="FK156" s="56">
        <v>0</v>
      </c>
    </row>
    <row r="157" spans="1:167" x14ac:dyDescent="0.2">
      <c r="A157" s="56">
        <v>29110</v>
      </c>
      <c r="B157" s="56">
        <v>2</v>
      </c>
      <c r="C157" s="56">
        <v>6352</v>
      </c>
      <c r="D157" s="56" t="s">
        <v>634</v>
      </c>
      <c r="E157" s="56" t="s">
        <v>635</v>
      </c>
      <c r="K157" s="56" t="s">
        <v>1596</v>
      </c>
      <c r="L157" s="56" t="s">
        <v>637</v>
      </c>
      <c r="M157" s="56">
        <v>44939</v>
      </c>
      <c r="N157" s="56">
        <v>44941</v>
      </c>
      <c r="O157" s="56">
        <v>38</v>
      </c>
      <c r="P157" s="56" t="s">
        <v>638</v>
      </c>
      <c r="Q157" s="56">
        <v>2</v>
      </c>
      <c r="R157" s="56" t="s">
        <v>639</v>
      </c>
      <c r="S157" s="56" t="s">
        <v>893</v>
      </c>
      <c r="T157" s="56" t="s">
        <v>641</v>
      </c>
      <c r="U157" s="56" t="s">
        <v>642</v>
      </c>
      <c r="V157" s="56" t="s">
        <v>643</v>
      </c>
      <c r="W157" s="56">
        <v>48</v>
      </c>
      <c r="X157" s="56" t="s">
        <v>699</v>
      </c>
      <c r="Y157" s="56">
        <v>90</v>
      </c>
      <c r="Z157" s="56" t="s">
        <v>894</v>
      </c>
      <c r="AA157" s="56" t="s">
        <v>895</v>
      </c>
      <c r="AB157" s="56" t="s">
        <v>896</v>
      </c>
      <c r="AC157" s="56" t="s">
        <v>641</v>
      </c>
      <c r="AD157" s="56" t="s">
        <v>893</v>
      </c>
      <c r="AE157" s="56">
        <v>141</v>
      </c>
      <c r="AF157" s="56" t="s">
        <v>649</v>
      </c>
      <c r="AG157" s="56" t="s">
        <v>650</v>
      </c>
      <c r="AH157" s="56" t="s">
        <v>643</v>
      </c>
      <c r="AI157" s="56" t="s">
        <v>642</v>
      </c>
      <c r="AJ157" s="56">
        <v>90</v>
      </c>
      <c r="AK157" s="56" t="s">
        <v>894</v>
      </c>
      <c r="AL157" s="56">
        <v>141</v>
      </c>
      <c r="AM157" s="56" t="s">
        <v>649</v>
      </c>
      <c r="AN157" s="56" t="s">
        <v>650</v>
      </c>
      <c r="AO157" s="56" t="s">
        <v>652</v>
      </c>
      <c r="AP157" s="56" t="s">
        <v>643</v>
      </c>
      <c r="AQ157" s="56" t="s">
        <v>642</v>
      </c>
      <c r="AR157" s="56">
        <v>98</v>
      </c>
      <c r="AS157" s="56" t="s">
        <v>645</v>
      </c>
      <c r="AT157" s="56" t="s">
        <v>646</v>
      </c>
      <c r="AU157" s="56" t="s">
        <v>643</v>
      </c>
      <c r="AV157" s="56" t="s">
        <v>648</v>
      </c>
      <c r="AW157" s="56">
        <v>109</v>
      </c>
      <c r="AX157" s="56" t="s">
        <v>826</v>
      </c>
      <c r="AY157" s="56">
        <v>20</v>
      </c>
      <c r="AZ157" s="56" t="s">
        <v>30</v>
      </c>
      <c r="BA157" s="56" t="s">
        <v>827</v>
      </c>
      <c r="BB157" s="56" t="s">
        <v>770</v>
      </c>
      <c r="BC157" s="56">
        <v>38</v>
      </c>
      <c r="BD157" s="56" t="s">
        <v>289</v>
      </c>
      <c r="BE157" s="56" t="s">
        <v>771</v>
      </c>
      <c r="BF157" s="56">
        <v>2</v>
      </c>
      <c r="BG157" s="56" t="s">
        <v>289</v>
      </c>
      <c r="BH157" s="56" t="s">
        <v>772</v>
      </c>
      <c r="BI157" s="56">
        <v>46.5</v>
      </c>
      <c r="BJ157" s="56">
        <v>157938.18</v>
      </c>
      <c r="BK157" s="56">
        <v>46500</v>
      </c>
      <c r="BL157" s="56" t="s">
        <v>922</v>
      </c>
      <c r="BM157" s="56">
        <v>3105</v>
      </c>
      <c r="BN157" s="56" t="s">
        <v>724</v>
      </c>
      <c r="BO157" s="56" t="s">
        <v>725</v>
      </c>
      <c r="BP157" s="56">
        <v>6556.5</v>
      </c>
      <c r="BQ157" s="56">
        <v>5696.82</v>
      </c>
      <c r="BR157" s="56">
        <v>0</v>
      </c>
      <c r="BS157" s="56">
        <v>0</v>
      </c>
      <c r="BT157" s="56">
        <v>0</v>
      </c>
      <c r="BU157" s="56">
        <v>720241</v>
      </c>
      <c r="BV157" s="56">
        <v>98</v>
      </c>
      <c r="BW157" s="56" t="s">
        <v>645</v>
      </c>
      <c r="BX157" s="56" t="s">
        <v>1597</v>
      </c>
      <c r="BY157" s="56" t="s">
        <v>663</v>
      </c>
      <c r="BZ157" s="56">
        <v>0.25</v>
      </c>
      <c r="CA157" s="56" t="s">
        <v>664</v>
      </c>
      <c r="CB157" s="56" t="s">
        <v>925</v>
      </c>
      <c r="CD157" s="56" t="s">
        <v>667</v>
      </c>
      <c r="CG157" s="56">
        <v>0</v>
      </c>
      <c r="CH157" s="56">
        <v>141</v>
      </c>
      <c r="CJ157" s="56">
        <v>100</v>
      </c>
      <c r="CK157" s="56">
        <v>5696.82</v>
      </c>
      <c r="CL157" s="56">
        <v>0</v>
      </c>
      <c r="CN157" s="56">
        <v>786.78</v>
      </c>
      <c r="CO157" s="56">
        <v>786.78</v>
      </c>
      <c r="CP157" s="56">
        <v>72.900000000000006</v>
      </c>
      <c r="CQ157" s="56" t="s">
        <v>668</v>
      </c>
      <c r="CR157" s="56">
        <v>0</v>
      </c>
      <c r="CS157" s="56">
        <v>0</v>
      </c>
      <c r="CV157" s="56">
        <v>0</v>
      </c>
      <c r="CX157" s="56">
        <v>0</v>
      </c>
      <c r="CY157" s="56">
        <v>0</v>
      </c>
      <c r="CZ157" s="56">
        <v>526.96</v>
      </c>
      <c r="DA157" s="56">
        <v>526.96</v>
      </c>
      <c r="DB157" s="56">
        <v>0</v>
      </c>
      <c r="DC157" s="56">
        <v>5169.8599999999997</v>
      </c>
      <c r="DD157" s="56">
        <v>27.14</v>
      </c>
      <c r="DE157" s="56">
        <v>0</v>
      </c>
      <c r="DF157" s="56">
        <v>27.14</v>
      </c>
      <c r="DH157" s="56" t="s">
        <v>670</v>
      </c>
      <c r="DI157" s="56" t="s">
        <v>671</v>
      </c>
      <c r="DK157" s="56">
        <v>79.55</v>
      </c>
      <c r="DL157" s="56">
        <v>5215.62</v>
      </c>
      <c r="DM157" s="56">
        <v>62</v>
      </c>
      <c r="DN157" s="56">
        <v>4500837836</v>
      </c>
      <c r="DO157" s="56" t="s">
        <v>236</v>
      </c>
      <c r="DQ157" s="56" t="s">
        <v>674</v>
      </c>
      <c r="DR157" s="56">
        <v>3</v>
      </c>
      <c r="DW157" s="56">
        <v>370</v>
      </c>
      <c r="DX157" s="56" t="s">
        <v>678</v>
      </c>
      <c r="DY157" s="56" t="s">
        <v>679</v>
      </c>
      <c r="EL157" s="56">
        <v>25</v>
      </c>
      <c r="EM157" s="56">
        <v>15</v>
      </c>
      <c r="EN157" s="56">
        <v>4779</v>
      </c>
      <c r="EO157" s="56">
        <v>1622</v>
      </c>
      <c r="EP157" s="56">
        <v>6813</v>
      </c>
      <c r="EQ157" s="56" t="s">
        <v>927</v>
      </c>
      <c r="ER157" s="56" t="s">
        <v>928</v>
      </c>
      <c r="ES157" s="56">
        <v>2</v>
      </c>
      <c r="ET157" s="56" t="s">
        <v>682</v>
      </c>
      <c r="EU157" s="56" t="s">
        <v>683</v>
      </c>
      <c r="EV157" s="56" t="s">
        <v>683</v>
      </c>
      <c r="FD157" s="56" t="s">
        <v>1598</v>
      </c>
      <c r="FK157" s="56">
        <v>0</v>
      </c>
    </row>
    <row r="158" spans="1:167" x14ac:dyDescent="0.2">
      <c r="A158" s="56">
        <v>29111</v>
      </c>
      <c r="B158" s="56">
        <v>2</v>
      </c>
      <c r="C158" s="56">
        <v>6352</v>
      </c>
      <c r="D158" s="56" t="s">
        <v>634</v>
      </c>
      <c r="E158" s="56" t="s">
        <v>635</v>
      </c>
      <c r="K158" s="56" t="s">
        <v>1599</v>
      </c>
      <c r="L158" s="56" t="s">
        <v>637</v>
      </c>
      <c r="M158" s="56">
        <v>44939</v>
      </c>
      <c r="N158" s="56">
        <v>44941</v>
      </c>
      <c r="O158" s="56">
        <v>38</v>
      </c>
      <c r="P158" s="56" t="s">
        <v>638</v>
      </c>
      <c r="Q158" s="56">
        <v>2</v>
      </c>
      <c r="R158" s="56" t="s">
        <v>639</v>
      </c>
      <c r="S158" s="56" t="s">
        <v>893</v>
      </c>
      <c r="T158" s="56" t="s">
        <v>641</v>
      </c>
      <c r="U158" s="56" t="s">
        <v>642</v>
      </c>
      <c r="V158" s="56" t="s">
        <v>643</v>
      </c>
      <c r="W158" s="56">
        <v>48</v>
      </c>
      <c r="X158" s="56" t="s">
        <v>699</v>
      </c>
      <c r="Y158" s="56">
        <v>90</v>
      </c>
      <c r="Z158" s="56" t="s">
        <v>894</v>
      </c>
      <c r="AA158" s="56" t="s">
        <v>895</v>
      </c>
      <c r="AB158" s="56" t="s">
        <v>896</v>
      </c>
      <c r="AC158" s="56" t="s">
        <v>641</v>
      </c>
      <c r="AD158" s="56" t="s">
        <v>893</v>
      </c>
      <c r="AE158" s="56">
        <v>141</v>
      </c>
      <c r="AF158" s="56" t="s">
        <v>649</v>
      </c>
      <c r="AG158" s="56" t="s">
        <v>650</v>
      </c>
      <c r="AH158" s="56" t="s">
        <v>643</v>
      </c>
      <c r="AI158" s="56" t="s">
        <v>642</v>
      </c>
      <c r="AJ158" s="56">
        <v>90</v>
      </c>
      <c r="AK158" s="56" t="s">
        <v>894</v>
      </c>
      <c r="AL158" s="56">
        <v>141</v>
      </c>
      <c r="AM158" s="56" t="s">
        <v>649</v>
      </c>
      <c r="AN158" s="56" t="s">
        <v>650</v>
      </c>
      <c r="AO158" s="56" t="s">
        <v>652</v>
      </c>
      <c r="AP158" s="56" t="s">
        <v>643</v>
      </c>
      <c r="AQ158" s="56" t="s">
        <v>642</v>
      </c>
      <c r="AR158" s="56">
        <v>98</v>
      </c>
      <c r="AS158" s="56" t="s">
        <v>645</v>
      </c>
      <c r="AT158" s="56" t="s">
        <v>646</v>
      </c>
      <c r="AU158" s="56" t="s">
        <v>643</v>
      </c>
      <c r="AV158" s="56" t="s">
        <v>648</v>
      </c>
      <c r="AW158" s="56">
        <v>118</v>
      </c>
      <c r="AX158" s="56" t="s">
        <v>870</v>
      </c>
      <c r="AY158" s="56">
        <v>59</v>
      </c>
      <c r="AZ158" s="56" t="s">
        <v>127</v>
      </c>
      <c r="BA158" s="56" t="s">
        <v>871</v>
      </c>
      <c r="BB158" s="56" t="s">
        <v>844</v>
      </c>
      <c r="BC158" s="56">
        <v>2</v>
      </c>
      <c r="BD158" s="56" t="s">
        <v>289</v>
      </c>
      <c r="BE158" s="56" t="s">
        <v>772</v>
      </c>
      <c r="BF158" s="56">
        <v>2</v>
      </c>
      <c r="BG158" s="56" t="s">
        <v>289</v>
      </c>
      <c r="BH158" s="56" t="s">
        <v>772</v>
      </c>
      <c r="BI158" s="56">
        <v>35.520000000000003</v>
      </c>
      <c r="BJ158" s="56">
        <v>91530.78</v>
      </c>
      <c r="BK158" s="56">
        <v>35520</v>
      </c>
      <c r="BL158" s="56" t="s">
        <v>897</v>
      </c>
      <c r="BM158" s="56">
        <v>3102</v>
      </c>
      <c r="BN158" s="56" t="s">
        <v>660</v>
      </c>
      <c r="BO158" s="56" t="s">
        <v>872</v>
      </c>
      <c r="BP158" s="56">
        <v>5860.8</v>
      </c>
      <c r="BQ158" s="56">
        <v>5100.8</v>
      </c>
      <c r="BR158" s="56">
        <v>0</v>
      </c>
      <c r="BS158" s="56">
        <v>0</v>
      </c>
      <c r="BT158" s="56">
        <v>0</v>
      </c>
      <c r="BU158" s="56">
        <v>720254</v>
      </c>
      <c r="BV158" s="56">
        <v>98</v>
      </c>
      <c r="BW158" s="56" t="s">
        <v>645</v>
      </c>
      <c r="BX158" s="56" t="s">
        <v>1600</v>
      </c>
      <c r="BY158" s="56" t="s">
        <v>663</v>
      </c>
      <c r="BZ158" s="56">
        <v>0.25</v>
      </c>
      <c r="CA158" s="56" t="s">
        <v>664</v>
      </c>
      <c r="CB158" s="56" t="s">
        <v>899</v>
      </c>
      <c r="CD158" s="56" t="s">
        <v>667</v>
      </c>
      <c r="CG158" s="56">
        <v>0</v>
      </c>
      <c r="CH158" s="56">
        <v>165</v>
      </c>
      <c r="CJ158" s="56">
        <v>100</v>
      </c>
      <c r="CK158" s="56">
        <v>5100.8</v>
      </c>
      <c r="CL158" s="56">
        <v>0</v>
      </c>
      <c r="CN158" s="56">
        <v>703.3</v>
      </c>
      <c r="CO158" s="56">
        <v>703.3</v>
      </c>
      <c r="CP158" s="56">
        <v>56.7</v>
      </c>
      <c r="CQ158" s="56" t="s">
        <v>668</v>
      </c>
      <c r="CR158" s="56">
        <v>0</v>
      </c>
      <c r="CS158" s="56">
        <v>0</v>
      </c>
      <c r="CV158" s="56">
        <v>0</v>
      </c>
      <c r="CX158" s="56">
        <v>0</v>
      </c>
      <c r="CY158" s="56">
        <v>0</v>
      </c>
      <c r="CZ158" s="56">
        <v>471.82</v>
      </c>
      <c r="DA158" s="56">
        <v>471.82</v>
      </c>
      <c r="DB158" s="56">
        <v>0</v>
      </c>
      <c r="DC158" s="56">
        <v>4628.9799999999996</v>
      </c>
      <c r="DD158" s="56">
        <v>15.73</v>
      </c>
      <c r="DE158" s="56">
        <v>0</v>
      </c>
      <c r="DF158" s="56">
        <v>15.73</v>
      </c>
      <c r="DH158" s="56" t="s">
        <v>670</v>
      </c>
      <c r="DI158" s="56" t="s">
        <v>671</v>
      </c>
      <c r="DK158" s="56">
        <v>79.680000000000007</v>
      </c>
      <c r="DL158" s="56">
        <v>4669.95</v>
      </c>
      <c r="DM158" s="56">
        <v>40</v>
      </c>
      <c r="DN158" s="56">
        <v>761806</v>
      </c>
      <c r="DO158" s="56" t="s">
        <v>236</v>
      </c>
      <c r="DQ158" s="56" t="s">
        <v>674</v>
      </c>
      <c r="DR158" s="56">
        <v>3</v>
      </c>
      <c r="DW158" s="56">
        <v>370</v>
      </c>
      <c r="DX158" s="56" t="s">
        <v>678</v>
      </c>
      <c r="DY158" s="56" t="s">
        <v>679</v>
      </c>
      <c r="EL158" s="56">
        <v>25</v>
      </c>
      <c r="EM158" s="56">
        <v>15</v>
      </c>
      <c r="EN158" s="56">
        <v>4779</v>
      </c>
      <c r="EO158" s="56">
        <v>1622</v>
      </c>
      <c r="EP158" s="56">
        <v>6813</v>
      </c>
      <c r="EQ158" s="56" t="s">
        <v>1092</v>
      </c>
      <c r="ER158" s="56" t="s">
        <v>928</v>
      </c>
      <c r="ES158" s="56">
        <v>2</v>
      </c>
      <c r="ET158" s="56" t="s">
        <v>682</v>
      </c>
      <c r="EU158" s="56" t="s">
        <v>683</v>
      </c>
      <c r="EV158" s="56" t="s">
        <v>683</v>
      </c>
      <c r="FD158" s="56" t="s">
        <v>1601</v>
      </c>
      <c r="FK158" s="56">
        <v>0</v>
      </c>
    </row>
    <row r="159" spans="1:167" x14ac:dyDescent="0.2">
      <c r="A159" s="56">
        <v>29112</v>
      </c>
      <c r="B159" s="56">
        <v>2</v>
      </c>
      <c r="C159" s="56">
        <v>6352</v>
      </c>
      <c r="D159" s="56" t="s">
        <v>634</v>
      </c>
      <c r="E159" s="56" t="s">
        <v>635</v>
      </c>
      <c r="K159" s="56" t="s">
        <v>1602</v>
      </c>
      <c r="L159" s="56" t="s">
        <v>637</v>
      </c>
      <c r="M159" s="56">
        <v>44939</v>
      </c>
      <c r="N159" s="56">
        <v>44941</v>
      </c>
      <c r="O159" s="56">
        <v>38</v>
      </c>
      <c r="P159" s="56" t="s">
        <v>638</v>
      </c>
      <c r="Q159" s="56">
        <v>2</v>
      </c>
      <c r="R159" s="56" t="s">
        <v>639</v>
      </c>
      <c r="S159" s="56" t="s">
        <v>893</v>
      </c>
      <c r="T159" s="56" t="s">
        <v>641</v>
      </c>
      <c r="U159" s="56" t="s">
        <v>642</v>
      </c>
      <c r="V159" s="56" t="s">
        <v>643</v>
      </c>
      <c r="W159" s="56">
        <v>48</v>
      </c>
      <c r="X159" s="56" t="s">
        <v>699</v>
      </c>
      <c r="Y159" s="56">
        <v>90</v>
      </c>
      <c r="Z159" s="56" t="s">
        <v>894</v>
      </c>
      <c r="AA159" s="56" t="s">
        <v>895</v>
      </c>
      <c r="AB159" s="56" t="s">
        <v>896</v>
      </c>
      <c r="AC159" s="56" t="s">
        <v>641</v>
      </c>
      <c r="AD159" s="56" t="s">
        <v>893</v>
      </c>
      <c r="AE159" s="56">
        <v>141</v>
      </c>
      <c r="AF159" s="56" t="s">
        <v>649</v>
      </c>
      <c r="AG159" s="56" t="s">
        <v>650</v>
      </c>
      <c r="AH159" s="56" t="s">
        <v>643</v>
      </c>
      <c r="AI159" s="56" t="s">
        <v>642</v>
      </c>
      <c r="AJ159" s="56">
        <v>90</v>
      </c>
      <c r="AK159" s="56" t="s">
        <v>894</v>
      </c>
      <c r="AL159" s="56">
        <v>141</v>
      </c>
      <c r="AM159" s="56" t="s">
        <v>649</v>
      </c>
      <c r="AN159" s="56" t="s">
        <v>650</v>
      </c>
      <c r="AO159" s="56" t="s">
        <v>652</v>
      </c>
      <c r="AP159" s="56" t="s">
        <v>643</v>
      </c>
      <c r="AQ159" s="56" t="s">
        <v>642</v>
      </c>
      <c r="AR159" s="56">
        <v>98</v>
      </c>
      <c r="AS159" s="56" t="s">
        <v>645</v>
      </c>
      <c r="AT159" s="56" t="s">
        <v>646</v>
      </c>
      <c r="AU159" s="56" t="s">
        <v>643</v>
      </c>
      <c r="AV159" s="56" t="s">
        <v>648</v>
      </c>
      <c r="AW159" s="56">
        <v>1181</v>
      </c>
      <c r="AX159" s="56" t="s">
        <v>1404</v>
      </c>
      <c r="AY159" s="56">
        <v>62</v>
      </c>
      <c r="AZ159" s="56" t="s">
        <v>22</v>
      </c>
      <c r="BA159" s="56" t="s">
        <v>1405</v>
      </c>
      <c r="BB159" s="56" t="s">
        <v>844</v>
      </c>
      <c r="BC159" s="56">
        <v>2</v>
      </c>
      <c r="BD159" s="56" t="s">
        <v>289</v>
      </c>
      <c r="BE159" s="56" t="s">
        <v>772</v>
      </c>
      <c r="BF159" s="56">
        <v>2</v>
      </c>
      <c r="BG159" s="56" t="s">
        <v>289</v>
      </c>
      <c r="BH159" s="56" t="s">
        <v>772</v>
      </c>
      <c r="BI159" s="56">
        <v>35.36</v>
      </c>
      <c r="BJ159" s="56">
        <v>91118.48</v>
      </c>
      <c r="BK159" s="56">
        <v>35360</v>
      </c>
      <c r="BL159" s="56" t="s">
        <v>897</v>
      </c>
      <c r="BM159" s="56">
        <v>3102</v>
      </c>
      <c r="BN159" s="56" t="s">
        <v>660</v>
      </c>
      <c r="BO159" s="56" t="s">
        <v>872</v>
      </c>
      <c r="BP159" s="56">
        <v>5834.4</v>
      </c>
      <c r="BQ159" s="56">
        <v>5077.57</v>
      </c>
      <c r="BR159" s="56">
        <v>0</v>
      </c>
      <c r="BS159" s="56">
        <v>0</v>
      </c>
      <c r="BT159" s="56">
        <v>0</v>
      </c>
      <c r="BU159" s="56">
        <v>720257</v>
      </c>
      <c r="BV159" s="56">
        <v>98</v>
      </c>
      <c r="BW159" s="56" t="s">
        <v>645</v>
      </c>
      <c r="BX159" s="56" t="s">
        <v>1603</v>
      </c>
      <c r="BY159" s="56" t="s">
        <v>663</v>
      </c>
      <c r="BZ159" s="56">
        <v>0.25</v>
      </c>
      <c r="CA159" s="56" t="s">
        <v>664</v>
      </c>
      <c r="CB159" s="56" t="s">
        <v>899</v>
      </c>
      <c r="CD159" s="56" t="s">
        <v>667</v>
      </c>
      <c r="CG159" s="56">
        <v>0</v>
      </c>
      <c r="CH159" s="56">
        <v>165</v>
      </c>
      <c r="CJ159" s="56">
        <v>100</v>
      </c>
      <c r="CK159" s="56">
        <v>5077.57</v>
      </c>
      <c r="CL159" s="56">
        <v>0</v>
      </c>
      <c r="CN159" s="56">
        <v>700.13</v>
      </c>
      <c r="CO159" s="56">
        <v>700.13</v>
      </c>
      <c r="CP159" s="56">
        <v>56.7</v>
      </c>
      <c r="CQ159" s="56" t="s">
        <v>668</v>
      </c>
      <c r="CR159" s="56">
        <v>0</v>
      </c>
      <c r="CS159" s="56">
        <v>0</v>
      </c>
      <c r="CV159" s="56">
        <v>0</v>
      </c>
      <c r="CX159" s="56">
        <v>0</v>
      </c>
      <c r="CY159" s="56">
        <v>0</v>
      </c>
      <c r="CZ159" s="56">
        <v>469.68</v>
      </c>
      <c r="DA159" s="56">
        <v>469.68</v>
      </c>
      <c r="DB159" s="56">
        <v>0</v>
      </c>
      <c r="DC159" s="56">
        <v>4607.8900000000003</v>
      </c>
      <c r="DD159" s="56">
        <v>15.65</v>
      </c>
      <c r="DE159" s="56">
        <v>0</v>
      </c>
      <c r="DF159" s="56">
        <v>15.65</v>
      </c>
      <c r="DH159" s="56" t="s">
        <v>670</v>
      </c>
      <c r="DI159" s="56" t="s">
        <v>671</v>
      </c>
      <c r="DK159" s="56">
        <v>79.680000000000007</v>
      </c>
      <c r="DL159" s="56">
        <v>4648.9399999999996</v>
      </c>
      <c r="DM159" s="56">
        <v>40</v>
      </c>
      <c r="DN159" s="56">
        <v>761806</v>
      </c>
      <c r="DO159" s="56" t="s">
        <v>236</v>
      </c>
      <c r="DQ159" s="56" t="s">
        <v>674</v>
      </c>
      <c r="DR159" s="56">
        <v>3</v>
      </c>
      <c r="DW159" s="56">
        <v>370</v>
      </c>
      <c r="DX159" s="56" t="s">
        <v>678</v>
      </c>
      <c r="DY159" s="56" t="s">
        <v>679</v>
      </c>
      <c r="EL159" s="56">
        <v>25</v>
      </c>
      <c r="EM159" s="56">
        <v>15</v>
      </c>
      <c r="EN159" s="56">
        <v>4779</v>
      </c>
      <c r="EO159" s="56">
        <v>1622</v>
      </c>
      <c r="EP159" s="56">
        <v>6813</v>
      </c>
      <c r="EQ159" s="56" t="s">
        <v>1092</v>
      </c>
      <c r="ER159" s="56" t="s">
        <v>928</v>
      </c>
      <c r="ES159" s="56">
        <v>2</v>
      </c>
      <c r="ET159" s="56" t="s">
        <v>682</v>
      </c>
      <c r="EU159" s="56" t="s">
        <v>683</v>
      </c>
      <c r="EV159" s="56" t="s">
        <v>683</v>
      </c>
      <c r="FD159" s="56" t="s">
        <v>1604</v>
      </c>
      <c r="FK159" s="56">
        <v>0</v>
      </c>
    </row>
    <row r="160" spans="1:167" x14ac:dyDescent="0.2">
      <c r="A160" s="56">
        <v>29113</v>
      </c>
      <c r="B160" s="56">
        <v>2</v>
      </c>
      <c r="C160" s="56">
        <v>6352</v>
      </c>
      <c r="D160" s="56" t="s">
        <v>634</v>
      </c>
      <c r="E160" s="56" t="s">
        <v>635</v>
      </c>
      <c r="K160" s="56" t="s">
        <v>1605</v>
      </c>
      <c r="L160" s="56" t="s">
        <v>637</v>
      </c>
      <c r="M160" s="56">
        <v>44942</v>
      </c>
      <c r="N160" s="56">
        <v>44944</v>
      </c>
      <c r="O160" s="56">
        <v>38</v>
      </c>
      <c r="P160" s="56" t="s">
        <v>638</v>
      </c>
      <c r="Q160" s="56">
        <v>2</v>
      </c>
      <c r="R160" s="56" t="s">
        <v>639</v>
      </c>
      <c r="S160" s="56" t="s">
        <v>893</v>
      </c>
      <c r="T160" s="56" t="s">
        <v>641</v>
      </c>
      <c r="U160" s="56" t="s">
        <v>1606</v>
      </c>
      <c r="V160" s="56" t="s">
        <v>643</v>
      </c>
      <c r="W160" s="56">
        <v>48</v>
      </c>
      <c r="X160" s="56" t="s">
        <v>699</v>
      </c>
      <c r="Y160" s="56">
        <v>448</v>
      </c>
      <c r="Z160" s="56" t="s">
        <v>1607</v>
      </c>
      <c r="AA160" s="56" t="s">
        <v>1608</v>
      </c>
      <c r="AB160" s="56" t="s">
        <v>1609</v>
      </c>
      <c r="AC160" s="56" t="s">
        <v>641</v>
      </c>
      <c r="AD160" s="56" t="s">
        <v>893</v>
      </c>
      <c r="AJ160" s="56">
        <v>90</v>
      </c>
      <c r="AK160" s="56" t="s">
        <v>894</v>
      </c>
      <c r="AL160" s="56">
        <v>1202</v>
      </c>
      <c r="AM160" s="56" t="s">
        <v>1610</v>
      </c>
      <c r="AN160" s="56" t="s">
        <v>1611</v>
      </c>
      <c r="AO160" s="56" t="s">
        <v>1612</v>
      </c>
      <c r="AP160" s="56" t="s">
        <v>643</v>
      </c>
      <c r="AQ160" s="56" t="s">
        <v>1606</v>
      </c>
      <c r="AR160" s="56">
        <v>1202</v>
      </c>
      <c r="AS160" s="56" t="s">
        <v>1610</v>
      </c>
      <c r="AT160" s="56" t="s">
        <v>1611</v>
      </c>
      <c r="AU160" s="56" t="s">
        <v>643</v>
      </c>
      <c r="AV160" s="56" t="s">
        <v>1606</v>
      </c>
      <c r="AW160" s="56">
        <v>112</v>
      </c>
      <c r="AX160" s="56" t="s">
        <v>842</v>
      </c>
      <c r="AY160" s="56">
        <v>16</v>
      </c>
      <c r="AZ160" s="56" t="s">
        <v>24</v>
      </c>
      <c r="BA160" s="56" t="s">
        <v>843</v>
      </c>
      <c r="BB160" s="56" t="s">
        <v>844</v>
      </c>
      <c r="BC160" s="56">
        <v>2</v>
      </c>
      <c r="BD160" s="56" t="s">
        <v>289</v>
      </c>
      <c r="BE160" s="56" t="s">
        <v>772</v>
      </c>
      <c r="BF160" s="56">
        <v>2</v>
      </c>
      <c r="BG160" s="56" t="s">
        <v>289</v>
      </c>
      <c r="BH160" s="56" t="s">
        <v>772</v>
      </c>
      <c r="BI160" s="56">
        <v>47.21</v>
      </c>
      <c r="BJ160" s="56">
        <v>129827.5</v>
      </c>
      <c r="BK160" s="56">
        <v>47.21</v>
      </c>
      <c r="BL160" s="56" t="s">
        <v>659</v>
      </c>
      <c r="BM160" s="56">
        <v>3104</v>
      </c>
      <c r="BN160" s="56" t="s">
        <v>660</v>
      </c>
      <c r="BO160" s="56" t="s">
        <v>706</v>
      </c>
      <c r="BP160" s="56">
        <v>10291.780000000001</v>
      </c>
      <c r="BQ160" s="56">
        <v>8935.27</v>
      </c>
      <c r="BR160" s="56">
        <v>0</v>
      </c>
      <c r="BS160" s="56">
        <v>0</v>
      </c>
      <c r="BT160" s="56">
        <v>0</v>
      </c>
      <c r="BU160" s="56">
        <v>291124</v>
      </c>
      <c r="BV160" s="56">
        <v>1202</v>
      </c>
      <c r="BW160" s="56" t="s">
        <v>1610</v>
      </c>
      <c r="BX160" s="56" t="s">
        <v>1613</v>
      </c>
      <c r="BY160" s="56" t="s">
        <v>663</v>
      </c>
      <c r="BZ160" s="56">
        <v>0.25</v>
      </c>
      <c r="CA160" s="56" t="s">
        <v>664</v>
      </c>
      <c r="CB160" s="56" t="s">
        <v>1614</v>
      </c>
      <c r="CD160" s="56" t="s">
        <v>667</v>
      </c>
      <c r="CG160" s="56">
        <v>0</v>
      </c>
      <c r="CH160" s="56">
        <v>218</v>
      </c>
      <c r="CJ160" s="56">
        <v>100</v>
      </c>
      <c r="CK160" s="56">
        <v>8935.27</v>
      </c>
      <c r="CL160" s="56">
        <v>0</v>
      </c>
      <c r="CN160" s="56">
        <v>1235.01</v>
      </c>
      <c r="CO160" s="56">
        <v>1235.01</v>
      </c>
      <c r="CP160" s="56">
        <v>121.5</v>
      </c>
      <c r="CQ160" s="56" t="s">
        <v>668</v>
      </c>
      <c r="CR160" s="56">
        <v>0</v>
      </c>
      <c r="CS160" s="56">
        <v>0</v>
      </c>
      <c r="CV160" s="56">
        <v>0</v>
      </c>
      <c r="CX160" s="56">
        <v>0</v>
      </c>
      <c r="CY160" s="56">
        <v>0</v>
      </c>
      <c r="CZ160" s="56">
        <v>826.51</v>
      </c>
      <c r="DA160" s="56">
        <v>826.51</v>
      </c>
      <c r="DB160" s="56">
        <v>0</v>
      </c>
      <c r="DC160" s="56">
        <v>8108.76</v>
      </c>
      <c r="DD160" s="56">
        <v>22.31</v>
      </c>
      <c r="DE160" s="56">
        <v>0</v>
      </c>
      <c r="DF160" s="56">
        <v>22.31</v>
      </c>
      <c r="DH160" s="56" t="s">
        <v>670</v>
      </c>
      <c r="DI160" s="56" t="s">
        <v>671</v>
      </c>
      <c r="DK160" s="56">
        <v>79.75</v>
      </c>
      <c r="DL160" s="56">
        <v>8207.9500000000007</v>
      </c>
      <c r="DM160" s="56">
        <v>44</v>
      </c>
      <c r="DN160" s="56">
        <v>6600019055</v>
      </c>
      <c r="DO160" s="56" t="s">
        <v>236</v>
      </c>
      <c r="DQ160" s="56" t="s">
        <v>674</v>
      </c>
      <c r="DR160" s="56">
        <v>3</v>
      </c>
      <c r="DX160" s="56" t="s">
        <v>678</v>
      </c>
      <c r="DY160" s="56" t="s">
        <v>679</v>
      </c>
      <c r="EL160" s="56">
        <v>25</v>
      </c>
      <c r="EM160" s="56">
        <v>15</v>
      </c>
      <c r="EN160" s="56">
        <v>4779</v>
      </c>
      <c r="EO160" s="56">
        <v>2168</v>
      </c>
      <c r="EP160" s="56" t="s">
        <v>1234</v>
      </c>
      <c r="EQ160" s="56" t="s">
        <v>1615</v>
      </c>
      <c r="ER160" s="56" t="s">
        <v>1616</v>
      </c>
      <c r="ES160" s="56">
        <v>2</v>
      </c>
      <c r="ET160" s="56" t="s">
        <v>682</v>
      </c>
      <c r="EU160" s="56" t="s">
        <v>683</v>
      </c>
      <c r="EV160" s="56" t="s">
        <v>683</v>
      </c>
      <c r="FD160" s="56" t="s">
        <v>1617</v>
      </c>
      <c r="FK160" s="56">
        <v>0</v>
      </c>
    </row>
    <row r="161" spans="1:167" x14ac:dyDescent="0.2">
      <c r="A161" s="56">
        <v>29114</v>
      </c>
      <c r="B161" s="56">
        <v>2</v>
      </c>
      <c r="C161" s="56">
        <v>6352</v>
      </c>
      <c r="D161" s="56" t="s">
        <v>634</v>
      </c>
      <c r="E161" s="56" t="s">
        <v>635</v>
      </c>
      <c r="K161" s="56" t="s">
        <v>1618</v>
      </c>
      <c r="L161" s="56" t="s">
        <v>637</v>
      </c>
      <c r="M161" s="56">
        <v>44942</v>
      </c>
      <c r="N161" s="56">
        <v>44944</v>
      </c>
      <c r="O161" s="56">
        <v>38</v>
      </c>
      <c r="P161" s="56" t="s">
        <v>638</v>
      </c>
      <c r="Q161" s="56">
        <v>2</v>
      </c>
      <c r="R161" s="56" t="s">
        <v>639</v>
      </c>
      <c r="S161" s="56" t="s">
        <v>893</v>
      </c>
      <c r="T161" s="56" t="s">
        <v>641</v>
      </c>
      <c r="U161" s="56" t="s">
        <v>1606</v>
      </c>
      <c r="V161" s="56" t="s">
        <v>643</v>
      </c>
      <c r="W161" s="56">
        <v>48</v>
      </c>
      <c r="X161" s="56" t="s">
        <v>699</v>
      </c>
      <c r="Y161" s="56">
        <v>448</v>
      </c>
      <c r="Z161" s="56" t="s">
        <v>1607</v>
      </c>
      <c r="AA161" s="56" t="s">
        <v>1608</v>
      </c>
      <c r="AB161" s="56" t="s">
        <v>1609</v>
      </c>
      <c r="AC161" s="56" t="s">
        <v>641</v>
      </c>
      <c r="AD161" s="56" t="s">
        <v>893</v>
      </c>
      <c r="AJ161" s="56">
        <v>90</v>
      </c>
      <c r="AK161" s="56" t="s">
        <v>894</v>
      </c>
      <c r="AL161" s="56">
        <v>1202</v>
      </c>
      <c r="AM161" s="56" t="s">
        <v>1610</v>
      </c>
      <c r="AN161" s="56" t="s">
        <v>1611</v>
      </c>
      <c r="AO161" s="56" t="s">
        <v>1612</v>
      </c>
      <c r="AP161" s="56" t="s">
        <v>643</v>
      </c>
      <c r="AQ161" s="56" t="s">
        <v>1606</v>
      </c>
      <c r="AR161" s="56">
        <v>1202</v>
      </c>
      <c r="AS161" s="56" t="s">
        <v>1610</v>
      </c>
      <c r="AT161" s="56" t="s">
        <v>1611</v>
      </c>
      <c r="AU161" s="56" t="s">
        <v>643</v>
      </c>
      <c r="AV161" s="56" t="s">
        <v>1606</v>
      </c>
      <c r="AW161" s="56">
        <v>110</v>
      </c>
      <c r="AX161" s="56" t="s">
        <v>864</v>
      </c>
      <c r="AY161" s="56">
        <v>68</v>
      </c>
      <c r="AZ161" s="56" t="s">
        <v>25</v>
      </c>
      <c r="BA161" s="56" t="s">
        <v>865</v>
      </c>
      <c r="BB161" s="56" t="s">
        <v>844</v>
      </c>
      <c r="BC161" s="56">
        <v>2</v>
      </c>
      <c r="BD161" s="56" t="s">
        <v>289</v>
      </c>
      <c r="BE161" s="56" t="s">
        <v>772</v>
      </c>
      <c r="BF161" s="56">
        <v>2</v>
      </c>
      <c r="BG161" s="56" t="s">
        <v>289</v>
      </c>
      <c r="BH161" s="56" t="s">
        <v>772</v>
      </c>
      <c r="BI161" s="56">
        <v>48.4</v>
      </c>
      <c r="BJ161" s="56">
        <v>133100</v>
      </c>
      <c r="BK161" s="56">
        <v>48.4</v>
      </c>
      <c r="BL161" s="56" t="s">
        <v>659</v>
      </c>
      <c r="BM161" s="56">
        <v>3104</v>
      </c>
      <c r="BN161" s="56" t="s">
        <v>660</v>
      </c>
      <c r="BO161" s="56" t="s">
        <v>866</v>
      </c>
      <c r="BP161" s="56">
        <v>10551.2</v>
      </c>
      <c r="BQ161" s="56">
        <v>9163.56</v>
      </c>
      <c r="BR161" s="56">
        <v>0</v>
      </c>
      <c r="BS161" s="56">
        <v>0</v>
      </c>
      <c r="BT161" s="56">
        <v>0</v>
      </c>
      <c r="BU161" s="56">
        <v>291125</v>
      </c>
      <c r="BV161" s="56">
        <v>1202</v>
      </c>
      <c r="BW161" s="56" t="s">
        <v>1610</v>
      </c>
      <c r="BX161" s="56" t="s">
        <v>1619</v>
      </c>
      <c r="BY161" s="56" t="s">
        <v>663</v>
      </c>
      <c r="BZ161" s="56">
        <v>0.25</v>
      </c>
      <c r="CA161" s="56" t="s">
        <v>664</v>
      </c>
      <c r="CB161" s="56" t="s">
        <v>1614</v>
      </c>
      <c r="CD161" s="56" t="s">
        <v>667</v>
      </c>
      <c r="CG161" s="56">
        <v>0</v>
      </c>
      <c r="CH161" s="56">
        <v>218</v>
      </c>
      <c r="CJ161" s="56">
        <v>100</v>
      </c>
      <c r="CK161" s="56">
        <v>9163.56</v>
      </c>
      <c r="CL161" s="56">
        <v>0</v>
      </c>
      <c r="CN161" s="56">
        <v>1266.1400000000001</v>
      </c>
      <c r="CO161" s="56">
        <v>1266.1400000000001</v>
      </c>
      <c r="CP161" s="56">
        <v>121.5</v>
      </c>
      <c r="CQ161" s="56" t="s">
        <v>668</v>
      </c>
      <c r="CR161" s="56">
        <v>0</v>
      </c>
      <c r="CS161" s="56">
        <v>0</v>
      </c>
      <c r="CV161" s="56">
        <v>0</v>
      </c>
      <c r="CX161" s="56">
        <v>0</v>
      </c>
      <c r="CY161" s="56">
        <v>0</v>
      </c>
      <c r="CZ161" s="56">
        <v>847.63</v>
      </c>
      <c r="DA161" s="56">
        <v>847.63</v>
      </c>
      <c r="DB161" s="56">
        <v>0</v>
      </c>
      <c r="DC161" s="56">
        <v>8315.93</v>
      </c>
      <c r="DD161" s="56">
        <v>22.87</v>
      </c>
      <c r="DE161" s="56">
        <v>0</v>
      </c>
      <c r="DF161" s="56">
        <v>22.87</v>
      </c>
      <c r="DH161" s="56" t="s">
        <v>670</v>
      </c>
      <c r="DI161" s="56" t="s">
        <v>671</v>
      </c>
      <c r="DK161" s="56">
        <v>79.75</v>
      </c>
      <c r="DL161" s="56">
        <v>8414.56</v>
      </c>
      <c r="DM161" s="56">
        <v>44</v>
      </c>
      <c r="DN161" s="56">
        <v>6600019055</v>
      </c>
      <c r="DO161" s="56" t="s">
        <v>236</v>
      </c>
      <c r="DQ161" s="56" t="s">
        <v>674</v>
      </c>
      <c r="DR161" s="56">
        <v>3</v>
      </c>
      <c r="DX161" s="56" t="s">
        <v>678</v>
      </c>
      <c r="DY161" s="56" t="s">
        <v>679</v>
      </c>
      <c r="EL161" s="56">
        <v>25</v>
      </c>
      <c r="EM161" s="56">
        <v>15</v>
      </c>
      <c r="EN161" s="56">
        <v>4779</v>
      </c>
      <c r="EO161" s="56">
        <v>2168</v>
      </c>
      <c r="EP161" s="56" t="s">
        <v>1234</v>
      </c>
      <c r="EQ161" s="56" t="s">
        <v>1615</v>
      </c>
      <c r="ER161" s="56" t="s">
        <v>1616</v>
      </c>
      <c r="ES161" s="56">
        <v>2</v>
      </c>
      <c r="ET161" s="56" t="s">
        <v>682</v>
      </c>
      <c r="EU161" s="56" t="s">
        <v>683</v>
      </c>
      <c r="EV161" s="56" t="s">
        <v>683</v>
      </c>
      <c r="FD161" s="56" t="s">
        <v>1620</v>
      </c>
      <c r="FK161" s="56">
        <v>0</v>
      </c>
    </row>
    <row r="162" spans="1:167" x14ac:dyDescent="0.2">
      <c r="A162" s="56">
        <v>29115</v>
      </c>
      <c r="B162" s="56">
        <v>2</v>
      </c>
      <c r="C162" s="56">
        <v>6352</v>
      </c>
      <c r="D162" s="56" t="s">
        <v>634</v>
      </c>
      <c r="E162" s="56" t="s">
        <v>635</v>
      </c>
      <c r="K162" s="56" t="s">
        <v>1621</v>
      </c>
      <c r="L162" s="56" t="s">
        <v>637</v>
      </c>
      <c r="M162" s="56">
        <v>44942</v>
      </c>
      <c r="N162" s="56">
        <v>44944</v>
      </c>
      <c r="O162" s="56">
        <v>38</v>
      </c>
      <c r="P162" s="56" t="s">
        <v>638</v>
      </c>
      <c r="Q162" s="56">
        <v>2</v>
      </c>
      <c r="R162" s="56" t="s">
        <v>639</v>
      </c>
      <c r="S162" s="56" t="s">
        <v>893</v>
      </c>
      <c r="T162" s="56" t="s">
        <v>641</v>
      </c>
      <c r="U162" s="56" t="s">
        <v>1606</v>
      </c>
      <c r="V162" s="56" t="s">
        <v>643</v>
      </c>
      <c r="W162" s="56">
        <v>48</v>
      </c>
      <c r="X162" s="56" t="s">
        <v>699</v>
      </c>
      <c r="Y162" s="56">
        <v>448</v>
      </c>
      <c r="Z162" s="56" t="s">
        <v>1607</v>
      </c>
      <c r="AA162" s="56" t="s">
        <v>1608</v>
      </c>
      <c r="AB162" s="56" t="s">
        <v>1609</v>
      </c>
      <c r="AC162" s="56" t="s">
        <v>641</v>
      </c>
      <c r="AD162" s="56" t="s">
        <v>893</v>
      </c>
      <c r="AJ162" s="56">
        <v>90</v>
      </c>
      <c r="AK162" s="56" t="s">
        <v>894</v>
      </c>
      <c r="AL162" s="56">
        <v>1202</v>
      </c>
      <c r="AM162" s="56" t="s">
        <v>1610</v>
      </c>
      <c r="AN162" s="56" t="s">
        <v>1611</v>
      </c>
      <c r="AO162" s="56" t="s">
        <v>1612</v>
      </c>
      <c r="AP162" s="56" t="s">
        <v>643</v>
      </c>
      <c r="AQ162" s="56" t="s">
        <v>1606</v>
      </c>
      <c r="AR162" s="56">
        <v>1202</v>
      </c>
      <c r="AS162" s="56" t="s">
        <v>1610</v>
      </c>
      <c r="AT162" s="56" t="s">
        <v>1611</v>
      </c>
      <c r="AU162" s="56" t="s">
        <v>643</v>
      </c>
      <c r="AV162" s="56" t="s">
        <v>1606</v>
      </c>
      <c r="AW162" s="56">
        <v>108</v>
      </c>
      <c r="AX162" s="56" t="s">
        <v>977</v>
      </c>
      <c r="AY162" s="56">
        <v>47</v>
      </c>
      <c r="AZ162" s="56" t="s">
        <v>32</v>
      </c>
      <c r="BA162" s="56" t="s">
        <v>978</v>
      </c>
      <c r="BB162" s="56" t="s">
        <v>770</v>
      </c>
      <c r="BC162" s="56">
        <v>38</v>
      </c>
      <c r="BD162" s="56" t="s">
        <v>289</v>
      </c>
      <c r="BE162" s="56" t="s">
        <v>771</v>
      </c>
      <c r="BF162" s="56">
        <v>2</v>
      </c>
      <c r="BG162" s="56" t="s">
        <v>289</v>
      </c>
      <c r="BH162" s="56" t="s">
        <v>772</v>
      </c>
      <c r="BI162" s="56">
        <v>46.68</v>
      </c>
      <c r="BJ162" s="56">
        <v>128370</v>
      </c>
      <c r="BK162" s="56">
        <v>46.68</v>
      </c>
      <c r="BL162" s="56" t="s">
        <v>659</v>
      </c>
      <c r="BM162" s="56">
        <v>3104</v>
      </c>
      <c r="BN162" s="56" t="s">
        <v>724</v>
      </c>
      <c r="BO162" s="56" t="s">
        <v>725</v>
      </c>
      <c r="BP162" s="56">
        <v>10176.24</v>
      </c>
      <c r="BQ162" s="56">
        <v>8833.59</v>
      </c>
      <c r="BR162" s="56">
        <v>0</v>
      </c>
      <c r="BS162" s="56">
        <v>0</v>
      </c>
      <c r="BT162" s="56">
        <v>0</v>
      </c>
      <c r="BU162" s="56">
        <v>291126</v>
      </c>
      <c r="BV162" s="56">
        <v>1202</v>
      </c>
      <c r="BW162" s="56" t="s">
        <v>1610</v>
      </c>
      <c r="BX162" s="56" t="s">
        <v>1622</v>
      </c>
      <c r="BY162" s="56" t="s">
        <v>663</v>
      </c>
      <c r="BZ162" s="56">
        <v>0.25</v>
      </c>
      <c r="CA162" s="56" t="s">
        <v>664</v>
      </c>
      <c r="CB162" s="56" t="s">
        <v>1614</v>
      </c>
      <c r="CD162" s="56" t="s">
        <v>667</v>
      </c>
      <c r="CG162" s="56">
        <v>0</v>
      </c>
      <c r="CH162" s="56">
        <v>218</v>
      </c>
      <c r="CJ162" s="56">
        <v>100</v>
      </c>
      <c r="CK162" s="56">
        <v>8833.59</v>
      </c>
      <c r="CL162" s="56">
        <v>0</v>
      </c>
      <c r="CN162" s="56">
        <v>1221.1500000000001</v>
      </c>
      <c r="CO162" s="56">
        <v>1221.1500000000001</v>
      </c>
      <c r="CP162" s="56">
        <v>121.5</v>
      </c>
      <c r="CQ162" s="56" t="s">
        <v>668</v>
      </c>
      <c r="CR162" s="56">
        <v>0</v>
      </c>
      <c r="CS162" s="56">
        <v>0</v>
      </c>
      <c r="CV162" s="56">
        <v>0</v>
      </c>
      <c r="CX162" s="56">
        <v>0</v>
      </c>
      <c r="CY162" s="56">
        <v>0</v>
      </c>
      <c r="CZ162" s="56">
        <v>817.1</v>
      </c>
      <c r="DA162" s="56">
        <v>817.1</v>
      </c>
      <c r="DB162" s="56">
        <v>0</v>
      </c>
      <c r="DC162" s="56">
        <v>8016.49</v>
      </c>
      <c r="DD162" s="56">
        <v>22.05</v>
      </c>
      <c r="DE162" s="56">
        <v>0</v>
      </c>
      <c r="DF162" s="56">
        <v>22.05</v>
      </c>
      <c r="DH162" s="56" t="s">
        <v>670</v>
      </c>
      <c r="DI162" s="56" t="s">
        <v>671</v>
      </c>
      <c r="DK162" s="56">
        <v>79.75</v>
      </c>
      <c r="DL162" s="56">
        <v>8115.94</v>
      </c>
      <c r="DM162" s="56">
        <v>44</v>
      </c>
      <c r="DN162" s="56">
        <v>6600019055</v>
      </c>
      <c r="DO162" s="56" t="s">
        <v>236</v>
      </c>
      <c r="DQ162" s="56" t="s">
        <v>674</v>
      </c>
      <c r="DR162" s="56">
        <v>3</v>
      </c>
      <c r="DX162" s="56" t="s">
        <v>678</v>
      </c>
      <c r="DY162" s="56" t="s">
        <v>679</v>
      </c>
      <c r="EL162" s="56">
        <v>25</v>
      </c>
      <c r="EM162" s="56">
        <v>15</v>
      </c>
      <c r="EN162" s="56">
        <v>4779</v>
      </c>
      <c r="EO162" s="56">
        <v>2168</v>
      </c>
      <c r="EP162" s="56" t="s">
        <v>1234</v>
      </c>
      <c r="EQ162" s="56" t="s">
        <v>1615</v>
      </c>
      <c r="ER162" s="56" t="s">
        <v>1616</v>
      </c>
      <c r="ES162" s="56">
        <v>2</v>
      </c>
      <c r="ET162" s="56" t="s">
        <v>682</v>
      </c>
      <c r="EU162" s="56" t="s">
        <v>683</v>
      </c>
      <c r="EV162" s="56" t="s">
        <v>683</v>
      </c>
      <c r="FD162" s="56" t="s">
        <v>1623</v>
      </c>
      <c r="FK162" s="56">
        <v>0</v>
      </c>
    </row>
    <row r="163" spans="1:167" x14ac:dyDescent="0.2">
      <c r="A163" s="56">
        <v>29116</v>
      </c>
      <c r="B163" s="56">
        <v>2</v>
      </c>
      <c r="C163" s="56">
        <v>6352</v>
      </c>
      <c r="D163" s="56" t="s">
        <v>634</v>
      </c>
      <c r="E163" s="56" t="s">
        <v>635</v>
      </c>
      <c r="K163" s="56" t="s">
        <v>1624</v>
      </c>
      <c r="L163" s="56" t="s">
        <v>637</v>
      </c>
      <c r="M163" s="56">
        <v>44942</v>
      </c>
      <c r="N163" s="56">
        <v>44944</v>
      </c>
      <c r="O163" s="56">
        <v>38</v>
      </c>
      <c r="P163" s="56" t="s">
        <v>638</v>
      </c>
      <c r="Q163" s="56">
        <v>2</v>
      </c>
      <c r="R163" s="56" t="s">
        <v>639</v>
      </c>
      <c r="S163" s="56" t="s">
        <v>893</v>
      </c>
      <c r="T163" s="56" t="s">
        <v>641</v>
      </c>
      <c r="U163" s="56" t="s">
        <v>1606</v>
      </c>
      <c r="V163" s="56" t="s">
        <v>643</v>
      </c>
      <c r="W163" s="56">
        <v>48</v>
      </c>
      <c r="X163" s="56" t="s">
        <v>699</v>
      </c>
      <c r="Y163" s="56">
        <v>448</v>
      </c>
      <c r="Z163" s="56" t="s">
        <v>1607</v>
      </c>
      <c r="AA163" s="56" t="s">
        <v>1608</v>
      </c>
      <c r="AB163" s="56" t="s">
        <v>1609</v>
      </c>
      <c r="AC163" s="56" t="s">
        <v>641</v>
      </c>
      <c r="AD163" s="56" t="s">
        <v>893</v>
      </c>
      <c r="AJ163" s="56">
        <v>90</v>
      </c>
      <c r="AK163" s="56" t="s">
        <v>894</v>
      </c>
      <c r="AL163" s="56">
        <v>1202</v>
      </c>
      <c r="AM163" s="56" t="s">
        <v>1610</v>
      </c>
      <c r="AN163" s="56" t="s">
        <v>1611</v>
      </c>
      <c r="AO163" s="56" t="s">
        <v>1612</v>
      </c>
      <c r="AP163" s="56" t="s">
        <v>643</v>
      </c>
      <c r="AQ163" s="56" t="s">
        <v>1606</v>
      </c>
      <c r="AR163" s="56">
        <v>1202</v>
      </c>
      <c r="AS163" s="56" t="s">
        <v>1610</v>
      </c>
      <c r="AT163" s="56" t="s">
        <v>1611</v>
      </c>
      <c r="AU163" s="56" t="s">
        <v>643</v>
      </c>
      <c r="AV163" s="56" t="s">
        <v>1606</v>
      </c>
      <c r="AW163" s="56">
        <v>115</v>
      </c>
      <c r="AX163" s="56" t="s">
        <v>853</v>
      </c>
      <c r="AY163" s="56">
        <v>55</v>
      </c>
      <c r="AZ163" s="56" t="s">
        <v>23</v>
      </c>
      <c r="BA163" s="56" t="s">
        <v>854</v>
      </c>
      <c r="BB163" s="56" t="s">
        <v>844</v>
      </c>
      <c r="BC163" s="56">
        <v>2</v>
      </c>
      <c r="BD163" s="56" t="s">
        <v>289</v>
      </c>
      <c r="BE163" s="56" t="s">
        <v>772</v>
      </c>
      <c r="BF163" s="56">
        <v>2</v>
      </c>
      <c r="BG163" s="56" t="s">
        <v>289</v>
      </c>
      <c r="BH163" s="56" t="s">
        <v>772</v>
      </c>
      <c r="BI163" s="56">
        <v>47.03</v>
      </c>
      <c r="BJ163" s="56">
        <v>129332.5</v>
      </c>
      <c r="BK163" s="56">
        <v>47.03</v>
      </c>
      <c r="BL163" s="56" t="s">
        <v>659</v>
      </c>
      <c r="BM163" s="56">
        <v>3104</v>
      </c>
      <c r="BN163" s="56" t="s">
        <v>660</v>
      </c>
      <c r="BO163" s="56" t="s">
        <v>855</v>
      </c>
      <c r="BP163" s="56">
        <v>10252.540000000001</v>
      </c>
      <c r="BQ163" s="56">
        <v>8900.74</v>
      </c>
      <c r="BR163" s="56">
        <v>0</v>
      </c>
      <c r="BS163" s="56">
        <v>0</v>
      </c>
      <c r="BT163" s="56">
        <v>0</v>
      </c>
      <c r="BU163" s="56">
        <v>291127</v>
      </c>
      <c r="BV163" s="56">
        <v>1202</v>
      </c>
      <c r="BW163" s="56" t="s">
        <v>1610</v>
      </c>
      <c r="BX163" s="56" t="s">
        <v>1625</v>
      </c>
      <c r="BY163" s="56" t="s">
        <v>663</v>
      </c>
      <c r="BZ163" s="56">
        <v>0.25</v>
      </c>
      <c r="CA163" s="56" t="s">
        <v>664</v>
      </c>
      <c r="CB163" s="56" t="s">
        <v>1614</v>
      </c>
      <c r="CD163" s="56" t="s">
        <v>667</v>
      </c>
      <c r="CG163" s="56">
        <v>0</v>
      </c>
      <c r="CH163" s="56">
        <v>218</v>
      </c>
      <c r="CJ163" s="56">
        <v>100</v>
      </c>
      <c r="CK163" s="56">
        <v>8900.74</v>
      </c>
      <c r="CL163" s="56">
        <v>0</v>
      </c>
      <c r="CN163" s="56">
        <v>1230.3</v>
      </c>
      <c r="CO163" s="56">
        <v>1230.3</v>
      </c>
      <c r="CP163" s="56">
        <v>121.5</v>
      </c>
      <c r="CQ163" s="56" t="s">
        <v>668</v>
      </c>
      <c r="CR163" s="56">
        <v>0</v>
      </c>
      <c r="CS163" s="56">
        <v>0</v>
      </c>
      <c r="CV163" s="56">
        <v>0</v>
      </c>
      <c r="CX163" s="56">
        <v>0</v>
      </c>
      <c r="CY163" s="56">
        <v>0</v>
      </c>
      <c r="CZ163" s="56">
        <v>823.32</v>
      </c>
      <c r="DA163" s="56">
        <v>823.32</v>
      </c>
      <c r="DB163" s="56">
        <v>0</v>
      </c>
      <c r="DC163" s="56">
        <v>8077.42</v>
      </c>
      <c r="DD163" s="56">
        <v>22.22</v>
      </c>
      <c r="DE163" s="56">
        <v>0</v>
      </c>
      <c r="DF163" s="56">
        <v>22.22</v>
      </c>
      <c r="DH163" s="56" t="s">
        <v>670</v>
      </c>
      <c r="DI163" s="56" t="s">
        <v>671</v>
      </c>
      <c r="DK163" s="56">
        <v>79.75</v>
      </c>
      <c r="DL163" s="56">
        <v>8176.7</v>
      </c>
      <c r="DM163" s="56">
        <v>44</v>
      </c>
      <c r="DN163" s="56">
        <v>6600019055</v>
      </c>
      <c r="DO163" s="56" t="s">
        <v>236</v>
      </c>
      <c r="DQ163" s="56" t="s">
        <v>674</v>
      </c>
      <c r="DR163" s="56">
        <v>3</v>
      </c>
      <c r="DX163" s="56" t="s">
        <v>678</v>
      </c>
      <c r="DY163" s="56" t="s">
        <v>679</v>
      </c>
      <c r="EL163" s="56">
        <v>25</v>
      </c>
      <c r="EM163" s="56">
        <v>15</v>
      </c>
      <c r="EN163" s="56">
        <v>4779</v>
      </c>
      <c r="EO163" s="56">
        <v>2168</v>
      </c>
      <c r="EP163" s="56" t="s">
        <v>1234</v>
      </c>
      <c r="EQ163" s="56" t="s">
        <v>1615</v>
      </c>
      <c r="ER163" s="56" t="s">
        <v>1616</v>
      </c>
      <c r="ES163" s="56">
        <v>2</v>
      </c>
      <c r="ET163" s="56" t="s">
        <v>682</v>
      </c>
      <c r="EU163" s="56" t="s">
        <v>683</v>
      </c>
      <c r="EV163" s="56" t="s">
        <v>683</v>
      </c>
      <c r="FD163" s="56" t="s">
        <v>1626</v>
      </c>
      <c r="FK163" s="56">
        <v>0</v>
      </c>
    </row>
    <row r="164" spans="1:167" x14ac:dyDescent="0.2">
      <c r="A164" s="56">
        <v>29117</v>
      </c>
      <c r="B164" s="56">
        <v>2</v>
      </c>
      <c r="C164" s="56">
        <v>6352</v>
      </c>
      <c r="D164" s="56" t="s">
        <v>634</v>
      </c>
      <c r="E164" s="56" t="s">
        <v>635</v>
      </c>
      <c r="K164" s="56" t="s">
        <v>1627</v>
      </c>
      <c r="L164" s="56" t="s">
        <v>637</v>
      </c>
      <c r="M164" s="56">
        <v>44942</v>
      </c>
      <c r="N164" s="56">
        <v>44944</v>
      </c>
      <c r="O164" s="56">
        <v>38</v>
      </c>
      <c r="P164" s="56" t="s">
        <v>638</v>
      </c>
      <c r="Q164" s="56">
        <v>2</v>
      </c>
      <c r="R164" s="56" t="s">
        <v>639</v>
      </c>
      <c r="S164" s="56" t="s">
        <v>893</v>
      </c>
      <c r="T164" s="56" t="s">
        <v>641</v>
      </c>
      <c r="U164" s="56" t="s">
        <v>735</v>
      </c>
      <c r="V164" s="56" t="s">
        <v>643</v>
      </c>
      <c r="W164" s="56">
        <v>48</v>
      </c>
      <c r="X164" s="56" t="s">
        <v>699</v>
      </c>
      <c r="Y164" s="56">
        <v>90</v>
      </c>
      <c r="Z164" s="56" t="s">
        <v>894</v>
      </c>
      <c r="AA164" s="56" t="s">
        <v>895</v>
      </c>
      <c r="AB164" s="56" t="s">
        <v>896</v>
      </c>
      <c r="AC164" s="56" t="s">
        <v>641</v>
      </c>
      <c r="AD164" s="56" t="s">
        <v>893</v>
      </c>
      <c r="AE164" s="56">
        <v>91</v>
      </c>
      <c r="AF164" s="56" t="s">
        <v>736</v>
      </c>
      <c r="AG164" s="56" t="s">
        <v>737</v>
      </c>
      <c r="AH164" s="56" t="s">
        <v>643</v>
      </c>
      <c r="AI164" s="56" t="s">
        <v>735</v>
      </c>
      <c r="AJ164" s="56">
        <v>90</v>
      </c>
      <c r="AK164" s="56" t="s">
        <v>894</v>
      </c>
      <c r="AL164" s="56">
        <v>91</v>
      </c>
      <c r="AM164" s="56" t="s">
        <v>736</v>
      </c>
      <c r="AN164" s="56" t="s">
        <v>737</v>
      </c>
      <c r="AO164" s="56" t="s">
        <v>738</v>
      </c>
      <c r="AP164" s="56" t="s">
        <v>643</v>
      </c>
      <c r="AQ164" s="56" t="s">
        <v>735</v>
      </c>
      <c r="AR164" s="56">
        <v>98</v>
      </c>
      <c r="AS164" s="56" t="s">
        <v>645</v>
      </c>
      <c r="AT164" s="56" t="s">
        <v>646</v>
      </c>
      <c r="AU164" s="56" t="s">
        <v>643</v>
      </c>
      <c r="AV164" s="56" t="s">
        <v>648</v>
      </c>
      <c r="AW164" s="56">
        <v>116</v>
      </c>
      <c r="AX164" s="56" t="s">
        <v>876</v>
      </c>
      <c r="AY164" s="56">
        <v>35</v>
      </c>
      <c r="AZ164" s="56" t="s">
        <v>124</v>
      </c>
      <c r="BA164" s="56" t="s">
        <v>877</v>
      </c>
      <c r="BB164" s="56" t="s">
        <v>770</v>
      </c>
      <c r="BC164" s="56">
        <v>38</v>
      </c>
      <c r="BD164" s="56" t="s">
        <v>289</v>
      </c>
      <c r="BE164" s="56" t="s">
        <v>771</v>
      </c>
      <c r="BF164" s="56">
        <v>2</v>
      </c>
      <c r="BG164" s="56" t="s">
        <v>289</v>
      </c>
      <c r="BH164" s="56" t="s">
        <v>772</v>
      </c>
      <c r="BI164" s="56">
        <v>45.89</v>
      </c>
      <c r="BJ164" s="56">
        <v>118253.02</v>
      </c>
      <c r="BK164" s="56">
        <v>45890</v>
      </c>
      <c r="BL164" s="56" t="s">
        <v>897</v>
      </c>
      <c r="BM164" s="56">
        <v>3102</v>
      </c>
      <c r="BN164" s="56" t="s">
        <v>724</v>
      </c>
      <c r="BO164" s="56" t="s">
        <v>725</v>
      </c>
      <c r="BP164" s="56">
        <v>6654.05</v>
      </c>
      <c r="BQ164" s="56">
        <v>5782.66</v>
      </c>
      <c r="BR164" s="56">
        <v>0</v>
      </c>
      <c r="BS164" s="56">
        <v>0</v>
      </c>
      <c r="BT164" s="56">
        <v>0</v>
      </c>
      <c r="BU164" s="56">
        <v>720890</v>
      </c>
      <c r="BV164" s="56">
        <v>98</v>
      </c>
      <c r="BW164" s="56" t="s">
        <v>645</v>
      </c>
      <c r="BX164" s="56" t="s">
        <v>1628</v>
      </c>
      <c r="BY164" s="56" t="s">
        <v>663</v>
      </c>
      <c r="BZ164" s="56">
        <v>0.25</v>
      </c>
      <c r="CA164" s="56" t="s">
        <v>664</v>
      </c>
      <c r="CB164" s="56" t="s">
        <v>899</v>
      </c>
      <c r="CD164" s="56" t="s">
        <v>667</v>
      </c>
      <c r="CG164" s="56">
        <v>0</v>
      </c>
      <c r="CH164" s="56">
        <v>145</v>
      </c>
      <c r="CJ164" s="56">
        <v>100</v>
      </c>
      <c r="CK164" s="56">
        <v>5782.66</v>
      </c>
      <c r="CL164" s="56">
        <v>0</v>
      </c>
      <c r="CN164" s="56">
        <v>798.49</v>
      </c>
      <c r="CO164" s="56">
        <v>798.49</v>
      </c>
      <c r="CP164" s="56">
        <v>72.900000000000006</v>
      </c>
      <c r="CQ164" s="56" t="s">
        <v>668</v>
      </c>
      <c r="CR164" s="56">
        <v>0</v>
      </c>
      <c r="CS164" s="56">
        <v>0</v>
      </c>
      <c r="CV164" s="56">
        <v>0</v>
      </c>
      <c r="CX164" s="56">
        <v>0</v>
      </c>
      <c r="CY164" s="56">
        <v>0</v>
      </c>
      <c r="CZ164" s="56">
        <v>534.89</v>
      </c>
      <c r="DA164" s="56">
        <v>534.89</v>
      </c>
      <c r="DB164" s="56">
        <v>0</v>
      </c>
      <c r="DC164" s="56">
        <v>5247.77</v>
      </c>
      <c r="DD164" s="56">
        <v>20.32</v>
      </c>
      <c r="DE164" s="56">
        <v>0</v>
      </c>
      <c r="DF164" s="56">
        <v>20.32</v>
      </c>
      <c r="DH164" s="56" t="s">
        <v>670</v>
      </c>
      <c r="DI164" s="56" t="s">
        <v>671</v>
      </c>
      <c r="DK164" s="56">
        <v>79.66</v>
      </c>
      <c r="DL164" s="56">
        <v>5300.35</v>
      </c>
      <c r="DM164" s="56">
        <v>67</v>
      </c>
      <c r="DN164" s="56" t="s">
        <v>900</v>
      </c>
      <c r="DO164" s="56" t="s">
        <v>236</v>
      </c>
      <c r="DQ164" s="56" t="s">
        <v>674</v>
      </c>
      <c r="DR164" s="56">
        <v>3</v>
      </c>
      <c r="DW164" s="56">
        <v>280</v>
      </c>
      <c r="DX164" s="56" t="s">
        <v>678</v>
      </c>
      <c r="DY164" s="56" t="s">
        <v>679</v>
      </c>
      <c r="EL164" s="56">
        <v>25</v>
      </c>
      <c r="EM164" s="56">
        <v>15</v>
      </c>
      <c r="EN164" s="56">
        <v>4779</v>
      </c>
      <c r="EO164" s="56">
        <v>1805</v>
      </c>
      <c r="EP164" s="56" t="s">
        <v>1234</v>
      </c>
      <c r="EQ164" s="56" t="s">
        <v>901</v>
      </c>
      <c r="ER164" s="56" t="s">
        <v>902</v>
      </c>
      <c r="ES164" s="56">
        <v>2</v>
      </c>
      <c r="ET164" s="56" t="s">
        <v>682</v>
      </c>
      <c r="EU164" s="56" t="s">
        <v>683</v>
      </c>
      <c r="EV164" s="56" t="s">
        <v>683</v>
      </c>
      <c r="FD164" s="56" t="s">
        <v>1629</v>
      </c>
      <c r="FK164" s="56">
        <v>0</v>
      </c>
    </row>
    <row r="165" spans="1:167" x14ac:dyDescent="0.2">
      <c r="A165" s="56">
        <v>29118</v>
      </c>
      <c r="B165" s="56">
        <v>2</v>
      </c>
      <c r="C165" s="56">
        <v>6352</v>
      </c>
      <c r="D165" s="56" t="s">
        <v>634</v>
      </c>
      <c r="E165" s="56" t="s">
        <v>635</v>
      </c>
      <c r="K165" s="56" t="s">
        <v>1630</v>
      </c>
      <c r="L165" s="56" t="s">
        <v>637</v>
      </c>
      <c r="M165" s="56">
        <v>44942</v>
      </c>
      <c r="N165" s="56">
        <v>44944</v>
      </c>
      <c r="O165" s="56">
        <v>38</v>
      </c>
      <c r="P165" s="56" t="s">
        <v>638</v>
      </c>
      <c r="Q165" s="56">
        <v>2</v>
      </c>
      <c r="R165" s="56" t="s">
        <v>639</v>
      </c>
      <c r="S165" s="56" t="s">
        <v>893</v>
      </c>
      <c r="T165" s="56" t="s">
        <v>641</v>
      </c>
      <c r="U165" s="56" t="s">
        <v>735</v>
      </c>
      <c r="V165" s="56" t="s">
        <v>643</v>
      </c>
      <c r="W165" s="56">
        <v>48</v>
      </c>
      <c r="X165" s="56" t="s">
        <v>699</v>
      </c>
      <c r="Y165" s="56">
        <v>90</v>
      </c>
      <c r="Z165" s="56" t="s">
        <v>894</v>
      </c>
      <c r="AA165" s="56" t="s">
        <v>895</v>
      </c>
      <c r="AB165" s="56" t="s">
        <v>896</v>
      </c>
      <c r="AC165" s="56" t="s">
        <v>641</v>
      </c>
      <c r="AD165" s="56" t="s">
        <v>893</v>
      </c>
      <c r="AE165" s="56">
        <v>91</v>
      </c>
      <c r="AF165" s="56" t="s">
        <v>736</v>
      </c>
      <c r="AG165" s="56" t="s">
        <v>737</v>
      </c>
      <c r="AH165" s="56" t="s">
        <v>643</v>
      </c>
      <c r="AI165" s="56" t="s">
        <v>735</v>
      </c>
      <c r="AJ165" s="56">
        <v>90</v>
      </c>
      <c r="AK165" s="56" t="s">
        <v>894</v>
      </c>
      <c r="AL165" s="56">
        <v>91</v>
      </c>
      <c r="AM165" s="56" t="s">
        <v>736</v>
      </c>
      <c r="AN165" s="56" t="s">
        <v>737</v>
      </c>
      <c r="AO165" s="56" t="s">
        <v>738</v>
      </c>
      <c r="AP165" s="56" t="s">
        <v>643</v>
      </c>
      <c r="AQ165" s="56" t="s">
        <v>735</v>
      </c>
      <c r="AR165" s="56">
        <v>98</v>
      </c>
      <c r="AS165" s="56" t="s">
        <v>645</v>
      </c>
      <c r="AT165" s="56" t="s">
        <v>646</v>
      </c>
      <c r="AU165" s="56" t="s">
        <v>643</v>
      </c>
      <c r="AV165" s="56" t="s">
        <v>648</v>
      </c>
      <c r="AW165" s="56">
        <v>121</v>
      </c>
      <c r="AX165" s="56" t="s">
        <v>859</v>
      </c>
      <c r="AY165" s="56">
        <v>51</v>
      </c>
      <c r="AZ165" s="56" t="s">
        <v>29</v>
      </c>
      <c r="BA165" s="56" t="s">
        <v>860</v>
      </c>
      <c r="BB165" s="56" t="s">
        <v>770</v>
      </c>
      <c r="BC165" s="56">
        <v>38</v>
      </c>
      <c r="BD165" s="56" t="s">
        <v>289</v>
      </c>
      <c r="BE165" s="56" t="s">
        <v>771</v>
      </c>
      <c r="BF165" s="56">
        <v>2</v>
      </c>
      <c r="BG165" s="56" t="s">
        <v>289</v>
      </c>
      <c r="BH165" s="56" t="s">
        <v>772</v>
      </c>
      <c r="BI165" s="56">
        <v>46.75</v>
      </c>
      <c r="BJ165" s="56">
        <v>120469.14</v>
      </c>
      <c r="BK165" s="56">
        <v>46750</v>
      </c>
      <c r="BL165" s="56" t="s">
        <v>897</v>
      </c>
      <c r="BM165" s="56">
        <v>3102</v>
      </c>
      <c r="BN165" s="56" t="s">
        <v>724</v>
      </c>
      <c r="BO165" s="56" t="s">
        <v>725</v>
      </c>
      <c r="BP165" s="56">
        <v>6778.75</v>
      </c>
      <c r="BQ165" s="56">
        <v>5892.4</v>
      </c>
      <c r="BR165" s="56">
        <v>0</v>
      </c>
      <c r="BS165" s="56">
        <v>0</v>
      </c>
      <c r="BT165" s="56">
        <v>0</v>
      </c>
      <c r="BU165" s="56">
        <v>720926</v>
      </c>
      <c r="BV165" s="56">
        <v>98</v>
      </c>
      <c r="BW165" s="56" t="s">
        <v>645</v>
      </c>
      <c r="BX165" s="56" t="s">
        <v>1631</v>
      </c>
      <c r="BY165" s="56" t="s">
        <v>663</v>
      </c>
      <c r="BZ165" s="56">
        <v>0.25</v>
      </c>
      <c r="CA165" s="56" t="s">
        <v>664</v>
      </c>
      <c r="CB165" s="56" t="s">
        <v>899</v>
      </c>
      <c r="CD165" s="56" t="s">
        <v>667</v>
      </c>
      <c r="CG165" s="56">
        <v>0</v>
      </c>
      <c r="CH165" s="56">
        <v>145</v>
      </c>
      <c r="CJ165" s="56">
        <v>100</v>
      </c>
      <c r="CK165" s="56">
        <v>5892.4</v>
      </c>
      <c r="CL165" s="56">
        <v>0</v>
      </c>
      <c r="CN165" s="56">
        <v>813.45</v>
      </c>
      <c r="CO165" s="56">
        <v>813.45</v>
      </c>
      <c r="CP165" s="56">
        <v>72.900000000000006</v>
      </c>
      <c r="CQ165" s="56" t="s">
        <v>668</v>
      </c>
      <c r="CR165" s="56">
        <v>0</v>
      </c>
      <c r="CS165" s="56">
        <v>0</v>
      </c>
      <c r="CV165" s="56">
        <v>0</v>
      </c>
      <c r="CX165" s="56">
        <v>0</v>
      </c>
      <c r="CY165" s="56">
        <v>0</v>
      </c>
      <c r="CZ165" s="56">
        <v>545.04</v>
      </c>
      <c r="DA165" s="56">
        <v>545.04</v>
      </c>
      <c r="DB165" s="56">
        <v>0</v>
      </c>
      <c r="DC165" s="56">
        <v>5347.36</v>
      </c>
      <c r="DD165" s="56">
        <v>20.7</v>
      </c>
      <c r="DE165" s="56">
        <v>0</v>
      </c>
      <c r="DF165" s="56">
        <v>20.7</v>
      </c>
      <c r="DH165" s="56" t="s">
        <v>670</v>
      </c>
      <c r="DI165" s="56" t="s">
        <v>671</v>
      </c>
      <c r="DK165" s="56">
        <v>79.650000000000006</v>
      </c>
      <c r="DL165" s="56">
        <v>5399.56</v>
      </c>
      <c r="DM165" s="56">
        <v>67</v>
      </c>
      <c r="DN165" s="56" t="s">
        <v>900</v>
      </c>
      <c r="DO165" s="56" t="s">
        <v>236</v>
      </c>
      <c r="DQ165" s="56" t="s">
        <v>674</v>
      </c>
      <c r="DR165" s="56">
        <v>3</v>
      </c>
      <c r="DW165" s="56">
        <v>280</v>
      </c>
      <c r="DX165" s="56" t="s">
        <v>678</v>
      </c>
      <c r="DY165" s="56" t="s">
        <v>679</v>
      </c>
      <c r="EL165" s="56">
        <v>25</v>
      </c>
      <c r="EM165" s="56">
        <v>15</v>
      </c>
      <c r="EN165" s="56">
        <v>4779</v>
      </c>
      <c r="EO165" s="56">
        <v>1805</v>
      </c>
      <c r="EP165" s="56" t="s">
        <v>1234</v>
      </c>
      <c r="EQ165" s="56" t="s">
        <v>901</v>
      </c>
      <c r="ER165" s="56" t="s">
        <v>902</v>
      </c>
      <c r="ES165" s="56">
        <v>2</v>
      </c>
      <c r="ET165" s="56" t="s">
        <v>682</v>
      </c>
      <c r="EU165" s="56" t="s">
        <v>683</v>
      </c>
      <c r="EV165" s="56" t="s">
        <v>683</v>
      </c>
      <c r="FD165" s="56" t="s">
        <v>1632</v>
      </c>
      <c r="FK165" s="56">
        <v>0</v>
      </c>
    </row>
    <row r="166" spans="1:167" x14ac:dyDescent="0.2">
      <c r="A166" s="56">
        <v>29119</v>
      </c>
      <c r="B166" s="56">
        <v>2</v>
      </c>
      <c r="C166" s="56">
        <v>6352</v>
      </c>
      <c r="D166" s="56" t="s">
        <v>634</v>
      </c>
      <c r="E166" s="56" t="s">
        <v>635</v>
      </c>
      <c r="K166" s="56" t="s">
        <v>1633</v>
      </c>
      <c r="L166" s="56" t="s">
        <v>637</v>
      </c>
      <c r="M166" s="56">
        <v>44942</v>
      </c>
      <c r="N166" s="56">
        <v>44944</v>
      </c>
      <c r="O166" s="56">
        <v>38</v>
      </c>
      <c r="P166" s="56" t="s">
        <v>638</v>
      </c>
      <c r="Q166" s="56">
        <v>2</v>
      </c>
      <c r="R166" s="56" t="s">
        <v>639</v>
      </c>
      <c r="S166" s="56" t="s">
        <v>893</v>
      </c>
      <c r="T166" s="56" t="s">
        <v>641</v>
      </c>
      <c r="U166" s="56" t="s">
        <v>735</v>
      </c>
      <c r="V166" s="56" t="s">
        <v>643</v>
      </c>
      <c r="W166" s="56">
        <v>48</v>
      </c>
      <c r="X166" s="56" t="s">
        <v>699</v>
      </c>
      <c r="Y166" s="56">
        <v>90</v>
      </c>
      <c r="Z166" s="56" t="s">
        <v>894</v>
      </c>
      <c r="AA166" s="56" t="s">
        <v>895</v>
      </c>
      <c r="AB166" s="56" t="s">
        <v>896</v>
      </c>
      <c r="AC166" s="56" t="s">
        <v>641</v>
      </c>
      <c r="AD166" s="56" t="s">
        <v>893</v>
      </c>
      <c r="AE166" s="56">
        <v>91</v>
      </c>
      <c r="AF166" s="56" t="s">
        <v>736</v>
      </c>
      <c r="AG166" s="56" t="s">
        <v>737</v>
      </c>
      <c r="AH166" s="56" t="s">
        <v>643</v>
      </c>
      <c r="AI166" s="56" t="s">
        <v>735</v>
      </c>
      <c r="AJ166" s="56">
        <v>90</v>
      </c>
      <c r="AK166" s="56" t="s">
        <v>894</v>
      </c>
      <c r="AL166" s="56">
        <v>91</v>
      </c>
      <c r="AM166" s="56" t="s">
        <v>736</v>
      </c>
      <c r="AN166" s="56" t="s">
        <v>737</v>
      </c>
      <c r="AO166" s="56" t="s">
        <v>738</v>
      </c>
      <c r="AP166" s="56" t="s">
        <v>643</v>
      </c>
      <c r="AQ166" s="56" t="s">
        <v>735</v>
      </c>
      <c r="AR166" s="56">
        <v>98</v>
      </c>
      <c r="AS166" s="56" t="s">
        <v>645</v>
      </c>
      <c r="AT166" s="56" t="s">
        <v>646</v>
      </c>
      <c r="AU166" s="56" t="s">
        <v>643</v>
      </c>
      <c r="AV166" s="56" t="s">
        <v>648</v>
      </c>
      <c r="AW166" s="56">
        <v>117</v>
      </c>
      <c r="AX166" s="56" t="s">
        <v>848</v>
      </c>
      <c r="AY166" s="56">
        <v>1</v>
      </c>
      <c r="AZ166" s="56" t="s">
        <v>28</v>
      </c>
      <c r="BA166" s="56" t="s">
        <v>849</v>
      </c>
      <c r="BB166" s="56" t="s">
        <v>770</v>
      </c>
      <c r="BC166" s="56">
        <v>38</v>
      </c>
      <c r="BD166" s="56" t="s">
        <v>289</v>
      </c>
      <c r="BE166" s="56" t="s">
        <v>771</v>
      </c>
      <c r="BF166" s="56">
        <v>2</v>
      </c>
      <c r="BG166" s="56" t="s">
        <v>289</v>
      </c>
      <c r="BH166" s="56" t="s">
        <v>772</v>
      </c>
      <c r="BI166" s="56">
        <v>46.4</v>
      </c>
      <c r="BJ166" s="56">
        <v>119567.23</v>
      </c>
      <c r="BK166" s="56">
        <v>46400</v>
      </c>
      <c r="BL166" s="56" t="s">
        <v>897</v>
      </c>
      <c r="BM166" s="56">
        <v>3102</v>
      </c>
      <c r="BN166" s="56" t="s">
        <v>724</v>
      </c>
      <c r="BO166" s="56" t="s">
        <v>725</v>
      </c>
      <c r="BP166" s="56">
        <v>6728</v>
      </c>
      <c r="BQ166" s="56">
        <v>5847.74</v>
      </c>
      <c r="BR166" s="56">
        <v>0</v>
      </c>
      <c r="BS166" s="56">
        <v>0</v>
      </c>
      <c r="BT166" s="56">
        <v>0</v>
      </c>
      <c r="BU166" s="56">
        <v>720925</v>
      </c>
      <c r="BV166" s="56">
        <v>98</v>
      </c>
      <c r="BW166" s="56" t="s">
        <v>645</v>
      </c>
      <c r="BX166" s="56" t="s">
        <v>1634</v>
      </c>
      <c r="BY166" s="56" t="s">
        <v>663</v>
      </c>
      <c r="BZ166" s="56">
        <v>0.25</v>
      </c>
      <c r="CA166" s="56" t="s">
        <v>664</v>
      </c>
      <c r="CB166" s="56" t="s">
        <v>899</v>
      </c>
      <c r="CD166" s="56" t="s">
        <v>667</v>
      </c>
      <c r="CG166" s="56">
        <v>0</v>
      </c>
      <c r="CH166" s="56">
        <v>145</v>
      </c>
      <c r="CJ166" s="56">
        <v>100</v>
      </c>
      <c r="CK166" s="56">
        <v>5847.74</v>
      </c>
      <c r="CL166" s="56">
        <v>0</v>
      </c>
      <c r="CN166" s="56">
        <v>807.36</v>
      </c>
      <c r="CO166" s="56">
        <v>807.36</v>
      </c>
      <c r="CP166" s="56">
        <v>72.900000000000006</v>
      </c>
      <c r="CQ166" s="56" t="s">
        <v>668</v>
      </c>
      <c r="CR166" s="56">
        <v>0</v>
      </c>
      <c r="CS166" s="56">
        <v>0</v>
      </c>
      <c r="CV166" s="56">
        <v>0</v>
      </c>
      <c r="CX166" s="56">
        <v>0</v>
      </c>
      <c r="CY166" s="56">
        <v>0</v>
      </c>
      <c r="CZ166" s="56">
        <v>540.91999999999996</v>
      </c>
      <c r="DA166" s="56">
        <v>540.91999999999996</v>
      </c>
      <c r="DB166" s="56">
        <v>0</v>
      </c>
      <c r="DC166" s="56">
        <v>5306.82</v>
      </c>
      <c r="DD166" s="56">
        <v>20.54</v>
      </c>
      <c r="DE166" s="56">
        <v>0</v>
      </c>
      <c r="DF166" s="56">
        <v>20.54</v>
      </c>
      <c r="DH166" s="56" t="s">
        <v>670</v>
      </c>
      <c r="DI166" s="56" t="s">
        <v>671</v>
      </c>
      <c r="DK166" s="56">
        <v>79.650000000000006</v>
      </c>
      <c r="DL166" s="56">
        <v>5359.18</v>
      </c>
      <c r="DM166" s="56">
        <v>67</v>
      </c>
      <c r="DN166" s="56" t="s">
        <v>900</v>
      </c>
      <c r="DO166" s="56" t="s">
        <v>236</v>
      </c>
      <c r="DQ166" s="56" t="s">
        <v>674</v>
      </c>
      <c r="DR166" s="56">
        <v>3</v>
      </c>
      <c r="DX166" s="56" t="s">
        <v>678</v>
      </c>
      <c r="DY166" s="56" t="s">
        <v>679</v>
      </c>
      <c r="EL166" s="56">
        <v>25</v>
      </c>
      <c r="EM166" s="56">
        <v>15</v>
      </c>
      <c r="EN166" s="56">
        <v>4779</v>
      </c>
      <c r="EO166" s="56">
        <v>1805</v>
      </c>
      <c r="EP166" s="56" t="s">
        <v>1234</v>
      </c>
      <c r="EQ166" s="56" t="s">
        <v>901</v>
      </c>
      <c r="ER166" s="56" t="s">
        <v>902</v>
      </c>
      <c r="ES166" s="56">
        <v>2</v>
      </c>
      <c r="ET166" s="56" t="s">
        <v>682</v>
      </c>
      <c r="EU166" s="56" t="s">
        <v>683</v>
      </c>
      <c r="EV166" s="56" t="s">
        <v>683</v>
      </c>
      <c r="FD166" s="56" t="s">
        <v>1635</v>
      </c>
      <c r="FK166" s="56">
        <v>0</v>
      </c>
    </row>
    <row r="167" spans="1:167" x14ac:dyDescent="0.2">
      <c r="A167" s="56">
        <v>29120</v>
      </c>
      <c r="B167" s="56">
        <v>2</v>
      </c>
      <c r="C167" s="56">
        <v>6352</v>
      </c>
      <c r="D167" s="56" t="s">
        <v>634</v>
      </c>
      <c r="E167" s="56" t="s">
        <v>635</v>
      </c>
      <c r="K167" s="56" t="s">
        <v>1636</v>
      </c>
      <c r="L167" s="56" t="s">
        <v>637</v>
      </c>
      <c r="M167" s="56">
        <v>44942</v>
      </c>
      <c r="N167" s="56">
        <v>44944</v>
      </c>
      <c r="O167" s="56">
        <v>38</v>
      </c>
      <c r="P167" s="56" t="s">
        <v>638</v>
      </c>
      <c r="Q167" s="56">
        <v>2</v>
      </c>
      <c r="R167" s="56" t="s">
        <v>639</v>
      </c>
      <c r="S167" s="56" t="s">
        <v>893</v>
      </c>
      <c r="T167" s="56" t="s">
        <v>641</v>
      </c>
      <c r="U167" s="56" t="s">
        <v>642</v>
      </c>
      <c r="V167" s="56" t="s">
        <v>643</v>
      </c>
      <c r="W167" s="56">
        <v>49</v>
      </c>
      <c r="X167" s="56" t="s">
        <v>887</v>
      </c>
      <c r="Y167" s="56">
        <v>90</v>
      </c>
      <c r="Z167" s="56" t="s">
        <v>894</v>
      </c>
      <c r="AA167" s="56" t="s">
        <v>895</v>
      </c>
      <c r="AB167" s="56" t="s">
        <v>896</v>
      </c>
      <c r="AC167" s="56" t="s">
        <v>641</v>
      </c>
      <c r="AD167" s="56" t="s">
        <v>893</v>
      </c>
      <c r="AE167" s="56">
        <v>141</v>
      </c>
      <c r="AF167" s="56" t="s">
        <v>649</v>
      </c>
      <c r="AG167" s="56" t="s">
        <v>650</v>
      </c>
      <c r="AH167" s="56" t="s">
        <v>643</v>
      </c>
      <c r="AI167" s="56" t="s">
        <v>642</v>
      </c>
      <c r="AJ167" s="56">
        <v>90</v>
      </c>
      <c r="AK167" s="56" t="s">
        <v>894</v>
      </c>
      <c r="AL167" s="56">
        <v>141</v>
      </c>
      <c r="AM167" s="56" t="s">
        <v>649</v>
      </c>
      <c r="AN167" s="56" t="s">
        <v>650</v>
      </c>
      <c r="AO167" s="56" t="s">
        <v>652</v>
      </c>
      <c r="AP167" s="56" t="s">
        <v>643</v>
      </c>
      <c r="AQ167" s="56" t="s">
        <v>642</v>
      </c>
      <c r="AR167" s="56">
        <v>98</v>
      </c>
      <c r="AS167" s="56" t="s">
        <v>645</v>
      </c>
      <c r="AT167" s="56" t="s">
        <v>646</v>
      </c>
      <c r="AU167" s="56" t="s">
        <v>643</v>
      </c>
      <c r="AV167" s="56" t="s">
        <v>648</v>
      </c>
      <c r="AW167" s="56">
        <v>114</v>
      </c>
      <c r="AX167" s="56" t="s">
        <v>1396</v>
      </c>
      <c r="AY167" s="56">
        <v>27</v>
      </c>
      <c r="AZ167" s="56" t="s">
        <v>33</v>
      </c>
      <c r="BA167" s="56" t="s">
        <v>1397</v>
      </c>
      <c r="BB167" s="56" t="s">
        <v>770</v>
      </c>
      <c r="BC167" s="56">
        <v>38</v>
      </c>
      <c r="BD167" s="56" t="s">
        <v>289</v>
      </c>
      <c r="BE167" s="56" t="s">
        <v>771</v>
      </c>
      <c r="BF167" s="56">
        <v>2</v>
      </c>
      <c r="BG167" s="56" t="s">
        <v>289</v>
      </c>
      <c r="BH167" s="56" t="s">
        <v>772</v>
      </c>
      <c r="BI167" s="56">
        <v>46.76</v>
      </c>
      <c r="BJ167" s="56">
        <v>158821.28</v>
      </c>
      <c r="BK167" s="56">
        <v>46760</v>
      </c>
      <c r="BL167" s="56" t="s">
        <v>922</v>
      </c>
      <c r="BM167" s="56">
        <v>3105</v>
      </c>
      <c r="BN167" s="56" t="s">
        <v>786</v>
      </c>
      <c r="BO167" s="56" t="s">
        <v>883</v>
      </c>
      <c r="BP167" s="56">
        <v>6593.16</v>
      </c>
      <c r="BQ167" s="56">
        <v>5729.08</v>
      </c>
      <c r="BR167" s="56">
        <v>0</v>
      </c>
      <c r="BS167" s="56">
        <v>0</v>
      </c>
      <c r="BT167" s="56">
        <v>0</v>
      </c>
      <c r="BU167" s="56">
        <v>720988</v>
      </c>
      <c r="BV167" s="56">
        <v>98</v>
      </c>
      <c r="BW167" s="56" t="s">
        <v>645</v>
      </c>
      <c r="BX167" s="56" t="s">
        <v>1637</v>
      </c>
      <c r="BY167" s="56" t="s">
        <v>663</v>
      </c>
      <c r="BZ167" s="56">
        <v>0.25</v>
      </c>
      <c r="CA167" s="56" t="s">
        <v>664</v>
      </c>
      <c r="CB167" s="56" t="s">
        <v>925</v>
      </c>
      <c r="CD167" s="56" t="s">
        <v>667</v>
      </c>
      <c r="CG167" s="56">
        <v>0</v>
      </c>
      <c r="CH167" s="56">
        <v>141</v>
      </c>
      <c r="CJ167" s="56">
        <v>100</v>
      </c>
      <c r="CK167" s="56">
        <v>5729.08</v>
      </c>
      <c r="CL167" s="56">
        <v>0</v>
      </c>
      <c r="CN167" s="56">
        <v>791.18</v>
      </c>
      <c r="CO167" s="56">
        <v>791.18</v>
      </c>
      <c r="CP167" s="56">
        <v>72.900000000000006</v>
      </c>
      <c r="CQ167" s="56" t="s">
        <v>668</v>
      </c>
      <c r="CR167" s="56">
        <v>0</v>
      </c>
      <c r="CS167" s="56">
        <v>0</v>
      </c>
      <c r="CV167" s="56">
        <v>0</v>
      </c>
      <c r="CX167" s="56">
        <v>0</v>
      </c>
      <c r="CY167" s="56">
        <v>0</v>
      </c>
      <c r="CZ167" s="56">
        <v>529.94000000000005</v>
      </c>
      <c r="DA167" s="56">
        <v>529.94000000000005</v>
      </c>
      <c r="DB167" s="56">
        <v>0</v>
      </c>
      <c r="DC167" s="56">
        <v>5199.1400000000003</v>
      </c>
      <c r="DD167" s="56">
        <v>27.29</v>
      </c>
      <c r="DE167" s="56">
        <v>0</v>
      </c>
      <c r="DF167" s="56">
        <v>27.29</v>
      </c>
      <c r="DH167" s="56" t="s">
        <v>670</v>
      </c>
      <c r="DI167" s="56" t="s">
        <v>671</v>
      </c>
      <c r="DK167" s="56">
        <v>79.55</v>
      </c>
      <c r="DL167" s="56">
        <v>5244.75</v>
      </c>
      <c r="DM167" s="56">
        <v>62</v>
      </c>
      <c r="DN167" s="56">
        <v>4500837836</v>
      </c>
      <c r="DO167" s="56" t="s">
        <v>236</v>
      </c>
      <c r="DQ167" s="56" t="s">
        <v>674</v>
      </c>
      <c r="DR167" s="56">
        <v>3</v>
      </c>
      <c r="DW167" s="56">
        <v>370</v>
      </c>
      <c r="DX167" s="56" t="s">
        <v>678</v>
      </c>
      <c r="DY167" s="56" t="s">
        <v>679</v>
      </c>
      <c r="EL167" s="56">
        <v>25</v>
      </c>
      <c r="EM167" s="56">
        <v>15</v>
      </c>
      <c r="EN167" s="56">
        <v>4779</v>
      </c>
      <c r="EO167" s="56">
        <v>1622</v>
      </c>
      <c r="EP167" s="56" t="s">
        <v>1234</v>
      </c>
      <c r="EQ167" s="56" t="s">
        <v>927</v>
      </c>
      <c r="ER167" s="56" t="s">
        <v>928</v>
      </c>
      <c r="ES167" s="56">
        <v>2</v>
      </c>
      <c r="ET167" s="56" t="s">
        <v>682</v>
      </c>
      <c r="EU167" s="56" t="s">
        <v>683</v>
      </c>
      <c r="EV167" s="56" t="s">
        <v>683</v>
      </c>
      <c r="FD167" s="56" t="s">
        <v>1638</v>
      </c>
      <c r="FK167" s="56">
        <v>0</v>
      </c>
    </row>
    <row r="168" spans="1:167" x14ac:dyDescent="0.2">
      <c r="A168" s="56">
        <v>29121</v>
      </c>
      <c r="B168" s="56">
        <v>2</v>
      </c>
      <c r="C168" s="56">
        <v>6352</v>
      </c>
      <c r="D168" s="56" t="s">
        <v>634</v>
      </c>
      <c r="E168" s="56" t="s">
        <v>635</v>
      </c>
      <c r="K168" s="56" t="s">
        <v>1639</v>
      </c>
      <c r="L168" s="56" t="s">
        <v>637</v>
      </c>
      <c r="M168" s="56">
        <v>44942</v>
      </c>
      <c r="N168" s="56">
        <v>44944</v>
      </c>
      <c r="O168" s="56">
        <v>38</v>
      </c>
      <c r="P168" s="56" t="s">
        <v>638</v>
      </c>
      <c r="Q168" s="56">
        <v>2</v>
      </c>
      <c r="R168" s="56" t="s">
        <v>639</v>
      </c>
      <c r="S168" s="56" t="s">
        <v>893</v>
      </c>
      <c r="T168" s="56" t="s">
        <v>641</v>
      </c>
      <c r="U168" s="56" t="s">
        <v>642</v>
      </c>
      <c r="V168" s="56" t="s">
        <v>643</v>
      </c>
      <c r="W168" s="56">
        <v>49</v>
      </c>
      <c r="X168" s="56" t="s">
        <v>887</v>
      </c>
      <c r="Y168" s="56">
        <v>90</v>
      </c>
      <c r="Z168" s="56" t="s">
        <v>894</v>
      </c>
      <c r="AA168" s="56" t="s">
        <v>895</v>
      </c>
      <c r="AB168" s="56" t="s">
        <v>896</v>
      </c>
      <c r="AC168" s="56" t="s">
        <v>641</v>
      </c>
      <c r="AD168" s="56" t="s">
        <v>893</v>
      </c>
      <c r="AE168" s="56">
        <v>141</v>
      </c>
      <c r="AF168" s="56" t="s">
        <v>649</v>
      </c>
      <c r="AG168" s="56" t="s">
        <v>650</v>
      </c>
      <c r="AH168" s="56" t="s">
        <v>643</v>
      </c>
      <c r="AI168" s="56" t="s">
        <v>642</v>
      </c>
      <c r="AJ168" s="56">
        <v>90</v>
      </c>
      <c r="AK168" s="56" t="s">
        <v>894</v>
      </c>
      <c r="AL168" s="56">
        <v>141</v>
      </c>
      <c r="AM168" s="56" t="s">
        <v>649</v>
      </c>
      <c r="AN168" s="56" t="s">
        <v>650</v>
      </c>
      <c r="AO168" s="56" t="s">
        <v>652</v>
      </c>
      <c r="AP168" s="56" t="s">
        <v>643</v>
      </c>
      <c r="AQ168" s="56" t="s">
        <v>642</v>
      </c>
      <c r="AR168" s="56">
        <v>98</v>
      </c>
      <c r="AS168" s="56" t="s">
        <v>645</v>
      </c>
      <c r="AT168" s="56" t="s">
        <v>646</v>
      </c>
      <c r="AU168" s="56" t="s">
        <v>643</v>
      </c>
      <c r="AV168" s="56" t="s">
        <v>648</v>
      </c>
      <c r="AW168" s="56">
        <v>50</v>
      </c>
      <c r="AX168" s="56" t="s">
        <v>881</v>
      </c>
      <c r="AY168" s="56">
        <v>77</v>
      </c>
      <c r="AZ168" s="56" t="s">
        <v>131</v>
      </c>
      <c r="BA168" s="56" t="s">
        <v>882</v>
      </c>
      <c r="BB168" s="56" t="s">
        <v>770</v>
      </c>
      <c r="BC168" s="56">
        <v>38</v>
      </c>
      <c r="BD168" s="56" t="s">
        <v>289</v>
      </c>
      <c r="BE168" s="56" t="s">
        <v>771</v>
      </c>
      <c r="BF168" s="56">
        <v>2</v>
      </c>
      <c r="BG168" s="56" t="s">
        <v>289</v>
      </c>
      <c r="BH168" s="56" t="s">
        <v>772</v>
      </c>
      <c r="BI168" s="56">
        <v>46.46</v>
      </c>
      <c r="BJ168" s="56">
        <v>157802.32</v>
      </c>
      <c r="BK168" s="56">
        <v>46460</v>
      </c>
      <c r="BL168" s="56" t="s">
        <v>922</v>
      </c>
      <c r="BM168" s="56">
        <v>3105</v>
      </c>
      <c r="BN168" s="56" t="s">
        <v>786</v>
      </c>
      <c r="BO168" s="56" t="s">
        <v>883</v>
      </c>
      <c r="BP168" s="56">
        <v>6550.86</v>
      </c>
      <c r="BQ168" s="56">
        <v>5691.86</v>
      </c>
      <c r="BR168" s="56">
        <v>0</v>
      </c>
      <c r="BS168" s="56">
        <v>0</v>
      </c>
      <c r="BT168" s="56">
        <v>0</v>
      </c>
      <c r="BU168" s="56">
        <v>720987</v>
      </c>
      <c r="BV168" s="56">
        <v>98</v>
      </c>
      <c r="BW168" s="56" t="s">
        <v>645</v>
      </c>
      <c r="BX168" s="56" t="s">
        <v>1640</v>
      </c>
      <c r="BY168" s="56" t="s">
        <v>663</v>
      </c>
      <c r="BZ168" s="56">
        <v>0.25</v>
      </c>
      <c r="CA168" s="56" t="s">
        <v>664</v>
      </c>
      <c r="CB168" s="56" t="s">
        <v>925</v>
      </c>
      <c r="CD168" s="56" t="s">
        <v>667</v>
      </c>
      <c r="CG168" s="56">
        <v>0</v>
      </c>
      <c r="CH168" s="56">
        <v>141</v>
      </c>
      <c r="CJ168" s="56">
        <v>100</v>
      </c>
      <c r="CK168" s="56">
        <v>5691.86</v>
      </c>
      <c r="CL168" s="56">
        <v>0</v>
      </c>
      <c r="CN168" s="56">
        <v>786.1</v>
      </c>
      <c r="CO168" s="56">
        <v>786.1</v>
      </c>
      <c r="CP168" s="56">
        <v>72.900000000000006</v>
      </c>
      <c r="CQ168" s="56" t="s">
        <v>668</v>
      </c>
      <c r="CR168" s="56">
        <v>0</v>
      </c>
      <c r="CS168" s="56">
        <v>0</v>
      </c>
      <c r="CV168" s="56">
        <v>0</v>
      </c>
      <c r="CX168" s="56">
        <v>0</v>
      </c>
      <c r="CY168" s="56">
        <v>0</v>
      </c>
      <c r="CZ168" s="56">
        <v>526.5</v>
      </c>
      <c r="DA168" s="56">
        <v>526.5</v>
      </c>
      <c r="DB168" s="56">
        <v>0</v>
      </c>
      <c r="DC168" s="56">
        <v>5165.3599999999997</v>
      </c>
      <c r="DD168" s="56">
        <v>27.11</v>
      </c>
      <c r="DE168" s="56">
        <v>0</v>
      </c>
      <c r="DF168" s="56">
        <v>27.11</v>
      </c>
      <c r="DH168" s="56" t="s">
        <v>670</v>
      </c>
      <c r="DI168" s="56" t="s">
        <v>671</v>
      </c>
      <c r="DK168" s="56">
        <v>79.55</v>
      </c>
      <c r="DL168" s="56">
        <v>5211.1499999999996</v>
      </c>
      <c r="DM168" s="56">
        <v>62</v>
      </c>
      <c r="DN168" s="56">
        <v>4500837836</v>
      </c>
      <c r="DO168" s="56" t="s">
        <v>236</v>
      </c>
      <c r="DQ168" s="56" t="s">
        <v>674</v>
      </c>
      <c r="DR168" s="56">
        <v>3</v>
      </c>
      <c r="DW168" s="56">
        <v>370</v>
      </c>
      <c r="DX168" s="56" t="s">
        <v>678</v>
      </c>
      <c r="DY168" s="56" t="s">
        <v>679</v>
      </c>
      <c r="EL168" s="56">
        <v>25</v>
      </c>
      <c r="EM168" s="56">
        <v>15</v>
      </c>
      <c r="EN168" s="56">
        <v>4779</v>
      </c>
      <c r="EO168" s="56">
        <v>1622</v>
      </c>
      <c r="EP168" s="56" t="s">
        <v>1234</v>
      </c>
      <c r="EQ168" s="56" t="s">
        <v>927</v>
      </c>
      <c r="ER168" s="56" t="s">
        <v>928</v>
      </c>
      <c r="ES168" s="56">
        <v>2</v>
      </c>
      <c r="ET168" s="56" t="s">
        <v>682</v>
      </c>
      <c r="EU168" s="56" t="s">
        <v>683</v>
      </c>
      <c r="EV168" s="56" t="s">
        <v>683</v>
      </c>
      <c r="FD168" s="56" t="s">
        <v>1641</v>
      </c>
      <c r="FK168" s="56">
        <v>0</v>
      </c>
    </row>
    <row r="169" spans="1:167" x14ac:dyDescent="0.2">
      <c r="A169" s="56">
        <v>29733</v>
      </c>
      <c r="B169" s="56">
        <v>1</v>
      </c>
      <c r="C169" s="56">
        <v>5352</v>
      </c>
      <c r="D169" s="56" t="s">
        <v>634</v>
      </c>
      <c r="E169" s="56" t="s">
        <v>635</v>
      </c>
      <c r="K169" s="56" t="s">
        <v>1642</v>
      </c>
      <c r="L169" s="56" t="s">
        <v>637</v>
      </c>
      <c r="M169" s="56">
        <v>44942</v>
      </c>
      <c r="N169" s="56">
        <v>44944</v>
      </c>
      <c r="O169" s="56">
        <v>2</v>
      </c>
      <c r="P169" s="56" t="s">
        <v>682</v>
      </c>
      <c r="Q169" s="56">
        <v>1</v>
      </c>
      <c r="R169" s="56" t="s">
        <v>809</v>
      </c>
      <c r="S169" s="56" t="s">
        <v>1582</v>
      </c>
      <c r="T169" s="56" t="s">
        <v>643</v>
      </c>
      <c r="U169" s="56" t="s">
        <v>1227</v>
      </c>
      <c r="V169" s="56" t="s">
        <v>643</v>
      </c>
      <c r="W169" s="56">
        <v>42</v>
      </c>
      <c r="X169" s="56" t="s">
        <v>1643</v>
      </c>
      <c r="Y169" s="56">
        <v>51</v>
      </c>
      <c r="Z169" s="56" t="s">
        <v>1228</v>
      </c>
      <c r="AA169" s="56" t="s">
        <v>1583</v>
      </c>
      <c r="AB169" s="56" t="s">
        <v>1584</v>
      </c>
      <c r="AC169" s="56" t="s">
        <v>643</v>
      </c>
      <c r="AD169" s="56" t="s">
        <v>1582</v>
      </c>
      <c r="AL169" s="56">
        <v>52</v>
      </c>
      <c r="AM169" s="56" t="s">
        <v>1228</v>
      </c>
      <c r="AN169" s="56" t="s">
        <v>1229</v>
      </c>
      <c r="AO169" s="56" t="s">
        <v>1230</v>
      </c>
      <c r="AP169" s="56" t="s">
        <v>643</v>
      </c>
      <c r="AQ169" s="56" t="s">
        <v>1227</v>
      </c>
      <c r="AR169" s="56">
        <v>52</v>
      </c>
      <c r="AS169" s="56" t="s">
        <v>1228</v>
      </c>
      <c r="AT169" s="56" t="s">
        <v>1229</v>
      </c>
      <c r="AU169" s="56" t="s">
        <v>643</v>
      </c>
      <c r="AV169" s="56" t="s">
        <v>1227</v>
      </c>
      <c r="AW169" s="56">
        <v>120</v>
      </c>
      <c r="AX169" s="56" t="s">
        <v>836</v>
      </c>
      <c r="AY169" s="56">
        <v>7</v>
      </c>
      <c r="AZ169" s="56" t="s">
        <v>128</v>
      </c>
      <c r="BA169" s="56" t="s">
        <v>837</v>
      </c>
      <c r="BB169" s="56" t="s">
        <v>770</v>
      </c>
      <c r="BC169" s="56">
        <v>38</v>
      </c>
      <c r="BD169" s="56" t="s">
        <v>289</v>
      </c>
      <c r="BE169" s="56" t="s">
        <v>771</v>
      </c>
      <c r="BF169" s="56">
        <v>2</v>
      </c>
      <c r="BG169" s="56" t="s">
        <v>289</v>
      </c>
      <c r="BH169" s="56" t="s">
        <v>772</v>
      </c>
      <c r="BI169" s="56">
        <v>46.85</v>
      </c>
      <c r="BJ169" s="56">
        <v>117812.76</v>
      </c>
      <c r="BK169" s="56">
        <v>46.85</v>
      </c>
      <c r="BL169" s="56" t="s">
        <v>897</v>
      </c>
      <c r="BM169" s="56">
        <v>3102</v>
      </c>
      <c r="BN169" s="56" t="s">
        <v>724</v>
      </c>
      <c r="BO169" s="56" t="s">
        <v>725</v>
      </c>
      <c r="BP169" s="56">
        <v>5622</v>
      </c>
      <c r="BQ169" s="56">
        <v>5597.7</v>
      </c>
      <c r="BR169" s="56">
        <v>0</v>
      </c>
      <c r="BS169" s="56">
        <v>0</v>
      </c>
      <c r="BT169" s="56">
        <v>0</v>
      </c>
      <c r="BU169" s="56">
        <v>208651</v>
      </c>
      <c r="BV169" s="56">
        <v>52</v>
      </c>
      <c r="BW169" s="56" t="s">
        <v>1228</v>
      </c>
      <c r="BX169" s="56" t="s">
        <v>1644</v>
      </c>
      <c r="BY169" s="56" t="s">
        <v>663</v>
      </c>
      <c r="BZ169" s="56">
        <v>0.5</v>
      </c>
      <c r="CA169" s="56" t="s">
        <v>1587</v>
      </c>
      <c r="CB169" s="56" t="s">
        <v>1645</v>
      </c>
      <c r="CD169" s="56" t="s">
        <v>667</v>
      </c>
      <c r="CG169" s="56">
        <v>0</v>
      </c>
      <c r="CH169" s="56">
        <v>120</v>
      </c>
      <c r="CJ169" s="56">
        <v>100</v>
      </c>
      <c r="CK169" s="56">
        <v>5597.7</v>
      </c>
      <c r="CL169" s="56">
        <v>0</v>
      </c>
      <c r="CN169" s="56">
        <v>0</v>
      </c>
      <c r="CO169" s="56">
        <v>0</v>
      </c>
      <c r="CP169" s="56">
        <v>24.3</v>
      </c>
      <c r="CQ169" s="56" t="s">
        <v>668</v>
      </c>
      <c r="CR169" s="56">
        <v>0</v>
      </c>
      <c r="CS169" s="56">
        <v>0</v>
      </c>
      <c r="CV169" s="56">
        <v>0</v>
      </c>
      <c r="CX169" s="56">
        <v>0</v>
      </c>
      <c r="CY169" s="56">
        <v>0</v>
      </c>
      <c r="CZ169" s="56">
        <v>517.79</v>
      </c>
      <c r="DA169" s="56">
        <v>517.79</v>
      </c>
      <c r="DB169" s="56">
        <v>0</v>
      </c>
      <c r="DC169" s="56">
        <v>5079.91</v>
      </c>
      <c r="DD169" s="56">
        <v>19.989999999999998</v>
      </c>
      <c r="DE169" s="56">
        <v>0</v>
      </c>
      <c r="DF169" s="56">
        <v>19.989999999999998</v>
      </c>
      <c r="DH169" s="56" t="s">
        <v>670</v>
      </c>
      <c r="DI169" s="56" t="s">
        <v>671</v>
      </c>
      <c r="DK169" s="56">
        <v>90.43</v>
      </c>
      <c r="DL169" s="56">
        <v>5084.22</v>
      </c>
      <c r="DO169" s="56" t="s">
        <v>236</v>
      </c>
      <c r="DQ169" s="56" t="s">
        <v>674</v>
      </c>
      <c r="DR169" s="56">
        <v>3</v>
      </c>
      <c r="DX169" s="56" t="s">
        <v>678</v>
      </c>
      <c r="DY169" s="56" t="s">
        <v>679</v>
      </c>
      <c r="EL169" s="56">
        <v>15</v>
      </c>
      <c r="EM169" s="56">
        <v>15</v>
      </c>
      <c r="EN169" s="56">
        <v>1950</v>
      </c>
      <c r="EO169" s="56">
        <v>2420</v>
      </c>
      <c r="EP169" s="56">
        <v>6815</v>
      </c>
      <c r="EQ169" s="56" t="s">
        <v>1434</v>
      </c>
      <c r="ER169" s="56" t="s">
        <v>1589</v>
      </c>
      <c r="ES169" s="56">
        <v>2</v>
      </c>
      <c r="ET169" s="56" t="s">
        <v>682</v>
      </c>
      <c r="EU169" s="56" t="s">
        <v>683</v>
      </c>
      <c r="EV169" s="56" t="s">
        <v>683</v>
      </c>
      <c r="FD169" s="56" t="s">
        <v>1646</v>
      </c>
      <c r="FK169" s="56">
        <v>0</v>
      </c>
    </row>
    <row r="170" spans="1:167" x14ac:dyDescent="0.2">
      <c r="A170" s="56">
        <v>29122</v>
      </c>
      <c r="B170" s="56">
        <v>2</v>
      </c>
      <c r="C170" s="56">
        <v>6352</v>
      </c>
      <c r="D170" s="56" t="s">
        <v>634</v>
      </c>
      <c r="E170" s="56" t="s">
        <v>635</v>
      </c>
      <c r="K170" s="56" t="s">
        <v>1647</v>
      </c>
      <c r="L170" s="56" t="s">
        <v>637</v>
      </c>
      <c r="M170" s="56">
        <v>44943</v>
      </c>
      <c r="N170" s="56">
        <v>44945</v>
      </c>
      <c r="O170" s="56">
        <v>38</v>
      </c>
      <c r="P170" s="56" t="s">
        <v>638</v>
      </c>
      <c r="Q170" s="56">
        <v>2</v>
      </c>
      <c r="R170" s="56" t="s">
        <v>639</v>
      </c>
      <c r="S170" s="56" t="s">
        <v>893</v>
      </c>
      <c r="T170" s="56" t="s">
        <v>641</v>
      </c>
      <c r="U170" s="56" t="s">
        <v>735</v>
      </c>
      <c r="V170" s="56" t="s">
        <v>643</v>
      </c>
      <c r="W170" s="56">
        <v>48</v>
      </c>
      <c r="X170" s="56" t="s">
        <v>699</v>
      </c>
      <c r="Y170" s="56">
        <v>90</v>
      </c>
      <c r="Z170" s="56" t="s">
        <v>894</v>
      </c>
      <c r="AA170" s="56" t="s">
        <v>895</v>
      </c>
      <c r="AB170" s="56" t="s">
        <v>896</v>
      </c>
      <c r="AC170" s="56" t="s">
        <v>641</v>
      </c>
      <c r="AD170" s="56" t="s">
        <v>893</v>
      </c>
      <c r="AE170" s="56">
        <v>91</v>
      </c>
      <c r="AF170" s="56" t="s">
        <v>736</v>
      </c>
      <c r="AG170" s="56" t="s">
        <v>737</v>
      </c>
      <c r="AH170" s="56" t="s">
        <v>643</v>
      </c>
      <c r="AI170" s="56" t="s">
        <v>735</v>
      </c>
      <c r="AJ170" s="56">
        <v>90</v>
      </c>
      <c r="AK170" s="56" t="s">
        <v>894</v>
      </c>
      <c r="AL170" s="56">
        <v>91</v>
      </c>
      <c r="AM170" s="56" t="s">
        <v>736</v>
      </c>
      <c r="AN170" s="56" t="s">
        <v>737</v>
      </c>
      <c r="AO170" s="56" t="s">
        <v>738</v>
      </c>
      <c r="AP170" s="56" t="s">
        <v>643</v>
      </c>
      <c r="AQ170" s="56" t="s">
        <v>735</v>
      </c>
      <c r="AR170" s="56">
        <v>98</v>
      </c>
      <c r="AS170" s="56" t="s">
        <v>645</v>
      </c>
      <c r="AT170" s="56" t="s">
        <v>646</v>
      </c>
      <c r="AU170" s="56" t="s">
        <v>643</v>
      </c>
      <c r="AV170" s="56" t="s">
        <v>648</v>
      </c>
      <c r="AW170" s="56">
        <v>1181</v>
      </c>
      <c r="AX170" s="56" t="s">
        <v>1404</v>
      </c>
      <c r="AY170" s="56">
        <v>62</v>
      </c>
      <c r="AZ170" s="56" t="s">
        <v>22</v>
      </c>
      <c r="BA170" s="56" t="s">
        <v>1405</v>
      </c>
      <c r="BB170" s="56" t="s">
        <v>844</v>
      </c>
      <c r="BC170" s="56">
        <v>2</v>
      </c>
      <c r="BD170" s="56" t="s">
        <v>289</v>
      </c>
      <c r="BE170" s="56" t="s">
        <v>772</v>
      </c>
      <c r="BF170" s="56">
        <v>2</v>
      </c>
      <c r="BG170" s="56" t="s">
        <v>289</v>
      </c>
      <c r="BH170" s="56" t="s">
        <v>772</v>
      </c>
      <c r="BI170" s="56">
        <v>35.200000000000003</v>
      </c>
      <c r="BJ170" s="56">
        <v>90706.18</v>
      </c>
      <c r="BK170" s="56">
        <v>35200</v>
      </c>
      <c r="BL170" s="56" t="s">
        <v>897</v>
      </c>
      <c r="BM170" s="56">
        <v>3102</v>
      </c>
      <c r="BN170" s="56" t="s">
        <v>660</v>
      </c>
      <c r="BO170" s="56" t="s">
        <v>872</v>
      </c>
      <c r="BP170" s="56">
        <v>5104</v>
      </c>
      <c r="BQ170" s="56">
        <v>4434.82</v>
      </c>
      <c r="BR170" s="56">
        <v>0</v>
      </c>
      <c r="BS170" s="56">
        <v>0</v>
      </c>
      <c r="BT170" s="56">
        <v>0</v>
      </c>
      <c r="BU170" s="56">
        <v>721271</v>
      </c>
      <c r="BV170" s="56">
        <v>98</v>
      </c>
      <c r="BW170" s="56" t="s">
        <v>645</v>
      </c>
      <c r="BX170" s="56" t="s">
        <v>1648</v>
      </c>
      <c r="BY170" s="56" t="s">
        <v>663</v>
      </c>
      <c r="BZ170" s="56">
        <v>0.25</v>
      </c>
      <c r="CA170" s="56" t="s">
        <v>664</v>
      </c>
      <c r="CB170" s="56" t="s">
        <v>899</v>
      </c>
      <c r="CD170" s="56" t="s">
        <v>667</v>
      </c>
      <c r="CG170" s="56">
        <v>0</v>
      </c>
      <c r="CH170" s="56">
        <v>145</v>
      </c>
      <c r="CJ170" s="56">
        <v>100</v>
      </c>
      <c r="CK170" s="56">
        <v>4434.82</v>
      </c>
      <c r="CL170" s="56">
        <v>0</v>
      </c>
      <c r="CN170" s="56">
        <v>612.48</v>
      </c>
      <c r="CO170" s="56">
        <v>612.48</v>
      </c>
      <c r="CP170" s="56">
        <v>56.7</v>
      </c>
      <c r="CQ170" s="56" t="s">
        <v>668</v>
      </c>
      <c r="CR170" s="56">
        <v>0</v>
      </c>
      <c r="CS170" s="56">
        <v>0</v>
      </c>
      <c r="CV170" s="56">
        <v>0</v>
      </c>
      <c r="CX170" s="56">
        <v>0</v>
      </c>
      <c r="CY170" s="56">
        <v>0</v>
      </c>
      <c r="CZ170" s="56">
        <v>410.22</v>
      </c>
      <c r="DA170" s="56">
        <v>410.22</v>
      </c>
      <c r="DB170" s="56">
        <v>0</v>
      </c>
      <c r="DC170" s="56">
        <v>4024.6</v>
      </c>
      <c r="DD170" s="56">
        <v>15.58</v>
      </c>
      <c r="DE170" s="56">
        <v>0</v>
      </c>
      <c r="DF170" s="56">
        <v>15.58</v>
      </c>
      <c r="DH170" s="56" t="s">
        <v>670</v>
      </c>
      <c r="DI170" s="56" t="s">
        <v>671</v>
      </c>
      <c r="DK170" s="56">
        <v>79.66</v>
      </c>
      <c r="DL170" s="56">
        <v>4065.72</v>
      </c>
      <c r="DM170" s="56">
        <v>67</v>
      </c>
      <c r="DN170" s="56" t="s">
        <v>900</v>
      </c>
      <c r="DO170" s="56" t="s">
        <v>236</v>
      </c>
      <c r="DQ170" s="56" t="s">
        <v>674</v>
      </c>
      <c r="DR170" s="56">
        <v>3</v>
      </c>
      <c r="DW170" s="56">
        <v>280</v>
      </c>
      <c r="DX170" s="56" t="s">
        <v>678</v>
      </c>
      <c r="DY170" s="56" t="s">
        <v>679</v>
      </c>
      <c r="EL170" s="56">
        <v>25</v>
      </c>
      <c r="EM170" s="56">
        <v>15</v>
      </c>
      <c r="EN170" s="56">
        <v>4779</v>
      </c>
      <c r="EO170" s="56">
        <v>1805</v>
      </c>
      <c r="EP170" s="56" t="s">
        <v>1234</v>
      </c>
      <c r="EQ170" s="56" t="s">
        <v>901</v>
      </c>
      <c r="ER170" s="56" t="s">
        <v>902</v>
      </c>
      <c r="ES170" s="56">
        <v>2</v>
      </c>
      <c r="ET170" s="56" t="s">
        <v>682</v>
      </c>
      <c r="EU170" s="56" t="s">
        <v>683</v>
      </c>
      <c r="EV170" s="56" t="s">
        <v>683</v>
      </c>
      <c r="FD170" s="56" t="s">
        <v>1649</v>
      </c>
      <c r="FK170" s="56">
        <v>0</v>
      </c>
    </row>
    <row r="171" spans="1:167" x14ac:dyDescent="0.2">
      <c r="A171" s="56">
        <v>29123</v>
      </c>
      <c r="B171" s="56">
        <v>2</v>
      </c>
      <c r="C171" s="56">
        <v>6352</v>
      </c>
      <c r="D171" s="56" t="s">
        <v>634</v>
      </c>
      <c r="E171" s="56" t="s">
        <v>635</v>
      </c>
      <c r="K171" s="56" t="s">
        <v>1650</v>
      </c>
      <c r="L171" s="56" t="s">
        <v>637</v>
      </c>
      <c r="M171" s="56">
        <v>44943</v>
      </c>
      <c r="N171" s="56">
        <v>44945</v>
      </c>
      <c r="O171" s="56">
        <v>38</v>
      </c>
      <c r="P171" s="56" t="s">
        <v>638</v>
      </c>
      <c r="Q171" s="56">
        <v>2</v>
      </c>
      <c r="R171" s="56" t="s">
        <v>639</v>
      </c>
      <c r="S171" s="56" t="s">
        <v>893</v>
      </c>
      <c r="T171" s="56" t="s">
        <v>641</v>
      </c>
      <c r="U171" s="56" t="s">
        <v>642</v>
      </c>
      <c r="V171" s="56" t="s">
        <v>643</v>
      </c>
      <c r="W171" s="56">
        <v>48</v>
      </c>
      <c r="X171" s="56" t="s">
        <v>699</v>
      </c>
      <c r="Y171" s="56">
        <v>90</v>
      </c>
      <c r="Z171" s="56" t="s">
        <v>894</v>
      </c>
      <c r="AA171" s="56" t="s">
        <v>895</v>
      </c>
      <c r="AB171" s="56" t="s">
        <v>896</v>
      </c>
      <c r="AC171" s="56" t="s">
        <v>641</v>
      </c>
      <c r="AD171" s="56" t="s">
        <v>893</v>
      </c>
      <c r="AE171" s="56">
        <v>141</v>
      </c>
      <c r="AF171" s="56" t="s">
        <v>649</v>
      </c>
      <c r="AG171" s="56" t="s">
        <v>650</v>
      </c>
      <c r="AH171" s="56" t="s">
        <v>643</v>
      </c>
      <c r="AI171" s="56" t="s">
        <v>642</v>
      </c>
      <c r="AJ171" s="56">
        <v>90</v>
      </c>
      <c r="AK171" s="56" t="s">
        <v>894</v>
      </c>
      <c r="AL171" s="56">
        <v>141</v>
      </c>
      <c r="AM171" s="56" t="s">
        <v>649</v>
      </c>
      <c r="AN171" s="56" t="s">
        <v>650</v>
      </c>
      <c r="AO171" s="56" t="s">
        <v>652</v>
      </c>
      <c r="AP171" s="56" t="s">
        <v>643</v>
      </c>
      <c r="AQ171" s="56" t="s">
        <v>642</v>
      </c>
      <c r="AR171" s="56">
        <v>98</v>
      </c>
      <c r="AS171" s="56" t="s">
        <v>645</v>
      </c>
      <c r="AT171" s="56" t="s">
        <v>646</v>
      </c>
      <c r="AU171" s="56" t="s">
        <v>643</v>
      </c>
      <c r="AV171" s="56" t="s">
        <v>648</v>
      </c>
      <c r="AW171" s="56">
        <v>109</v>
      </c>
      <c r="AX171" s="56" t="s">
        <v>826</v>
      </c>
      <c r="AY171" s="56">
        <v>20</v>
      </c>
      <c r="AZ171" s="56" t="s">
        <v>30</v>
      </c>
      <c r="BA171" s="56" t="s">
        <v>827</v>
      </c>
      <c r="BB171" s="56" t="s">
        <v>770</v>
      </c>
      <c r="BC171" s="56">
        <v>38</v>
      </c>
      <c r="BD171" s="56" t="s">
        <v>289</v>
      </c>
      <c r="BE171" s="56" t="s">
        <v>771</v>
      </c>
      <c r="BF171" s="56">
        <v>2</v>
      </c>
      <c r="BG171" s="56" t="s">
        <v>289</v>
      </c>
      <c r="BH171" s="56" t="s">
        <v>772</v>
      </c>
      <c r="BI171" s="56">
        <v>44.77</v>
      </c>
      <c r="BJ171" s="56">
        <v>115366.92</v>
      </c>
      <c r="BK171" s="56">
        <v>44770</v>
      </c>
      <c r="BL171" s="56" t="s">
        <v>897</v>
      </c>
      <c r="BM171" s="56">
        <v>3102</v>
      </c>
      <c r="BN171" s="56" t="s">
        <v>724</v>
      </c>
      <c r="BO171" s="56" t="s">
        <v>725</v>
      </c>
      <c r="BP171" s="56">
        <v>7387.05</v>
      </c>
      <c r="BQ171" s="56">
        <v>6427.7</v>
      </c>
      <c r="BR171" s="56">
        <v>0</v>
      </c>
      <c r="BS171" s="56">
        <v>0</v>
      </c>
      <c r="BT171" s="56">
        <v>0</v>
      </c>
      <c r="BU171" s="56">
        <v>721301</v>
      </c>
      <c r="BV171" s="56">
        <v>98</v>
      </c>
      <c r="BW171" s="56" t="s">
        <v>645</v>
      </c>
      <c r="BX171" s="56" t="s">
        <v>1651</v>
      </c>
      <c r="BY171" s="56" t="s">
        <v>663</v>
      </c>
      <c r="BZ171" s="56">
        <v>0.25</v>
      </c>
      <c r="CA171" s="56" t="s">
        <v>664</v>
      </c>
      <c r="CB171" s="56" t="s">
        <v>899</v>
      </c>
      <c r="CD171" s="56" t="s">
        <v>667</v>
      </c>
      <c r="CG171" s="56">
        <v>0</v>
      </c>
      <c r="CH171" s="56">
        <v>165</v>
      </c>
      <c r="CJ171" s="56">
        <v>100</v>
      </c>
      <c r="CK171" s="56">
        <v>6427.7</v>
      </c>
      <c r="CL171" s="56">
        <v>0</v>
      </c>
      <c r="CN171" s="56">
        <v>886.45</v>
      </c>
      <c r="CO171" s="56">
        <v>886.45</v>
      </c>
      <c r="CP171" s="56">
        <v>72.900000000000006</v>
      </c>
      <c r="CQ171" s="56" t="s">
        <v>668</v>
      </c>
      <c r="CR171" s="56">
        <v>0</v>
      </c>
      <c r="CS171" s="56">
        <v>0</v>
      </c>
      <c r="CV171" s="56">
        <v>0</v>
      </c>
      <c r="CX171" s="56">
        <v>0</v>
      </c>
      <c r="CY171" s="56">
        <v>0</v>
      </c>
      <c r="CZ171" s="56">
        <v>594.57000000000005</v>
      </c>
      <c r="DA171" s="56">
        <v>594.57000000000005</v>
      </c>
      <c r="DB171" s="56">
        <v>0</v>
      </c>
      <c r="DC171" s="56">
        <v>5833.13</v>
      </c>
      <c r="DD171" s="56">
        <v>19.82</v>
      </c>
      <c r="DE171" s="56">
        <v>0</v>
      </c>
      <c r="DF171" s="56">
        <v>19.82</v>
      </c>
      <c r="DH171" s="56" t="s">
        <v>670</v>
      </c>
      <c r="DI171" s="56" t="s">
        <v>671</v>
      </c>
      <c r="DK171" s="56">
        <v>79.680000000000007</v>
      </c>
      <c r="DL171" s="56">
        <v>5886.21</v>
      </c>
      <c r="DM171" s="56">
        <v>40</v>
      </c>
      <c r="DN171" s="56">
        <v>761806</v>
      </c>
      <c r="DO171" s="56" t="s">
        <v>236</v>
      </c>
      <c r="DQ171" s="56" t="s">
        <v>674</v>
      </c>
      <c r="DR171" s="56">
        <v>3</v>
      </c>
      <c r="DW171" s="56">
        <v>370</v>
      </c>
      <c r="DX171" s="56" t="s">
        <v>678</v>
      </c>
      <c r="DY171" s="56" t="s">
        <v>679</v>
      </c>
      <c r="EL171" s="56">
        <v>25</v>
      </c>
      <c r="EM171" s="56">
        <v>15</v>
      </c>
      <c r="EN171" s="56">
        <v>4779</v>
      </c>
      <c r="EO171" s="56">
        <v>1622</v>
      </c>
      <c r="EP171" s="56" t="s">
        <v>1234</v>
      </c>
      <c r="EQ171" s="56" t="s">
        <v>1092</v>
      </c>
      <c r="ER171" s="56" t="s">
        <v>928</v>
      </c>
      <c r="ES171" s="56">
        <v>2</v>
      </c>
      <c r="ET171" s="56" t="s">
        <v>682</v>
      </c>
      <c r="EU171" s="56" t="s">
        <v>683</v>
      </c>
      <c r="EV171" s="56" t="s">
        <v>683</v>
      </c>
      <c r="FD171" s="56" t="s">
        <v>1652</v>
      </c>
      <c r="FK171" s="56">
        <v>0</v>
      </c>
    </row>
    <row r="172" spans="1:167" x14ac:dyDescent="0.2">
      <c r="A172" s="56">
        <v>29124</v>
      </c>
      <c r="B172" s="56">
        <v>2</v>
      </c>
      <c r="C172" s="56">
        <v>6352</v>
      </c>
      <c r="D172" s="56" t="s">
        <v>634</v>
      </c>
      <c r="E172" s="56" t="s">
        <v>635</v>
      </c>
      <c r="K172" s="56" t="s">
        <v>1653</v>
      </c>
      <c r="L172" s="56" t="s">
        <v>637</v>
      </c>
      <c r="M172" s="56">
        <v>44943</v>
      </c>
      <c r="N172" s="56">
        <v>44945</v>
      </c>
      <c r="O172" s="56">
        <v>38</v>
      </c>
      <c r="P172" s="56" t="s">
        <v>638</v>
      </c>
      <c r="Q172" s="56">
        <v>2</v>
      </c>
      <c r="R172" s="56" t="s">
        <v>639</v>
      </c>
      <c r="S172" s="56" t="s">
        <v>893</v>
      </c>
      <c r="T172" s="56" t="s">
        <v>641</v>
      </c>
      <c r="U172" s="56" t="s">
        <v>735</v>
      </c>
      <c r="V172" s="56" t="s">
        <v>643</v>
      </c>
      <c r="W172" s="56">
        <v>48</v>
      </c>
      <c r="X172" s="56" t="s">
        <v>699</v>
      </c>
      <c r="Y172" s="56">
        <v>90</v>
      </c>
      <c r="Z172" s="56" t="s">
        <v>894</v>
      </c>
      <c r="AA172" s="56" t="s">
        <v>895</v>
      </c>
      <c r="AB172" s="56" t="s">
        <v>896</v>
      </c>
      <c r="AC172" s="56" t="s">
        <v>641</v>
      </c>
      <c r="AD172" s="56" t="s">
        <v>893</v>
      </c>
      <c r="AE172" s="56">
        <v>91</v>
      </c>
      <c r="AF172" s="56" t="s">
        <v>736</v>
      </c>
      <c r="AG172" s="56" t="s">
        <v>737</v>
      </c>
      <c r="AH172" s="56" t="s">
        <v>643</v>
      </c>
      <c r="AI172" s="56" t="s">
        <v>735</v>
      </c>
      <c r="AJ172" s="56">
        <v>90</v>
      </c>
      <c r="AK172" s="56" t="s">
        <v>894</v>
      </c>
      <c r="AL172" s="56">
        <v>91</v>
      </c>
      <c r="AM172" s="56" t="s">
        <v>736</v>
      </c>
      <c r="AN172" s="56" t="s">
        <v>737</v>
      </c>
      <c r="AO172" s="56" t="s">
        <v>738</v>
      </c>
      <c r="AP172" s="56" t="s">
        <v>643</v>
      </c>
      <c r="AQ172" s="56" t="s">
        <v>735</v>
      </c>
      <c r="AR172" s="56">
        <v>98</v>
      </c>
      <c r="AS172" s="56" t="s">
        <v>645</v>
      </c>
      <c r="AT172" s="56" t="s">
        <v>646</v>
      </c>
      <c r="AU172" s="56" t="s">
        <v>643</v>
      </c>
      <c r="AV172" s="56" t="s">
        <v>648</v>
      </c>
      <c r="AW172" s="56">
        <v>118</v>
      </c>
      <c r="AX172" s="56" t="s">
        <v>870</v>
      </c>
      <c r="AY172" s="56">
        <v>59</v>
      </c>
      <c r="AZ172" s="56" t="s">
        <v>127</v>
      </c>
      <c r="BA172" s="56" t="s">
        <v>871</v>
      </c>
      <c r="BB172" s="56" t="s">
        <v>844</v>
      </c>
      <c r="BC172" s="56">
        <v>2</v>
      </c>
      <c r="BD172" s="56" t="s">
        <v>289</v>
      </c>
      <c r="BE172" s="56" t="s">
        <v>772</v>
      </c>
      <c r="BF172" s="56">
        <v>2</v>
      </c>
      <c r="BG172" s="56" t="s">
        <v>289</v>
      </c>
      <c r="BH172" s="56" t="s">
        <v>772</v>
      </c>
      <c r="BI172" s="56">
        <v>35.700000000000003</v>
      </c>
      <c r="BJ172" s="56">
        <v>91994.62</v>
      </c>
      <c r="BK172" s="56">
        <v>35.700000000000003</v>
      </c>
      <c r="BL172" s="56" t="s">
        <v>897</v>
      </c>
      <c r="BM172" s="56">
        <v>3102</v>
      </c>
      <c r="BN172" s="56" t="s">
        <v>660</v>
      </c>
      <c r="BO172" s="56" t="s">
        <v>872</v>
      </c>
      <c r="BP172" s="56">
        <v>5176.5</v>
      </c>
      <c r="BQ172" s="56">
        <v>4498.62</v>
      </c>
      <c r="BR172" s="56">
        <v>0</v>
      </c>
      <c r="BS172" s="56">
        <v>0</v>
      </c>
      <c r="BT172" s="56">
        <v>0</v>
      </c>
      <c r="BU172" s="56">
        <v>721281</v>
      </c>
      <c r="BV172" s="56">
        <v>98</v>
      </c>
      <c r="BW172" s="56" t="s">
        <v>645</v>
      </c>
      <c r="BX172" s="56" t="s">
        <v>1654</v>
      </c>
      <c r="BY172" s="56" t="s">
        <v>663</v>
      </c>
      <c r="BZ172" s="56">
        <v>0.25</v>
      </c>
      <c r="CA172" s="56" t="s">
        <v>664</v>
      </c>
      <c r="CB172" s="56" t="s">
        <v>899</v>
      </c>
      <c r="CD172" s="56" t="s">
        <v>667</v>
      </c>
      <c r="CG172" s="56">
        <v>0</v>
      </c>
      <c r="CH172" s="56">
        <v>145</v>
      </c>
      <c r="CJ172" s="56">
        <v>100</v>
      </c>
      <c r="CK172" s="56">
        <v>4498.62</v>
      </c>
      <c r="CL172" s="56">
        <v>0</v>
      </c>
      <c r="CN172" s="56">
        <v>621.17999999999995</v>
      </c>
      <c r="CO172" s="56">
        <v>621.17999999999995</v>
      </c>
      <c r="CP172" s="56">
        <v>56.7</v>
      </c>
      <c r="CQ172" s="56" t="s">
        <v>668</v>
      </c>
      <c r="CR172" s="56">
        <v>0</v>
      </c>
      <c r="CS172" s="56">
        <v>0</v>
      </c>
      <c r="CV172" s="56">
        <v>0</v>
      </c>
      <c r="CX172" s="56">
        <v>0</v>
      </c>
      <c r="CY172" s="56">
        <v>0</v>
      </c>
      <c r="CZ172" s="56">
        <v>416.13</v>
      </c>
      <c r="DA172" s="56">
        <v>416.13</v>
      </c>
      <c r="DB172" s="56">
        <v>0</v>
      </c>
      <c r="DC172" s="56">
        <v>4082.49</v>
      </c>
      <c r="DD172" s="56">
        <v>15.81</v>
      </c>
      <c r="DE172" s="56">
        <v>0</v>
      </c>
      <c r="DF172" s="56">
        <v>15.81</v>
      </c>
      <c r="DH172" s="56" t="s">
        <v>670</v>
      </c>
      <c r="DI172" s="56" t="s">
        <v>671</v>
      </c>
      <c r="DK172" s="56">
        <v>79.66</v>
      </c>
      <c r="DL172" s="56">
        <v>4123.38</v>
      </c>
      <c r="DM172" s="56">
        <v>67</v>
      </c>
      <c r="DN172" s="56" t="s">
        <v>900</v>
      </c>
      <c r="DO172" s="56" t="s">
        <v>236</v>
      </c>
      <c r="DQ172" s="56" t="s">
        <v>674</v>
      </c>
      <c r="DR172" s="56">
        <v>3</v>
      </c>
      <c r="DW172" s="56">
        <v>280</v>
      </c>
      <c r="DX172" s="56" t="s">
        <v>678</v>
      </c>
      <c r="DY172" s="56" t="s">
        <v>679</v>
      </c>
      <c r="EL172" s="56">
        <v>25</v>
      </c>
      <c r="EM172" s="56">
        <v>15</v>
      </c>
      <c r="EN172" s="56">
        <v>4779</v>
      </c>
      <c r="EO172" s="56">
        <v>1805</v>
      </c>
      <c r="EP172" s="56" t="s">
        <v>1234</v>
      </c>
      <c r="EQ172" s="56" t="s">
        <v>901</v>
      </c>
      <c r="ER172" s="56" t="s">
        <v>902</v>
      </c>
      <c r="ES172" s="56">
        <v>2</v>
      </c>
      <c r="ET172" s="56" t="s">
        <v>682</v>
      </c>
      <c r="EU172" s="56" t="s">
        <v>683</v>
      </c>
      <c r="EV172" s="56" t="s">
        <v>683</v>
      </c>
      <c r="FD172" s="56" t="s">
        <v>1655</v>
      </c>
      <c r="FK172" s="56">
        <v>0</v>
      </c>
    </row>
    <row r="173" spans="1:167" x14ac:dyDescent="0.2">
      <c r="A173" s="56">
        <v>29125</v>
      </c>
      <c r="B173" s="56">
        <v>2</v>
      </c>
      <c r="C173" s="56">
        <v>6352</v>
      </c>
      <c r="D173" s="56" t="s">
        <v>634</v>
      </c>
      <c r="E173" s="56" t="s">
        <v>635</v>
      </c>
      <c r="K173" s="56" t="s">
        <v>1656</v>
      </c>
      <c r="L173" s="56" t="s">
        <v>637</v>
      </c>
      <c r="M173" s="56">
        <v>44943</v>
      </c>
      <c r="N173" s="56">
        <v>44945</v>
      </c>
      <c r="O173" s="56">
        <v>38</v>
      </c>
      <c r="P173" s="56" t="s">
        <v>638</v>
      </c>
      <c r="Q173" s="56">
        <v>2</v>
      </c>
      <c r="R173" s="56" t="s">
        <v>639</v>
      </c>
      <c r="S173" s="56" t="s">
        <v>893</v>
      </c>
      <c r="T173" s="56" t="s">
        <v>641</v>
      </c>
      <c r="U173" s="56" t="s">
        <v>735</v>
      </c>
      <c r="V173" s="56" t="s">
        <v>643</v>
      </c>
      <c r="W173" s="56">
        <v>48</v>
      </c>
      <c r="X173" s="56" t="s">
        <v>699</v>
      </c>
      <c r="Y173" s="56">
        <v>162</v>
      </c>
      <c r="Z173" s="56" t="s">
        <v>1030</v>
      </c>
      <c r="AA173" s="56" t="s">
        <v>1031</v>
      </c>
      <c r="AB173" s="56" t="s">
        <v>1032</v>
      </c>
      <c r="AC173" s="56" t="s">
        <v>641</v>
      </c>
      <c r="AD173" s="56" t="s">
        <v>893</v>
      </c>
      <c r="AE173" s="56">
        <v>91</v>
      </c>
      <c r="AF173" s="56" t="s">
        <v>736</v>
      </c>
      <c r="AG173" s="56" t="s">
        <v>737</v>
      </c>
      <c r="AH173" s="56" t="s">
        <v>643</v>
      </c>
      <c r="AI173" s="56" t="s">
        <v>735</v>
      </c>
      <c r="AJ173" s="56">
        <v>162</v>
      </c>
      <c r="AK173" s="56" t="s">
        <v>1030</v>
      </c>
      <c r="AL173" s="56">
        <v>98</v>
      </c>
      <c r="AM173" s="56" t="s">
        <v>645</v>
      </c>
      <c r="AN173" s="56" t="s">
        <v>646</v>
      </c>
      <c r="AO173" s="56" t="s">
        <v>647</v>
      </c>
      <c r="AP173" s="56" t="s">
        <v>643</v>
      </c>
      <c r="AQ173" s="56" t="s">
        <v>648</v>
      </c>
      <c r="AR173" s="56">
        <v>162</v>
      </c>
      <c r="AS173" s="56" t="s">
        <v>1030</v>
      </c>
      <c r="AT173" s="56" t="s">
        <v>1031</v>
      </c>
      <c r="AU173" s="56" t="s">
        <v>641</v>
      </c>
      <c r="AV173" s="56" t="s">
        <v>893</v>
      </c>
      <c r="AW173" s="56">
        <v>107</v>
      </c>
      <c r="AX173" s="56" t="s">
        <v>1003</v>
      </c>
      <c r="AY173" s="56">
        <v>39</v>
      </c>
      <c r="AZ173" s="56" t="s">
        <v>27</v>
      </c>
      <c r="BA173" s="56" t="s">
        <v>1004</v>
      </c>
      <c r="BB173" s="56" t="s">
        <v>770</v>
      </c>
      <c r="BC173" s="56">
        <v>38</v>
      </c>
      <c r="BD173" s="56" t="s">
        <v>289</v>
      </c>
      <c r="BE173" s="56" t="s">
        <v>771</v>
      </c>
      <c r="BF173" s="56">
        <v>2</v>
      </c>
      <c r="BG173" s="56" t="s">
        <v>289</v>
      </c>
      <c r="BH173" s="56" t="s">
        <v>772</v>
      </c>
      <c r="BI173" s="56">
        <v>45.99</v>
      </c>
      <c r="BJ173" s="56">
        <v>178047.98</v>
      </c>
      <c r="BK173" s="56">
        <v>45.99</v>
      </c>
      <c r="BL173" s="56" t="s">
        <v>1110</v>
      </c>
      <c r="BM173" s="56">
        <v>3105</v>
      </c>
      <c r="BN173" s="56" t="s">
        <v>786</v>
      </c>
      <c r="BO173" s="56" t="s">
        <v>911</v>
      </c>
      <c r="BP173" s="56">
        <v>5886.72</v>
      </c>
      <c r="BQ173" s="56">
        <v>5107.41</v>
      </c>
      <c r="BR173" s="56">
        <v>0</v>
      </c>
      <c r="BS173" s="56">
        <v>0</v>
      </c>
      <c r="BT173" s="56">
        <v>0</v>
      </c>
      <c r="BU173" s="56">
        <v>37700</v>
      </c>
      <c r="BV173" s="56">
        <v>162</v>
      </c>
      <c r="BW173" s="56" t="s">
        <v>1030</v>
      </c>
      <c r="BX173" s="56" t="s">
        <v>1657</v>
      </c>
      <c r="BY173" s="56" t="s">
        <v>663</v>
      </c>
      <c r="BZ173" s="56">
        <v>0.25</v>
      </c>
      <c r="CA173" s="56" t="s">
        <v>664</v>
      </c>
      <c r="CB173" s="56" t="s">
        <v>1112</v>
      </c>
      <c r="CD173" s="56" t="s">
        <v>667</v>
      </c>
      <c r="CG173" s="56">
        <v>0</v>
      </c>
      <c r="CH173" s="56">
        <v>128</v>
      </c>
      <c r="CJ173" s="56">
        <v>100</v>
      </c>
      <c r="CK173" s="56">
        <v>5107.41</v>
      </c>
      <c r="CL173" s="56">
        <v>0</v>
      </c>
      <c r="CN173" s="56">
        <v>706.41</v>
      </c>
      <c r="CO173" s="56">
        <v>706.41</v>
      </c>
      <c r="CP173" s="56">
        <v>72.900000000000006</v>
      </c>
      <c r="CQ173" s="56" t="s">
        <v>668</v>
      </c>
      <c r="CR173" s="56">
        <v>0</v>
      </c>
      <c r="CS173" s="56">
        <v>0</v>
      </c>
      <c r="CV173" s="56">
        <v>0</v>
      </c>
      <c r="CX173" s="56">
        <v>0</v>
      </c>
      <c r="CY173" s="56">
        <v>0</v>
      </c>
      <c r="CZ173" s="56">
        <v>472.43</v>
      </c>
      <c r="DA173" s="56">
        <v>472.43</v>
      </c>
      <c r="DB173" s="56">
        <v>0</v>
      </c>
      <c r="DC173" s="56">
        <v>4634.9799999999996</v>
      </c>
      <c r="DD173" s="56">
        <v>30.59</v>
      </c>
      <c r="DE173" s="56">
        <v>0</v>
      </c>
      <c r="DF173" s="56">
        <v>30.59</v>
      </c>
      <c r="DH173" s="56" t="s">
        <v>670</v>
      </c>
      <c r="DI173" s="56" t="s">
        <v>671</v>
      </c>
      <c r="DK173" s="56">
        <v>79.45</v>
      </c>
      <c r="DL173" s="56">
        <v>4677.29</v>
      </c>
      <c r="DM173" s="56">
        <v>26</v>
      </c>
      <c r="DN173" s="56">
        <v>4500914986</v>
      </c>
      <c r="DO173" s="56" t="s">
        <v>236</v>
      </c>
      <c r="DQ173" s="56" t="s">
        <v>674</v>
      </c>
      <c r="DR173" s="56">
        <v>3</v>
      </c>
      <c r="DW173" s="56">
        <v>280</v>
      </c>
      <c r="DX173" s="56" t="s">
        <v>678</v>
      </c>
      <c r="DY173" s="56" t="s">
        <v>679</v>
      </c>
      <c r="EL173" s="56">
        <v>25</v>
      </c>
      <c r="EM173" s="56">
        <v>15</v>
      </c>
      <c r="EN173" s="56">
        <v>4779</v>
      </c>
      <c r="EO173" s="56">
        <v>1805</v>
      </c>
      <c r="EP173" s="56" t="s">
        <v>1234</v>
      </c>
      <c r="EQ173" s="56" t="s">
        <v>1113</v>
      </c>
      <c r="ER173" s="56" t="s">
        <v>902</v>
      </c>
      <c r="ES173" s="56">
        <v>2</v>
      </c>
      <c r="ET173" s="56" t="s">
        <v>682</v>
      </c>
      <c r="EU173" s="56" t="s">
        <v>683</v>
      </c>
      <c r="EV173" s="56" t="s">
        <v>683</v>
      </c>
      <c r="FD173" s="56" t="s">
        <v>1658</v>
      </c>
      <c r="FK173" s="56">
        <v>0</v>
      </c>
    </row>
    <row r="174" spans="1:167" x14ac:dyDescent="0.2">
      <c r="A174" s="56">
        <v>29126</v>
      </c>
      <c r="B174" s="56">
        <v>2</v>
      </c>
      <c r="C174" s="56">
        <v>6352</v>
      </c>
      <c r="D174" s="56" t="s">
        <v>634</v>
      </c>
      <c r="E174" s="56" t="s">
        <v>635</v>
      </c>
      <c r="K174" s="56" t="s">
        <v>1659</v>
      </c>
      <c r="L174" s="56" t="s">
        <v>637</v>
      </c>
      <c r="M174" s="56">
        <v>44944</v>
      </c>
      <c r="N174" s="56">
        <v>44946</v>
      </c>
      <c r="O174" s="56">
        <v>38</v>
      </c>
      <c r="P174" s="56" t="s">
        <v>638</v>
      </c>
      <c r="Q174" s="56">
        <v>2</v>
      </c>
      <c r="R174" s="56" t="s">
        <v>639</v>
      </c>
      <c r="S174" s="56" t="s">
        <v>893</v>
      </c>
      <c r="T174" s="56" t="s">
        <v>641</v>
      </c>
      <c r="U174" s="56" t="s">
        <v>735</v>
      </c>
      <c r="V174" s="56" t="s">
        <v>643</v>
      </c>
      <c r="W174" s="56">
        <v>49</v>
      </c>
      <c r="X174" s="56" t="s">
        <v>887</v>
      </c>
      <c r="Y174" s="56">
        <v>162</v>
      </c>
      <c r="Z174" s="56" t="s">
        <v>1030</v>
      </c>
      <c r="AA174" s="56" t="s">
        <v>1031</v>
      </c>
      <c r="AB174" s="56" t="s">
        <v>1032</v>
      </c>
      <c r="AC174" s="56" t="s">
        <v>641</v>
      </c>
      <c r="AD174" s="56" t="s">
        <v>893</v>
      </c>
      <c r="AE174" s="56">
        <v>91</v>
      </c>
      <c r="AF174" s="56" t="s">
        <v>736</v>
      </c>
      <c r="AG174" s="56" t="s">
        <v>737</v>
      </c>
      <c r="AH174" s="56" t="s">
        <v>643</v>
      </c>
      <c r="AI174" s="56" t="s">
        <v>735</v>
      </c>
      <c r="AJ174" s="56">
        <v>162</v>
      </c>
      <c r="AK174" s="56" t="s">
        <v>1030</v>
      </c>
      <c r="AL174" s="56">
        <v>98</v>
      </c>
      <c r="AM174" s="56" t="s">
        <v>645</v>
      </c>
      <c r="AN174" s="56" t="s">
        <v>646</v>
      </c>
      <c r="AO174" s="56" t="s">
        <v>647</v>
      </c>
      <c r="AP174" s="56" t="s">
        <v>643</v>
      </c>
      <c r="AQ174" s="56" t="s">
        <v>648</v>
      </c>
      <c r="AR174" s="56">
        <v>162</v>
      </c>
      <c r="AS174" s="56" t="s">
        <v>1030</v>
      </c>
      <c r="AT174" s="56" t="s">
        <v>1031</v>
      </c>
      <c r="AU174" s="56" t="s">
        <v>641</v>
      </c>
      <c r="AV174" s="56" t="s">
        <v>893</v>
      </c>
      <c r="AW174" s="56">
        <v>116</v>
      </c>
      <c r="AX174" s="56" t="s">
        <v>876</v>
      </c>
      <c r="AY174" s="56">
        <v>35</v>
      </c>
      <c r="AZ174" s="56" t="s">
        <v>124</v>
      </c>
      <c r="BA174" s="56" t="s">
        <v>877</v>
      </c>
      <c r="BB174" s="56" t="s">
        <v>770</v>
      </c>
      <c r="BC174" s="56">
        <v>38</v>
      </c>
      <c r="BD174" s="56" t="s">
        <v>289</v>
      </c>
      <c r="BE174" s="56" t="s">
        <v>771</v>
      </c>
      <c r="BF174" s="56">
        <v>2</v>
      </c>
      <c r="BG174" s="56" t="s">
        <v>289</v>
      </c>
      <c r="BH174" s="56" t="s">
        <v>772</v>
      </c>
      <c r="BI174" s="56">
        <v>46.38</v>
      </c>
      <c r="BJ174" s="56">
        <v>185622.04</v>
      </c>
      <c r="BK174" s="56">
        <v>46.38</v>
      </c>
      <c r="BL174" s="56" t="s">
        <v>1039</v>
      </c>
      <c r="BM174" s="56">
        <v>3105</v>
      </c>
      <c r="BN174" s="56" t="s">
        <v>724</v>
      </c>
      <c r="BO174" s="56" t="s">
        <v>725</v>
      </c>
      <c r="BP174" s="56">
        <v>5936.64</v>
      </c>
      <c r="BQ174" s="56">
        <v>5151.34</v>
      </c>
      <c r="BR174" s="56">
        <v>0</v>
      </c>
      <c r="BS174" s="56">
        <v>0</v>
      </c>
      <c r="BT174" s="56">
        <v>0</v>
      </c>
      <c r="BU174" s="56">
        <v>37724</v>
      </c>
      <c r="BV174" s="56">
        <v>162</v>
      </c>
      <c r="BW174" s="56" t="s">
        <v>1030</v>
      </c>
      <c r="BX174" s="56" t="s">
        <v>1660</v>
      </c>
      <c r="BY174" s="56" t="s">
        <v>663</v>
      </c>
      <c r="BZ174" s="56">
        <v>0.25</v>
      </c>
      <c r="CA174" s="56" t="s">
        <v>664</v>
      </c>
      <c r="CB174" s="56" t="s">
        <v>1041</v>
      </c>
      <c r="CD174" s="56" t="s">
        <v>667</v>
      </c>
      <c r="CG174" s="56">
        <v>0</v>
      </c>
      <c r="CH174" s="56">
        <v>128</v>
      </c>
      <c r="CJ174" s="56">
        <v>100</v>
      </c>
      <c r="CK174" s="56">
        <v>5151.34</v>
      </c>
      <c r="CL174" s="56">
        <v>0</v>
      </c>
      <c r="CN174" s="56">
        <v>712.4</v>
      </c>
      <c r="CO174" s="56">
        <v>712.4</v>
      </c>
      <c r="CP174" s="56">
        <v>72.900000000000006</v>
      </c>
      <c r="CQ174" s="56" t="s">
        <v>668</v>
      </c>
      <c r="CR174" s="56">
        <v>0</v>
      </c>
      <c r="CS174" s="56">
        <v>0</v>
      </c>
      <c r="CV174" s="56">
        <v>0</v>
      </c>
      <c r="CX174" s="56">
        <v>0</v>
      </c>
      <c r="CY174" s="56">
        <v>0</v>
      </c>
      <c r="CZ174" s="56">
        <v>476.5</v>
      </c>
      <c r="DA174" s="56">
        <v>476.5</v>
      </c>
      <c r="DB174" s="56">
        <v>0</v>
      </c>
      <c r="DC174" s="56">
        <v>4674.84</v>
      </c>
      <c r="DD174" s="56">
        <v>31.89</v>
      </c>
      <c r="DE174" s="56">
        <v>0</v>
      </c>
      <c r="DF174" s="56">
        <v>31.89</v>
      </c>
      <c r="DH174" s="56" t="s">
        <v>670</v>
      </c>
      <c r="DI174" s="56" t="s">
        <v>671</v>
      </c>
      <c r="DK174" s="56">
        <v>79.44</v>
      </c>
      <c r="DL174" s="56">
        <v>4715.8500000000004</v>
      </c>
      <c r="DM174" s="56">
        <v>9</v>
      </c>
      <c r="DN174" s="56">
        <v>4500914985</v>
      </c>
      <c r="DO174" s="56" t="s">
        <v>236</v>
      </c>
      <c r="DQ174" s="56" t="s">
        <v>674</v>
      </c>
      <c r="DR174" s="56">
        <v>3</v>
      </c>
      <c r="DW174" s="56">
        <v>280</v>
      </c>
      <c r="DX174" s="56" t="s">
        <v>678</v>
      </c>
      <c r="DY174" s="56" t="s">
        <v>679</v>
      </c>
      <c r="EL174" s="56">
        <v>25</v>
      </c>
      <c r="EM174" s="56">
        <v>15</v>
      </c>
      <c r="EN174" s="56">
        <v>4779</v>
      </c>
      <c r="EO174" s="56">
        <v>1805</v>
      </c>
      <c r="EP174" s="56" t="s">
        <v>1234</v>
      </c>
      <c r="EQ174" s="56" t="s">
        <v>1046</v>
      </c>
      <c r="ER174" s="56" t="s">
        <v>902</v>
      </c>
      <c r="ES174" s="56">
        <v>2</v>
      </c>
      <c r="ET174" s="56" t="s">
        <v>682</v>
      </c>
      <c r="EU174" s="56" t="s">
        <v>683</v>
      </c>
      <c r="EV174" s="56" t="s">
        <v>683</v>
      </c>
      <c r="FD174" s="56" t="s">
        <v>1661</v>
      </c>
      <c r="FK174" s="56">
        <v>0</v>
      </c>
    </row>
    <row r="175" spans="1:167" x14ac:dyDescent="0.2">
      <c r="A175" s="56">
        <v>29127</v>
      </c>
      <c r="B175" s="56">
        <v>2</v>
      </c>
      <c r="C175" s="56">
        <v>6352</v>
      </c>
      <c r="D175" s="56" t="s">
        <v>634</v>
      </c>
      <c r="E175" s="56" t="s">
        <v>635</v>
      </c>
      <c r="K175" s="56" t="s">
        <v>1662</v>
      </c>
      <c r="L175" s="56" t="s">
        <v>637</v>
      </c>
      <c r="M175" s="56">
        <v>44944</v>
      </c>
      <c r="N175" s="56">
        <v>44946</v>
      </c>
      <c r="O175" s="56">
        <v>38</v>
      </c>
      <c r="P175" s="56" t="s">
        <v>638</v>
      </c>
      <c r="Q175" s="56">
        <v>2</v>
      </c>
      <c r="R175" s="56" t="s">
        <v>639</v>
      </c>
      <c r="S175" s="56" t="s">
        <v>893</v>
      </c>
      <c r="T175" s="56" t="s">
        <v>641</v>
      </c>
      <c r="U175" s="56" t="s">
        <v>735</v>
      </c>
      <c r="V175" s="56" t="s">
        <v>643</v>
      </c>
      <c r="W175" s="56">
        <v>49</v>
      </c>
      <c r="X175" s="56" t="s">
        <v>887</v>
      </c>
      <c r="Y175" s="56">
        <v>162</v>
      </c>
      <c r="Z175" s="56" t="s">
        <v>1030</v>
      </c>
      <c r="AA175" s="56" t="s">
        <v>1031</v>
      </c>
      <c r="AB175" s="56" t="s">
        <v>1032</v>
      </c>
      <c r="AC175" s="56" t="s">
        <v>641</v>
      </c>
      <c r="AD175" s="56" t="s">
        <v>893</v>
      </c>
      <c r="AE175" s="56">
        <v>91</v>
      </c>
      <c r="AF175" s="56" t="s">
        <v>736</v>
      </c>
      <c r="AG175" s="56" t="s">
        <v>737</v>
      </c>
      <c r="AH175" s="56" t="s">
        <v>643</v>
      </c>
      <c r="AI175" s="56" t="s">
        <v>735</v>
      </c>
      <c r="AJ175" s="56">
        <v>162</v>
      </c>
      <c r="AK175" s="56" t="s">
        <v>1030</v>
      </c>
      <c r="AL175" s="56">
        <v>98</v>
      </c>
      <c r="AM175" s="56" t="s">
        <v>645</v>
      </c>
      <c r="AN175" s="56" t="s">
        <v>646</v>
      </c>
      <c r="AO175" s="56" t="s">
        <v>647</v>
      </c>
      <c r="AP175" s="56" t="s">
        <v>643</v>
      </c>
      <c r="AQ175" s="56" t="s">
        <v>648</v>
      </c>
      <c r="AR175" s="56">
        <v>162</v>
      </c>
      <c r="AS175" s="56" t="s">
        <v>1030</v>
      </c>
      <c r="AT175" s="56" t="s">
        <v>1031</v>
      </c>
      <c r="AU175" s="56" t="s">
        <v>641</v>
      </c>
      <c r="AV175" s="56" t="s">
        <v>893</v>
      </c>
      <c r="AW175" s="56">
        <v>121</v>
      </c>
      <c r="AX175" s="56" t="s">
        <v>859</v>
      </c>
      <c r="AY175" s="56">
        <v>51</v>
      </c>
      <c r="AZ175" s="56" t="s">
        <v>29</v>
      </c>
      <c r="BA175" s="56" t="s">
        <v>860</v>
      </c>
      <c r="BB175" s="56" t="s">
        <v>770</v>
      </c>
      <c r="BC175" s="56">
        <v>38</v>
      </c>
      <c r="BD175" s="56" t="s">
        <v>289</v>
      </c>
      <c r="BE175" s="56" t="s">
        <v>771</v>
      </c>
      <c r="BF175" s="56">
        <v>2</v>
      </c>
      <c r="BG175" s="56" t="s">
        <v>289</v>
      </c>
      <c r="BH175" s="56" t="s">
        <v>772</v>
      </c>
      <c r="BI175" s="56">
        <v>46.76</v>
      </c>
      <c r="BJ175" s="56">
        <v>181805.68</v>
      </c>
      <c r="BK175" s="56">
        <v>46.76</v>
      </c>
      <c r="BL175" s="56" t="s">
        <v>1039</v>
      </c>
      <c r="BM175" s="56">
        <v>3105</v>
      </c>
      <c r="BN175" s="56" t="s">
        <v>724</v>
      </c>
      <c r="BO175" s="56" t="s">
        <v>725</v>
      </c>
      <c r="BP175" s="56">
        <v>5985.28</v>
      </c>
      <c r="BQ175" s="56">
        <v>5194.1499999999996</v>
      </c>
      <c r="BR175" s="56">
        <v>0</v>
      </c>
      <c r="BS175" s="56">
        <v>0</v>
      </c>
      <c r="BT175" s="56">
        <v>0</v>
      </c>
      <c r="BU175" s="56">
        <v>37726</v>
      </c>
      <c r="BV175" s="56">
        <v>162</v>
      </c>
      <c r="BW175" s="56" t="s">
        <v>1030</v>
      </c>
      <c r="BX175" s="56" t="s">
        <v>1663</v>
      </c>
      <c r="BY175" s="56" t="s">
        <v>663</v>
      </c>
      <c r="BZ175" s="56">
        <v>0.25</v>
      </c>
      <c r="CA175" s="56" t="s">
        <v>664</v>
      </c>
      <c r="CB175" s="56" t="s">
        <v>1664</v>
      </c>
      <c r="CD175" s="56" t="s">
        <v>667</v>
      </c>
      <c r="CG175" s="56">
        <v>0</v>
      </c>
      <c r="CH175" s="56">
        <v>128</v>
      </c>
      <c r="CJ175" s="56">
        <v>100</v>
      </c>
      <c r="CK175" s="56">
        <v>5194.1499999999996</v>
      </c>
      <c r="CL175" s="56">
        <v>0</v>
      </c>
      <c r="CN175" s="56">
        <v>718.23</v>
      </c>
      <c r="CO175" s="56">
        <v>718.23</v>
      </c>
      <c r="CP175" s="56">
        <v>72.900000000000006</v>
      </c>
      <c r="CQ175" s="56" t="s">
        <v>668</v>
      </c>
      <c r="CR175" s="56">
        <v>0</v>
      </c>
      <c r="CS175" s="56">
        <v>0</v>
      </c>
      <c r="CV175" s="56">
        <v>0</v>
      </c>
      <c r="CX175" s="56">
        <v>0</v>
      </c>
      <c r="CY175" s="56">
        <v>0</v>
      </c>
      <c r="CZ175" s="56">
        <v>480.46</v>
      </c>
      <c r="DA175" s="56">
        <v>480.46</v>
      </c>
      <c r="DB175" s="56">
        <v>0</v>
      </c>
      <c r="DC175" s="56">
        <v>4713.6899999999996</v>
      </c>
      <c r="DD175" s="56">
        <v>31.24</v>
      </c>
      <c r="DE175" s="56">
        <v>0</v>
      </c>
      <c r="DF175" s="56">
        <v>31.24</v>
      </c>
      <c r="DH175" s="56" t="s">
        <v>670</v>
      </c>
      <c r="DI175" s="56" t="s">
        <v>671</v>
      </c>
      <c r="DK175" s="56">
        <v>79.45</v>
      </c>
      <c r="DL175" s="56">
        <v>4755.3500000000004</v>
      </c>
      <c r="DM175" s="56">
        <v>9</v>
      </c>
      <c r="DN175" s="56">
        <v>4500914985</v>
      </c>
      <c r="DO175" s="56" t="s">
        <v>236</v>
      </c>
      <c r="DQ175" s="56" t="s">
        <v>674</v>
      </c>
      <c r="DR175" s="56">
        <v>3</v>
      </c>
      <c r="DW175" s="56">
        <v>280</v>
      </c>
      <c r="DX175" s="56" t="s">
        <v>678</v>
      </c>
      <c r="DY175" s="56" t="s">
        <v>679</v>
      </c>
      <c r="EL175" s="56">
        <v>25</v>
      </c>
      <c r="EM175" s="56">
        <v>15</v>
      </c>
      <c r="EN175" s="56">
        <v>4779</v>
      </c>
      <c r="EO175" s="56">
        <v>1805</v>
      </c>
      <c r="EP175" s="56" t="s">
        <v>1234</v>
      </c>
      <c r="EQ175" s="56" t="s">
        <v>1046</v>
      </c>
      <c r="ER175" s="56" t="s">
        <v>902</v>
      </c>
      <c r="ES175" s="56">
        <v>2</v>
      </c>
      <c r="ET175" s="56" t="s">
        <v>682</v>
      </c>
      <c r="EU175" s="56" t="s">
        <v>683</v>
      </c>
      <c r="EV175" s="56" t="s">
        <v>683</v>
      </c>
      <c r="FD175" s="56" t="s">
        <v>1665</v>
      </c>
      <c r="FK175" s="56">
        <v>0</v>
      </c>
    </row>
    <row r="176" spans="1:167" x14ac:dyDescent="0.2">
      <c r="A176" s="56">
        <v>29128</v>
      </c>
      <c r="B176" s="56">
        <v>2</v>
      </c>
      <c r="C176" s="56">
        <v>6352</v>
      </c>
      <c r="D176" s="56" t="s">
        <v>634</v>
      </c>
      <c r="E176" s="56" t="s">
        <v>635</v>
      </c>
      <c r="K176" s="56" t="s">
        <v>1666</v>
      </c>
      <c r="L176" s="56" t="s">
        <v>637</v>
      </c>
      <c r="M176" s="56">
        <v>44944</v>
      </c>
      <c r="N176" s="56">
        <v>44946</v>
      </c>
      <c r="O176" s="56">
        <v>38</v>
      </c>
      <c r="P176" s="56" t="s">
        <v>638</v>
      </c>
      <c r="Q176" s="56">
        <v>2</v>
      </c>
      <c r="R176" s="56" t="s">
        <v>639</v>
      </c>
      <c r="S176" s="56" t="s">
        <v>1057</v>
      </c>
      <c r="T176" s="56" t="s">
        <v>641</v>
      </c>
      <c r="U176" s="56" t="s">
        <v>1058</v>
      </c>
      <c r="V176" s="56" t="s">
        <v>643</v>
      </c>
      <c r="W176" s="56">
        <v>46</v>
      </c>
      <c r="X176" s="56" t="s">
        <v>811</v>
      </c>
      <c r="Y176" s="56">
        <v>278</v>
      </c>
      <c r="Z176" s="56" t="s">
        <v>1059</v>
      </c>
      <c r="AA176" s="56" t="s">
        <v>1060</v>
      </c>
      <c r="AB176" s="56" t="s">
        <v>1061</v>
      </c>
      <c r="AC176" s="56" t="s">
        <v>641</v>
      </c>
      <c r="AD176" s="56" t="s">
        <v>1057</v>
      </c>
      <c r="AL176" s="56">
        <v>208</v>
      </c>
      <c r="AM176" s="56" t="s">
        <v>1062</v>
      </c>
      <c r="AN176" s="56" t="s">
        <v>1063</v>
      </c>
      <c r="AO176" s="56" t="s">
        <v>1064</v>
      </c>
      <c r="AP176" s="56" t="s">
        <v>643</v>
      </c>
      <c r="AQ176" s="56" t="s">
        <v>1058</v>
      </c>
      <c r="AR176" s="56">
        <v>208</v>
      </c>
      <c r="AS176" s="56" t="s">
        <v>1062</v>
      </c>
      <c r="AT176" s="56" t="s">
        <v>1063</v>
      </c>
      <c r="AU176" s="56" t="s">
        <v>643</v>
      </c>
      <c r="AV176" s="56" t="s">
        <v>1058</v>
      </c>
      <c r="AW176" s="56">
        <v>930</v>
      </c>
      <c r="AX176" s="56" t="s">
        <v>1667</v>
      </c>
      <c r="AY176" s="56">
        <v>1094</v>
      </c>
      <c r="AZ176" s="56" t="s">
        <v>1668</v>
      </c>
      <c r="BA176" s="56" t="s">
        <v>1669</v>
      </c>
      <c r="BB176" s="56" t="s">
        <v>1068</v>
      </c>
      <c r="BC176" s="56">
        <v>929</v>
      </c>
      <c r="BD176" s="56" t="s">
        <v>1069</v>
      </c>
      <c r="BE176" s="56" t="s">
        <v>1070</v>
      </c>
      <c r="BF176" s="56">
        <v>929</v>
      </c>
      <c r="BG176" s="56" t="s">
        <v>1069</v>
      </c>
      <c r="BH176" s="56" t="s">
        <v>1070</v>
      </c>
      <c r="BI176" s="56">
        <v>35.5</v>
      </c>
      <c r="BJ176" s="56">
        <v>2946.5</v>
      </c>
      <c r="BK176" s="56">
        <v>35.5</v>
      </c>
      <c r="BL176" s="56" t="s">
        <v>1071</v>
      </c>
      <c r="BM176" s="56">
        <v>2518</v>
      </c>
      <c r="BN176" s="56" t="s">
        <v>786</v>
      </c>
      <c r="BO176" s="56" t="s">
        <v>1203</v>
      </c>
      <c r="BP176" s="56">
        <v>4082.5</v>
      </c>
      <c r="BQ176" s="56">
        <v>3573.7</v>
      </c>
      <c r="BR176" s="56">
        <v>0</v>
      </c>
      <c r="BS176" s="56">
        <v>0</v>
      </c>
      <c r="BT176" s="56">
        <v>3247.1</v>
      </c>
      <c r="BU176" s="56">
        <v>272422</v>
      </c>
      <c r="BV176" s="56">
        <v>208</v>
      </c>
      <c r="BW176" s="56" t="s">
        <v>1062</v>
      </c>
      <c r="BX176" s="56" t="s">
        <v>1670</v>
      </c>
      <c r="BY176" s="56" t="s">
        <v>663</v>
      </c>
      <c r="BZ176" s="56">
        <v>0.5</v>
      </c>
      <c r="CA176" s="56" t="s">
        <v>664</v>
      </c>
      <c r="CB176" s="56" t="s">
        <v>1073</v>
      </c>
      <c r="CC176" s="56" t="s">
        <v>1074</v>
      </c>
      <c r="CD176" s="56" t="s">
        <v>667</v>
      </c>
      <c r="CF176" s="56">
        <v>0</v>
      </c>
      <c r="CG176" s="56">
        <v>0</v>
      </c>
      <c r="CH176" s="56">
        <v>115</v>
      </c>
      <c r="CI176" s="56">
        <v>92</v>
      </c>
      <c r="CJ176" s="56">
        <v>9.14</v>
      </c>
      <c r="CK176" s="56">
        <v>3573.7</v>
      </c>
      <c r="CL176" s="56">
        <v>3247.1</v>
      </c>
      <c r="CM176" s="56">
        <v>48.98</v>
      </c>
      <c r="CN176" s="56">
        <v>489.9</v>
      </c>
      <c r="CO176" s="56">
        <v>489.9</v>
      </c>
      <c r="CP176" s="56">
        <v>18.899999999999999</v>
      </c>
      <c r="CQ176" s="56" t="s">
        <v>668</v>
      </c>
      <c r="CR176" s="56">
        <v>0</v>
      </c>
      <c r="CS176" s="56">
        <v>18.899999999999999</v>
      </c>
      <c r="CT176" s="56" t="s">
        <v>669</v>
      </c>
      <c r="CU176" s="56">
        <v>0</v>
      </c>
      <c r="CV176" s="56">
        <v>0</v>
      </c>
      <c r="CX176" s="56">
        <v>326.60000000000002</v>
      </c>
      <c r="CY176" s="56">
        <v>0</v>
      </c>
      <c r="CZ176" s="56">
        <v>28.46</v>
      </c>
      <c r="DA176" s="56">
        <v>330.57</v>
      </c>
      <c r="DB176" s="56">
        <v>302.11</v>
      </c>
      <c r="DC176" s="56">
        <v>3545.24</v>
      </c>
      <c r="DD176" s="56">
        <v>-0.96</v>
      </c>
      <c r="DE176" s="56">
        <v>0</v>
      </c>
      <c r="DF176" s="56">
        <v>0.51</v>
      </c>
      <c r="DG176" s="56">
        <v>1.47</v>
      </c>
      <c r="DH176" s="56" t="s">
        <v>670</v>
      </c>
      <c r="DI176" s="56" t="s">
        <v>671</v>
      </c>
      <c r="DK176" s="56">
        <v>7.33</v>
      </c>
      <c r="DL176" s="56">
        <v>299.10000000000002</v>
      </c>
      <c r="DO176" s="56" t="s">
        <v>236</v>
      </c>
      <c r="DP176" s="56" t="s">
        <v>673</v>
      </c>
      <c r="DQ176" s="56" t="s">
        <v>674</v>
      </c>
      <c r="DR176" s="56">
        <v>3</v>
      </c>
      <c r="DX176" s="56" t="s">
        <v>678</v>
      </c>
      <c r="DY176" s="56" t="s">
        <v>679</v>
      </c>
      <c r="ED176" s="56">
        <v>1</v>
      </c>
      <c r="EE176" s="56" t="s">
        <v>809</v>
      </c>
      <c r="EF176" s="56">
        <v>1</v>
      </c>
      <c r="EG176" s="56" t="s">
        <v>809</v>
      </c>
      <c r="EH176" s="56">
        <v>1</v>
      </c>
      <c r="EI176" s="56" t="s">
        <v>809</v>
      </c>
      <c r="EJ176" s="56">
        <v>1</v>
      </c>
      <c r="EK176" s="56" t="s">
        <v>809</v>
      </c>
      <c r="EL176" s="56">
        <v>25</v>
      </c>
      <c r="EM176" s="56">
        <v>15</v>
      </c>
      <c r="EN176" s="56">
        <v>5235</v>
      </c>
      <c r="EO176" s="56">
        <v>2441</v>
      </c>
      <c r="EP176" s="56">
        <v>6674</v>
      </c>
      <c r="ER176" s="56" t="s">
        <v>1075</v>
      </c>
      <c r="ES176" s="56">
        <v>2</v>
      </c>
      <c r="ET176" s="56" t="s">
        <v>682</v>
      </c>
      <c r="EU176" s="56" t="s">
        <v>683</v>
      </c>
      <c r="EV176" s="56" t="s">
        <v>683</v>
      </c>
      <c r="FD176" s="56" t="s">
        <v>1671</v>
      </c>
      <c r="FK176" s="56">
        <v>0</v>
      </c>
    </row>
    <row r="177" spans="1:167" x14ac:dyDescent="0.2">
      <c r="A177" s="56">
        <v>29129</v>
      </c>
      <c r="B177" s="56">
        <v>2</v>
      </c>
      <c r="C177" s="56">
        <v>6352</v>
      </c>
      <c r="D177" s="56" t="s">
        <v>634</v>
      </c>
      <c r="E177" s="56" t="s">
        <v>635</v>
      </c>
      <c r="K177" s="56" t="s">
        <v>1672</v>
      </c>
      <c r="L177" s="56" t="s">
        <v>637</v>
      </c>
      <c r="M177" s="56">
        <v>44944</v>
      </c>
      <c r="N177" s="56">
        <v>44946</v>
      </c>
      <c r="O177" s="56">
        <v>38</v>
      </c>
      <c r="P177" s="56" t="s">
        <v>638</v>
      </c>
      <c r="Q177" s="56">
        <v>2</v>
      </c>
      <c r="R177" s="56" t="s">
        <v>639</v>
      </c>
      <c r="S177" s="56" t="s">
        <v>1057</v>
      </c>
      <c r="T177" s="56" t="s">
        <v>641</v>
      </c>
      <c r="U177" s="56" t="s">
        <v>1058</v>
      </c>
      <c r="V177" s="56" t="s">
        <v>643</v>
      </c>
      <c r="W177" s="56">
        <v>46</v>
      </c>
      <c r="X177" s="56" t="s">
        <v>811</v>
      </c>
      <c r="Y177" s="56">
        <v>278</v>
      </c>
      <c r="Z177" s="56" t="s">
        <v>1059</v>
      </c>
      <c r="AA177" s="56" t="s">
        <v>1060</v>
      </c>
      <c r="AB177" s="56" t="s">
        <v>1061</v>
      </c>
      <c r="AC177" s="56" t="s">
        <v>641</v>
      </c>
      <c r="AD177" s="56" t="s">
        <v>1057</v>
      </c>
      <c r="AL177" s="56">
        <v>208</v>
      </c>
      <c r="AM177" s="56" t="s">
        <v>1062</v>
      </c>
      <c r="AN177" s="56" t="s">
        <v>1063</v>
      </c>
      <c r="AO177" s="56" t="s">
        <v>1064</v>
      </c>
      <c r="AP177" s="56" t="s">
        <v>643</v>
      </c>
      <c r="AQ177" s="56" t="s">
        <v>1058</v>
      </c>
      <c r="AR177" s="56">
        <v>208</v>
      </c>
      <c r="AS177" s="56" t="s">
        <v>1062</v>
      </c>
      <c r="AT177" s="56" t="s">
        <v>1063</v>
      </c>
      <c r="AU177" s="56" t="s">
        <v>643</v>
      </c>
      <c r="AV177" s="56" t="s">
        <v>1058</v>
      </c>
      <c r="AW177" s="56">
        <v>1205</v>
      </c>
      <c r="AX177" s="56" t="s">
        <v>1673</v>
      </c>
      <c r="AY177" s="56">
        <v>1376</v>
      </c>
      <c r="AZ177" s="56" t="s">
        <v>1674</v>
      </c>
      <c r="BA177" s="56" t="s">
        <v>1675</v>
      </c>
      <c r="BB177" s="56" t="s">
        <v>1068</v>
      </c>
      <c r="BC177" s="56">
        <v>929</v>
      </c>
      <c r="BD177" s="56" t="s">
        <v>1069</v>
      </c>
      <c r="BE177" s="56" t="s">
        <v>1070</v>
      </c>
      <c r="BF177" s="56">
        <v>929</v>
      </c>
      <c r="BG177" s="56" t="s">
        <v>1069</v>
      </c>
      <c r="BH177" s="56" t="s">
        <v>1070</v>
      </c>
      <c r="BI177" s="56">
        <v>35.5</v>
      </c>
      <c r="BJ177" s="56">
        <v>2946.5</v>
      </c>
      <c r="BK177" s="56">
        <v>35.5</v>
      </c>
      <c r="BL177" s="56" t="s">
        <v>1071</v>
      </c>
      <c r="BM177" s="56">
        <v>2518</v>
      </c>
      <c r="BN177" s="56" t="s">
        <v>744</v>
      </c>
      <c r="BO177" s="56" t="s">
        <v>1182</v>
      </c>
      <c r="BP177" s="56">
        <v>4082.5</v>
      </c>
      <c r="BQ177" s="56">
        <v>3573.7</v>
      </c>
      <c r="BR177" s="56">
        <v>0</v>
      </c>
      <c r="BS177" s="56">
        <v>0</v>
      </c>
      <c r="BT177" s="56">
        <v>3247.1</v>
      </c>
      <c r="BU177" s="56">
        <v>272424</v>
      </c>
      <c r="BV177" s="56">
        <v>208</v>
      </c>
      <c r="BW177" s="56" t="s">
        <v>1062</v>
      </c>
      <c r="BX177" s="56" t="s">
        <v>1676</v>
      </c>
      <c r="BY177" s="56" t="s">
        <v>663</v>
      </c>
      <c r="BZ177" s="56">
        <v>0.5</v>
      </c>
      <c r="CA177" s="56" t="s">
        <v>664</v>
      </c>
      <c r="CB177" s="56" t="s">
        <v>1073</v>
      </c>
      <c r="CC177" s="56" t="s">
        <v>1074</v>
      </c>
      <c r="CD177" s="56" t="s">
        <v>667</v>
      </c>
      <c r="CF177" s="56">
        <v>0</v>
      </c>
      <c r="CG177" s="56">
        <v>0</v>
      </c>
      <c r="CH177" s="56">
        <v>115</v>
      </c>
      <c r="CI177" s="56">
        <v>92</v>
      </c>
      <c r="CJ177" s="56">
        <v>9.14</v>
      </c>
      <c r="CK177" s="56">
        <v>3573.7</v>
      </c>
      <c r="CL177" s="56">
        <v>3247.1</v>
      </c>
      <c r="CM177" s="56">
        <v>48.98</v>
      </c>
      <c r="CN177" s="56">
        <v>489.9</v>
      </c>
      <c r="CO177" s="56">
        <v>489.9</v>
      </c>
      <c r="CP177" s="56">
        <v>18.899999999999999</v>
      </c>
      <c r="CQ177" s="56" t="s">
        <v>668</v>
      </c>
      <c r="CR177" s="56">
        <v>0</v>
      </c>
      <c r="CS177" s="56">
        <v>18.899999999999999</v>
      </c>
      <c r="CT177" s="56" t="s">
        <v>669</v>
      </c>
      <c r="CU177" s="56">
        <v>0</v>
      </c>
      <c r="CV177" s="56">
        <v>0</v>
      </c>
      <c r="CX177" s="56">
        <v>326.60000000000002</v>
      </c>
      <c r="CY177" s="56">
        <v>0</v>
      </c>
      <c r="CZ177" s="56">
        <v>28.46</v>
      </c>
      <c r="DA177" s="56">
        <v>330.57</v>
      </c>
      <c r="DB177" s="56">
        <v>302.11</v>
      </c>
      <c r="DC177" s="56">
        <v>3545.24</v>
      </c>
      <c r="DD177" s="56">
        <v>-0.96</v>
      </c>
      <c r="DE177" s="56">
        <v>0</v>
      </c>
      <c r="DF177" s="56">
        <v>0.51</v>
      </c>
      <c r="DG177" s="56">
        <v>1.47</v>
      </c>
      <c r="DH177" s="56" t="s">
        <v>670</v>
      </c>
      <c r="DI177" s="56" t="s">
        <v>671</v>
      </c>
      <c r="DK177" s="56">
        <v>7.33</v>
      </c>
      <c r="DL177" s="56">
        <v>299.10000000000002</v>
      </c>
      <c r="DO177" s="56" t="s">
        <v>236</v>
      </c>
      <c r="DP177" s="56" t="s">
        <v>673</v>
      </c>
      <c r="DQ177" s="56" t="s">
        <v>674</v>
      </c>
      <c r="DR177" s="56">
        <v>3</v>
      </c>
      <c r="DX177" s="56" t="s">
        <v>678</v>
      </c>
      <c r="DY177" s="56" t="s">
        <v>679</v>
      </c>
      <c r="ED177" s="56">
        <v>1</v>
      </c>
      <c r="EE177" s="56" t="s">
        <v>809</v>
      </c>
      <c r="EF177" s="56">
        <v>1</v>
      </c>
      <c r="EG177" s="56" t="s">
        <v>809</v>
      </c>
      <c r="EH177" s="56">
        <v>1</v>
      </c>
      <c r="EI177" s="56" t="s">
        <v>809</v>
      </c>
      <c r="EJ177" s="56">
        <v>1</v>
      </c>
      <c r="EK177" s="56" t="s">
        <v>809</v>
      </c>
      <c r="EL177" s="56">
        <v>25</v>
      </c>
      <c r="EM177" s="56">
        <v>15</v>
      </c>
      <c r="EN177" s="56">
        <v>5235</v>
      </c>
      <c r="EO177" s="56">
        <v>2441</v>
      </c>
      <c r="EP177" s="56">
        <v>6674</v>
      </c>
      <c r="ER177" s="56" t="s">
        <v>1075</v>
      </c>
      <c r="ES177" s="56">
        <v>2</v>
      </c>
      <c r="ET177" s="56" t="s">
        <v>682</v>
      </c>
      <c r="EU177" s="56" t="s">
        <v>683</v>
      </c>
      <c r="EV177" s="56" t="s">
        <v>683</v>
      </c>
      <c r="FD177" s="56" t="s">
        <v>1677</v>
      </c>
      <c r="FK177" s="56">
        <v>0</v>
      </c>
    </row>
    <row r="178" spans="1:167" x14ac:dyDescent="0.2">
      <c r="A178" s="56">
        <v>29130</v>
      </c>
      <c r="B178" s="56">
        <v>2</v>
      </c>
      <c r="C178" s="56">
        <v>6352</v>
      </c>
      <c r="D178" s="56" t="s">
        <v>634</v>
      </c>
      <c r="E178" s="56" t="s">
        <v>635</v>
      </c>
      <c r="K178" s="56" t="s">
        <v>1678</v>
      </c>
      <c r="L178" s="56" t="s">
        <v>637</v>
      </c>
      <c r="M178" s="56">
        <v>44944</v>
      </c>
      <c r="N178" s="56">
        <v>44946</v>
      </c>
      <c r="O178" s="56">
        <v>38</v>
      </c>
      <c r="P178" s="56" t="s">
        <v>638</v>
      </c>
      <c r="Q178" s="56">
        <v>2</v>
      </c>
      <c r="R178" s="56" t="s">
        <v>639</v>
      </c>
      <c r="S178" s="56" t="s">
        <v>1057</v>
      </c>
      <c r="T178" s="56" t="s">
        <v>641</v>
      </c>
      <c r="U178" s="56" t="s">
        <v>1058</v>
      </c>
      <c r="V178" s="56" t="s">
        <v>643</v>
      </c>
      <c r="W178" s="56">
        <v>46</v>
      </c>
      <c r="X178" s="56" t="s">
        <v>811</v>
      </c>
      <c r="Y178" s="56">
        <v>278</v>
      </c>
      <c r="Z178" s="56" t="s">
        <v>1059</v>
      </c>
      <c r="AA178" s="56" t="s">
        <v>1060</v>
      </c>
      <c r="AB178" s="56" t="s">
        <v>1061</v>
      </c>
      <c r="AC178" s="56" t="s">
        <v>641</v>
      </c>
      <c r="AD178" s="56" t="s">
        <v>1057</v>
      </c>
      <c r="AL178" s="56">
        <v>208</v>
      </c>
      <c r="AM178" s="56" t="s">
        <v>1062</v>
      </c>
      <c r="AN178" s="56" t="s">
        <v>1063</v>
      </c>
      <c r="AO178" s="56" t="s">
        <v>1064</v>
      </c>
      <c r="AP178" s="56" t="s">
        <v>643</v>
      </c>
      <c r="AQ178" s="56" t="s">
        <v>1058</v>
      </c>
      <c r="AR178" s="56">
        <v>208</v>
      </c>
      <c r="AS178" s="56" t="s">
        <v>1062</v>
      </c>
      <c r="AT178" s="56" t="s">
        <v>1063</v>
      </c>
      <c r="AU178" s="56" t="s">
        <v>643</v>
      </c>
      <c r="AV178" s="56" t="s">
        <v>1058</v>
      </c>
      <c r="AW178" s="56">
        <v>1204</v>
      </c>
      <c r="AX178" s="56" t="s">
        <v>1679</v>
      </c>
      <c r="AY178" s="56">
        <v>1453</v>
      </c>
      <c r="AZ178" s="56" t="s">
        <v>1680</v>
      </c>
      <c r="BA178" s="56" t="s">
        <v>1681</v>
      </c>
      <c r="BB178" s="56" t="s">
        <v>1068</v>
      </c>
      <c r="BC178" s="56">
        <v>929</v>
      </c>
      <c r="BD178" s="56" t="s">
        <v>1069</v>
      </c>
      <c r="BE178" s="56" t="s">
        <v>1070</v>
      </c>
      <c r="BF178" s="56">
        <v>929</v>
      </c>
      <c r="BG178" s="56" t="s">
        <v>1069</v>
      </c>
      <c r="BH178" s="56" t="s">
        <v>1070</v>
      </c>
      <c r="BI178" s="56">
        <v>35.5</v>
      </c>
      <c r="BJ178" s="56">
        <v>2946.5</v>
      </c>
      <c r="BK178" s="56">
        <v>35.5</v>
      </c>
      <c r="BL178" s="56" t="s">
        <v>1071</v>
      </c>
      <c r="BM178" s="56">
        <v>2518</v>
      </c>
      <c r="BN178" s="56" t="s">
        <v>744</v>
      </c>
      <c r="BO178" s="56" t="s">
        <v>1182</v>
      </c>
      <c r="BP178" s="56">
        <v>4082.5</v>
      </c>
      <c r="BQ178" s="56">
        <v>3573.7</v>
      </c>
      <c r="BR178" s="56">
        <v>0</v>
      </c>
      <c r="BS178" s="56">
        <v>0</v>
      </c>
      <c r="BT178" s="56">
        <v>3247.1</v>
      </c>
      <c r="BU178" s="56">
        <v>272428</v>
      </c>
      <c r="BV178" s="56">
        <v>208</v>
      </c>
      <c r="BW178" s="56" t="s">
        <v>1062</v>
      </c>
      <c r="BX178" s="56" t="s">
        <v>1682</v>
      </c>
      <c r="BY178" s="56" t="s">
        <v>663</v>
      </c>
      <c r="BZ178" s="56">
        <v>0.5</v>
      </c>
      <c r="CA178" s="56" t="s">
        <v>664</v>
      </c>
      <c r="CB178" s="56" t="s">
        <v>1073</v>
      </c>
      <c r="CC178" s="56" t="s">
        <v>1074</v>
      </c>
      <c r="CD178" s="56" t="s">
        <v>667</v>
      </c>
      <c r="CF178" s="56">
        <v>0</v>
      </c>
      <c r="CG178" s="56">
        <v>0</v>
      </c>
      <c r="CH178" s="56">
        <v>115</v>
      </c>
      <c r="CI178" s="56">
        <v>92</v>
      </c>
      <c r="CJ178" s="56">
        <v>9.14</v>
      </c>
      <c r="CK178" s="56">
        <v>3573.7</v>
      </c>
      <c r="CL178" s="56">
        <v>3247.1</v>
      </c>
      <c r="CM178" s="56">
        <v>0</v>
      </c>
      <c r="CN178" s="56">
        <v>489.9</v>
      </c>
      <c r="CO178" s="56">
        <v>489.9</v>
      </c>
      <c r="CP178" s="56">
        <v>18.899999999999999</v>
      </c>
      <c r="CQ178" s="56" t="s">
        <v>668</v>
      </c>
      <c r="CR178" s="56">
        <v>0</v>
      </c>
      <c r="CS178" s="56">
        <v>18.899999999999999</v>
      </c>
      <c r="CT178" s="56" t="s">
        <v>669</v>
      </c>
      <c r="CU178" s="56">
        <v>0</v>
      </c>
      <c r="CV178" s="56">
        <v>0</v>
      </c>
      <c r="CX178" s="56">
        <v>326.60000000000002</v>
      </c>
      <c r="CY178" s="56">
        <v>0</v>
      </c>
      <c r="CZ178" s="56">
        <v>28.46</v>
      </c>
      <c r="DA178" s="56">
        <v>330.57</v>
      </c>
      <c r="DB178" s="56">
        <v>302.11</v>
      </c>
      <c r="DC178" s="56">
        <v>3545.24</v>
      </c>
      <c r="DD178" s="56">
        <v>-0.96</v>
      </c>
      <c r="DE178" s="56">
        <v>0</v>
      </c>
      <c r="DF178" s="56">
        <v>0.51</v>
      </c>
      <c r="DG178" s="56">
        <v>1.47</v>
      </c>
      <c r="DH178" s="56" t="s">
        <v>670</v>
      </c>
      <c r="DI178" s="56" t="s">
        <v>671</v>
      </c>
      <c r="DK178" s="56">
        <v>7.33</v>
      </c>
      <c r="DL178" s="56">
        <v>299.10000000000002</v>
      </c>
      <c r="DO178" s="56" t="s">
        <v>236</v>
      </c>
      <c r="DP178" s="56" t="s">
        <v>673</v>
      </c>
      <c r="DQ178" s="56" t="s">
        <v>674</v>
      </c>
      <c r="DR178" s="56">
        <v>3</v>
      </c>
      <c r="DX178" s="56" t="s">
        <v>678</v>
      </c>
      <c r="DY178" s="56" t="s">
        <v>679</v>
      </c>
      <c r="ED178" s="56">
        <v>1</v>
      </c>
      <c r="EE178" s="56" t="s">
        <v>809</v>
      </c>
      <c r="EF178" s="56">
        <v>1</v>
      </c>
      <c r="EG178" s="56" t="s">
        <v>809</v>
      </c>
      <c r="EH178" s="56">
        <v>1</v>
      </c>
      <c r="EI178" s="56" t="s">
        <v>809</v>
      </c>
      <c r="EJ178" s="56">
        <v>1</v>
      </c>
      <c r="EK178" s="56" t="s">
        <v>809</v>
      </c>
      <c r="EL178" s="56">
        <v>25</v>
      </c>
      <c r="EM178" s="56">
        <v>15</v>
      </c>
      <c r="EN178" s="56">
        <v>5235</v>
      </c>
      <c r="EO178" s="56">
        <v>2441</v>
      </c>
      <c r="EP178" s="56">
        <v>6674</v>
      </c>
      <c r="ER178" s="56" t="s">
        <v>1075</v>
      </c>
      <c r="ES178" s="56">
        <v>2</v>
      </c>
      <c r="ET178" s="56" t="s">
        <v>682</v>
      </c>
      <c r="EU178" s="56" t="s">
        <v>683</v>
      </c>
      <c r="EV178" s="56" t="s">
        <v>683</v>
      </c>
      <c r="FD178" s="56" t="s">
        <v>1683</v>
      </c>
      <c r="FK178" s="56">
        <v>0</v>
      </c>
    </row>
    <row r="179" spans="1:167" x14ac:dyDescent="0.2">
      <c r="A179" s="56">
        <v>29131</v>
      </c>
      <c r="B179" s="56">
        <v>2</v>
      </c>
      <c r="C179" s="56">
        <v>6352</v>
      </c>
      <c r="D179" s="56" t="s">
        <v>634</v>
      </c>
      <c r="E179" s="56" t="s">
        <v>635</v>
      </c>
      <c r="K179" s="56" t="s">
        <v>1684</v>
      </c>
      <c r="L179" s="56" t="s">
        <v>637</v>
      </c>
      <c r="M179" s="56">
        <v>44944</v>
      </c>
      <c r="N179" s="56">
        <v>44946</v>
      </c>
      <c r="O179" s="56">
        <v>38</v>
      </c>
      <c r="P179" s="56" t="s">
        <v>638</v>
      </c>
      <c r="Q179" s="56">
        <v>2</v>
      </c>
      <c r="R179" s="56" t="s">
        <v>639</v>
      </c>
      <c r="S179" s="56" t="s">
        <v>1057</v>
      </c>
      <c r="T179" s="56" t="s">
        <v>641</v>
      </c>
      <c r="U179" s="56" t="s">
        <v>1058</v>
      </c>
      <c r="V179" s="56" t="s">
        <v>643</v>
      </c>
      <c r="W179" s="56">
        <v>46</v>
      </c>
      <c r="X179" s="56" t="s">
        <v>811</v>
      </c>
      <c r="Y179" s="56">
        <v>278</v>
      </c>
      <c r="Z179" s="56" t="s">
        <v>1059</v>
      </c>
      <c r="AA179" s="56" t="s">
        <v>1060</v>
      </c>
      <c r="AB179" s="56" t="s">
        <v>1061</v>
      </c>
      <c r="AC179" s="56" t="s">
        <v>641</v>
      </c>
      <c r="AD179" s="56" t="s">
        <v>1057</v>
      </c>
      <c r="AL179" s="56">
        <v>208</v>
      </c>
      <c r="AM179" s="56" t="s">
        <v>1062</v>
      </c>
      <c r="AN179" s="56" t="s">
        <v>1063</v>
      </c>
      <c r="AO179" s="56" t="s">
        <v>1064</v>
      </c>
      <c r="AP179" s="56" t="s">
        <v>643</v>
      </c>
      <c r="AQ179" s="56" t="s">
        <v>1058</v>
      </c>
      <c r="AR179" s="56">
        <v>208</v>
      </c>
      <c r="AS179" s="56" t="s">
        <v>1062</v>
      </c>
      <c r="AT179" s="56" t="s">
        <v>1063</v>
      </c>
      <c r="AU179" s="56" t="s">
        <v>643</v>
      </c>
      <c r="AV179" s="56" t="s">
        <v>1058</v>
      </c>
      <c r="AW179" s="56">
        <v>931</v>
      </c>
      <c r="AX179" s="56" t="s">
        <v>1685</v>
      </c>
      <c r="AY179" s="56">
        <v>1097</v>
      </c>
      <c r="AZ179" s="56" t="s">
        <v>1686</v>
      </c>
      <c r="BA179" s="56" t="s">
        <v>1687</v>
      </c>
      <c r="BB179" s="56" t="s">
        <v>1068</v>
      </c>
      <c r="BC179" s="56">
        <v>929</v>
      </c>
      <c r="BD179" s="56" t="s">
        <v>1069</v>
      </c>
      <c r="BE179" s="56" t="s">
        <v>1070</v>
      </c>
      <c r="BF179" s="56">
        <v>929</v>
      </c>
      <c r="BG179" s="56" t="s">
        <v>1069</v>
      </c>
      <c r="BH179" s="56" t="s">
        <v>1070</v>
      </c>
      <c r="BI179" s="56">
        <v>35.5</v>
      </c>
      <c r="BJ179" s="56">
        <v>2946.5</v>
      </c>
      <c r="BK179" s="56">
        <v>35.5</v>
      </c>
      <c r="BL179" s="56" t="s">
        <v>1071</v>
      </c>
      <c r="BM179" s="56">
        <v>2518</v>
      </c>
      <c r="BN179" s="56" t="s">
        <v>786</v>
      </c>
      <c r="BO179" s="56" t="s">
        <v>1144</v>
      </c>
      <c r="BP179" s="56">
        <v>4082.5</v>
      </c>
      <c r="BQ179" s="56">
        <v>3573.7</v>
      </c>
      <c r="BR179" s="56">
        <v>0</v>
      </c>
      <c r="BS179" s="56">
        <v>0</v>
      </c>
      <c r="BT179" s="56">
        <v>3247.1</v>
      </c>
      <c r="BU179" s="56">
        <v>272423</v>
      </c>
      <c r="BV179" s="56">
        <v>208</v>
      </c>
      <c r="BW179" s="56" t="s">
        <v>1062</v>
      </c>
      <c r="BX179" s="56" t="s">
        <v>1688</v>
      </c>
      <c r="BY179" s="56" t="s">
        <v>663</v>
      </c>
      <c r="BZ179" s="56">
        <v>0.5</v>
      </c>
      <c r="CA179" s="56" t="s">
        <v>664</v>
      </c>
      <c r="CB179" s="56" t="s">
        <v>1073</v>
      </c>
      <c r="CC179" s="56" t="s">
        <v>1074</v>
      </c>
      <c r="CD179" s="56" t="s">
        <v>667</v>
      </c>
      <c r="CF179" s="56">
        <v>0</v>
      </c>
      <c r="CG179" s="56">
        <v>0</v>
      </c>
      <c r="CH179" s="56">
        <v>115</v>
      </c>
      <c r="CI179" s="56">
        <v>92</v>
      </c>
      <c r="CJ179" s="56">
        <v>9.14</v>
      </c>
      <c r="CK179" s="56">
        <v>3573.7</v>
      </c>
      <c r="CL179" s="56">
        <v>3247.1</v>
      </c>
      <c r="CM179" s="56">
        <v>8.5500000000000007</v>
      </c>
      <c r="CN179" s="56">
        <v>489.9</v>
      </c>
      <c r="CO179" s="56">
        <v>489.9</v>
      </c>
      <c r="CP179" s="56">
        <v>18.899999999999999</v>
      </c>
      <c r="CQ179" s="56" t="s">
        <v>668</v>
      </c>
      <c r="CR179" s="56">
        <v>0</v>
      </c>
      <c r="CS179" s="56">
        <v>18.899999999999999</v>
      </c>
      <c r="CT179" s="56" t="s">
        <v>669</v>
      </c>
      <c r="CU179" s="56">
        <v>0</v>
      </c>
      <c r="CV179" s="56">
        <v>0</v>
      </c>
      <c r="CX179" s="56">
        <v>326.60000000000002</v>
      </c>
      <c r="CY179" s="56">
        <v>0</v>
      </c>
      <c r="CZ179" s="56">
        <v>28.46</v>
      </c>
      <c r="DA179" s="56">
        <v>330.57</v>
      </c>
      <c r="DB179" s="56">
        <v>302.11</v>
      </c>
      <c r="DC179" s="56">
        <v>3545.24</v>
      </c>
      <c r="DD179" s="56">
        <v>-0.96</v>
      </c>
      <c r="DE179" s="56">
        <v>0</v>
      </c>
      <c r="DF179" s="56">
        <v>0.51</v>
      </c>
      <c r="DG179" s="56">
        <v>1.47</v>
      </c>
      <c r="DH179" s="56" t="s">
        <v>670</v>
      </c>
      <c r="DI179" s="56" t="s">
        <v>671</v>
      </c>
      <c r="DK179" s="56">
        <v>7.33</v>
      </c>
      <c r="DL179" s="56">
        <v>299.10000000000002</v>
      </c>
      <c r="DO179" s="56" t="s">
        <v>236</v>
      </c>
      <c r="DP179" s="56" t="s">
        <v>673</v>
      </c>
      <c r="DQ179" s="56" t="s">
        <v>674</v>
      </c>
      <c r="DR179" s="56">
        <v>3</v>
      </c>
      <c r="DX179" s="56" t="s">
        <v>678</v>
      </c>
      <c r="DY179" s="56" t="s">
        <v>679</v>
      </c>
      <c r="ED179" s="56">
        <v>1</v>
      </c>
      <c r="EE179" s="56" t="s">
        <v>809</v>
      </c>
      <c r="EF179" s="56">
        <v>1</v>
      </c>
      <c r="EG179" s="56" t="s">
        <v>809</v>
      </c>
      <c r="EH179" s="56">
        <v>1</v>
      </c>
      <c r="EI179" s="56" t="s">
        <v>809</v>
      </c>
      <c r="EJ179" s="56">
        <v>1</v>
      </c>
      <c r="EK179" s="56" t="s">
        <v>809</v>
      </c>
      <c r="EL179" s="56">
        <v>25</v>
      </c>
      <c r="EM179" s="56">
        <v>15</v>
      </c>
      <c r="EN179" s="56">
        <v>5235</v>
      </c>
      <c r="EO179" s="56">
        <v>2441</v>
      </c>
      <c r="EP179" s="56">
        <v>6674</v>
      </c>
      <c r="ER179" s="56" t="s">
        <v>1075</v>
      </c>
      <c r="ES179" s="56">
        <v>2</v>
      </c>
      <c r="ET179" s="56" t="s">
        <v>682</v>
      </c>
      <c r="EU179" s="56" t="s">
        <v>683</v>
      </c>
      <c r="EV179" s="56" t="s">
        <v>683</v>
      </c>
      <c r="FD179" s="56" t="s">
        <v>1689</v>
      </c>
      <c r="FK179" s="56">
        <v>0</v>
      </c>
    </row>
    <row r="180" spans="1:167" x14ac:dyDescent="0.2">
      <c r="A180" s="56">
        <v>29132</v>
      </c>
      <c r="B180" s="56">
        <v>2</v>
      </c>
      <c r="C180" s="56">
        <v>6352</v>
      </c>
      <c r="D180" s="56" t="s">
        <v>634</v>
      </c>
      <c r="E180" s="56" t="s">
        <v>635</v>
      </c>
      <c r="K180" s="56" t="s">
        <v>1690</v>
      </c>
      <c r="L180" s="56" t="s">
        <v>637</v>
      </c>
      <c r="M180" s="56">
        <v>44944</v>
      </c>
      <c r="N180" s="56">
        <v>44946</v>
      </c>
      <c r="O180" s="56">
        <v>38</v>
      </c>
      <c r="P180" s="56" t="s">
        <v>638</v>
      </c>
      <c r="Q180" s="56">
        <v>2</v>
      </c>
      <c r="R180" s="56" t="s">
        <v>639</v>
      </c>
      <c r="S180" s="56" t="s">
        <v>893</v>
      </c>
      <c r="T180" s="56" t="s">
        <v>641</v>
      </c>
      <c r="U180" s="56" t="s">
        <v>735</v>
      </c>
      <c r="V180" s="56" t="s">
        <v>643</v>
      </c>
      <c r="W180" s="56">
        <v>49</v>
      </c>
      <c r="X180" s="56" t="s">
        <v>887</v>
      </c>
      <c r="Y180" s="56">
        <v>162</v>
      </c>
      <c r="Z180" s="56" t="s">
        <v>1030</v>
      </c>
      <c r="AA180" s="56" t="s">
        <v>1031</v>
      </c>
      <c r="AB180" s="56" t="s">
        <v>1032</v>
      </c>
      <c r="AC180" s="56" t="s">
        <v>641</v>
      </c>
      <c r="AD180" s="56" t="s">
        <v>893</v>
      </c>
      <c r="AE180" s="56">
        <v>91</v>
      </c>
      <c r="AF180" s="56" t="s">
        <v>736</v>
      </c>
      <c r="AG180" s="56" t="s">
        <v>737</v>
      </c>
      <c r="AH180" s="56" t="s">
        <v>643</v>
      </c>
      <c r="AI180" s="56" t="s">
        <v>735</v>
      </c>
      <c r="AJ180" s="56">
        <v>162</v>
      </c>
      <c r="AK180" s="56" t="s">
        <v>1030</v>
      </c>
      <c r="AL180" s="56">
        <v>98</v>
      </c>
      <c r="AM180" s="56" t="s">
        <v>645</v>
      </c>
      <c r="AN180" s="56" t="s">
        <v>646</v>
      </c>
      <c r="AO180" s="56" t="s">
        <v>647</v>
      </c>
      <c r="AP180" s="56" t="s">
        <v>643</v>
      </c>
      <c r="AQ180" s="56" t="s">
        <v>648</v>
      </c>
      <c r="AR180" s="56">
        <v>162</v>
      </c>
      <c r="AS180" s="56" t="s">
        <v>1030</v>
      </c>
      <c r="AT180" s="56" t="s">
        <v>1031</v>
      </c>
      <c r="AU180" s="56" t="s">
        <v>641</v>
      </c>
      <c r="AV180" s="56" t="s">
        <v>893</v>
      </c>
      <c r="AW180" s="56">
        <v>113</v>
      </c>
      <c r="AX180" s="56" t="s">
        <v>1025</v>
      </c>
      <c r="AY180" s="56">
        <v>43</v>
      </c>
      <c r="AZ180" s="56" t="s">
        <v>126</v>
      </c>
      <c r="BA180" s="56" t="s">
        <v>1284</v>
      </c>
      <c r="BB180" s="56" t="s">
        <v>770</v>
      </c>
      <c r="BC180" s="56">
        <v>38</v>
      </c>
      <c r="BD180" s="56" t="s">
        <v>289</v>
      </c>
      <c r="BE180" s="56" t="s">
        <v>771</v>
      </c>
      <c r="BF180" s="56">
        <v>2</v>
      </c>
      <c r="BG180" s="56" t="s">
        <v>289</v>
      </c>
      <c r="BH180" s="56" t="s">
        <v>772</v>
      </c>
      <c r="BI180" s="56">
        <v>47.17</v>
      </c>
      <c r="BJ180" s="56">
        <v>183399.79</v>
      </c>
      <c r="BK180" s="56">
        <v>47.17</v>
      </c>
      <c r="BL180" s="56" t="s">
        <v>1691</v>
      </c>
      <c r="BM180" s="56">
        <v>3105</v>
      </c>
      <c r="BN180" s="56" t="s">
        <v>786</v>
      </c>
      <c r="BO180" s="56" t="s">
        <v>911</v>
      </c>
      <c r="BP180" s="56">
        <v>6037.76</v>
      </c>
      <c r="BQ180" s="56">
        <v>5240.33</v>
      </c>
      <c r="BR180" s="56">
        <v>0</v>
      </c>
      <c r="BS180" s="56">
        <v>0</v>
      </c>
      <c r="BT180" s="56">
        <v>0</v>
      </c>
      <c r="BU180" s="56">
        <v>37789</v>
      </c>
      <c r="BV180" s="56">
        <v>162</v>
      </c>
      <c r="BW180" s="56" t="s">
        <v>1030</v>
      </c>
      <c r="BX180" s="56" t="s">
        <v>1692</v>
      </c>
      <c r="BY180" s="56" t="s">
        <v>663</v>
      </c>
      <c r="BZ180" s="56">
        <v>0.25</v>
      </c>
      <c r="CA180" s="56" t="s">
        <v>664</v>
      </c>
      <c r="CB180" s="56" t="s">
        <v>1664</v>
      </c>
      <c r="CD180" s="56" t="s">
        <v>667</v>
      </c>
      <c r="CG180" s="56">
        <v>0</v>
      </c>
      <c r="CH180" s="56">
        <v>128</v>
      </c>
      <c r="CJ180" s="56">
        <v>100</v>
      </c>
      <c r="CK180" s="56">
        <v>5240.33</v>
      </c>
      <c r="CL180" s="56">
        <v>0</v>
      </c>
      <c r="CN180" s="56">
        <v>724.53</v>
      </c>
      <c r="CO180" s="56">
        <v>724.53</v>
      </c>
      <c r="CP180" s="56">
        <v>72.900000000000006</v>
      </c>
      <c r="CQ180" s="56" t="s">
        <v>668</v>
      </c>
      <c r="CR180" s="56">
        <v>0</v>
      </c>
      <c r="CS180" s="56">
        <v>0</v>
      </c>
      <c r="CV180" s="56">
        <v>0</v>
      </c>
      <c r="CX180" s="56">
        <v>0</v>
      </c>
      <c r="CY180" s="56">
        <v>0</v>
      </c>
      <c r="CZ180" s="56">
        <v>484.74</v>
      </c>
      <c r="DA180" s="56">
        <v>484.74</v>
      </c>
      <c r="DB180" s="56">
        <v>0</v>
      </c>
      <c r="DC180" s="56">
        <v>4755.59</v>
      </c>
      <c r="DD180" s="56">
        <v>31.51</v>
      </c>
      <c r="DE180" s="56">
        <v>0</v>
      </c>
      <c r="DF180" s="56">
        <v>31.51</v>
      </c>
      <c r="DH180" s="56" t="s">
        <v>670</v>
      </c>
      <c r="DI180" s="56" t="s">
        <v>671</v>
      </c>
      <c r="DK180" s="56">
        <v>79.45</v>
      </c>
      <c r="DL180" s="56">
        <v>4796.9799999999996</v>
      </c>
      <c r="DM180" s="56">
        <v>102</v>
      </c>
      <c r="DO180" s="56" t="s">
        <v>236</v>
      </c>
      <c r="DQ180" s="56" t="s">
        <v>674</v>
      </c>
      <c r="DR180" s="56">
        <v>3</v>
      </c>
      <c r="DW180" s="56">
        <v>280</v>
      </c>
      <c r="DX180" s="56" t="s">
        <v>678</v>
      </c>
      <c r="DY180" s="56" t="s">
        <v>679</v>
      </c>
      <c r="EL180" s="56">
        <v>25</v>
      </c>
      <c r="EM180" s="56">
        <v>15</v>
      </c>
      <c r="EN180" s="56">
        <v>4779</v>
      </c>
      <c r="EO180" s="56">
        <v>1805</v>
      </c>
      <c r="EP180" s="56" t="s">
        <v>1234</v>
      </c>
      <c r="EQ180" s="56" t="s">
        <v>1693</v>
      </c>
      <c r="ER180" s="56" t="s">
        <v>902</v>
      </c>
      <c r="ES180" s="56">
        <v>2</v>
      </c>
      <c r="ET180" s="56" t="s">
        <v>682</v>
      </c>
      <c r="EU180" s="56" t="s">
        <v>683</v>
      </c>
      <c r="EV180" s="56" t="s">
        <v>683</v>
      </c>
      <c r="FD180" s="56" t="s">
        <v>1694</v>
      </c>
      <c r="FK180" s="56">
        <v>0</v>
      </c>
    </row>
    <row r="181" spans="1:167" x14ac:dyDescent="0.2">
      <c r="A181" s="56">
        <v>29133</v>
      </c>
      <c r="B181" s="56">
        <v>2</v>
      </c>
      <c r="C181" s="56">
        <v>6352</v>
      </c>
      <c r="D181" s="56" t="s">
        <v>634</v>
      </c>
      <c r="E181" s="56" t="s">
        <v>635</v>
      </c>
      <c r="K181" s="56" t="s">
        <v>1695</v>
      </c>
      <c r="L181" s="56" t="s">
        <v>637</v>
      </c>
      <c r="M181" s="56">
        <v>44944</v>
      </c>
      <c r="N181" s="56">
        <v>44946</v>
      </c>
      <c r="O181" s="56">
        <v>38</v>
      </c>
      <c r="P181" s="56" t="s">
        <v>638</v>
      </c>
      <c r="Q181" s="56">
        <v>2</v>
      </c>
      <c r="R181" s="56" t="s">
        <v>639</v>
      </c>
      <c r="S181" s="56" t="s">
        <v>893</v>
      </c>
      <c r="T181" s="56" t="s">
        <v>641</v>
      </c>
      <c r="U181" s="56" t="s">
        <v>642</v>
      </c>
      <c r="V181" s="56" t="s">
        <v>643</v>
      </c>
      <c r="W181" s="56">
        <v>49</v>
      </c>
      <c r="X181" s="56" t="s">
        <v>887</v>
      </c>
      <c r="Y181" s="56">
        <v>90</v>
      </c>
      <c r="Z181" s="56" t="s">
        <v>894</v>
      </c>
      <c r="AA181" s="56" t="s">
        <v>895</v>
      </c>
      <c r="AB181" s="56" t="s">
        <v>896</v>
      </c>
      <c r="AC181" s="56" t="s">
        <v>641</v>
      </c>
      <c r="AD181" s="56" t="s">
        <v>893</v>
      </c>
      <c r="AE181" s="56">
        <v>141</v>
      </c>
      <c r="AF181" s="56" t="s">
        <v>649</v>
      </c>
      <c r="AG181" s="56" t="s">
        <v>650</v>
      </c>
      <c r="AH181" s="56" t="s">
        <v>643</v>
      </c>
      <c r="AI181" s="56" t="s">
        <v>642</v>
      </c>
      <c r="AJ181" s="56">
        <v>90</v>
      </c>
      <c r="AK181" s="56" t="s">
        <v>894</v>
      </c>
      <c r="AL181" s="56">
        <v>141</v>
      </c>
      <c r="AM181" s="56" t="s">
        <v>649</v>
      </c>
      <c r="AN181" s="56" t="s">
        <v>650</v>
      </c>
      <c r="AO181" s="56" t="s">
        <v>652</v>
      </c>
      <c r="AP181" s="56" t="s">
        <v>643</v>
      </c>
      <c r="AQ181" s="56" t="s">
        <v>642</v>
      </c>
      <c r="AR181" s="56">
        <v>98</v>
      </c>
      <c r="AS181" s="56" t="s">
        <v>645</v>
      </c>
      <c r="AT181" s="56" t="s">
        <v>646</v>
      </c>
      <c r="AU181" s="56" t="s">
        <v>643</v>
      </c>
      <c r="AV181" s="56" t="s">
        <v>648</v>
      </c>
      <c r="AW181" s="56">
        <v>117</v>
      </c>
      <c r="AX181" s="56" t="s">
        <v>848</v>
      </c>
      <c r="AY181" s="56">
        <v>1</v>
      </c>
      <c r="AZ181" s="56" t="s">
        <v>28</v>
      </c>
      <c r="BA181" s="56" t="s">
        <v>849</v>
      </c>
      <c r="BB181" s="56" t="s">
        <v>770</v>
      </c>
      <c r="BC181" s="56">
        <v>38</v>
      </c>
      <c r="BD181" s="56" t="s">
        <v>289</v>
      </c>
      <c r="BE181" s="56" t="s">
        <v>771</v>
      </c>
      <c r="BF181" s="56">
        <v>2</v>
      </c>
      <c r="BG181" s="56" t="s">
        <v>289</v>
      </c>
      <c r="BH181" s="56" t="s">
        <v>772</v>
      </c>
      <c r="BI181" s="56">
        <v>45.79</v>
      </c>
      <c r="BJ181" s="56">
        <v>155526.65</v>
      </c>
      <c r="BK181" s="56">
        <v>45790</v>
      </c>
      <c r="BL181" s="56" t="s">
        <v>922</v>
      </c>
      <c r="BM181" s="56">
        <v>3105</v>
      </c>
      <c r="BN181" s="56" t="s">
        <v>724</v>
      </c>
      <c r="BO181" s="56" t="s">
        <v>725</v>
      </c>
      <c r="BP181" s="56">
        <v>6456.39</v>
      </c>
      <c r="BQ181" s="56">
        <v>5608.72</v>
      </c>
      <c r="BR181" s="56">
        <v>0</v>
      </c>
      <c r="BS181" s="56">
        <v>0</v>
      </c>
      <c r="BT181" s="56">
        <v>0</v>
      </c>
      <c r="BU181" s="56">
        <v>721740</v>
      </c>
      <c r="BV181" s="56">
        <v>98</v>
      </c>
      <c r="BW181" s="56" t="s">
        <v>645</v>
      </c>
      <c r="BX181" s="56" t="s">
        <v>1696</v>
      </c>
      <c r="BY181" s="56" t="s">
        <v>663</v>
      </c>
      <c r="BZ181" s="56">
        <v>0.25</v>
      </c>
      <c r="CA181" s="56" t="s">
        <v>664</v>
      </c>
      <c r="CB181" s="56" t="s">
        <v>925</v>
      </c>
      <c r="CD181" s="56" t="s">
        <v>667</v>
      </c>
      <c r="CG181" s="56">
        <v>0</v>
      </c>
      <c r="CH181" s="56">
        <v>141</v>
      </c>
      <c r="CJ181" s="56">
        <v>100</v>
      </c>
      <c r="CK181" s="56">
        <v>5608.72</v>
      </c>
      <c r="CL181" s="56">
        <v>0</v>
      </c>
      <c r="CN181" s="56">
        <v>774.77</v>
      </c>
      <c r="CO181" s="56">
        <v>774.77</v>
      </c>
      <c r="CP181" s="56">
        <v>72.900000000000006</v>
      </c>
      <c r="CQ181" s="56" t="s">
        <v>668</v>
      </c>
      <c r="CR181" s="56">
        <v>0</v>
      </c>
      <c r="CS181" s="56">
        <v>0</v>
      </c>
      <c r="CV181" s="56">
        <v>0</v>
      </c>
      <c r="CX181" s="56">
        <v>0</v>
      </c>
      <c r="CY181" s="56">
        <v>0</v>
      </c>
      <c r="CZ181" s="56">
        <v>518.79999999999995</v>
      </c>
      <c r="DA181" s="56">
        <v>518.79999999999995</v>
      </c>
      <c r="DB181" s="56">
        <v>0</v>
      </c>
      <c r="DC181" s="56">
        <v>5089.92</v>
      </c>
      <c r="DD181" s="56">
        <v>26.72</v>
      </c>
      <c r="DE181" s="56">
        <v>0</v>
      </c>
      <c r="DF181" s="56">
        <v>26.72</v>
      </c>
      <c r="DH181" s="56" t="s">
        <v>670</v>
      </c>
      <c r="DI181" s="56" t="s">
        <v>671</v>
      </c>
      <c r="DK181" s="56">
        <v>79.55</v>
      </c>
      <c r="DL181" s="56">
        <v>5136.1000000000004</v>
      </c>
      <c r="DM181" s="56">
        <v>62</v>
      </c>
      <c r="DN181" s="56">
        <v>4500837836</v>
      </c>
      <c r="DO181" s="56" t="s">
        <v>236</v>
      </c>
      <c r="DQ181" s="56" t="s">
        <v>674</v>
      </c>
      <c r="DR181" s="56">
        <v>3</v>
      </c>
      <c r="DW181" s="56">
        <v>370</v>
      </c>
      <c r="DX181" s="56" t="s">
        <v>678</v>
      </c>
      <c r="DY181" s="56" t="s">
        <v>679</v>
      </c>
      <c r="EL181" s="56">
        <v>25</v>
      </c>
      <c r="EM181" s="56">
        <v>15</v>
      </c>
      <c r="EN181" s="56">
        <v>4779</v>
      </c>
      <c r="EO181" s="56">
        <v>1622</v>
      </c>
      <c r="EP181" s="56" t="s">
        <v>1234</v>
      </c>
      <c r="EQ181" s="56" t="s">
        <v>927</v>
      </c>
      <c r="ER181" s="56" t="s">
        <v>928</v>
      </c>
      <c r="ES181" s="56">
        <v>2</v>
      </c>
      <c r="ET181" s="56" t="s">
        <v>682</v>
      </c>
      <c r="EU181" s="56" t="s">
        <v>683</v>
      </c>
      <c r="EV181" s="56" t="s">
        <v>683</v>
      </c>
      <c r="FD181" s="56" t="s">
        <v>1697</v>
      </c>
      <c r="FK181" s="56">
        <v>0</v>
      </c>
    </row>
    <row r="182" spans="1:167" x14ac:dyDescent="0.2">
      <c r="A182" s="56">
        <v>29734</v>
      </c>
      <c r="B182" s="56">
        <v>1</v>
      </c>
      <c r="C182" s="56">
        <v>5352</v>
      </c>
      <c r="D182" s="56" t="s">
        <v>634</v>
      </c>
      <c r="E182" s="56" t="s">
        <v>635</v>
      </c>
      <c r="K182" s="56" t="s">
        <v>1698</v>
      </c>
      <c r="L182" s="56" t="s">
        <v>637</v>
      </c>
      <c r="M182" s="56">
        <v>44944</v>
      </c>
      <c r="N182" s="56">
        <v>44946</v>
      </c>
      <c r="O182" s="56">
        <v>2</v>
      </c>
      <c r="P182" s="56" t="s">
        <v>682</v>
      </c>
      <c r="Q182" s="56">
        <v>1</v>
      </c>
      <c r="R182" s="56" t="s">
        <v>809</v>
      </c>
      <c r="S182" s="56" t="s">
        <v>735</v>
      </c>
      <c r="T182" s="56" t="s">
        <v>643</v>
      </c>
      <c r="U182" s="56" t="s">
        <v>642</v>
      </c>
      <c r="V182" s="56" t="s">
        <v>643</v>
      </c>
      <c r="W182" s="56">
        <v>46</v>
      </c>
      <c r="X182" s="56" t="s">
        <v>811</v>
      </c>
      <c r="Y182" s="56">
        <v>91</v>
      </c>
      <c r="Z182" s="56" t="s">
        <v>736</v>
      </c>
      <c r="AA182" s="56" t="s">
        <v>737</v>
      </c>
      <c r="AB182" s="56" t="s">
        <v>738</v>
      </c>
      <c r="AC182" s="56" t="s">
        <v>643</v>
      </c>
      <c r="AD182" s="56" t="s">
        <v>735</v>
      </c>
      <c r="AL182" s="56">
        <v>141</v>
      </c>
      <c r="AM182" s="56" t="s">
        <v>649</v>
      </c>
      <c r="AN182" s="56" t="s">
        <v>650</v>
      </c>
      <c r="AO182" s="56" t="s">
        <v>652</v>
      </c>
      <c r="AP182" s="56" t="s">
        <v>643</v>
      </c>
      <c r="AQ182" s="56" t="s">
        <v>642</v>
      </c>
      <c r="AR182" s="56">
        <v>98</v>
      </c>
      <c r="AS182" s="56" t="s">
        <v>645</v>
      </c>
      <c r="AT182" s="56" t="s">
        <v>646</v>
      </c>
      <c r="AU182" s="56" t="s">
        <v>643</v>
      </c>
      <c r="AV182" s="56" t="s">
        <v>648</v>
      </c>
      <c r="AW182" s="56">
        <v>109</v>
      </c>
      <c r="AX182" s="56" t="s">
        <v>826</v>
      </c>
      <c r="AY182" s="56">
        <v>20</v>
      </c>
      <c r="AZ182" s="56" t="s">
        <v>30</v>
      </c>
      <c r="BA182" s="56" t="s">
        <v>827</v>
      </c>
      <c r="BB182" s="56" t="s">
        <v>770</v>
      </c>
      <c r="BC182" s="56">
        <v>38</v>
      </c>
      <c r="BD182" s="56" t="s">
        <v>289</v>
      </c>
      <c r="BE182" s="56" t="s">
        <v>771</v>
      </c>
      <c r="BF182" s="56">
        <v>2</v>
      </c>
      <c r="BG182" s="56" t="s">
        <v>289</v>
      </c>
      <c r="BH182" s="56" t="s">
        <v>772</v>
      </c>
      <c r="BI182" s="56">
        <v>48.3</v>
      </c>
      <c r="BJ182" s="56">
        <v>76337.66</v>
      </c>
      <c r="BK182" s="56">
        <v>48.3</v>
      </c>
      <c r="BL182" s="56" t="s">
        <v>1274</v>
      </c>
      <c r="BM182" s="56">
        <v>3102</v>
      </c>
      <c r="BN182" s="56" t="s">
        <v>724</v>
      </c>
      <c r="BO182" s="56" t="s">
        <v>725</v>
      </c>
      <c r="BP182" s="56">
        <v>1738.8</v>
      </c>
      <c r="BQ182" s="56">
        <v>1738.8</v>
      </c>
      <c r="BR182" s="56">
        <v>0</v>
      </c>
      <c r="BS182" s="56">
        <v>0</v>
      </c>
      <c r="BT182" s="56">
        <v>0</v>
      </c>
      <c r="BU182" s="56">
        <v>245072</v>
      </c>
      <c r="BV182" s="56">
        <v>98</v>
      </c>
      <c r="BW182" s="56" t="s">
        <v>645</v>
      </c>
      <c r="BX182" s="56" t="s">
        <v>1699</v>
      </c>
      <c r="BY182" s="56" t="s">
        <v>663</v>
      </c>
      <c r="BZ182" s="56">
        <v>0.25</v>
      </c>
      <c r="CA182" s="56" t="s">
        <v>664</v>
      </c>
      <c r="CB182" s="56" t="s">
        <v>1278</v>
      </c>
      <c r="CD182" s="56" t="s">
        <v>667</v>
      </c>
      <c r="CG182" s="56">
        <v>0</v>
      </c>
      <c r="CH182" s="56">
        <v>36</v>
      </c>
      <c r="CJ182" s="56">
        <v>100</v>
      </c>
      <c r="CK182" s="56">
        <v>1738.8</v>
      </c>
      <c r="CL182" s="56">
        <v>0</v>
      </c>
      <c r="CN182" s="56">
        <v>0</v>
      </c>
      <c r="CO182" s="56">
        <v>0</v>
      </c>
      <c r="CP182" s="56">
        <v>0</v>
      </c>
      <c r="CQ182" s="56" t="s">
        <v>708</v>
      </c>
      <c r="CR182" s="56">
        <v>0</v>
      </c>
      <c r="CS182" s="56">
        <v>0</v>
      </c>
      <c r="CV182" s="56">
        <v>0</v>
      </c>
      <c r="CX182" s="56">
        <v>0</v>
      </c>
      <c r="CY182" s="56">
        <v>0</v>
      </c>
      <c r="CZ182" s="56">
        <v>160.84</v>
      </c>
      <c r="DA182" s="56">
        <v>160.84</v>
      </c>
      <c r="DB182" s="56">
        <v>0</v>
      </c>
      <c r="DC182" s="56">
        <v>1577.96</v>
      </c>
      <c r="DD182" s="56">
        <v>12.95</v>
      </c>
      <c r="DE182" s="56">
        <v>0</v>
      </c>
      <c r="DF182" s="56">
        <v>12.95</v>
      </c>
      <c r="DH182" s="56" t="s">
        <v>670</v>
      </c>
      <c r="DI182" s="56" t="s">
        <v>671</v>
      </c>
      <c r="DK182" s="56">
        <v>90.01</v>
      </c>
      <c r="DL182" s="56">
        <v>1565.01</v>
      </c>
      <c r="DO182" s="56" t="s">
        <v>236</v>
      </c>
      <c r="DQ182" s="56" t="s">
        <v>674</v>
      </c>
      <c r="DR182" s="56">
        <v>3</v>
      </c>
      <c r="DX182" s="56" t="s">
        <v>678</v>
      </c>
      <c r="DY182" s="56" t="s">
        <v>679</v>
      </c>
      <c r="EL182" s="56">
        <v>15</v>
      </c>
      <c r="EM182" s="56">
        <v>15</v>
      </c>
      <c r="EN182" s="56">
        <v>1805</v>
      </c>
      <c r="EO182" s="56">
        <v>1622</v>
      </c>
      <c r="EP182" s="56" t="s">
        <v>1234</v>
      </c>
      <c r="EQ182" s="56" t="s">
        <v>1434</v>
      </c>
      <c r="ER182" s="56" t="s">
        <v>1700</v>
      </c>
      <c r="ES182" s="56">
        <v>2</v>
      </c>
      <c r="ET182" s="56" t="s">
        <v>682</v>
      </c>
      <c r="EU182" s="56" t="s">
        <v>683</v>
      </c>
      <c r="EV182" s="56" t="s">
        <v>683</v>
      </c>
      <c r="FD182" s="56" t="s">
        <v>1701</v>
      </c>
      <c r="FK182" s="56">
        <v>0</v>
      </c>
    </row>
    <row r="183" spans="1:167" x14ac:dyDescent="0.2">
      <c r="A183" s="56">
        <v>1</v>
      </c>
      <c r="B183" s="56">
        <v>1</v>
      </c>
      <c r="C183" s="56">
        <v>5356</v>
      </c>
      <c r="D183" s="56" t="s">
        <v>1702</v>
      </c>
      <c r="K183" s="56" t="s">
        <v>1703</v>
      </c>
      <c r="L183" s="56" t="s">
        <v>637</v>
      </c>
      <c r="M183" s="56">
        <v>44949</v>
      </c>
      <c r="N183" s="56">
        <v>44949</v>
      </c>
      <c r="O183" s="56">
        <v>2</v>
      </c>
      <c r="P183" s="56" t="s">
        <v>682</v>
      </c>
      <c r="Q183" s="56">
        <v>1</v>
      </c>
      <c r="R183" s="56" t="s">
        <v>809</v>
      </c>
      <c r="S183" s="56" t="s">
        <v>735</v>
      </c>
      <c r="T183" s="56" t="s">
        <v>643</v>
      </c>
      <c r="U183" s="56" t="s">
        <v>825</v>
      </c>
      <c r="V183" s="56" t="s">
        <v>643</v>
      </c>
      <c r="W183" s="56">
        <v>41</v>
      </c>
      <c r="X183" s="56" t="s">
        <v>1217</v>
      </c>
      <c r="Y183" s="56">
        <v>98</v>
      </c>
      <c r="Z183" s="56" t="s">
        <v>645</v>
      </c>
      <c r="AA183" s="56" t="s">
        <v>646</v>
      </c>
      <c r="AB183" s="56" t="s">
        <v>647</v>
      </c>
      <c r="AC183" s="56" t="s">
        <v>643</v>
      </c>
      <c r="AD183" s="56" t="s">
        <v>648</v>
      </c>
      <c r="AJ183" s="56">
        <v>499</v>
      </c>
      <c r="AK183" s="56" t="s">
        <v>645</v>
      </c>
      <c r="AL183" s="56">
        <v>1226</v>
      </c>
      <c r="AM183" s="56" t="s">
        <v>1704</v>
      </c>
      <c r="AN183" s="56" t="s">
        <v>1705</v>
      </c>
      <c r="AO183" s="56" t="s">
        <v>1706</v>
      </c>
      <c r="AP183" s="56" t="s">
        <v>643</v>
      </c>
      <c r="AQ183" s="56" t="s">
        <v>825</v>
      </c>
      <c r="AR183" s="56">
        <v>1226</v>
      </c>
      <c r="AS183" s="56" t="s">
        <v>1704</v>
      </c>
      <c r="AT183" s="56" t="s">
        <v>1705</v>
      </c>
      <c r="AU183" s="56" t="s">
        <v>643</v>
      </c>
      <c r="AV183" s="56" t="s">
        <v>825</v>
      </c>
      <c r="AW183" s="56">
        <v>118</v>
      </c>
      <c r="AX183" s="56" t="s">
        <v>870</v>
      </c>
      <c r="AY183" s="56">
        <v>59</v>
      </c>
      <c r="AZ183" s="56" t="s">
        <v>127</v>
      </c>
      <c r="BA183" s="56" t="s">
        <v>871</v>
      </c>
      <c r="BB183" s="56" t="s">
        <v>844</v>
      </c>
      <c r="BC183" s="56">
        <v>2</v>
      </c>
      <c r="BD183" s="56" t="s">
        <v>289</v>
      </c>
      <c r="BE183" s="56" t="s">
        <v>772</v>
      </c>
      <c r="BF183" s="56">
        <v>2</v>
      </c>
      <c r="BG183" s="56" t="s">
        <v>289</v>
      </c>
      <c r="BH183" s="56" t="s">
        <v>772</v>
      </c>
      <c r="BI183" s="56">
        <v>33</v>
      </c>
      <c r="BJ183" s="56">
        <v>114855</v>
      </c>
      <c r="BK183" s="56">
        <v>33</v>
      </c>
      <c r="BL183" s="56" t="s">
        <v>922</v>
      </c>
      <c r="BM183" s="56">
        <v>3105</v>
      </c>
      <c r="BN183" s="56" t="s">
        <v>660</v>
      </c>
      <c r="BO183" s="56" t="s">
        <v>872</v>
      </c>
      <c r="BP183" s="56">
        <v>3960</v>
      </c>
      <c r="BQ183" s="56">
        <v>3960</v>
      </c>
      <c r="BR183" s="56">
        <v>0</v>
      </c>
      <c r="BS183" s="56">
        <v>0</v>
      </c>
      <c r="BT183" s="56">
        <v>0</v>
      </c>
      <c r="BU183" s="56" t="s">
        <v>1707</v>
      </c>
      <c r="BV183" s="56">
        <v>1226</v>
      </c>
      <c r="BW183" s="56" t="s">
        <v>1704</v>
      </c>
      <c r="BX183" s="56" t="s">
        <v>1708</v>
      </c>
      <c r="BY183" s="56" t="s">
        <v>663</v>
      </c>
      <c r="BZ183" s="56">
        <v>0.25</v>
      </c>
      <c r="CA183" s="56" t="s">
        <v>664</v>
      </c>
      <c r="CB183" s="56" t="s">
        <v>1709</v>
      </c>
      <c r="CD183" s="56" t="s">
        <v>667</v>
      </c>
      <c r="CG183" s="56">
        <v>0</v>
      </c>
      <c r="CH183" s="56">
        <v>120</v>
      </c>
      <c r="CJ183" s="56">
        <v>100</v>
      </c>
      <c r="CK183" s="56">
        <v>3960</v>
      </c>
      <c r="CL183" s="56">
        <v>0</v>
      </c>
      <c r="CN183" s="56">
        <v>0</v>
      </c>
      <c r="CO183" s="56">
        <v>0</v>
      </c>
      <c r="CP183" s="56">
        <v>0</v>
      </c>
      <c r="CQ183" s="56" t="s">
        <v>708</v>
      </c>
      <c r="CR183" s="56">
        <v>0</v>
      </c>
      <c r="CS183" s="56">
        <v>0</v>
      </c>
      <c r="CV183" s="56">
        <v>0</v>
      </c>
      <c r="CX183" s="56">
        <v>0</v>
      </c>
      <c r="CY183" s="56">
        <v>0</v>
      </c>
      <c r="CZ183" s="56">
        <v>0</v>
      </c>
      <c r="DA183" s="56">
        <v>0</v>
      </c>
      <c r="DB183" s="56">
        <v>0</v>
      </c>
      <c r="DC183" s="56">
        <v>3960</v>
      </c>
      <c r="DD183" s="56">
        <v>0</v>
      </c>
      <c r="DE183" s="56">
        <v>0</v>
      </c>
      <c r="DF183" s="56">
        <v>0</v>
      </c>
      <c r="DH183" s="56" t="s">
        <v>670</v>
      </c>
      <c r="DI183" s="56" t="s">
        <v>671</v>
      </c>
      <c r="DK183" s="56">
        <v>100</v>
      </c>
      <c r="DL183" s="56">
        <v>3960</v>
      </c>
      <c r="DO183" s="56" t="s">
        <v>236</v>
      </c>
      <c r="DQ183" s="56" t="s">
        <v>674</v>
      </c>
      <c r="DR183" s="56">
        <v>3</v>
      </c>
      <c r="DX183" s="56" t="s">
        <v>678</v>
      </c>
      <c r="DY183" s="56" t="s">
        <v>679</v>
      </c>
      <c r="EL183" s="56">
        <v>15</v>
      </c>
      <c r="EM183" s="56">
        <v>15</v>
      </c>
      <c r="EN183" s="56">
        <v>1805</v>
      </c>
      <c r="EO183" s="56">
        <v>1737</v>
      </c>
      <c r="EP183" s="56" t="s">
        <v>1234</v>
      </c>
      <c r="ER183" s="56" t="s">
        <v>1710</v>
      </c>
      <c r="ES183" s="56">
        <v>2</v>
      </c>
      <c r="ET183" s="56" t="s">
        <v>682</v>
      </c>
      <c r="EU183" s="56" t="s">
        <v>683</v>
      </c>
      <c r="EV183" s="56" t="s">
        <v>683</v>
      </c>
      <c r="FK183" s="56">
        <v>0</v>
      </c>
    </row>
    <row r="184" spans="1:167" x14ac:dyDescent="0.2">
      <c r="A184" s="56">
        <v>29134</v>
      </c>
      <c r="B184" s="56">
        <v>2</v>
      </c>
      <c r="C184" s="56">
        <v>6352</v>
      </c>
      <c r="D184" s="56" t="s">
        <v>634</v>
      </c>
      <c r="E184" s="56" t="s">
        <v>635</v>
      </c>
      <c r="K184" s="56" t="s">
        <v>1711</v>
      </c>
      <c r="L184" s="56" t="s">
        <v>637</v>
      </c>
      <c r="M184" s="56">
        <v>44945</v>
      </c>
      <c r="N184" s="56">
        <v>44947</v>
      </c>
      <c r="O184" s="56">
        <v>38</v>
      </c>
      <c r="P184" s="56" t="s">
        <v>638</v>
      </c>
      <c r="Q184" s="56">
        <v>2</v>
      </c>
      <c r="R184" s="56" t="s">
        <v>639</v>
      </c>
      <c r="S184" s="56" t="s">
        <v>893</v>
      </c>
      <c r="T184" s="56" t="s">
        <v>641</v>
      </c>
      <c r="U184" s="56" t="s">
        <v>735</v>
      </c>
      <c r="V184" s="56" t="s">
        <v>643</v>
      </c>
      <c r="W184" s="56">
        <v>49</v>
      </c>
      <c r="X184" s="56" t="s">
        <v>887</v>
      </c>
      <c r="Y184" s="56">
        <v>90</v>
      </c>
      <c r="Z184" s="56" t="s">
        <v>894</v>
      </c>
      <c r="AA184" s="56" t="s">
        <v>895</v>
      </c>
      <c r="AB184" s="56" t="s">
        <v>896</v>
      </c>
      <c r="AC184" s="56" t="s">
        <v>641</v>
      </c>
      <c r="AD184" s="56" t="s">
        <v>893</v>
      </c>
      <c r="AE184" s="56">
        <v>91</v>
      </c>
      <c r="AF184" s="56" t="s">
        <v>736</v>
      </c>
      <c r="AG184" s="56" t="s">
        <v>737</v>
      </c>
      <c r="AH184" s="56" t="s">
        <v>643</v>
      </c>
      <c r="AI184" s="56" t="s">
        <v>735</v>
      </c>
      <c r="AJ184" s="56">
        <v>90</v>
      </c>
      <c r="AK184" s="56" t="s">
        <v>894</v>
      </c>
      <c r="AL184" s="56">
        <v>91</v>
      </c>
      <c r="AM184" s="56" t="s">
        <v>736</v>
      </c>
      <c r="AN184" s="56" t="s">
        <v>737</v>
      </c>
      <c r="AO184" s="56" t="s">
        <v>738</v>
      </c>
      <c r="AP184" s="56" t="s">
        <v>643</v>
      </c>
      <c r="AQ184" s="56" t="s">
        <v>735</v>
      </c>
      <c r="AR184" s="56">
        <v>98</v>
      </c>
      <c r="AS184" s="56" t="s">
        <v>645</v>
      </c>
      <c r="AT184" s="56" t="s">
        <v>646</v>
      </c>
      <c r="AU184" s="56" t="s">
        <v>643</v>
      </c>
      <c r="AV184" s="56" t="s">
        <v>648</v>
      </c>
      <c r="AW184" s="56">
        <v>118</v>
      </c>
      <c r="AX184" s="56" t="s">
        <v>870</v>
      </c>
      <c r="AY184" s="56">
        <v>59</v>
      </c>
      <c r="AZ184" s="56" t="s">
        <v>127</v>
      </c>
      <c r="BA184" s="56" t="s">
        <v>871</v>
      </c>
      <c r="BB184" s="56" t="s">
        <v>844</v>
      </c>
      <c r="BC184" s="56">
        <v>2</v>
      </c>
      <c r="BD184" s="56" t="s">
        <v>289</v>
      </c>
      <c r="BE184" s="56" t="s">
        <v>772</v>
      </c>
      <c r="BF184" s="56">
        <v>2</v>
      </c>
      <c r="BG184" s="56" t="s">
        <v>289</v>
      </c>
      <c r="BH184" s="56" t="s">
        <v>772</v>
      </c>
      <c r="BI184" s="56">
        <v>34.880000000000003</v>
      </c>
      <c r="BJ184" s="56">
        <v>89881.57</v>
      </c>
      <c r="BK184" s="56">
        <v>34880</v>
      </c>
      <c r="BL184" s="56" t="s">
        <v>897</v>
      </c>
      <c r="BM184" s="56">
        <v>3102</v>
      </c>
      <c r="BN184" s="56" t="s">
        <v>660</v>
      </c>
      <c r="BO184" s="56" t="s">
        <v>872</v>
      </c>
      <c r="BP184" s="56">
        <v>5057.6000000000004</v>
      </c>
      <c r="BQ184" s="56">
        <v>4393.99</v>
      </c>
      <c r="BR184" s="56">
        <v>0</v>
      </c>
      <c r="BS184" s="56">
        <v>0</v>
      </c>
      <c r="BT184" s="56">
        <v>0</v>
      </c>
      <c r="BU184" s="56">
        <v>721793</v>
      </c>
      <c r="BV184" s="56">
        <v>98</v>
      </c>
      <c r="BW184" s="56" t="s">
        <v>645</v>
      </c>
      <c r="BX184" s="56" t="s">
        <v>1712</v>
      </c>
      <c r="BY184" s="56" t="s">
        <v>663</v>
      </c>
      <c r="BZ184" s="56">
        <v>0.25</v>
      </c>
      <c r="CA184" s="56" t="s">
        <v>664</v>
      </c>
      <c r="CB184" s="56" t="s">
        <v>899</v>
      </c>
      <c r="CD184" s="56" t="s">
        <v>667</v>
      </c>
      <c r="CG184" s="56">
        <v>0</v>
      </c>
      <c r="CH184" s="56">
        <v>145</v>
      </c>
      <c r="CJ184" s="56">
        <v>100</v>
      </c>
      <c r="CK184" s="56">
        <v>4393.99</v>
      </c>
      <c r="CL184" s="56">
        <v>0</v>
      </c>
      <c r="CN184" s="56">
        <v>606.91</v>
      </c>
      <c r="CO184" s="56">
        <v>606.91</v>
      </c>
      <c r="CP184" s="56">
        <v>56.7</v>
      </c>
      <c r="CQ184" s="56" t="s">
        <v>668</v>
      </c>
      <c r="CR184" s="56">
        <v>0</v>
      </c>
      <c r="CS184" s="56">
        <v>0</v>
      </c>
      <c r="CV184" s="56">
        <v>0</v>
      </c>
      <c r="CX184" s="56">
        <v>0</v>
      </c>
      <c r="CY184" s="56">
        <v>0</v>
      </c>
      <c r="CZ184" s="56">
        <v>406.44</v>
      </c>
      <c r="DA184" s="56">
        <v>406.44</v>
      </c>
      <c r="DB184" s="56">
        <v>0</v>
      </c>
      <c r="DC184" s="56">
        <v>3987.55</v>
      </c>
      <c r="DD184" s="56">
        <v>15.44</v>
      </c>
      <c r="DE184" s="56">
        <v>0</v>
      </c>
      <c r="DF184" s="56">
        <v>15.44</v>
      </c>
      <c r="DH184" s="56" t="s">
        <v>670</v>
      </c>
      <c r="DI184" s="56" t="s">
        <v>671</v>
      </c>
      <c r="DK184" s="56">
        <v>79.66</v>
      </c>
      <c r="DL184" s="56">
        <v>4028.81</v>
      </c>
      <c r="DM184" s="56">
        <v>67</v>
      </c>
      <c r="DN184" s="56" t="s">
        <v>900</v>
      </c>
      <c r="DO184" s="56" t="s">
        <v>236</v>
      </c>
      <c r="DQ184" s="56" t="s">
        <v>674</v>
      </c>
      <c r="DR184" s="56">
        <v>3</v>
      </c>
      <c r="DW184" s="56">
        <v>280</v>
      </c>
      <c r="DX184" s="56" t="s">
        <v>678</v>
      </c>
      <c r="DY184" s="56" t="s">
        <v>679</v>
      </c>
      <c r="EL184" s="56">
        <v>25</v>
      </c>
      <c r="EM184" s="56">
        <v>15</v>
      </c>
      <c r="EN184" s="56">
        <v>4779</v>
      </c>
      <c r="EO184" s="56">
        <v>1805</v>
      </c>
      <c r="EP184" s="56" t="s">
        <v>1234</v>
      </c>
      <c r="EQ184" s="56" t="s">
        <v>901</v>
      </c>
      <c r="ER184" s="56" t="s">
        <v>902</v>
      </c>
      <c r="ES184" s="56">
        <v>2</v>
      </c>
      <c r="ET184" s="56" t="s">
        <v>682</v>
      </c>
      <c r="EU184" s="56" t="s">
        <v>683</v>
      </c>
      <c r="EV184" s="56" t="s">
        <v>683</v>
      </c>
      <c r="FD184" s="56" t="s">
        <v>1713</v>
      </c>
      <c r="FK184" s="56">
        <v>0</v>
      </c>
    </row>
    <row r="185" spans="1:167" x14ac:dyDescent="0.2">
      <c r="A185" s="56">
        <v>29135</v>
      </c>
      <c r="B185" s="56">
        <v>2</v>
      </c>
      <c r="C185" s="56">
        <v>6352</v>
      </c>
      <c r="D185" s="56" t="s">
        <v>634</v>
      </c>
      <c r="E185" s="56" t="s">
        <v>635</v>
      </c>
      <c r="K185" s="56" t="s">
        <v>1714</v>
      </c>
      <c r="L185" s="56" t="s">
        <v>637</v>
      </c>
      <c r="M185" s="56">
        <v>44945</v>
      </c>
      <c r="N185" s="56">
        <v>44947</v>
      </c>
      <c r="O185" s="56">
        <v>38</v>
      </c>
      <c r="P185" s="56" t="s">
        <v>638</v>
      </c>
      <c r="Q185" s="56">
        <v>2</v>
      </c>
      <c r="R185" s="56" t="s">
        <v>639</v>
      </c>
      <c r="S185" s="56" t="s">
        <v>893</v>
      </c>
      <c r="T185" s="56" t="s">
        <v>641</v>
      </c>
      <c r="U185" s="56" t="s">
        <v>735</v>
      </c>
      <c r="V185" s="56" t="s">
        <v>643</v>
      </c>
      <c r="W185" s="56">
        <v>49</v>
      </c>
      <c r="X185" s="56" t="s">
        <v>887</v>
      </c>
      <c r="Y185" s="56">
        <v>162</v>
      </c>
      <c r="Z185" s="56" t="s">
        <v>1030</v>
      </c>
      <c r="AA185" s="56" t="s">
        <v>1031</v>
      </c>
      <c r="AB185" s="56" t="s">
        <v>1032</v>
      </c>
      <c r="AC185" s="56" t="s">
        <v>641</v>
      </c>
      <c r="AD185" s="56" t="s">
        <v>893</v>
      </c>
      <c r="AE185" s="56">
        <v>91</v>
      </c>
      <c r="AF185" s="56" t="s">
        <v>736</v>
      </c>
      <c r="AG185" s="56" t="s">
        <v>737</v>
      </c>
      <c r="AH185" s="56" t="s">
        <v>643</v>
      </c>
      <c r="AI185" s="56" t="s">
        <v>735</v>
      </c>
      <c r="AJ185" s="56">
        <v>162</v>
      </c>
      <c r="AK185" s="56" t="s">
        <v>1030</v>
      </c>
      <c r="AL185" s="56">
        <v>98</v>
      </c>
      <c r="AM185" s="56" t="s">
        <v>645</v>
      </c>
      <c r="AN185" s="56" t="s">
        <v>646</v>
      </c>
      <c r="AO185" s="56" t="s">
        <v>647</v>
      </c>
      <c r="AP185" s="56" t="s">
        <v>643</v>
      </c>
      <c r="AQ185" s="56" t="s">
        <v>648</v>
      </c>
      <c r="AR185" s="56">
        <v>162</v>
      </c>
      <c r="AS185" s="56" t="s">
        <v>1030</v>
      </c>
      <c r="AT185" s="56" t="s">
        <v>1031</v>
      </c>
      <c r="AU185" s="56" t="s">
        <v>641</v>
      </c>
      <c r="AV185" s="56" t="s">
        <v>893</v>
      </c>
      <c r="AW185" s="56">
        <v>50</v>
      </c>
      <c r="AX185" s="56" t="s">
        <v>881</v>
      </c>
      <c r="AY185" s="56">
        <v>77</v>
      </c>
      <c r="AZ185" s="56" t="s">
        <v>131</v>
      </c>
      <c r="BA185" s="56" t="s">
        <v>882</v>
      </c>
      <c r="BB185" s="56" t="s">
        <v>770</v>
      </c>
      <c r="BC185" s="56">
        <v>38</v>
      </c>
      <c r="BD185" s="56" t="s">
        <v>289</v>
      </c>
      <c r="BE185" s="56" t="s">
        <v>771</v>
      </c>
      <c r="BF185" s="56">
        <v>2</v>
      </c>
      <c r="BG185" s="56" t="s">
        <v>289</v>
      </c>
      <c r="BH185" s="56" t="s">
        <v>772</v>
      </c>
      <c r="BI185" s="56">
        <v>46.38</v>
      </c>
      <c r="BJ185" s="56">
        <v>180328.22</v>
      </c>
      <c r="BK185" s="56">
        <v>46.38</v>
      </c>
      <c r="BL185" s="56" t="s">
        <v>1691</v>
      </c>
      <c r="BM185" s="56">
        <v>3105</v>
      </c>
      <c r="BN185" s="56" t="s">
        <v>786</v>
      </c>
      <c r="BO185" s="56" t="s">
        <v>883</v>
      </c>
      <c r="BP185" s="56">
        <v>5936.64</v>
      </c>
      <c r="BQ185" s="56">
        <v>5151.34</v>
      </c>
      <c r="BR185" s="56">
        <v>0</v>
      </c>
      <c r="BS185" s="56">
        <v>0</v>
      </c>
      <c r="BT185" s="56">
        <v>0</v>
      </c>
      <c r="BU185" s="56">
        <v>37839</v>
      </c>
      <c r="BV185" s="56">
        <v>162</v>
      </c>
      <c r="BW185" s="56" t="s">
        <v>1030</v>
      </c>
      <c r="BX185" s="56" t="s">
        <v>1715</v>
      </c>
      <c r="BY185" s="56" t="s">
        <v>663</v>
      </c>
      <c r="BZ185" s="56">
        <v>0.25</v>
      </c>
      <c r="CA185" s="56" t="s">
        <v>664</v>
      </c>
      <c r="CB185" s="56" t="s">
        <v>1664</v>
      </c>
      <c r="CD185" s="56" t="s">
        <v>667</v>
      </c>
      <c r="CG185" s="56">
        <v>0</v>
      </c>
      <c r="CH185" s="56">
        <v>128</v>
      </c>
      <c r="CJ185" s="56">
        <v>100</v>
      </c>
      <c r="CK185" s="56">
        <v>5151.34</v>
      </c>
      <c r="CL185" s="56">
        <v>0</v>
      </c>
      <c r="CN185" s="56">
        <v>712.4</v>
      </c>
      <c r="CO185" s="56">
        <v>712.4</v>
      </c>
      <c r="CP185" s="56">
        <v>72.900000000000006</v>
      </c>
      <c r="CQ185" s="56" t="s">
        <v>668</v>
      </c>
      <c r="CR185" s="56">
        <v>0</v>
      </c>
      <c r="CS185" s="56">
        <v>0</v>
      </c>
      <c r="CV185" s="56">
        <v>0</v>
      </c>
      <c r="CX185" s="56">
        <v>0</v>
      </c>
      <c r="CY185" s="56">
        <v>0</v>
      </c>
      <c r="CZ185" s="56">
        <v>476.5</v>
      </c>
      <c r="DA185" s="56">
        <v>476.5</v>
      </c>
      <c r="DB185" s="56">
        <v>0</v>
      </c>
      <c r="DC185" s="56">
        <v>4674.84</v>
      </c>
      <c r="DD185" s="56">
        <v>30.98</v>
      </c>
      <c r="DE185" s="56">
        <v>0</v>
      </c>
      <c r="DF185" s="56">
        <v>30.98</v>
      </c>
      <c r="DH185" s="56" t="s">
        <v>670</v>
      </c>
      <c r="DI185" s="56" t="s">
        <v>671</v>
      </c>
      <c r="DK185" s="56">
        <v>79.45</v>
      </c>
      <c r="DL185" s="56">
        <v>4716.76</v>
      </c>
      <c r="DM185" s="56">
        <v>102</v>
      </c>
      <c r="DO185" s="56" t="s">
        <v>236</v>
      </c>
      <c r="DQ185" s="56" t="s">
        <v>674</v>
      </c>
      <c r="DR185" s="56">
        <v>3</v>
      </c>
      <c r="DW185" s="56">
        <v>280</v>
      </c>
      <c r="DX185" s="56" t="s">
        <v>678</v>
      </c>
      <c r="DY185" s="56" t="s">
        <v>679</v>
      </c>
      <c r="EL185" s="56">
        <v>25</v>
      </c>
      <c r="EM185" s="56">
        <v>15</v>
      </c>
      <c r="EN185" s="56">
        <v>4779</v>
      </c>
      <c r="EO185" s="56">
        <v>1805</v>
      </c>
      <c r="EP185" s="56" t="s">
        <v>1234</v>
      </c>
      <c r="EQ185" s="56" t="s">
        <v>1693</v>
      </c>
      <c r="ER185" s="56" t="s">
        <v>902</v>
      </c>
      <c r="ES185" s="56">
        <v>2</v>
      </c>
      <c r="ET185" s="56" t="s">
        <v>682</v>
      </c>
      <c r="EU185" s="56" t="s">
        <v>683</v>
      </c>
      <c r="EV185" s="56" t="s">
        <v>683</v>
      </c>
      <c r="FD185" s="56" t="s">
        <v>1716</v>
      </c>
      <c r="FK185" s="56">
        <v>0</v>
      </c>
    </row>
    <row r="186" spans="1:167" x14ac:dyDescent="0.2">
      <c r="A186" s="56">
        <v>29735</v>
      </c>
      <c r="B186" s="56">
        <v>1</v>
      </c>
      <c r="C186" s="56">
        <v>5932</v>
      </c>
      <c r="D186" s="56" t="s">
        <v>634</v>
      </c>
      <c r="E186" s="56" t="s">
        <v>635</v>
      </c>
      <c r="K186" s="56" t="s">
        <v>1717</v>
      </c>
      <c r="L186" s="56" t="s">
        <v>637</v>
      </c>
      <c r="M186" s="56">
        <v>44945</v>
      </c>
      <c r="N186" s="56">
        <v>44947</v>
      </c>
      <c r="O186" s="56">
        <v>2</v>
      </c>
      <c r="P186" s="56" t="s">
        <v>682</v>
      </c>
      <c r="Q186" s="56">
        <v>1</v>
      </c>
      <c r="R186" s="56" t="s">
        <v>809</v>
      </c>
      <c r="S186" s="56" t="s">
        <v>1718</v>
      </c>
      <c r="T186" s="56" t="s">
        <v>641</v>
      </c>
      <c r="U186" s="56" t="s">
        <v>640</v>
      </c>
      <c r="V186" s="56" t="s">
        <v>641</v>
      </c>
      <c r="W186" s="56">
        <v>46</v>
      </c>
      <c r="X186" s="56" t="s">
        <v>811</v>
      </c>
      <c r="Y186" s="56">
        <v>1206</v>
      </c>
      <c r="Z186" s="56" t="s">
        <v>1719</v>
      </c>
      <c r="AA186" s="56" t="s">
        <v>1720</v>
      </c>
      <c r="AB186" s="56" t="s">
        <v>1721</v>
      </c>
      <c r="AC186" s="56" t="s">
        <v>641</v>
      </c>
      <c r="AD186" s="56" t="s">
        <v>1718</v>
      </c>
      <c r="AE186" s="56">
        <v>255</v>
      </c>
      <c r="AF186" s="56" t="s">
        <v>816</v>
      </c>
      <c r="AG186" s="56" t="s">
        <v>817</v>
      </c>
      <c r="AH186" s="56" t="s">
        <v>641</v>
      </c>
      <c r="AI186" s="56" t="s">
        <v>640</v>
      </c>
      <c r="AL186" s="56">
        <v>1206</v>
      </c>
      <c r="AM186" s="56" t="s">
        <v>1719</v>
      </c>
      <c r="AN186" s="56" t="s">
        <v>1720</v>
      </c>
      <c r="AO186" s="56" t="s">
        <v>1721</v>
      </c>
      <c r="AP186" s="56" t="s">
        <v>641</v>
      </c>
      <c r="AQ186" s="56" t="s">
        <v>1718</v>
      </c>
      <c r="AR186" s="56">
        <v>1133</v>
      </c>
      <c r="AS186" s="56" t="s">
        <v>1722</v>
      </c>
      <c r="AT186" s="56" t="s">
        <v>1723</v>
      </c>
      <c r="AU186" s="56" t="s">
        <v>643</v>
      </c>
      <c r="AV186" s="56" t="s">
        <v>648</v>
      </c>
      <c r="AW186" s="56">
        <v>108</v>
      </c>
      <c r="AX186" s="56" t="s">
        <v>977</v>
      </c>
      <c r="AY186" s="56">
        <v>47</v>
      </c>
      <c r="AZ186" s="56" t="s">
        <v>32</v>
      </c>
      <c r="BA186" s="56" t="s">
        <v>978</v>
      </c>
      <c r="BB186" s="56" t="s">
        <v>770</v>
      </c>
      <c r="BC186" s="56">
        <v>38</v>
      </c>
      <c r="BD186" s="56" t="s">
        <v>289</v>
      </c>
      <c r="BE186" s="56" t="s">
        <v>771</v>
      </c>
      <c r="BF186" s="56">
        <v>2</v>
      </c>
      <c r="BG186" s="56" t="s">
        <v>289</v>
      </c>
      <c r="BH186" s="56" t="s">
        <v>772</v>
      </c>
      <c r="BI186" s="56">
        <v>47.92</v>
      </c>
      <c r="BJ186" s="56">
        <v>135773.32999999999</v>
      </c>
      <c r="BK186" s="56">
        <v>47.92</v>
      </c>
      <c r="BL186" s="56" t="s">
        <v>1724</v>
      </c>
      <c r="BM186" s="56">
        <v>1201</v>
      </c>
      <c r="BN186" s="56" t="s">
        <v>724</v>
      </c>
      <c r="BO186" s="56" t="s">
        <v>725</v>
      </c>
      <c r="BP186" s="56">
        <v>9448.23</v>
      </c>
      <c r="BQ186" s="56">
        <v>8139.03</v>
      </c>
      <c r="BR186" s="56">
        <v>0</v>
      </c>
      <c r="BS186" s="56">
        <v>0</v>
      </c>
      <c r="BT186" s="56">
        <v>0</v>
      </c>
      <c r="BU186" s="56">
        <v>24700</v>
      </c>
      <c r="BV186" s="56">
        <v>1133</v>
      </c>
      <c r="BW186" s="56" t="s">
        <v>1722</v>
      </c>
      <c r="BX186" s="56" t="s">
        <v>1725</v>
      </c>
      <c r="BY186" s="56" t="s">
        <v>663</v>
      </c>
      <c r="BZ186" s="56">
        <v>0.25</v>
      </c>
      <c r="CA186" s="56" t="s">
        <v>664</v>
      </c>
      <c r="CB186" s="56" t="s">
        <v>1726</v>
      </c>
      <c r="CD186" s="56" t="s">
        <v>667</v>
      </c>
      <c r="CG186" s="56">
        <v>0</v>
      </c>
      <c r="CH186" s="56">
        <v>9448.23</v>
      </c>
      <c r="CJ186" s="56">
        <v>100</v>
      </c>
      <c r="CK186" s="56">
        <v>8139.03</v>
      </c>
      <c r="CL186" s="56">
        <v>0</v>
      </c>
      <c r="CN186" s="56">
        <v>0</v>
      </c>
      <c r="CO186" s="56">
        <v>0</v>
      </c>
      <c r="CP186" s="56">
        <v>1309.2</v>
      </c>
      <c r="CQ186" s="56" t="s">
        <v>668</v>
      </c>
      <c r="CR186" s="56">
        <v>0</v>
      </c>
      <c r="CS186" s="56">
        <v>0</v>
      </c>
      <c r="CV186" s="56">
        <v>0</v>
      </c>
      <c r="CX186" s="56">
        <v>0</v>
      </c>
      <c r="CY186" s="56">
        <v>0</v>
      </c>
      <c r="CZ186" s="56">
        <v>752.86</v>
      </c>
      <c r="DA186" s="56">
        <v>752.86</v>
      </c>
      <c r="DB186" s="56">
        <v>0</v>
      </c>
      <c r="DC186" s="56">
        <v>7386.17</v>
      </c>
      <c r="DD186" s="56">
        <v>0</v>
      </c>
      <c r="DE186" s="56">
        <v>0</v>
      </c>
      <c r="DF186" s="56">
        <v>0</v>
      </c>
      <c r="DH186" s="56" t="s">
        <v>831</v>
      </c>
      <c r="DI186" s="56" t="s">
        <v>671</v>
      </c>
      <c r="DK186" s="56">
        <v>92.03</v>
      </c>
      <c r="DL186" s="56">
        <v>8695.3700000000008</v>
      </c>
      <c r="DO186" s="56" t="s">
        <v>236</v>
      </c>
      <c r="DQ186" s="56" t="s">
        <v>674</v>
      </c>
      <c r="DR186" s="56">
        <v>3</v>
      </c>
      <c r="DX186" s="56" t="s">
        <v>678</v>
      </c>
      <c r="DY186" s="56" t="s">
        <v>679</v>
      </c>
      <c r="EL186" s="56">
        <v>25</v>
      </c>
      <c r="EM186" s="56">
        <v>25</v>
      </c>
      <c r="EN186" s="56">
        <v>4886</v>
      </c>
      <c r="EO186" s="56">
        <v>5173</v>
      </c>
      <c r="EP186" s="56">
        <v>6675</v>
      </c>
      <c r="ER186" s="56" t="s">
        <v>1727</v>
      </c>
      <c r="ES186" s="56">
        <v>2</v>
      </c>
      <c r="ET186" s="56" t="s">
        <v>682</v>
      </c>
      <c r="EU186" s="56" t="s">
        <v>683</v>
      </c>
      <c r="EV186" s="56" t="s">
        <v>683</v>
      </c>
      <c r="FD186" s="56" t="s">
        <v>1728</v>
      </c>
      <c r="FK186" s="56">
        <v>0</v>
      </c>
    </row>
    <row r="187" spans="1:167" x14ac:dyDescent="0.2">
      <c r="A187" s="56">
        <v>29736</v>
      </c>
      <c r="B187" s="56">
        <v>1</v>
      </c>
      <c r="C187" s="56">
        <v>5352</v>
      </c>
      <c r="D187" s="56" t="s">
        <v>634</v>
      </c>
      <c r="E187" s="56" t="s">
        <v>635</v>
      </c>
      <c r="K187" s="56" t="s">
        <v>1729</v>
      </c>
      <c r="L187" s="56" t="s">
        <v>637</v>
      </c>
      <c r="M187" s="56">
        <v>44945</v>
      </c>
      <c r="N187" s="56">
        <v>44947</v>
      </c>
      <c r="O187" s="56">
        <v>2</v>
      </c>
      <c r="P187" s="56" t="s">
        <v>682</v>
      </c>
      <c r="Q187" s="56">
        <v>1</v>
      </c>
      <c r="R187" s="56" t="s">
        <v>809</v>
      </c>
      <c r="S187" s="56" t="s">
        <v>735</v>
      </c>
      <c r="T187" s="56" t="s">
        <v>643</v>
      </c>
      <c r="U187" s="56" t="s">
        <v>642</v>
      </c>
      <c r="V187" s="56" t="s">
        <v>643</v>
      </c>
      <c r="W187" s="56">
        <v>46</v>
      </c>
      <c r="X187" s="56" t="s">
        <v>811</v>
      </c>
      <c r="Y187" s="56">
        <v>91</v>
      </c>
      <c r="Z187" s="56" t="s">
        <v>736</v>
      </c>
      <c r="AA187" s="56" t="s">
        <v>737</v>
      </c>
      <c r="AB187" s="56" t="s">
        <v>738</v>
      </c>
      <c r="AC187" s="56" t="s">
        <v>643</v>
      </c>
      <c r="AD187" s="56" t="s">
        <v>735</v>
      </c>
      <c r="AL187" s="56">
        <v>141</v>
      </c>
      <c r="AM187" s="56" t="s">
        <v>649</v>
      </c>
      <c r="AN187" s="56" t="s">
        <v>650</v>
      </c>
      <c r="AO187" s="56" t="s">
        <v>652</v>
      </c>
      <c r="AP187" s="56" t="s">
        <v>643</v>
      </c>
      <c r="AQ187" s="56" t="s">
        <v>642</v>
      </c>
      <c r="AR187" s="56">
        <v>98</v>
      </c>
      <c r="AS187" s="56" t="s">
        <v>645</v>
      </c>
      <c r="AT187" s="56" t="s">
        <v>646</v>
      </c>
      <c r="AU187" s="56" t="s">
        <v>643</v>
      </c>
      <c r="AV187" s="56" t="s">
        <v>648</v>
      </c>
      <c r="AW187" s="56">
        <v>113</v>
      </c>
      <c r="AX187" s="56" t="s">
        <v>1025</v>
      </c>
      <c r="AY187" s="56">
        <v>43</v>
      </c>
      <c r="AZ187" s="56" t="s">
        <v>126</v>
      </c>
      <c r="BA187" s="56" t="s">
        <v>1284</v>
      </c>
      <c r="BB187" s="56" t="s">
        <v>770</v>
      </c>
      <c r="BC187" s="56">
        <v>38</v>
      </c>
      <c r="BD187" s="56" t="s">
        <v>289</v>
      </c>
      <c r="BE187" s="56" t="s">
        <v>771</v>
      </c>
      <c r="BF187" s="56">
        <v>38</v>
      </c>
      <c r="BG187" s="56" t="s">
        <v>289</v>
      </c>
      <c r="BH187" s="56" t="s">
        <v>771</v>
      </c>
      <c r="BI187" s="56">
        <v>47.83</v>
      </c>
      <c r="BJ187" s="56">
        <v>75594.84</v>
      </c>
      <c r="BK187" s="56">
        <v>47.83</v>
      </c>
      <c r="BL187" s="56" t="s">
        <v>1274</v>
      </c>
      <c r="BM187" s="56">
        <v>3102</v>
      </c>
      <c r="BN187" s="56" t="s">
        <v>786</v>
      </c>
      <c r="BO187" s="56" t="s">
        <v>911</v>
      </c>
      <c r="BP187" s="56">
        <v>1721.88</v>
      </c>
      <c r="BQ187" s="56">
        <v>1721.88</v>
      </c>
      <c r="BR187" s="56">
        <v>0</v>
      </c>
      <c r="BS187" s="56">
        <v>0</v>
      </c>
      <c r="BT187" s="56">
        <v>0</v>
      </c>
      <c r="BU187" s="56">
        <v>245136</v>
      </c>
      <c r="BV187" s="56">
        <v>98</v>
      </c>
      <c r="BW187" s="56" t="s">
        <v>645</v>
      </c>
      <c r="BX187" s="56" t="s">
        <v>1730</v>
      </c>
      <c r="BY187" s="56" t="s">
        <v>663</v>
      </c>
      <c r="BZ187" s="56">
        <v>0.25</v>
      </c>
      <c r="CA187" s="56" t="s">
        <v>664</v>
      </c>
      <c r="CB187" s="56" t="s">
        <v>1278</v>
      </c>
      <c r="CD187" s="56" t="s">
        <v>667</v>
      </c>
      <c r="CG187" s="56">
        <v>0</v>
      </c>
      <c r="CH187" s="56">
        <v>36</v>
      </c>
      <c r="CJ187" s="56">
        <v>100</v>
      </c>
      <c r="CK187" s="56">
        <v>1721.88</v>
      </c>
      <c r="CL187" s="56">
        <v>0</v>
      </c>
      <c r="CN187" s="56">
        <v>0</v>
      </c>
      <c r="CO187" s="56">
        <v>0</v>
      </c>
      <c r="CP187" s="56">
        <v>0</v>
      </c>
      <c r="CQ187" s="56" t="s">
        <v>708</v>
      </c>
      <c r="CR187" s="56">
        <v>0</v>
      </c>
      <c r="CS187" s="56">
        <v>0</v>
      </c>
      <c r="CV187" s="56">
        <v>0</v>
      </c>
      <c r="CX187" s="56">
        <v>0</v>
      </c>
      <c r="CY187" s="56">
        <v>0</v>
      </c>
      <c r="CZ187" s="56">
        <v>159.27000000000001</v>
      </c>
      <c r="DA187" s="56">
        <v>159.27000000000001</v>
      </c>
      <c r="DB187" s="56">
        <v>0</v>
      </c>
      <c r="DC187" s="56">
        <v>1562.61</v>
      </c>
      <c r="DD187" s="56">
        <v>12.83</v>
      </c>
      <c r="DE187" s="56">
        <v>0</v>
      </c>
      <c r="DF187" s="56">
        <v>12.83</v>
      </c>
      <c r="DH187" s="56" t="s">
        <v>670</v>
      </c>
      <c r="DI187" s="56" t="s">
        <v>671</v>
      </c>
      <c r="DK187" s="56">
        <v>90.01</v>
      </c>
      <c r="DL187" s="56">
        <v>1549.78</v>
      </c>
      <c r="DO187" s="56" t="s">
        <v>236</v>
      </c>
      <c r="DQ187" s="56" t="s">
        <v>674</v>
      </c>
      <c r="DR187" s="56">
        <v>3</v>
      </c>
      <c r="DX187" s="56" t="s">
        <v>678</v>
      </c>
      <c r="DY187" s="56" t="s">
        <v>679</v>
      </c>
      <c r="EL187" s="56">
        <v>15</v>
      </c>
      <c r="EM187" s="56">
        <v>15</v>
      </c>
      <c r="EN187" s="56">
        <v>1805</v>
      </c>
      <c r="EO187" s="56">
        <v>1622</v>
      </c>
      <c r="EP187" s="56" t="s">
        <v>1234</v>
      </c>
      <c r="EQ187" s="56" t="s">
        <v>1434</v>
      </c>
      <c r="ER187" s="56" t="s">
        <v>1700</v>
      </c>
      <c r="ES187" s="56">
        <v>2</v>
      </c>
      <c r="ET187" s="56" t="s">
        <v>682</v>
      </c>
      <c r="EU187" s="56" t="s">
        <v>683</v>
      </c>
      <c r="EV187" s="56" t="s">
        <v>683</v>
      </c>
      <c r="FD187" s="56" t="s">
        <v>1731</v>
      </c>
      <c r="FK187" s="56">
        <v>0</v>
      </c>
    </row>
    <row r="188" spans="1:167" x14ac:dyDescent="0.2">
      <c r="A188" s="56">
        <v>29737</v>
      </c>
      <c r="B188" s="56">
        <v>1</v>
      </c>
      <c r="C188" s="56">
        <v>5352</v>
      </c>
      <c r="D188" s="56" t="s">
        <v>634</v>
      </c>
      <c r="E188" s="56" t="s">
        <v>635</v>
      </c>
      <c r="K188" s="56" t="s">
        <v>1732</v>
      </c>
      <c r="L188" s="56" t="s">
        <v>637</v>
      </c>
      <c r="M188" s="56">
        <v>44945</v>
      </c>
      <c r="N188" s="56">
        <v>44947</v>
      </c>
      <c r="O188" s="56">
        <v>2</v>
      </c>
      <c r="P188" s="56" t="s">
        <v>682</v>
      </c>
      <c r="Q188" s="56">
        <v>1</v>
      </c>
      <c r="R188" s="56" t="s">
        <v>809</v>
      </c>
      <c r="S188" s="56" t="s">
        <v>735</v>
      </c>
      <c r="T188" s="56" t="s">
        <v>643</v>
      </c>
      <c r="U188" s="56" t="s">
        <v>642</v>
      </c>
      <c r="V188" s="56" t="s">
        <v>643</v>
      </c>
      <c r="W188" s="56">
        <v>46</v>
      </c>
      <c r="X188" s="56" t="s">
        <v>811</v>
      </c>
      <c r="Y188" s="56">
        <v>91</v>
      </c>
      <c r="Z188" s="56" t="s">
        <v>736</v>
      </c>
      <c r="AA188" s="56" t="s">
        <v>737</v>
      </c>
      <c r="AB188" s="56" t="s">
        <v>738</v>
      </c>
      <c r="AC188" s="56" t="s">
        <v>643</v>
      </c>
      <c r="AD188" s="56" t="s">
        <v>735</v>
      </c>
      <c r="AL188" s="56">
        <v>141</v>
      </c>
      <c r="AM188" s="56" t="s">
        <v>649</v>
      </c>
      <c r="AN188" s="56" t="s">
        <v>650</v>
      </c>
      <c r="AO188" s="56" t="s">
        <v>652</v>
      </c>
      <c r="AP188" s="56" t="s">
        <v>643</v>
      </c>
      <c r="AQ188" s="56" t="s">
        <v>642</v>
      </c>
      <c r="AR188" s="56">
        <v>98</v>
      </c>
      <c r="AS188" s="56" t="s">
        <v>645</v>
      </c>
      <c r="AT188" s="56" t="s">
        <v>646</v>
      </c>
      <c r="AU188" s="56" t="s">
        <v>643</v>
      </c>
      <c r="AV188" s="56" t="s">
        <v>648</v>
      </c>
      <c r="AW188" s="56">
        <v>117</v>
      </c>
      <c r="AX188" s="56" t="s">
        <v>848</v>
      </c>
      <c r="AY188" s="56">
        <v>1</v>
      </c>
      <c r="AZ188" s="56" t="s">
        <v>28</v>
      </c>
      <c r="BA188" s="56" t="s">
        <v>849</v>
      </c>
      <c r="BB188" s="56" t="s">
        <v>770</v>
      </c>
      <c r="BC188" s="56">
        <v>38</v>
      </c>
      <c r="BD188" s="56" t="s">
        <v>289</v>
      </c>
      <c r="BE188" s="56" t="s">
        <v>771</v>
      </c>
      <c r="BF188" s="56">
        <v>2</v>
      </c>
      <c r="BG188" s="56" t="s">
        <v>289</v>
      </c>
      <c r="BH188" s="56" t="s">
        <v>772</v>
      </c>
      <c r="BI188" s="56">
        <v>49.06</v>
      </c>
      <c r="BJ188" s="56">
        <v>77538.84</v>
      </c>
      <c r="BK188" s="56">
        <v>49.06</v>
      </c>
      <c r="BL188" s="56" t="s">
        <v>1274</v>
      </c>
      <c r="BM188" s="56">
        <v>3102</v>
      </c>
      <c r="BN188" s="56" t="s">
        <v>724</v>
      </c>
      <c r="BO188" s="56" t="s">
        <v>725</v>
      </c>
      <c r="BP188" s="56">
        <v>1766.16</v>
      </c>
      <c r="BQ188" s="56">
        <v>1766.16</v>
      </c>
      <c r="BR188" s="56">
        <v>0</v>
      </c>
      <c r="BS188" s="56">
        <v>0</v>
      </c>
      <c r="BT188" s="56">
        <v>0</v>
      </c>
      <c r="BU188" s="56">
        <v>245194</v>
      </c>
      <c r="BV188" s="56">
        <v>98</v>
      </c>
      <c r="BW188" s="56" t="s">
        <v>645</v>
      </c>
      <c r="BX188" s="56" t="s">
        <v>1733</v>
      </c>
      <c r="BY188" s="56" t="s">
        <v>663</v>
      </c>
      <c r="BZ188" s="56">
        <v>0.25</v>
      </c>
      <c r="CA188" s="56" t="s">
        <v>664</v>
      </c>
      <c r="CB188" s="56" t="s">
        <v>1278</v>
      </c>
      <c r="CD188" s="56" t="s">
        <v>667</v>
      </c>
      <c r="CG188" s="56">
        <v>0</v>
      </c>
      <c r="CH188" s="56">
        <v>36</v>
      </c>
      <c r="CJ188" s="56">
        <v>100</v>
      </c>
      <c r="CK188" s="56">
        <v>1766.16</v>
      </c>
      <c r="CL188" s="56">
        <v>0</v>
      </c>
      <c r="CN188" s="56">
        <v>0</v>
      </c>
      <c r="CO188" s="56">
        <v>0</v>
      </c>
      <c r="CP188" s="56">
        <v>0</v>
      </c>
      <c r="CQ188" s="56" t="s">
        <v>708</v>
      </c>
      <c r="CR188" s="56">
        <v>0</v>
      </c>
      <c r="CS188" s="56">
        <v>0</v>
      </c>
      <c r="CV188" s="56">
        <v>0</v>
      </c>
      <c r="CX188" s="56">
        <v>0</v>
      </c>
      <c r="CY188" s="56">
        <v>0</v>
      </c>
      <c r="CZ188" s="56">
        <v>163.37</v>
      </c>
      <c r="DA188" s="56">
        <v>163.37</v>
      </c>
      <c r="DB188" s="56">
        <v>0</v>
      </c>
      <c r="DC188" s="56">
        <v>1602.79</v>
      </c>
      <c r="DD188" s="56">
        <v>13.16</v>
      </c>
      <c r="DE188" s="56">
        <v>0</v>
      </c>
      <c r="DF188" s="56">
        <v>13.16</v>
      </c>
      <c r="DH188" s="56" t="s">
        <v>670</v>
      </c>
      <c r="DI188" s="56" t="s">
        <v>671</v>
      </c>
      <c r="DK188" s="56">
        <v>90</v>
      </c>
      <c r="DL188" s="56">
        <v>1589.63</v>
      </c>
      <c r="DO188" s="56" t="s">
        <v>236</v>
      </c>
      <c r="DQ188" s="56" t="s">
        <v>674</v>
      </c>
      <c r="DR188" s="56">
        <v>3</v>
      </c>
      <c r="DX188" s="56" t="s">
        <v>678</v>
      </c>
      <c r="DY188" s="56" t="s">
        <v>679</v>
      </c>
      <c r="EL188" s="56">
        <v>15</v>
      </c>
      <c r="EM188" s="56">
        <v>15</v>
      </c>
      <c r="EN188" s="56">
        <v>1805</v>
      </c>
      <c r="EO188" s="56">
        <v>1622</v>
      </c>
      <c r="EP188" s="56" t="s">
        <v>1234</v>
      </c>
      <c r="EQ188" s="56" t="s">
        <v>1434</v>
      </c>
      <c r="ER188" s="56" t="s">
        <v>1700</v>
      </c>
      <c r="ES188" s="56">
        <v>2</v>
      </c>
      <c r="ET188" s="56" t="s">
        <v>682</v>
      </c>
      <c r="EU188" s="56" t="s">
        <v>683</v>
      </c>
      <c r="EV188" s="56" t="s">
        <v>683</v>
      </c>
      <c r="FD188" s="56" t="s">
        <v>1734</v>
      </c>
      <c r="FK188" s="56">
        <v>0</v>
      </c>
    </row>
    <row r="189" spans="1:167" x14ac:dyDescent="0.2">
      <c r="A189" s="56">
        <v>29738</v>
      </c>
      <c r="B189" s="56">
        <v>1</v>
      </c>
      <c r="C189" s="56">
        <v>5932</v>
      </c>
      <c r="D189" s="56" t="s">
        <v>634</v>
      </c>
      <c r="E189" s="56" t="s">
        <v>635</v>
      </c>
      <c r="K189" s="56" t="s">
        <v>1735</v>
      </c>
      <c r="L189" s="56" t="s">
        <v>637</v>
      </c>
      <c r="M189" s="56">
        <v>44945</v>
      </c>
      <c r="N189" s="56">
        <v>44947</v>
      </c>
      <c r="O189" s="56">
        <v>2</v>
      </c>
      <c r="P189" s="56" t="s">
        <v>682</v>
      </c>
      <c r="Q189" s="56">
        <v>1</v>
      </c>
      <c r="R189" s="56" t="s">
        <v>809</v>
      </c>
      <c r="S189" s="56" t="s">
        <v>1718</v>
      </c>
      <c r="T189" s="56" t="s">
        <v>641</v>
      </c>
      <c r="U189" s="56" t="s">
        <v>640</v>
      </c>
      <c r="V189" s="56" t="s">
        <v>641</v>
      </c>
      <c r="W189" s="56">
        <v>46</v>
      </c>
      <c r="X189" s="56" t="s">
        <v>811</v>
      </c>
      <c r="Y189" s="56">
        <v>1206</v>
      </c>
      <c r="Z189" s="56" t="s">
        <v>1719</v>
      </c>
      <c r="AA189" s="56" t="s">
        <v>1720</v>
      </c>
      <c r="AB189" s="56" t="s">
        <v>1721</v>
      </c>
      <c r="AC189" s="56" t="s">
        <v>641</v>
      </c>
      <c r="AD189" s="56" t="s">
        <v>1718</v>
      </c>
      <c r="AE189" s="56">
        <v>255</v>
      </c>
      <c r="AF189" s="56" t="s">
        <v>816</v>
      </c>
      <c r="AG189" s="56" t="s">
        <v>817</v>
      </c>
      <c r="AH189" s="56" t="s">
        <v>641</v>
      </c>
      <c r="AI189" s="56" t="s">
        <v>640</v>
      </c>
      <c r="AL189" s="56">
        <v>1206</v>
      </c>
      <c r="AM189" s="56" t="s">
        <v>1719</v>
      </c>
      <c r="AN189" s="56" t="s">
        <v>1720</v>
      </c>
      <c r="AO189" s="56" t="s">
        <v>1721</v>
      </c>
      <c r="AP189" s="56" t="s">
        <v>641</v>
      </c>
      <c r="AQ189" s="56" t="s">
        <v>1718</v>
      </c>
      <c r="AR189" s="56">
        <v>1133</v>
      </c>
      <c r="AS189" s="56" t="s">
        <v>1722</v>
      </c>
      <c r="AT189" s="56" t="s">
        <v>1723</v>
      </c>
      <c r="AU189" s="56" t="s">
        <v>643</v>
      </c>
      <c r="AV189" s="56" t="s">
        <v>648</v>
      </c>
      <c r="AW189" s="56">
        <v>110</v>
      </c>
      <c r="AX189" s="56" t="s">
        <v>864</v>
      </c>
      <c r="AY189" s="56">
        <v>68</v>
      </c>
      <c r="AZ189" s="56" t="s">
        <v>25</v>
      </c>
      <c r="BA189" s="56" t="s">
        <v>865</v>
      </c>
      <c r="BB189" s="56" t="s">
        <v>844</v>
      </c>
      <c r="BC189" s="56">
        <v>2</v>
      </c>
      <c r="BD189" s="56" t="s">
        <v>289</v>
      </c>
      <c r="BE189" s="56" t="s">
        <v>772</v>
      </c>
      <c r="BF189" s="56">
        <v>2</v>
      </c>
      <c r="BG189" s="56" t="s">
        <v>289</v>
      </c>
      <c r="BH189" s="56" t="s">
        <v>772</v>
      </c>
      <c r="BI189" s="56">
        <v>50.08</v>
      </c>
      <c r="BJ189" s="56">
        <v>141893.32999999999</v>
      </c>
      <c r="BK189" s="56">
        <v>50.08</v>
      </c>
      <c r="BL189" s="56" t="s">
        <v>1724</v>
      </c>
      <c r="BM189" s="56">
        <v>1201</v>
      </c>
      <c r="BN189" s="56" t="s">
        <v>660</v>
      </c>
      <c r="BO189" s="56" t="s">
        <v>866</v>
      </c>
      <c r="BP189" s="56">
        <v>9874.11</v>
      </c>
      <c r="BQ189" s="56">
        <v>8564.91</v>
      </c>
      <c r="BR189" s="56">
        <v>0</v>
      </c>
      <c r="BS189" s="56">
        <v>0</v>
      </c>
      <c r="BT189" s="56">
        <v>0</v>
      </c>
      <c r="BU189" s="56">
        <v>24702</v>
      </c>
      <c r="BV189" s="56">
        <v>1133</v>
      </c>
      <c r="BW189" s="56" t="s">
        <v>1722</v>
      </c>
      <c r="BX189" s="56" t="s">
        <v>1736</v>
      </c>
      <c r="BY189" s="56" t="s">
        <v>663</v>
      </c>
      <c r="BZ189" s="56">
        <v>0.25</v>
      </c>
      <c r="CA189" s="56" t="s">
        <v>664</v>
      </c>
      <c r="CB189" s="56" t="s">
        <v>1726</v>
      </c>
      <c r="CD189" s="56" t="s">
        <v>667</v>
      </c>
      <c r="CG189" s="56">
        <v>0</v>
      </c>
      <c r="CH189" s="56">
        <v>9874.11</v>
      </c>
      <c r="CJ189" s="56">
        <v>100</v>
      </c>
      <c r="CK189" s="56">
        <v>8564.91</v>
      </c>
      <c r="CL189" s="56">
        <v>0</v>
      </c>
      <c r="CN189" s="56">
        <v>0</v>
      </c>
      <c r="CO189" s="56">
        <v>0</v>
      </c>
      <c r="CP189" s="56">
        <v>1309.2</v>
      </c>
      <c r="CQ189" s="56" t="s">
        <v>668</v>
      </c>
      <c r="CR189" s="56">
        <v>0</v>
      </c>
      <c r="CS189" s="56">
        <v>0</v>
      </c>
      <c r="CV189" s="56">
        <v>0</v>
      </c>
      <c r="CX189" s="56">
        <v>0</v>
      </c>
      <c r="CY189" s="56">
        <v>0</v>
      </c>
      <c r="CZ189" s="56">
        <v>792.25</v>
      </c>
      <c r="DA189" s="56">
        <v>792.25</v>
      </c>
      <c r="DB189" s="56">
        <v>0</v>
      </c>
      <c r="DC189" s="56">
        <v>7772.66</v>
      </c>
      <c r="DD189" s="56">
        <v>0</v>
      </c>
      <c r="DE189" s="56">
        <v>0</v>
      </c>
      <c r="DF189" s="56">
        <v>0</v>
      </c>
      <c r="DH189" s="56" t="s">
        <v>831</v>
      </c>
      <c r="DI189" s="56" t="s">
        <v>671</v>
      </c>
      <c r="DK189" s="56">
        <v>91.98</v>
      </c>
      <c r="DL189" s="56">
        <v>9081.86</v>
      </c>
      <c r="DO189" s="56" t="s">
        <v>236</v>
      </c>
      <c r="DQ189" s="56" t="s">
        <v>674</v>
      </c>
      <c r="DR189" s="56">
        <v>3</v>
      </c>
      <c r="DX189" s="56" t="s">
        <v>678</v>
      </c>
      <c r="DY189" s="56" t="s">
        <v>679</v>
      </c>
      <c r="EL189" s="56">
        <v>25</v>
      </c>
      <c r="EM189" s="56">
        <v>25</v>
      </c>
      <c r="EN189" s="56">
        <v>4886</v>
      </c>
      <c r="EO189" s="56">
        <v>5173</v>
      </c>
      <c r="EP189" s="56">
        <v>6675</v>
      </c>
      <c r="ER189" s="56" t="s">
        <v>1727</v>
      </c>
      <c r="ES189" s="56">
        <v>2</v>
      </c>
      <c r="ET189" s="56" t="s">
        <v>682</v>
      </c>
      <c r="EU189" s="56" t="s">
        <v>683</v>
      </c>
      <c r="EV189" s="56" t="s">
        <v>683</v>
      </c>
      <c r="FD189" s="56" t="s">
        <v>1737</v>
      </c>
      <c r="FK189" s="56">
        <v>0</v>
      </c>
    </row>
    <row r="190" spans="1:167" x14ac:dyDescent="0.2">
      <c r="A190" s="56">
        <v>29739</v>
      </c>
      <c r="B190" s="56">
        <v>1</v>
      </c>
      <c r="C190" s="56">
        <v>6351</v>
      </c>
      <c r="D190" s="56" t="s">
        <v>634</v>
      </c>
      <c r="E190" s="56" t="s">
        <v>635</v>
      </c>
      <c r="K190" s="56" t="s">
        <v>1738</v>
      </c>
      <c r="L190" s="56" t="s">
        <v>637</v>
      </c>
      <c r="M190" s="56">
        <v>44946</v>
      </c>
      <c r="N190" s="56">
        <v>44931</v>
      </c>
      <c r="O190" s="56">
        <v>2</v>
      </c>
      <c r="P190" s="56" t="s">
        <v>682</v>
      </c>
      <c r="Q190" s="56">
        <v>1</v>
      </c>
      <c r="R190" s="56" t="s">
        <v>809</v>
      </c>
      <c r="S190" s="56" t="s">
        <v>810</v>
      </c>
      <c r="T190" s="56" t="s">
        <v>643</v>
      </c>
      <c r="U190" s="56" t="s">
        <v>640</v>
      </c>
      <c r="V190" s="56" t="s">
        <v>641</v>
      </c>
      <c r="W190" s="56">
        <v>41</v>
      </c>
      <c r="X190" s="56" t="s">
        <v>1217</v>
      </c>
      <c r="Y190" s="56">
        <v>465</v>
      </c>
      <c r="Z190" s="56" t="s">
        <v>812</v>
      </c>
      <c r="AA190" s="56" t="s">
        <v>813</v>
      </c>
      <c r="AB190" s="56" t="s">
        <v>814</v>
      </c>
      <c r="AC190" s="56" t="s">
        <v>643</v>
      </c>
      <c r="AD190" s="56" t="s">
        <v>815</v>
      </c>
      <c r="AE190" s="56">
        <v>255</v>
      </c>
      <c r="AF190" s="56" t="s">
        <v>816</v>
      </c>
      <c r="AG190" s="56" t="s">
        <v>817</v>
      </c>
      <c r="AH190" s="56" t="s">
        <v>641</v>
      </c>
      <c r="AI190" s="56" t="s">
        <v>640</v>
      </c>
      <c r="AJ190" s="56">
        <v>1169</v>
      </c>
      <c r="AK190" s="56" t="s">
        <v>818</v>
      </c>
      <c r="AL190" s="56">
        <v>985</v>
      </c>
      <c r="AM190" s="56" t="s">
        <v>819</v>
      </c>
      <c r="AN190" s="56" t="s">
        <v>820</v>
      </c>
      <c r="AO190" s="56" t="s">
        <v>821</v>
      </c>
      <c r="AP190" s="56" t="s">
        <v>641</v>
      </c>
      <c r="AQ190" s="56" t="s">
        <v>822</v>
      </c>
      <c r="AR190" s="56">
        <v>1168</v>
      </c>
      <c r="AS190" s="56" t="s">
        <v>823</v>
      </c>
      <c r="AT190" s="56" t="s">
        <v>824</v>
      </c>
      <c r="AU190" s="56" t="s">
        <v>643</v>
      </c>
      <c r="AV190" s="56" t="s">
        <v>825</v>
      </c>
      <c r="AW190" s="56">
        <v>120</v>
      </c>
      <c r="AX190" s="56" t="s">
        <v>836</v>
      </c>
      <c r="AY190" s="56">
        <v>7</v>
      </c>
      <c r="AZ190" s="56" t="s">
        <v>128</v>
      </c>
      <c r="BA190" s="56" t="s">
        <v>837</v>
      </c>
      <c r="BB190" s="56" t="s">
        <v>770</v>
      </c>
      <c r="BC190" s="56">
        <v>38</v>
      </c>
      <c r="BD190" s="56" t="s">
        <v>289</v>
      </c>
      <c r="BE190" s="56" t="s">
        <v>771</v>
      </c>
      <c r="BF190" s="56">
        <v>2</v>
      </c>
      <c r="BG190" s="56" t="s">
        <v>289</v>
      </c>
      <c r="BH190" s="56" t="s">
        <v>772</v>
      </c>
      <c r="BI190" s="56">
        <v>0</v>
      </c>
      <c r="BJ190" s="56">
        <v>74161.08</v>
      </c>
      <c r="BK190" s="56">
        <v>95180</v>
      </c>
      <c r="BL190" s="56" t="s">
        <v>828</v>
      </c>
      <c r="BM190" s="56">
        <v>1005</v>
      </c>
      <c r="BN190" s="56" t="s">
        <v>724</v>
      </c>
      <c r="BO190" s="56" t="s">
        <v>725</v>
      </c>
      <c r="BP190" s="56">
        <v>1034.8399999999999</v>
      </c>
      <c r="BQ190" s="56">
        <v>1034.8399999999999</v>
      </c>
      <c r="BR190" s="56">
        <v>0</v>
      </c>
      <c r="BS190" s="56">
        <v>0</v>
      </c>
      <c r="BT190" s="56">
        <v>0</v>
      </c>
      <c r="BU190" s="56" t="s">
        <v>838</v>
      </c>
      <c r="BV190" s="56">
        <v>1168</v>
      </c>
      <c r="BW190" s="56" t="s">
        <v>823</v>
      </c>
      <c r="BX190" s="56" t="s">
        <v>839</v>
      </c>
      <c r="BY190" s="56" t="s">
        <v>663</v>
      </c>
      <c r="BZ190" s="56">
        <v>0.25</v>
      </c>
      <c r="CA190" s="56" t="s">
        <v>664</v>
      </c>
      <c r="CB190" s="56" t="s">
        <v>830</v>
      </c>
      <c r="CD190" s="56" t="s">
        <v>667</v>
      </c>
      <c r="CG190" s="56">
        <v>0</v>
      </c>
      <c r="CH190" s="56">
        <v>1034.8399999999999</v>
      </c>
      <c r="CJ190" s="56">
        <v>100</v>
      </c>
      <c r="CK190" s="56">
        <v>1034.8399999999999</v>
      </c>
      <c r="CL190" s="56">
        <v>0</v>
      </c>
      <c r="CN190" s="56">
        <v>0</v>
      </c>
      <c r="CO190" s="56">
        <v>0</v>
      </c>
      <c r="CP190" s="56">
        <v>0</v>
      </c>
      <c r="CQ190" s="56" t="s">
        <v>708</v>
      </c>
      <c r="CR190" s="56">
        <v>0</v>
      </c>
      <c r="CS190" s="56">
        <v>0</v>
      </c>
      <c r="CV190" s="56">
        <v>0</v>
      </c>
      <c r="CX190" s="56">
        <v>0</v>
      </c>
      <c r="CY190" s="56">
        <v>0</v>
      </c>
      <c r="CZ190" s="56">
        <v>95.72</v>
      </c>
      <c r="DA190" s="56">
        <v>95.72</v>
      </c>
      <c r="DB190" s="56">
        <v>0</v>
      </c>
      <c r="DC190" s="56">
        <v>939.12</v>
      </c>
      <c r="DD190" s="56">
        <v>0</v>
      </c>
      <c r="DE190" s="56">
        <v>0</v>
      </c>
      <c r="DF190" s="56">
        <v>0</v>
      </c>
      <c r="DH190" s="56" t="s">
        <v>831</v>
      </c>
      <c r="DI190" s="56" t="s">
        <v>671</v>
      </c>
      <c r="DK190" s="56">
        <v>90.75</v>
      </c>
      <c r="DL190" s="56">
        <v>939.12</v>
      </c>
      <c r="DO190" s="56" t="s">
        <v>236</v>
      </c>
      <c r="DQ190" s="56" t="s">
        <v>674</v>
      </c>
      <c r="DR190" s="56">
        <v>3</v>
      </c>
      <c r="DW190" s="56">
        <v>0</v>
      </c>
      <c r="DX190" s="56" t="s">
        <v>678</v>
      </c>
      <c r="DY190" s="56" t="s">
        <v>679</v>
      </c>
      <c r="EL190" s="56">
        <v>15</v>
      </c>
      <c r="EM190" s="56">
        <v>25</v>
      </c>
      <c r="EN190" s="56">
        <v>2331</v>
      </c>
      <c r="EO190" s="56">
        <v>5173</v>
      </c>
      <c r="EP190" s="56">
        <v>6777</v>
      </c>
      <c r="EQ190" s="56" t="s">
        <v>1739</v>
      </c>
      <c r="ER190" s="56" t="s">
        <v>833</v>
      </c>
      <c r="ES190" s="56">
        <v>2</v>
      </c>
      <c r="ET190" s="56" t="s">
        <v>682</v>
      </c>
      <c r="EU190" s="56" t="s">
        <v>1740</v>
      </c>
      <c r="EV190" s="56" t="s">
        <v>683</v>
      </c>
      <c r="EX190" s="56">
        <v>29710</v>
      </c>
      <c r="FD190" s="56" t="s">
        <v>1741</v>
      </c>
      <c r="FK190" s="56">
        <v>0</v>
      </c>
    </row>
    <row r="191" spans="1:167" x14ac:dyDescent="0.2">
      <c r="A191" s="56">
        <v>29740</v>
      </c>
      <c r="B191" s="56">
        <v>1</v>
      </c>
      <c r="C191" s="56">
        <v>6351</v>
      </c>
      <c r="D191" s="56" t="s">
        <v>634</v>
      </c>
      <c r="E191" s="56" t="s">
        <v>635</v>
      </c>
      <c r="K191" s="56" t="s">
        <v>1742</v>
      </c>
      <c r="L191" s="56" t="s">
        <v>637</v>
      </c>
      <c r="M191" s="56">
        <v>44946</v>
      </c>
      <c r="N191" s="56">
        <v>44948</v>
      </c>
      <c r="O191" s="56">
        <v>2</v>
      </c>
      <c r="P191" s="56" t="s">
        <v>682</v>
      </c>
      <c r="Q191" s="56">
        <v>1</v>
      </c>
      <c r="R191" s="56" t="s">
        <v>809</v>
      </c>
      <c r="S191" s="56" t="s">
        <v>815</v>
      </c>
      <c r="T191" s="56" t="s">
        <v>643</v>
      </c>
      <c r="U191" s="56" t="s">
        <v>640</v>
      </c>
      <c r="V191" s="56" t="s">
        <v>641</v>
      </c>
      <c r="W191" s="56">
        <v>46</v>
      </c>
      <c r="X191" s="56" t="s">
        <v>811</v>
      </c>
      <c r="Y191" s="56">
        <v>465</v>
      </c>
      <c r="Z191" s="56" t="s">
        <v>812</v>
      </c>
      <c r="AA191" s="56" t="s">
        <v>813</v>
      </c>
      <c r="AB191" s="56" t="s">
        <v>814</v>
      </c>
      <c r="AC191" s="56" t="s">
        <v>643</v>
      </c>
      <c r="AD191" s="56" t="s">
        <v>815</v>
      </c>
      <c r="AE191" s="56">
        <v>255</v>
      </c>
      <c r="AF191" s="56" t="s">
        <v>816</v>
      </c>
      <c r="AG191" s="56" t="s">
        <v>817</v>
      </c>
      <c r="AH191" s="56" t="s">
        <v>641</v>
      </c>
      <c r="AI191" s="56" t="s">
        <v>640</v>
      </c>
      <c r="AJ191" s="56">
        <v>465</v>
      </c>
      <c r="AK191" s="56" t="s">
        <v>812</v>
      </c>
      <c r="AL191" s="56">
        <v>465</v>
      </c>
      <c r="AM191" s="56" t="s">
        <v>812</v>
      </c>
      <c r="AN191" s="56" t="s">
        <v>813</v>
      </c>
      <c r="AO191" s="56" t="s">
        <v>814</v>
      </c>
      <c r="AP191" s="56" t="s">
        <v>643</v>
      </c>
      <c r="AQ191" s="56" t="s">
        <v>815</v>
      </c>
      <c r="AR191" s="56">
        <v>727</v>
      </c>
      <c r="AS191" s="56" t="s">
        <v>1743</v>
      </c>
      <c r="AT191" s="56" t="s">
        <v>1744</v>
      </c>
      <c r="AU191" s="56" t="s">
        <v>643</v>
      </c>
      <c r="AV191" s="56" t="s">
        <v>1745</v>
      </c>
      <c r="AW191" s="56">
        <v>115</v>
      </c>
      <c r="AX191" s="56" t="s">
        <v>853</v>
      </c>
      <c r="AY191" s="56">
        <v>55</v>
      </c>
      <c r="AZ191" s="56" t="s">
        <v>23</v>
      </c>
      <c r="BA191" s="56" t="s">
        <v>854</v>
      </c>
      <c r="BB191" s="56" t="s">
        <v>844</v>
      </c>
      <c r="BC191" s="56">
        <v>2</v>
      </c>
      <c r="BD191" s="56" t="s">
        <v>289</v>
      </c>
      <c r="BE191" s="56" t="s">
        <v>772</v>
      </c>
      <c r="BF191" s="56">
        <v>2</v>
      </c>
      <c r="BG191" s="56" t="s">
        <v>289</v>
      </c>
      <c r="BH191" s="56" t="s">
        <v>772</v>
      </c>
      <c r="BI191" s="56">
        <v>47.5</v>
      </c>
      <c r="BJ191" s="56">
        <v>143385</v>
      </c>
      <c r="BK191" s="56">
        <v>47.5</v>
      </c>
      <c r="BL191" s="56" t="s">
        <v>1724</v>
      </c>
      <c r="BM191" s="56">
        <v>1201</v>
      </c>
      <c r="BN191" s="56" t="s">
        <v>660</v>
      </c>
      <c r="BO191" s="56" t="s">
        <v>855</v>
      </c>
      <c r="BP191" s="56">
        <v>10785.95</v>
      </c>
      <c r="BQ191" s="56">
        <v>9428.48</v>
      </c>
      <c r="BR191" s="56">
        <v>0</v>
      </c>
      <c r="BS191" s="56">
        <v>0</v>
      </c>
      <c r="BT191" s="56">
        <v>0</v>
      </c>
      <c r="BU191" s="56">
        <v>44203</v>
      </c>
      <c r="BV191" s="56">
        <v>727</v>
      </c>
      <c r="BW191" s="56" t="s">
        <v>1743</v>
      </c>
      <c r="BX191" s="56" t="s">
        <v>1746</v>
      </c>
      <c r="BY191" s="56" t="s">
        <v>663</v>
      </c>
      <c r="BZ191" s="56">
        <v>0.25</v>
      </c>
      <c r="CA191" s="56" t="s">
        <v>664</v>
      </c>
      <c r="CB191" s="56" t="s">
        <v>1747</v>
      </c>
      <c r="CD191" s="56" t="s">
        <v>667</v>
      </c>
      <c r="CG191" s="56">
        <v>0</v>
      </c>
      <c r="CH191" s="56">
        <v>10785.95</v>
      </c>
      <c r="CJ191" s="56">
        <v>100</v>
      </c>
      <c r="CK191" s="56">
        <v>9428.48</v>
      </c>
      <c r="CL191" s="56">
        <v>0</v>
      </c>
      <c r="CN191" s="56">
        <v>0</v>
      </c>
      <c r="CO191" s="56">
        <v>0</v>
      </c>
      <c r="CP191" s="56">
        <v>1357.47</v>
      </c>
      <c r="CQ191" s="56" t="s">
        <v>668</v>
      </c>
      <c r="CR191" s="56">
        <v>0</v>
      </c>
      <c r="CS191" s="56">
        <v>0</v>
      </c>
      <c r="CV191" s="56">
        <v>0</v>
      </c>
      <c r="CX191" s="56">
        <v>0</v>
      </c>
      <c r="CY191" s="56">
        <v>0</v>
      </c>
      <c r="CZ191" s="56">
        <v>872.13</v>
      </c>
      <c r="DA191" s="56">
        <v>872.13</v>
      </c>
      <c r="DB191" s="56">
        <v>0</v>
      </c>
      <c r="DC191" s="56">
        <v>8556.35</v>
      </c>
      <c r="DD191" s="56">
        <v>0</v>
      </c>
      <c r="DE191" s="56">
        <v>0</v>
      </c>
      <c r="DF191" s="56">
        <v>0</v>
      </c>
      <c r="DH191" s="56" t="s">
        <v>831</v>
      </c>
      <c r="DI191" s="56" t="s">
        <v>671</v>
      </c>
      <c r="DK191" s="56">
        <v>91.91</v>
      </c>
      <c r="DL191" s="56">
        <v>9913.82</v>
      </c>
      <c r="DO191" s="56" t="s">
        <v>236</v>
      </c>
      <c r="DQ191" s="56" t="s">
        <v>674</v>
      </c>
      <c r="DR191" s="56">
        <v>3</v>
      </c>
      <c r="DX191" s="56" t="s">
        <v>678</v>
      </c>
      <c r="DY191" s="56" t="s">
        <v>679</v>
      </c>
      <c r="EL191" s="56">
        <v>15</v>
      </c>
      <c r="EM191" s="56">
        <v>25</v>
      </c>
      <c r="EN191" s="56">
        <v>2210</v>
      </c>
      <c r="EO191" s="56">
        <v>5173</v>
      </c>
      <c r="EP191" s="56">
        <v>6676</v>
      </c>
      <c r="EQ191" s="56" t="s">
        <v>832</v>
      </c>
      <c r="ER191" s="56" t="s">
        <v>1748</v>
      </c>
      <c r="ES191" s="56">
        <v>2</v>
      </c>
      <c r="ET191" s="56" t="s">
        <v>682</v>
      </c>
      <c r="EU191" s="56" t="s">
        <v>683</v>
      </c>
      <c r="EV191" s="56" t="s">
        <v>683</v>
      </c>
      <c r="FD191" s="56" t="s">
        <v>1749</v>
      </c>
      <c r="FK191" s="56">
        <v>0</v>
      </c>
    </row>
    <row r="192" spans="1:167" x14ac:dyDescent="0.2">
      <c r="A192" s="56">
        <v>29741</v>
      </c>
      <c r="B192" s="56">
        <v>1</v>
      </c>
      <c r="C192" s="56">
        <v>6351</v>
      </c>
      <c r="D192" s="56" t="s">
        <v>634</v>
      </c>
      <c r="E192" s="56" t="s">
        <v>635</v>
      </c>
      <c r="K192" s="56" t="s">
        <v>1750</v>
      </c>
      <c r="L192" s="56" t="s">
        <v>637</v>
      </c>
      <c r="M192" s="56">
        <v>44946</v>
      </c>
      <c r="N192" s="56">
        <v>44948</v>
      </c>
      <c r="O192" s="56">
        <v>2</v>
      </c>
      <c r="P192" s="56" t="s">
        <v>682</v>
      </c>
      <c r="Q192" s="56">
        <v>1</v>
      </c>
      <c r="R192" s="56" t="s">
        <v>809</v>
      </c>
      <c r="S192" s="56" t="s">
        <v>815</v>
      </c>
      <c r="T192" s="56" t="s">
        <v>643</v>
      </c>
      <c r="U192" s="56" t="s">
        <v>640</v>
      </c>
      <c r="V192" s="56" t="s">
        <v>641</v>
      </c>
      <c r="W192" s="56">
        <v>46</v>
      </c>
      <c r="X192" s="56" t="s">
        <v>811</v>
      </c>
      <c r="Y192" s="56">
        <v>465</v>
      </c>
      <c r="Z192" s="56" t="s">
        <v>812</v>
      </c>
      <c r="AA192" s="56" t="s">
        <v>813</v>
      </c>
      <c r="AB192" s="56" t="s">
        <v>814</v>
      </c>
      <c r="AC192" s="56" t="s">
        <v>643</v>
      </c>
      <c r="AD192" s="56" t="s">
        <v>815</v>
      </c>
      <c r="AE192" s="56">
        <v>255</v>
      </c>
      <c r="AF192" s="56" t="s">
        <v>816</v>
      </c>
      <c r="AG192" s="56" t="s">
        <v>817</v>
      </c>
      <c r="AH192" s="56" t="s">
        <v>641</v>
      </c>
      <c r="AI192" s="56" t="s">
        <v>640</v>
      </c>
      <c r="AJ192" s="56">
        <v>465</v>
      </c>
      <c r="AK192" s="56" t="s">
        <v>812</v>
      </c>
      <c r="AL192" s="56">
        <v>465</v>
      </c>
      <c r="AM192" s="56" t="s">
        <v>812</v>
      </c>
      <c r="AN192" s="56" t="s">
        <v>813</v>
      </c>
      <c r="AO192" s="56" t="s">
        <v>814</v>
      </c>
      <c r="AP192" s="56" t="s">
        <v>643</v>
      </c>
      <c r="AQ192" s="56" t="s">
        <v>815</v>
      </c>
      <c r="AR192" s="56">
        <v>727</v>
      </c>
      <c r="AS192" s="56" t="s">
        <v>1743</v>
      </c>
      <c r="AT192" s="56" t="s">
        <v>1744</v>
      </c>
      <c r="AU192" s="56" t="s">
        <v>643</v>
      </c>
      <c r="AV192" s="56" t="s">
        <v>1745</v>
      </c>
      <c r="AW192" s="56">
        <v>112</v>
      </c>
      <c r="AX192" s="56" t="s">
        <v>842</v>
      </c>
      <c r="AY192" s="56">
        <v>16</v>
      </c>
      <c r="AZ192" s="56" t="s">
        <v>24</v>
      </c>
      <c r="BA192" s="56" t="s">
        <v>843</v>
      </c>
      <c r="BB192" s="56" t="s">
        <v>844</v>
      </c>
      <c r="BC192" s="56">
        <v>2</v>
      </c>
      <c r="BD192" s="56" t="s">
        <v>289</v>
      </c>
      <c r="BE192" s="56" t="s">
        <v>772</v>
      </c>
      <c r="BF192" s="56">
        <v>2</v>
      </c>
      <c r="BG192" s="56" t="s">
        <v>289</v>
      </c>
      <c r="BH192" s="56" t="s">
        <v>772</v>
      </c>
      <c r="BI192" s="56">
        <v>47.48</v>
      </c>
      <c r="BJ192" s="56">
        <v>143627</v>
      </c>
      <c r="BK192" s="56">
        <v>47.48</v>
      </c>
      <c r="BL192" s="56" t="s">
        <v>1724</v>
      </c>
      <c r="BM192" s="56">
        <v>1201</v>
      </c>
      <c r="BN192" s="56" t="s">
        <v>660</v>
      </c>
      <c r="BO192" s="56" t="s">
        <v>706</v>
      </c>
      <c r="BP192" s="56">
        <v>10781.14</v>
      </c>
      <c r="BQ192" s="56">
        <v>9423.67</v>
      </c>
      <c r="BR192" s="56">
        <v>0</v>
      </c>
      <c r="BS192" s="56">
        <v>0</v>
      </c>
      <c r="BT192" s="56">
        <v>0</v>
      </c>
      <c r="BU192" s="56">
        <v>44204</v>
      </c>
      <c r="BV192" s="56">
        <v>727</v>
      </c>
      <c r="BW192" s="56" t="s">
        <v>1743</v>
      </c>
      <c r="BX192" s="56" t="s">
        <v>1751</v>
      </c>
      <c r="BY192" s="56" t="s">
        <v>663</v>
      </c>
      <c r="BZ192" s="56">
        <v>0.25</v>
      </c>
      <c r="CA192" s="56" t="s">
        <v>664</v>
      </c>
      <c r="CB192" s="56" t="s">
        <v>1752</v>
      </c>
      <c r="CD192" s="56" t="s">
        <v>667</v>
      </c>
      <c r="CG192" s="56">
        <v>0</v>
      </c>
      <c r="CH192" s="56">
        <v>10781.14</v>
      </c>
      <c r="CJ192" s="56">
        <v>100</v>
      </c>
      <c r="CK192" s="56">
        <v>9423.67</v>
      </c>
      <c r="CL192" s="56">
        <v>0</v>
      </c>
      <c r="CN192" s="56">
        <v>0</v>
      </c>
      <c r="CO192" s="56">
        <v>0</v>
      </c>
      <c r="CP192" s="56">
        <v>1357.47</v>
      </c>
      <c r="CQ192" s="56" t="s">
        <v>668</v>
      </c>
      <c r="CR192" s="56">
        <v>0</v>
      </c>
      <c r="CS192" s="56">
        <v>0</v>
      </c>
      <c r="CV192" s="56">
        <v>0</v>
      </c>
      <c r="CX192" s="56">
        <v>0</v>
      </c>
      <c r="CY192" s="56">
        <v>0</v>
      </c>
      <c r="CZ192" s="56">
        <v>871.69</v>
      </c>
      <c r="DA192" s="56">
        <v>871.69</v>
      </c>
      <c r="DB192" s="56">
        <v>0</v>
      </c>
      <c r="DC192" s="56">
        <v>8551.98</v>
      </c>
      <c r="DD192" s="56">
        <v>0</v>
      </c>
      <c r="DE192" s="56">
        <v>0</v>
      </c>
      <c r="DF192" s="56">
        <v>0</v>
      </c>
      <c r="DH192" s="56" t="s">
        <v>831</v>
      </c>
      <c r="DI192" s="56" t="s">
        <v>671</v>
      </c>
      <c r="DK192" s="56">
        <v>91.91</v>
      </c>
      <c r="DL192" s="56">
        <v>9909.4500000000007</v>
      </c>
      <c r="DO192" s="56" t="s">
        <v>236</v>
      </c>
      <c r="DQ192" s="56" t="s">
        <v>674</v>
      </c>
      <c r="DR192" s="56">
        <v>3</v>
      </c>
      <c r="DX192" s="56" t="s">
        <v>678</v>
      </c>
      <c r="DY192" s="56" t="s">
        <v>679</v>
      </c>
      <c r="EL192" s="56">
        <v>15</v>
      </c>
      <c r="EM192" s="56">
        <v>25</v>
      </c>
      <c r="EN192" s="56">
        <v>2210</v>
      </c>
      <c r="EO192" s="56">
        <v>5173</v>
      </c>
      <c r="EP192" s="56">
        <v>6676</v>
      </c>
      <c r="EQ192" s="56" t="s">
        <v>832</v>
      </c>
      <c r="ER192" s="56" t="s">
        <v>1748</v>
      </c>
      <c r="ES192" s="56">
        <v>2</v>
      </c>
      <c r="ET192" s="56" t="s">
        <v>682</v>
      </c>
      <c r="EU192" s="56" t="s">
        <v>683</v>
      </c>
      <c r="EV192" s="56" t="s">
        <v>683</v>
      </c>
      <c r="FD192" s="56" t="s">
        <v>1753</v>
      </c>
      <c r="FK192" s="56">
        <v>0</v>
      </c>
    </row>
    <row r="193" spans="1:167" x14ac:dyDescent="0.2">
      <c r="A193" s="56">
        <v>29136</v>
      </c>
      <c r="B193" s="56">
        <v>2</v>
      </c>
      <c r="C193" s="56">
        <v>6352</v>
      </c>
      <c r="D193" s="56" t="s">
        <v>634</v>
      </c>
      <c r="E193" s="56" t="s">
        <v>635</v>
      </c>
      <c r="K193" s="56" t="s">
        <v>1754</v>
      </c>
      <c r="L193" s="56" t="s">
        <v>637</v>
      </c>
      <c r="M193" s="56">
        <v>44947</v>
      </c>
      <c r="N193" s="56">
        <v>44949</v>
      </c>
      <c r="O193" s="56">
        <v>38</v>
      </c>
      <c r="P193" s="56" t="s">
        <v>638</v>
      </c>
      <c r="Q193" s="56">
        <v>2</v>
      </c>
      <c r="R193" s="56" t="s">
        <v>639</v>
      </c>
      <c r="S193" s="56" t="s">
        <v>640</v>
      </c>
      <c r="T193" s="56" t="s">
        <v>641</v>
      </c>
      <c r="U193" s="56" t="s">
        <v>1227</v>
      </c>
      <c r="V193" s="56" t="s">
        <v>643</v>
      </c>
      <c r="W193" s="56">
        <v>49</v>
      </c>
      <c r="X193" s="56" t="s">
        <v>887</v>
      </c>
      <c r="Y193" s="56">
        <v>505</v>
      </c>
      <c r="Z193" s="56" t="s">
        <v>1755</v>
      </c>
      <c r="AB193" s="56" t="s">
        <v>1756</v>
      </c>
      <c r="AC193" s="56" t="s">
        <v>1757</v>
      </c>
      <c r="AD193" s="56" t="s">
        <v>1758</v>
      </c>
      <c r="AE193" s="56">
        <v>52</v>
      </c>
      <c r="AF193" s="56" t="s">
        <v>1228</v>
      </c>
      <c r="AG193" s="56" t="s">
        <v>1229</v>
      </c>
      <c r="AH193" s="56" t="s">
        <v>643</v>
      </c>
      <c r="AI193" s="56" t="s">
        <v>1227</v>
      </c>
      <c r="AJ193" s="56">
        <v>431</v>
      </c>
      <c r="AK193" s="56" t="s">
        <v>1759</v>
      </c>
      <c r="AL193" s="56">
        <v>52</v>
      </c>
      <c r="AM193" s="56" t="s">
        <v>1228</v>
      </c>
      <c r="AN193" s="56" t="s">
        <v>1229</v>
      </c>
      <c r="AO193" s="56" t="s">
        <v>1230</v>
      </c>
      <c r="AP193" s="56" t="s">
        <v>643</v>
      </c>
      <c r="AQ193" s="56" t="s">
        <v>1227</v>
      </c>
      <c r="AR193" s="56">
        <v>52</v>
      </c>
      <c r="AS193" s="56" t="s">
        <v>1228</v>
      </c>
      <c r="AT193" s="56" t="s">
        <v>1229</v>
      </c>
      <c r="AU193" s="56" t="s">
        <v>643</v>
      </c>
      <c r="AV193" s="56" t="s">
        <v>1227</v>
      </c>
      <c r="AW193" s="56">
        <v>114</v>
      </c>
      <c r="AX193" s="56" t="s">
        <v>1396</v>
      </c>
      <c r="AY193" s="56">
        <v>27</v>
      </c>
      <c r="AZ193" s="56" t="s">
        <v>33</v>
      </c>
      <c r="BA193" s="56" t="s">
        <v>1397</v>
      </c>
      <c r="BB193" s="56" t="s">
        <v>770</v>
      </c>
      <c r="BC193" s="56">
        <v>38</v>
      </c>
      <c r="BD193" s="56" t="s">
        <v>289</v>
      </c>
      <c r="BE193" s="56" t="s">
        <v>771</v>
      </c>
      <c r="BF193" s="56">
        <v>2</v>
      </c>
      <c r="BG193" s="56" t="s">
        <v>289</v>
      </c>
      <c r="BH193" s="56" t="s">
        <v>772</v>
      </c>
      <c r="BI193" s="56">
        <v>46.84</v>
      </c>
      <c r="BJ193" s="56">
        <v>125577.57</v>
      </c>
      <c r="BK193" s="56">
        <v>46.84</v>
      </c>
      <c r="BL193" s="56" t="s">
        <v>1760</v>
      </c>
      <c r="BM193" s="56">
        <v>3102</v>
      </c>
      <c r="BN193" s="56" t="s">
        <v>786</v>
      </c>
      <c r="BO193" s="56" t="s">
        <v>883</v>
      </c>
      <c r="BP193" s="56">
        <v>7728.6</v>
      </c>
      <c r="BQ193" s="56">
        <v>6703.97</v>
      </c>
      <c r="BR193" s="56">
        <v>0</v>
      </c>
      <c r="BS193" s="56">
        <v>0</v>
      </c>
      <c r="BT193" s="56">
        <v>0</v>
      </c>
      <c r="BU193" s="56">
        <v>4173</v>
      </c>
      <c r="BV193" s="56">
        <v>52</v>
      </c>
      <c r="BW193" s="56" t="s">
        <v>1228</v>
      </c>
      <c r="BX193" s="56" t="s">
        <v>1761</v>
      </c>
      <c r="BY193" s="56" t="s">
        <v>663</v>
      </c>
      <c r="BZ193" s="56">
        <v>0.5</v>
      </c>
      <c r="CA193" s="56" t="s">
        <v>1587</v>
      </c>
      <c r="CB193" s="56" t="s">
        <v>1762</v>
      </c>
      <c r="CD193" s="56" t="s">
        <v>667</v>
      </c>
      <c r="CG193" s="56">
        <v>0</v>
      </c>
      <c r="CH193" s="56">
        <v>165</v>
      </c>
      <c r="CJ193" s="56">
        <v>100</v>
      </c>
      <c r="CK193" s="56">
        <v>6703.97</v>
      </c>
      <c r="CL193" s="56">
        <v>0</v>
      </c>
      <c r="CN193" s="56">
        <v>927.43</v>
      </c>
      <c r="CO193" s="56">
        <v>927.43</v>
      </c>
      <c r="CP193" s="56">
        <v>97.2</v>
      </c>
      <c r="CQ193" s="56" t="s">
        <v>668</v>
      </c>
      <c r="CR193" s="56">
        <v>0</v>
      </c>
      <c r="CS193" s="56">
        <v>0</v>
      </c>
      <c r="CV193" s="56">
        <v>0</v>
      </c>
      <c r="CX193" s="56">
        <v>0</v>
      </c>
      <c r="CY193" s="56">
        <v>0</v>
      </c>
      <c r="CZ193" s="56">
        <v>620.12</v>
      </c>
      <c r="DA193" s="56">
        <v>620.12</v>
      </c>
      <c r="DB193" s="56">
        <v>0</v>
      </c>
      <c r="DC193" s="56">
        <v>6083.85</v>
      </c>
      <c r="DD193" s="56">
        <v>21.58</v>
      </c>
      <c r="DE193" s="56">
        <v>0</v>
      </c>
      <c r="DF193" s="56">
        <v>21.58</v>
      </c>
      <c r="DH193" s="56" t="s">
        <v>670</v>
      </c>
      <c r="DI193" s="56" t="s">
        <v>671</v>
      </c>
      <c r="DK193" s="56">
        <v>79.7</v>
      </c>
      <c r="DL193" s="56">
        <v>6159.47</v>
      </c>
      <c r="DM193" s="56">
        <v>98</v>
      </c>
      <c r="DN193" s="56">
        <v>4501411725</v>
      </c>
      <c r="DO193" s="56" t="s">
        <v>236</v>
      </c>
      <c r="DQ193" s="56" t="s">
        <v>674</v>
      </c>
      <c r="DR193" s="56">
        <v>3</v>
      </c>
      <c r="DW193" s="56">
        <v>380</v>
      </c>
      <c r="DX193" s="56" t="s">
        <v>678</v>
      </c>
      <c r="DY193" s="56" t="s">
        <v>679</v>
      </c>
      <c r="EL193" s="56">
        <v>25</v>
      </c>
      <c r="EM193" s="56">
        <v>15</v>
      </c>
      <c r="EN193" s="56">
        <v>5173</v>
      </c>
      <c r="EO193" s="56">
        <v>2420</v>
      </c>
      <c r="EP193" s="56" t="s">
        <v>1234</v>
      </c>
      <c r="EQ193" s="56" t="s">
        <v>1763</v>
      </c>
      <c r="ER193" s="56" t="s">
        <v>1764</v>
      </c>
      <c r="ES193" s="56">
        <v>2</v>
      </c>
      <c r="ET193" s="56" t="s">
        <v>682</v>
      </c>
      <c r="EU193" s="56" t="s">
        <v>683</v>
      </c>
      <c r="EV193" s="56" t="s">
        <v>683</v>
      </c>
      <c r="FD193" s="56" t="s">
        <v>1765</v>
      </c>
      <c r="FK193" s="56">
        <v>0</v>
      </c>
    </row>
    <row r="194" spans="1:167" x14ac:dyDescent="0.2">
      <c r="A194" s="56">
        <v>29137</v>
      </c>
      <c r="B194" s="56">
        <v>2</v>
      </c>
      <c r="C194" s="56">
        <v>6352</v>
      </c>
      <c r="D194" s="56" t="s">
        <v>634</v>
      </c>
      <c r="E194" s="56" t="s">
        <v>635</v>
      </c>
      <c r="K194" s="56" t="s">
        <v>1766</v>
      </c>
      <c r="L194" s="56" t="s">
        <v>637</v>
      </c>
      <c r="M194" s="56">
        <v>44947</v>
      </c>
      <c r="N194" s="56">
        <v>44949</v>
      </c>
      <c r="O194" s="56">
        <v>38</v>
      </c>
      <c r="P194" s="56" t="s">
        <v>638</v>
      </c>
      <c r="Q194" s="56">
        <v>2</v>
      </c>
      <c r="R194" s="56" t="s">
        <v>639</v>
      </c>
      <c r="S194" s="56" t="s">
        <v>640</v>
      </c>
      <c r="T194" s="56" t="s">
        <v>641</v>
      </c>
      <c r="U194" s="56" t="s">
        <v>1227</v>
      </c>
      <c r="V194" s="56" t="s">
        <v>643</v>
      </c>
      <c r="W194" s="56">
        <v>49</v>
      </c>
      <c r="X194" s="56" t="s">
        <v>887</v>
      </c>
      <c r="Y194" s="56">
        <v>505</v>
      </c>
      <c r="Z194" s="56" t="s">
        <v>1755</v>
      </c>
      <c r="AB194" s="56" t="s">
        <v>1756</v>
      </c>
      <c r="AC194" s="56" t="s">
        <v>1757</v>
      </c>
      <c r="AD194" s="56" t="s">
        <v>1758</v>
      </c>
      <c r="AE194" s="56">
        <v>52</v>
      </c>
      <c r="AF194" s="56" t="s">
        <v>1228</v>
      </c>
      <c r="AG194" s="56" t="s">
        <v>1229</v>
      </c>
      <c r="AH194" s="56" t="s">
        <v>643</v>
      </c>
      <c r="AI194" s="56" t="s">
        <v>1227</v>
      </c>
      <c r="AJ194" s="56">
        <v>431</v>
      </c>
      <c r="AK194" s="56" t="s">
        <v>1759</v>
      </c>
      <c r="AL194" s="56">
        <v>52</v>
      </c>
      <c r="AM194" s="56" t="s">
        <v>1228</v>
      </c>
      <c r="AN194" s="56" t="s">
        <v>1229</v>
      </c>
      <c r="AO194" s="56" t="s">
        <v>1230</v>
      </c>
      <c r="AP194" s="56" t="s">
        <v>643</v>
      </c>
      <c r="AQ194" s="56" t="s">
        <v>1227</v>
      </c>
      <c r="AR194" s="56">
        <v>52</v>
      </c>
      <c r="AS194" s="56" t="s">
        <v>1228</v>
      </c>
      <c r="AT194" s="56" t="s">
        <v>1229</v>
      </c>
      <c r="AU194" s="56" t="s">
        <v>643</v>
      </c>
      <c r="AV194" s="56" t="s">
        <v>1227</v>
      </c>
      <c r="AW194" s="56">
        <v>120</v>
      </c>
      <c r="AX194" s="56" t="s">
        <v>836</v>
      </c>
      <c r="AY194" s="56">
        <v>7</v>
      </c>
      <c r="AZ194" s="56" t="s">
        <v>128</v>
      </c>
      <c r="BA194" s="56" t="s">
        <v>837</v>
      </c>
      <c r="BB194" s="56" t="s">
        <v>770</v>
      </c>
      <c r="BC194" s="56">
        <v>38</v>
      </c>
      <c r="BD194" s="56" t="s">
        <v>289</v>
      </c>
      <c r="BE194" s="56" t="s">
        <v>771</v>
      </c>
      <c r="BF194" s="56">
        <v>2</v>
      </c>
      <c r="BG194" s="56" t="s">
        <v>289</v>
      </c>
      <c r="BH194" s="56" t="s">
        <v>772</v>
      </c>
      <c r="BI194" s="56">
        <v>47.54</v>
      </c>
      <c r="BJ194" s="56">
        <v>127454.26</v>
      </c>
      <c r="BK194" s="56">
        <v>47.54</v>
      </c>
      <c r="BL194" s="56" t="s">
        <v>1760</v>
      </c>
      <c r="BM194" s="56">
        <v>3102</v>
      </c>
      <c r="BN194" s="56" t="s">
        <v>724</v>
      </c>
      <c r="BO194" s="56" t="s">
        <v>725</v>
      </c>
      <c r="BP194" s="56">
        <v>7844.1</v>
      </c>
      <c r="BQ194" s="56">
        <v>6805.61</v>
      </c>
      <c r="BR194" s="56">
        <v>0</v>
      </c>
      <c r="BS194" s="56">
        <v>0</v>
      </c>
      <c r="BT194" s="56">
        <v>0</v>
      </c>
      <c r="BU194" s="56">
        <v>4174</v>
      </c>
      <c r="BV194" s="56">
        <v>52</v>
      </c>
      <c r="BW194" s="56" t="s">
        <v>1228</v>
      </c>
      <c r="BX194" s="56" t="s">
        <v>1767</v>
      </c>
      <c r="BY194" s="56" t="s">
        <v>663</v>
      </c>
      <c r="BZ194" s="56">
        <v>0.5</v>
      </c>
      <c r="CA194" s="56" t="s">
        <v>1587</v>
      </c>
      <c r="CB194" s="56" t="s">
        <v>1762</v>
      </c>
      <c r="CD194" s="56" t="s">
        <v>667</v>
      </c>
      <c r="CG194" s="56">
        <v>0</v>
      </c>
      <c r="CH194" s="56">
        <v>165</v>
      </c>
      <c r="CJ194" s="56">
        <v>100</v>
      </c>
      <c r="CK194" s="56">
        <v>6805.61</v>
      </c>
      <c r="CL194" s="56">
        <v>0</v>
      </c>
      <c r="CN194" s="56">
        <v>941.29</v>
      </c>
      <c r="CO194" s="56">
        <v>941.29</v>
      </c>
      <c r="CP194" s="56">
        <v>97.2</v>
      </c>
      <c r="CQ194" s="56" t="s">
        <v>668</v>
      </c>
      <c r="CR194" s="56">
        <v>0</v>
      </c>
      <c r="CS194" s="56">
        <v>0</v>
      </c>
      <c r="CV194" s="56">
        <v>0</v>
      </c>
      <c r="CX194" s="56">
        <v>0</v>
      </c>
      <c r="CY194" s="56">
        <v>0</v>
      </c>
      <c r="CZ194" s="56">
        <v>629.52</v>
      </c>
      <c r="DA194" s="56">
        <v>629.52</v>
      </c>
      <c r="DB194" s="56">
        <v>0</v>
      </c>
      <c r="DC194" s="56">
        <v>6176.09</v>
      </c>
      <c r="DD194" s="56">
        <v>21.9</v>
      </c>
      <c r="DE194" s="56">
        <v>0</v>
      </c>
      <c r="DF194" s="56">
        <v>21.9</v>
      </c>
      <c r="DH194" s="56" t="s">
        <v>670</v>
      </c>
      <c r="DI194" s="56" t="s">
        <v>671</v>
      </c>
      <c r="DK194" s="56">
        <v>79.7</v>
      </c>
      <c r="DL194" s="56">
        <v>6251.39</v>
      </c>
      <c r="DM194" s="56">
        <v>98</v>
      </c>
      <c r="DN194" s="56">
        <v>4501411725</v>
      </c>
      <c r="DO194" s="56" t="s">
        <v>236</v>
      </c>
      <c r="DQ194" s="56" t="s">
        <v>674</v>
      </c>
      <c r="DR194" s="56">
        <v>3</v>
      </c>
      <c r="DW194" s="56">
        <v>380</v>
      </c>
      <c r="DX194" s="56" t="s">
        <v>678</v>
      </c>
      <c r="DY194" s="56" t="s">
        <v>679</v>
      </c>
      <c r="EL194" s="56">
        <v>25</v>
      </c>
      <c r="EM194" s="56">
        <v>15</v>
      </c>
      <c r="EN194" s="56">
        <v>5173</v>
      </c>
      <c r="EO194" s="56">
        <v>2420</v>
      </c>
      <c r="EP194" s="56" t="s">
        <v>1234</v>
      </c>
      <c r="EQ194" s="56" t="s">
        <v>1763</v>
      </c>
      <c r="ER194" s="56" t="s">
        <v>1764</v>
      </c>
      <c r="ES194" s="56">
        <v>2</v>
      </c>
      <c r="ET194" s="56" t="s">
        <v>682</v>
      </c>
      <c r="EU194" s="56" t="s">
        <v>683</v>
      </c>
      <c r="EV194" s="56" t="s">
        <v>683</v>
      </c>
      <c r="FD194" s="56" t="s">
        <v>1768</v>
      </c>
      <c r="FK194" s="56">
        <v>0</v>
      </c>
    </row>
    <row r="195" spans="1:167" x14ac:dyDescent="0.2">
      <c r="A195" s="56">
        <v>29138</v>
      </c>
      <c r="B195" s="56">
        <v>2</v>
      </c>
      <c r="C195" s="56">
        <v>6352</v>
      </c>
      <c r="D195" s="56" t="s">
        <v>634</v>
      </c>
      <c r="E195" s="56" t="s">
        <v>635</v>
      </c>
      <c r="K195" s="56" t="s">
        <v>1769</v>
      </c>
      <c r="L195" s="56" t="s">
        <v>637</v>
      </c>
      <c r="M195" s="56">
        <v>44947</v>
      </c>
      <c r="N195" s="56">
        <v>44949</v>
      </c>
      <c r="O195" s="56">
        <v>38</v>
      </c>
      <c r="P195" s="56" t="s">
        <v>638</v>
      </c>
      <c r="Q195" s="56">
        <v>2</v>
      </c>
      <c r="R195" s="56" t="s">
        <v>639</v>
      </c>
      <c r="S195" s="56" t="s">
        <v>640</v>
      </c>
      <c r="T195" s="56" t="s">
        <v>641</v>
      </c>
      <c r="U195" s="56" t="s">
        <v>1227</v>
      </c>
      <c r="V195" s="56" t="s">
        <v>643</v>
      </c>
      <c r="W195" s="56">
        <v>49</v>
      </c>
      <c r="X195" s="56" t="s">
        <v>887</v>
      </c>
      <c r="Y195" s="56">
        <v>505</v>
      </c>
      <c r="Z195" s="56" t="s">
        <v>1755</v>
      </c>
      <c r="AB195" s="56" t="s">
        <v>1756</v>
      </c>
      <c r="AC195" s="56" t="s">
        <v>1757</v>
      </c>
      <c r="AD195" s="56" t="s">
        <v>1758</v>
      </c>
      <c r="AE195" s="56">
        <v>52</v>
      </c>
      <c r="AF195" s="56" t="s">
        <v>1228</v>
      </c>
      <c r="AG195" s="56" t="s">
        <v>1229</v>
      </c>
      <c r="AH195" s="56" t="s">
        <v>643</v>
      </c>
      <c r="AI195" s="56" t="s">
        <v>1227</v>
      </c>
      <c r="AJ195" s="56">
        <v>431</v>
      </c>
      <c r="AK195" s="56" t="s">
        <v>1759</v>
      </c>
      <c r="AL195" s="56">
        <v>52</v>
      </c>
      <c r="AM195" s="56" t="s">
        <v>1228</v>
      </c>
      <c r="AN195" s="56" t="s">
        <v>1229</v>
      </c>
      <c r="AO195" s="56" t="s">
        <v>1230</v>
      </c>
      <c r="AP195" s="56" t="s">
        <v>643</v>
      </c>
      <c r="AQ195" s="56" t="s">
        <v>1227</v>
      </c>
      <c r="AR195" s="56">
        <v>52</v>
      </c>
      <c r="AS195" s="56" t="s">
        <v>1228</v>
      </c>
      <c r="AT195" s="56" t="s">
        <v>1229</v>
      </c>
      <c r="AU195" s="56" t="s">
        <v>643</v>
      </c>
      <c r="AV195" s="56" t="s">
        <v>1227</v>
      </c>
      <c r="AW195" s="56">
        <v>108</v>
      </c>
      <c r="AX195" s="56" t="s">
        <v>977</v>
      </c>
      <c r="AY195" s="56">
        <v>47</v>
      </c>
      <c r="AZ195" s="56" t="s">
        <v>32</v>
      </c>
      <c r="BA195" s="56" t="s">
        <v>978</v>
      </c>
      <c r="BB195" s="56" t="s">
        <v>770</v>
      </c>
      <c r="BC195" s="56">
        <v>38</v>
      </c>
      <c r="BD195" s="56" t="s">
        <v>289</v>
      </c>
      <c r="BE195" s="56" t="s">
        <v>771</v>
      </c>
      <c r="BF195" s="56">
        <v>2</v>
      </c>
      <c r="BG195" s="56" t="s">
        <v>289</v>
      </c>
      <c r="BH195" s="56" t="s">
        <v>772</v>
      </c>
      <c r="BI195" s="56">
        <v>47.18</v>
      </c>
      <c r="BJ195" s="56">
        <v>126489.11</v>
      </c>
      <c r="BK195" s="56">
        <v>47.18</v>
      </c>
      <c r="BL195" s="56" t="s">
        <v>1760</v>
      </c>
      <c r="BM195" s="56">
        <v>3102</v>
      </c>
      <c r="BN195" s="56" t="s">
        <v>724</v>
      </c>
      <c r="BO195" s="56" t="s">
        <v>725</v>
      </c>
      <c r="BP195" s="56">
        <v>7784.7</v>
      </c>
      <c r="BQ195" s="56">
        <v>6753.34</v>
      </c>
      <c r="BR195" s="56">
        <v>0</v>
      </c>
      <c r="BS195" s="56">
        <v>0</v>
      </c>
      <c r="BT195" s="56">
        <v>0</v>
      </c>
      <c r="BU195" s="56">
        <v>4175</v>
      </c>
      <c r="BV195" s="56">
        <v>52</v>
      </c>
      <c r="BW195" s="56" t="s">
        <v>1228</v>
      </c>
      <c r="BX195" s="56" t="s">
        <v>1770</v>
      </c>
      <c r="BY195" s="56" t="s">
        <v>663</v>
      </c>
      <c r="BZ195" s="56">
        <v>0.5</v>
      </c>
      <c r="CA195" s="56" t="s">
        <v>1587</v>
      </c>
      <c r="CB195" s="56" t="s">
        <v>1762</v>
      </c>
      <c r="CD195" s="56" t="s">
        <v>667</v>
      </c>
      <c r="CG195" s="56">
        <v>0</v>
      </c>
      <c r="CH195" s="56">
        <v>165</v>
      </c>
      <c r="CJ195" s="56">
        <v>100</v>
      </c>
      <c r="CK195" s="56">
        <v>6753.34</v>
      </c>
      <c r="CL195" s="56">
        <v>0</v>
      </c>
      <c r="CN195" s="56">
        <v>934.16</v>
      </c>
      <c r="CO195" s="56">
        <v>934.16</v>
      </c>
      <c r="CP195" s="56">
        <v>97.2</v>
      </c>
      <c r="CQ195" s="56" t="s">
        <v>668</v>
      </c>
      <c r="CR195" s="56">
        <v>0</v>
      </c>
      <c r="CS195" s="56">
        <v>0</v>
      </c>
      <c r="CV195" s="56">
        <v>0</v>
      </c>
      <c r="CX195" s="56">
        <v>0</v>
      </c>
      <c r="CY195" s="56">
        <v>0</v>
      </c>
      <c r="CZ195" s="56">
        <v>624.67999999999995</v>
      </c>
      <c r="DA195" s="56">
        <v>624.67999999999995</v>
      </c>
      <c r="DB195" s="56">
        <v>0</v>
      </c>
      <c r="DC195" s="56">
        <v>6128.66</v>
      </c>
      <c r="DD195" s="56">
        <v>21.73</v>
      </c>
      <c r="DE195" s="56">
        <v>0</v>
      </c>
      <c r="DF195" s="56">
        <v>21.73</v>
      </c>
      <c r="DH195" s="56" t="s">
        <v>670</v>
      </c>
      <c r="DI195" s="56" t="s">
        <v>671</v>
      </c>
      <c r="DK195" s="56">
        <v>79.7</v>
      </c>
      <c r="DL195" s="56">
        <v>6204.13</v>
      </c>
      <c r="DM195" s="56">
        <v>98</v>
      </c>
      <c r="DN195" s="56">
        <v>4501411725</v>
      </c>
      <c r="DO195" s="56" t="s">
        <v>236</v>
      </c>
      <c r="DQ195" s="56" t="s">
        <v>674</v>
      </c>
      <c r="DR195" s="56">
        <v>3</v>
      </c>
      <c r="DW195" s="56">
        <v>380</v>
      </c>
      <c r="DX195" s="56" t="s">
        <v>678</v>
      </c>
      <c r="DY195" s="56" t="s">
        <v>679</v>
      </c>
      <c r="EL195" s="56">
        <v>25</v>
      </c>
      <c r="EM195" s="56">
        <v>15</v>
      </c>
      <c r="EN195" s="56">
        <v>5173</v>
      </c>
      <c r="EO195" s="56">
        <v>2420</v>
      </c>
      <c r="EP195" s="56" t="s">
        <v>1234</v>
      </c>
      <c r="EQ195" s="56" t="s">
        <v>1763</v>
      </c>
      <c r="ER195" s="56" t="s">
        <v>1764</v>
      </c>
      <c r="ES195" s="56">
        <v>2</v>
      </c>
      <c r="ET195" s="56" t="s">
        <v>682</v>
      </c>
      <c r="EU195" s="56" t="s">
        <v>683</v>
      </c>
      <c r="EV195" s="56" t="s">
        <v>683</v>
      </c>
      <c r="FD195" s="56" t="s">
        <v>1771</v>
      </c>
      <c r="FK195" s="56">
        <v>0</v>
      </c>
    </row>
    <row r="196" spans="1:167" x14ac:dyDescent="0.2">
      <c r="A196" s="56">
        <v>29139</v>
      </c>
      <c r="B196" s="56">
        <v>2</v>
      </c>
      <c r="C196" s="56">
        <v>6352</v>
      </c>
      <c r="D196" s="56" t="s">
        <v>634</v>
      </c>
      <c r="E196" s="56" t="s">
        <v>635</v>
      </c>
      <c r="K196" s="56" t="s">
        <v>1772</v>
      </c>
      <c r="L196" s="56" t="s">
        <v>637</v>
      </c>
      <c r="M196" s="56">
        <v>44947</v>
      </c>
      <c r="N196" s="56">
        <v>44949</v>
      </c>
      <c r="O196" s="56">
        <v>38</v>
      </c>
      <c r="P196" s="56" t="s">
        <v>638</v>
      </c>
      <c r="Q196" s="56">
        <v>2</v>
      </c>
      <c r="R196" s="56" t="s">
        <v>639</v>
      </c>
      <c r="S196" s="56" t="s">
        <v>640</v>
      </c>
      <c r="T196" s="56" t="s">
        <v>641</v>
      </c>
      <c r="U196" s="56" t="s">
        <v>1227</v>
      </c>
      <c r="V196" s="56" t="s">
        <v>643</v>
      </c>
      <c r="W196" s="56">
        <v>49</v>
      </c>
      <c r="X196" s="56" t="s">
        <v>887</v>
      </c>
      <c r="Y196" s="56">
        <v>505</v>
      </c>
      <c r="Z196" s="56" t="s">
        <v>1755</v>
      </c>
      <c r="AB196" s="56" t="s">
        <v>1756</v>
      </c>
      <c r="AC196" s="56" t="s">
        <v>1757</v>
      </c>
      <c r="AD196" s="56" t="s">
        <v>1758</v>
      </c>
      <c r="AE196" s="56">
        <v>52</v>
      </c>
      <c r="AF196" s="56" t="s">
        <v>1228</v>
      </c>
      <c r="AG196" s="56" t="s">
        <v>1229</v>
      </c>
      <c r="AH196" s="56" t="s">
        <v>643</v>
      </c>
      <c r="AI196" s="56" t="s">
        <v>1227</v>
      </c>
      <c r="AJ196" s="56">
        <v>431</v>
      </c>
      <c r="AK196" s="56" t="s">
        <v>1759</v>
      </c>
      <c r="AL196" s="56">
        <v>52</v>
      </c>
      <c r="AM196" s="56" t="s">
        <v>1228</v>
      </c>
      <c r="AN196" s="56" t="s">
        <v>1229</v>
      </c>
      <c r="AO196" s="56" t="s">
        <v>1230</v>
      </c>
      <c r="AP196" s="56" t="s">
        <v>643</v>
      </c>
      <c r="AQ196" s="56" t="s">
        <v>1227</v>
      </c>
      <c r="AR196" s="56">
        <v>52</v>
      </c>
      <c r="AS196" s="56" t="s">
        <v>1228</v>
      </c>
      <c r="AT196" s="56" t="s">
        <v>1229</v>
      </c>
      <c r="AU196" s="56" t="s">
        <v>643</v>
      </c>
      <c r="AV196" s="56" t="s">
        <v>1227</v>
      </c>
      <c r="AW196" s="56">
        <v>110</v>
      </c>
      <c r="AX196" s="56" t="s">
        <v>864</v>
      </c>
      <c r="AY196" s="56">
        <v>68</v>
      </c>
      <c r="AZ196" s="56" t="s">
        <v>25</v>
      </c>
      <c r="BA196" s="56" t="s">
        <v>865</v>
      </c>
      <c r="BB196" s="56" t="s">
        <v>844</v>
      </c>
      <c r="BC196" s="56">
        <v>2</v>
      </c>
      <c r="BD196" s="56" t="s">
        <v>289</v>
      </c>
      <c r="BE196" s="56" t="s">
        <v>772</v>
      </c>
      <c r="BF196" s="56">
        <v>2</v>
      </c>
      <c r="BG196" s="56" t="s">
        <v>289</v>
      </c>
      <c r="BH196" s="56" t="s">
        <v>772</v>
      </c>
      <c r="BI196" s="56">
        <v>48.64</v>
      </c>
      <c r="BJ196" s="56">
        <v>130403.35</v>
      </c>
      <c r="BK196" s="56">
        <v>48.64</v>
      </c>
      <c r="BL196" s="56" t="s">
        <v>1760</v>
      </c>
      <c r="BM196" s="56">
        <v>3102</v>
      </c>
      <c r="BN196" s="56" t="s">
        <v>660</v>
      </c>
      <c r="BO196" s="56" t="s">
        <v>866</v>
      </c>
      <c r="BP196" s="56">
        <v>8025.6</v>
      </c>
      <c r="BQ196" s="56">
        <v>6965.33</v>
      </c>
      <c r="BR196" s="56">
        <v>0</v>
      </c>
      <c r="BS196" s="56">
        <v>0</v>
      </c>
      <c r="BT196" s="56">
        <v>0</v>
      </c>
      <c r="BU196" s="56">
        <v>4176</v>
      </c>
      <c r="BV196" s="56">
        <v>52</v>
      </c>
      <c r="BW196" s="56" t="s">
        <v>1228</v>
      </c>
      <c r="BX196" s="56" t="s">
        <v>1773</v>
      </c>
      <c r="BY196" s="56" t="s">
        <v>663</v>
      </c>
      <c r="BZ196" s="56">
        <v>0.5</v>
      </c>
      <c r="CA196" s="56" t="s">
        <v>1587</v>
      </c>
      <c r="CB196" s="56" t="s">
        <v>1762</v>
      </c>
      <c r="CD196" s="56" t="s">
        <v>667</v>
      </c>
      <c r="CG196" s="56">
        <v>0</v>
      </c>
      <c r="CH196" s="56">
        <v>165</v>
      </c>
      <c r="CJ196" s="56">
        <v>100</v>
      </c>
      <c r="CK196" s="56">
        <v>6965.33</v>
      </c>
      <c r="CL196" s="56">
        <v>0</v>
      </c>
      <c r="CN196" s="56">
        <v>963.07</v>
      </c>
      <c r="CO196" s="56">
        <v>963.07</v>
      </c>
      <c r="CP196" s="56">
        <v>97.2</v>
      </c>
      <c r="CQ196" s="56" t="s">
        <v>668</v>
      </c>
      <c r="CR196" s="56">
        <v>0</v>
      </c>
      <c r="CS196" s="56">
        <v>0</v>
      </c>
      <c r="CV196" s="56">
        <v>0</v>
      </c>
      <c r="CX196" s="56">
        <v>0</v>
      </c>
      <c r="CY196" s="56">
        <v>0</v>
      </c>
      <c r="CZ196" s="56">
        <v>644.29999999999995</v>
      </c>
      <c r="DA196" s="56">
        <v>644.29999999999995</v>
      </c>
      <c r="DB196" s="56">
        <v>0</v>
      </c>
      <c r="DC196" s="56">
        <v>6321.03</v>
      </c>
      <c r="DD196" s="56">
        <v>22.4</v>
      </c>
      <c r="DE196" s="56">
        <v>0</v>
      </c>
      <c r="DF196" s="56">
        <v>22.4</v>
      </c>
      <c r="DH196" s="56" t="s">
        <v>670</v>
      </c>
      <c r="DI196" s="56" t="s">
        <v>671</v>
      </c>
      <c r="DK196" s="56">
        <v>79.69</v>
      </c>
      <c r="DL196" s="56">
        <v>6395.83</v>
      </c>
      <c r="DM196" s="56">
        <v>98</v>
      </c>
      <c r="DN196" s="56">
        <v>4501411725</v>
      </c>
      <c r="DO196" s="56" t="s">
        <v>236</v>
      </c>
      <c r="DQ196" s="56" t="s">
        <v>674</v>
      </c>
      <c r="DR196" s="56">
        <v>3</v>
      </c>
      <c r="DW196" s="56">
        <v>380</v>
      </c>
      <c r="DX196" s="56" t="s">
        <v>678</v>
      </c>
      <c r="DY196" s="56" t="s">
        <v>679</v>
      </c>
      <c r="EL196" s="56">
        <v>25</v>
      </c>
      <c r="EM196" s="56">
        <v>15</v>
      </c>
      <c r="EN196" s="56">
        <v>5173</v>
      </c>
      <c r="EO196" s="56">
        <v>2420</v>
      </c>
      <c r="EP196" s="56" t="s">
        <v>1234</v>
      </c>
      <c r="EQ196" s="56" t="s">
        <v>1763</v>
      </c>
      <c r="ER196" s="56" t="s">
        <v>1764</v>
      </c>
      <c r="ES196" s="56">
        <v>2</v>
      </c>
      <c r="ET196" s="56" t="s">
        <v>682</v>
      </c>
      <c r="EU196" s="56" t="s">
        <v>683</v>
      </c>
      <c r="EV196" s="56" t="s">
        <v>683</v>
      </c>
      <c r="FD196" s="56" t="s">
        <v>1774</v>
      </c>
      <c r="FK196" s="56">
        <v>0</v>
      </c>
    </row>
    <row r="197" spans="1:167" x14ac:dyDescent="0.2">
      <c r="A197" s="56">
        <v>29140</v>
      </c>
      <c r="B197" s="56">
        <v>2</v>
      </c>
      <c r="C197" s="56">
        <v>6352</v>
      </c>
      <c r="D197" s="56" t="s">
        <v>634</v>
      </c>
      <c r="E197" s="56" t="s">
        <v>635</v>
      </c>
      <c r="K197" s="56" t="s">
        <v>1775</v>
      </c>
      <c r="L197" s="56" t="s">
        <v>637</v>
      </c>
      <c r="M197" s="56">
        <v>44950</v>
      </c>
      <c r="N197" s="56">
        <v>44952</v>
      </c>
      <c r="O197" s="56">
        <v>38</v>
      </c>
      <c r="P197" s="56" t="s">
        <v>638</v>
      </c>
      <c r="Q197" s="56">
        <v>2</v>
      </c>
      <c r="R197" s="56" t="s">
        <v>639</v>
      </c>
      <c r="S197" s="56" t="s">
        <v>640</v>
      </c>
      <c r="T197" s="56" t="s">
        <v>641</v>
      </c>
      <c r="U197" s="56" t="s">
        <v>1227</v>
      </c>
      <c r="V197" s="56" t="s">
        <v>643</v>
      </c>
      <c r="W197" s="56">
        <v>49</v>
      </c>
      <c r="X197" s="56" t="s">
        <v>887</v>
      </c>
      <c r="Y197" s="56">
        <v>505</v>
      </c>
      <c r="Z197" s="56" t="s">
        <v>1755</v>
      </c>
      <c r="AB197" s="56" t="s">
        <v>1756</v>
      </c>
      <c r="AC197" s="56" t="s">
        <v>1757</v>
      </c>
      <c r="AD197" s="56" t="s">
        <v>1758</v>
      </c>
      <c r="AE197" s="56">
        <v>52</v>
      </c>
      <c r="AF197" s="56" t="s">
        <v>1228</v>
      </c>
      <c r="AG197" s="56" t="s">
        <v>1229</v>
      </c>
      <c r="AH197" s="56" t="s">
        <v>643</v>
      </c>
      <c r="AI197" s="56" t="s">
        <v>1227</v>
      </c>
      <c r="AJ197" s="56">
        <v>431</v>
      </c>
      <c r="AK197" s="56" t="s">
        <v>1759</v>
      </c>
      <c r="AL197" s="56">
        <v>52</v>
      </c>
      <c r="AM197" s="56" t="s">
        <v>1228</v>
      </c>
      <c r="AN197" s="56" t="s">
        <v>1229</v>
      </c>
      <c r="AO197" s="56" t="s">
        <v>1230</v>
      </c>
      <c r="AP197" s="56" t="s">
        <v>643</v>
      </c>
      <c r="AQ197" s="56" t="s">
        <v>1227</v>
      </c>
      <c r="AR197" s="56">
        <v>52</v>
      </c>
      <c r="AS197" s="56" t="s">
        <v>1228</v>
      </c>
      <c r="AT197" s="56" t="s">
        <v>1229</v>
      </c>
      <c r="AU197" s="56" t="s">
        <v>643</v>
      </c>
      <c r="AV197" s="56" t="s">
        <v>1227</v>
      </c>
      <c r="AW197" s="56">
        <v>121</v>
      </c>
      <c r="AX197" s="56" t="s">
        <v>859</v>
      </c>
      <c r="AY197" s="56">
        <v>51</v>
      </c>
      <c r="AZ197" s="56" t="s">
        <v>29</v>
      </c>
      <c r="BA197" s="56" t="s">
        <v>860</v>
      </c>
      <c r="BB197" s="56" t="s">
        <v>770</v>
      </c>
      <c r="BC197" s="56">
        <v>38</v>
      </c>
      <c r="BD197" s="56" t="s">
        <v>289</v>
      </c>
      <c r="BE197" s="56" t="s">
        <v>771</v>
      </c>
      <c r="BF197" s="56">
        <v>2</v>
      </c>
      <c r="BG197" s="56" t="s">
        <v>289</v>
      </c>
      <c r="BH197" s="56" t="s">
        <v>772</v>
      </c>
      <c r="BI197" s="56">
        <v>46.9</v>
      </c>
      <c r="BJ197" s="56">
        <v>125738.43</v>
      </c>
      <c r="BK197" s="56">
        <v>46.9</v>
      </c>
      <c r="BL197" s="56" t="s">
        <v>1760</v>
      </c>
      <c r="BM197" s="56">
        <v>3102</v>
      </c>
      <c r="BN197" s="56" t="s">
        <v>724</v>
      </c>
      <c r="BO197" s="56" t="s">
        <v>725</v>
      </c>
      <c r="BP197" s="56">
        <v>7738.5</v>
      </c>
      <c r="BQ197" s="56">
        <v>6712.68</v>
      </c>
      <c r="BR197" s="56">
        <v>0</v>
      </c>
      <c r="BS197" s="56">
        <v>0</v>
      </c>
      <c r="BT197" s="56">
        <v>0</v>
      </c>
      <c r="BU197" s="56">
        <v>4185</v>
      </c>
      <c r="BV197" s="56">
        <v>52</v>
      </c>
      <c r="BW197" s="56" t="s">
        <v>1228</v>
      </c>
      <c r="BX197" s="56" t="s">
        <v>1776</v>
      </c>
      <c r="BY197" s="56" t="s">
        <v>663</v>
      </c>
      <c r="BZ197" s="56">
        <v>0.5</v>
      </c>
      <c r="CA197" s="56" t="s">
        <v>1587</v>
      </c>
      <c r="CB197" s="56" t="s">
        <v>1762</v>
      </c>
      <c r="CD197" s="56" t="s">
        <v>667</v>
      </c>
      <c r="CG197" s="56">
        <v>0</v>
      </c>
      <c r="CH197" s="56">
        <v>165</v>
      </c>
      <c r="CJ197" s="56">
        <v>100</v>
      </c>
      <c r="CK197" s="56">
        <v>6712.68</v>
      </c>
      <c r="CL197" s="56">
        <v>0</v>
      </c>
      <c r="CN197" s="56">
        <v>928.62</v>
      </c>
      <c r="CO197" s="56">
        <v>928.62</v>
      </c>
      <c r="CP197" s="56">
        <v>97.2</v>
      </c>
      <c r="CQ197" s="56" t="s">
        <v>668</v>
      </c>
      <c r="CR197" s="56">
        <v>0</v>
      </c>
      <c r="CS197" s="56">
        <v>0</v>
      </c>
      <c r="CV197" s="56">
        <v>0</v>
      </c>
      <c r="CX197" s="56">
        <v>0</v>
      </c>
      <c r="CY197" s="56">
        <v>0</v>
      </c>
      <c r="CZ197" s="56">
        <v>620.91999999999996</v>
      </c>
      <c r="DA197" s="56">
        <v>620.91999999999996</v>
      </c>
      <c r="DB197" s="56">
        <v>0</v>
      </c>
      <c r="DC197" s="56">
        <v>6091.76</v>
      </c>
      <c r="DD197" s="56">
        <v>21.6</v>
      </c>
      <c r="DE197" s="56">
        <v>0</v>
      </c>
      <c r="DF197" s="56">
        <v>21.6</v>
      </c>
      <c r="DH197" s="56" t="s">
        <v>670</v>
      </c>
      <c r="DI197" s="56" t="s">
        <v>671</v>
      </c>
      <c r="DK197" s="56">
        <v>79.7</v>
      </c>
      <c r="DL197" s="56">
        <v>6167.36</v>
      </c>
      <c r="DM197" s="56">
        <v>98</v>
      </c>
      <c r="DN197" s="56">
        <v>4501411725</v>
      </c>
      <c r="DO197" s="56" t="s">
        <v>236</v>
      </c>
      <c r="DQ197" s="56" t="s">
        <v>674</v>
      </c>
      <c r="DR197" s="56">
        <v>3</v>
      </c>
      <c r="DW197" s="56">
        <v>380</v>
      </c>
      <c r="DX197" s="56" t="s">
        <v>678</v>
      </c>
      <c r="DY197" s="56" t="s">
        <v>679</v>
      </c>
      <c r="EL197" s="56">
        <v>25</v>
      </c>
      <c r="EM197" s="56">
        <v>15</v>
      </c>
      <c r="EN197" s="56">
        <v>5173</v>
      </c>
      <c r="EO197" s="56">
        <v>2420</v>
      </c>
      <c r="EP197" s="56" t="s">
        <v>1234</v>
      </c>
      <c r="EQ197" s="56" t="s">
        <v>1763</v>
      </c>
      <c r="ER197" s="56" t="s">
        <v>1764</v>
      </c>
      <c r="ES197" s="56">
        <v>2</v>
      </c>
      <c r="ET197" s="56" t="s">
        <v>682</v>
      </c>
      <c r="EU197" s="56" t="s">
        <v>683</v>
      </c>
      <c r="EV197" s="56" t="s">
        <v>683</v>
      </c>
      <c r="FD197" s="56" t="s">
        <v>1777</v>
      </c>
      <c r="FK197" s="56">
        <v>0</v>
      </c>
    </row>
    <row r="198" spans="1:167" x14ac:dyDescent="0.2">
      <c r="A198" s="56">
        <v>29141</v>
      </c>
      <c r="B198" s="56">
        <v>2</v>
      </c>
      <c r="C198" s="56">
        <v>6352</v>
      </c>
      <c r="D198" s="56" t="s">
        <v>634</v>
      </c>
      <c r="E198" s="56" t="s">
        <v>635</v>
      </c>
      <c r="K198" s="56" t="s">
        <v>1778</v>
      </c>
      <c r="L198" s="56" t="s">
        <v>637</v>
      </c>
      <c r="M198" s="56">
        <v>44950</v>
      </c>
      <c r="N198" s="56">
        <v>44952</v>
      </c>
      <c r="O198" s="56">
        <v>38</v>
      </c>
      <c r="P198" s="56" t="s">
        <v>638</v>
      </c>
      <c r="Q198" s="56">
        <v>2</v>
      </c>
      <c r="R198" s="56" t="s">
        <v>639</v>
      </c>
      <c r="S198" s="56" t="s">
        <v>640</v>
      </c>
      <c r="T198" s="56" t="s">
        <v>641</v>
      </c>
      <c r="U198" s="56" t="s">
        <v>1227</v>
      </c>
      <c r="V198" s="56" t="s">
        <v>643</v>
      </c>
      <c r="W198" s="56">
        <v>48</v>
      </c>
      <c r="X198" s="56" t="s">
        <v>699</v>
      </c>
      <c r="Y198" s="56">
        <v>756</v>
      </c>
      <c r="Z198" s="56" t="s">
        <v>1779</v>
      </c>
      <c r="AB198" s="56" t="s">
        <v>1780</v>
      </c>
      <c r="AC198" s="56" t="s">
        <v>1757</v>
      </c>
      <c r="AD198" s="56" t="s">
        <v>1758</v>
      </c>
      <c r="AE198" s="56">
        <v>52</v>
      </c>
      <c r="AF198" s="56" t="s">
        <v>1228</v>
      </c>
      <c r="AG198" s="56" t="s">
        <v>1229</v>
      </c>
      <c r="AH198" s="56" t="s">
        <v>643</v>
      </c>
      <c r="AI198" s="56" t="s">
        <v>1227</v>
      </c>
      <c r="AJ198" s="56">
        <v>139</v>
      </c>
      <c r="AK198" s="56" t="s">
        <v>651</v>
      </c>
      <c r="AL198" s="56">
        <v>52</v>
      </c>
      <c r="AM198" s="56" t="s">
        <v>1228</v>
      </c>
      <c r="AN198" s="56" t="s">
        <v>1229</v>
      </c>
      <c r="AO198" s="56" t="s">
        <v>1230</v>
      </c>
      <c r="AP198" s="56" t="s">
        <v>643</v>
      </c>
      <c r="AQ198" s="56" t="s">
        <v>1227</v>
      </c>
      <c r="AR198" s="56">
        <v>52</v>
      </c>
      <c r="AS198" s="56" t="s">
        <v>1228</v>
      </c>
      <c r="AT198" s="56" t="s">
        <v>1229</v>
      </c>
      <c r="AU198" s="56" t="s">
        <v>643</v>
      </c>
      <c r="AV198" s="56" t="s">
        <v>1227</v>
      </c>
      <c r="AW198" s="56">
        <v>107</v>
      </c>
      <c r="AX198" s="56" t="s">
        <v>1003</v>
      </c>
      <c r="AY198" s="56">
        <v>39</v>
      </c>
      <c r="AZ198" s="56" t="s">
        <v>27</v>
      </c>
      <c r="BA198" s="56" t="s">
        <v>1004</v>
      </c>
      <c r="BB198" s="56" t="s">
        <v>770</v>
      </c>
      <c r="BC198" s="56">
        <v>38</v>
      </c>
      <c r="BD198" s="56" t="s">
        <v>289</v>
      </c>
      <c r="BE198" s="56" t="s">
        <v>771</v>
      </c>
      <c r="BF198" s="56">
        <v>2</v>
      </c>
      <c r="BG198" s="56" t="s">
        <v>289</v>
      </c>
      <c r="BH198" s="56" t="s">
        <v>772</v>
      </c>
      <c r="BI198" s="56">
        <v>24.36</v>
      </c>
      <c r="BJ198" s="56">
        <v>58572.65</v>
      </c>
      <c r="BK198" s="56">
        <v>24.36</v>
      </c>
      <c r="BL198" s="56" t="s">
        <v>897</v>
      </c>
      <c r="BM198" s="56">
        <v>3102</v>
      </c>
      <c r="BN198" s="56" t="s">
        <v>786</v>
      </c>
      <c r="BO198" s="56" t="s">
        <v>911</v>
      </c>
      <c r="BP198" s="56">
        <v>4384.8</v>
      </c>
      <c r="BQ198" s="56">
        <v>3858.62</v>
      </c>
      <c r="BR198" s="56">
        <v>0</v>
      </c>
      <c r="BS198" s="56">
        <v>0</v>
      </c>
      <c r="BT198" s="56">
        <v>0</v>
      </c>
      <c r="BU198" s="56">
        <v>5860</v>
      </c>
      <c r="BV198" s="56">
        <v>52</v>
      </c>
      <c r="BW198" s="56" t="s">
        <v>1228</v>
      </c>
      <c r="BX198" s="56" t="s">
        <v>1781</v>
      </c>
      <c r="BY198" s="56" t="s">
        <v>663</v>
      </c>
      <c r="BZ198" s="56">
        <v>0.5</v>
      </c>
      <c r="CA198" s="56" t="s">
        <v>1587</v>
      </c>
      <c r="CB198" s="56" t="s">
        <v>1782</v>
      </c>
      <c r="CD198" s="56" t="s">
        <v>667</v>
      </c>
      <c r="CG198" s="56">
        <v>0</v>
      </c>
      <c r="CH198" s="56">
        <v>180</v>
      </c>
      <c r="CJ198" s="56">
        <v>100</v>
      </c>
      <c r="CK198" s="56">
        <v>3858.62</v>
      </c>
      <c r="CL198" s="56">
        <v>0</v>
      </c>
      <c r="CN198" s="56">
        <v>526.17999999999995</v>
      </c>
      <c r="CO198" s="56">
        <v>526.17999999999995</v>
      </c>
      <c r="CP198" s="56">
        <v>0</v>
      </c>
      <c r="CQ198" s="56" t="s">
        <v>708</v>
      </c>
      <c r="CR198" s="56">
        <v>0</v>
      </c>
      <c r="CS198" s="56">
        <v>0</v>
      </c>
      <c r="CV198" s="56">
        <v>0</v>
      </c>
      <c r="CX198" s="56">
        <v>0</v>
      </c>
      <c r="CY198" s="56">
        <v>0</v>
      </c>
      <c r="CZ198" s="56">
        <v>356.93</v>
      </c>
      <c r="DA198" s="56">
        <v>356.93</v>
      </c>
      <c r="DB198" s="56">
        <v>0</v>
      </c>
      <c r="DC198" s="56">
        <v>3501.69</v>
      </c>
      <c r="DD198" s="56">
        <v>10.06</v>
      </c>
      <c r="DE198" s="56">
        <v>0</v>
      </c>
      <c r="DF198" s="56">
        <v>10.06</v>
      </c>
      <c r="DH198" s="56" t="s">
        <v>670</v>
      </c>
      <c r="DI198" s="56" t="s">
        <v>671</v>
      </c>
      <c r="DK198" s="56">
        <v>79.63</v>
      </c>
      <c r="DL198" s="56">
        <v>3491.63</v>
      </c>
      <c r="DM198" s="56">
        <v>60</v>
      </c>
      <c r="DN198" s="56">
        <v>4501411977</v>
      </c>
      <c r="DO198" s="56" t="s">
        <v>236</v>
      </c>
      <c r="DQ198" s="56" t="s">
        <v>674</v>
      </c>
      <c r="DR198" s="56">
        <v>3</v>
      </c>
      <c r="DW198" s="56">
        <v>380</v>
      </c>
      <c r="DX198" s="56" t="s">
        <v>678</v>
      </c>
      <c r="DY198" s="56" t="s">
        <v>679</v>
      </c>
      <c r="EL198" s="56">
        <v>25</v>
      </c>
      <c r="EM198" s="56">
        <v>15</v>
      </c>
      <c r="EN198" s="56">
        <v>5173</v>
      </c>
      <c r="EO198" s="56">
        <v>2420</v>
      </c>
      <c r="EP198" s="56" t="s">
        <v>1234</v>
      </c>
      <c r="EQ198" s="56" t="s">
        <v>1783</v>
      </c>
      <c r="ER198" s="56" t="s">
        <v>1764</v>
      </c>
      <c r="ES198" s="56">
        <v>2</v>
      </c>
      <c r="ET198" s="56" t="s">
        <v>682</v>
      </c>
      <c r="EU198" s="56" t="s">
        <v>683</v>
      </c>
      <c r="EV198" s="56" t="s">
        <v>683</v>
      </c>
      <c r="FD198" s="56" t="s">
        <v>1784</v>
      </c>
      <c r="FK198" s="56">
        <v>0</v>
      </c>
    </row>
    <row r="199" spans="1:167" x14ac:dyDescent="0.2">
      <c r="A199" s="56">
        <v>29142</v>
      </c>
      <c r="B199" s="56">
        <v>2</v>
      </c>
      <c r="C199" s="56">
        <v>6352</v>
      </c>
      <c r="D199" s="56" t="s">
        <v>634</v>
      </c>
      <c r="E199" s="56" t="s">
        <v>635</v>
      </c>
      <c r="K199" s="56" t="s">
        <v>1785</v>
      </c>
      <c r="L199" s="56" t="s">
        <v>637</v>
      </c>
      <c r="M199" s="56">
        <v>44950</v>
      </c>
      <c r="N199" s="56">
        <v>44952</v>
      </c>
      <c r="O199" s="56">
        <v>38</v>
      </c>
      <c r="P199" s="56" t="s">
        <v>638</v>
      </c>
      <c r="Q199" s="56">
        <v>2</v>
      </c>
      <c r="R199" s="56" t="s">
        <v>639</v>
      </c>
      <c r="S199" s="56" t="s">
        <v>640</v>
      </c>
      <c r="T199" s="56" t="s">
        <v>641</v>
      </c>
      <c r="U199" s="56" t="s">
        <v>1227</v>
      </c>
      <c r="V199" s="56" t="s">
        <v>643</v>
      </c>
      <c r="W199" s="56">
        <v>48</v>
      </c>
      <c r="X199" s="56" t="s">
        <v>699</v>
      </c>
      <c r="Y199" s="56">
        <v>756</v>
      </c>
      <c r="Z199" s="56" t="s">
        <v>1779</v>
      </c>
      <c r="AB199" s="56" t="s">
        <v>1780</v>
      </c>
      <c r="AC199" s="56" t="s">
        <v>1757</v>
      </c>
      <c r="AD199" s="56" t="s">
        <v>1758</v>
      </c>
      <c r="AE199" s="56">
        <v>52</v>
      </c>
      <c r="AF199" s="56" t="s">
        <v>1228</v>
      </c>
      <c r="AG199" s="56" t="s">
        <v>1229</v>
      </c>
      <c r="AH199" s="56" t="s">
        <v>643</v>
      </c>
      <c r="AI199" s="56" t="s">
        <v>1227</v>
      </c>
      <c r="AJ199" s="56">
        <v>139</v>
      </c>
      <c r="AK199" s="56" t="s">
        <v>651</v>
      </c>
      <c r="AL199" s="56">
        <v>52</v>
      </c>
      <c r="AM199" s="56" t="s">
        <v>1228</v>
      </c>
      <c r="AN199" s="56" t="s">
        <v>1229</v>
      </c>
      <c r="AO199" s="56" t="s">
        <v>1230</v>
      </c>
      <c r="AP199" s="56" t="s">
        <v>643</v>
      </c>
      <c r="AQ199" s="56" t="s">
        <v>1227</v>
      </c>
      <c r="AR199" s="56">
        <v>52</v>
      </c>
      <c r="AS199" s="56" t="s">
        <v>1228</v>
      </c>
      <c r="AT199" s="56" t="s">
        <v>1229</v>
      </c>
      <c r="AU199" s="56" t="s">
        <v>643</v>
      </c>
      <c r="AV199" s="56" t="s">
        <v>1227</v>
      </c>
      <c r="AW199" s="56">
        <v>107</v>
      </c>
      <c r="AX199" s="56" t="s">
        <v>1003</v>
      </c>
      <c r="AY199" s="56">
        <v>39</v>
      </c>
      <c r="AZ199" s="56" t="s">
        <v>27</v>
      </c>
      <c r="BA199" s="56" t="s">
        <v>1004</v>
      </c>
      <c r="BB199" s="56" t="s">
        <v>770</v>
      </c>
      <c r="BC199" s="56">
        <v>38</v>
      </c>
      <c r="BD199" s="56" t="s">
        <v>289</v>
      </c>
      <c r="BE199" s="56" t="s">
        <v>771</v>
      </c>
      <c r="BF199" s="56">
        <v>2</v>
      </c>
      <c r="BG199" s="56" t="s">
        <v>289</v>
      </c>
      <c r="BH199" s="56" t="s">
        <v>772</v>
      </c>
      <c r="BI199" s="56">
        <v>25.32</v>
      </c>
      <c r="BJ199" s="56">
        <v>60880.93</v>
      </c>
      <c r="BK199" s="56">
        <v>25.32</v>
      </c>
      <c r="BL199" s="56" t="s">
        <v>897</v>
      </c>
      <c r="BM199" s="56">
        <v>3102</v>
      </c>
      <c r="BN199" s="56" t="s">
        <v>786</v>
      </c>
      <c r="BO199" s="56" t="s">
        <v>911</v>
      </c>
      <c r="BP199" s="56">
        <v>4557.6000000000004</v>
      </c>
      <c r="BQ199" s="56">
        <v>3913.49</v>
      </c>
      <c r="BR199" s="56">
        <v>0</v>
      </c>
      <c r="BS199" s="56">
        <v>0</v>
      </c>
      <c r="BT199" s="56">
        <v>0</v>
      </c>
      <c r="BU199" s="56">
        <v>5861</v>
      </c>
      <c r="BV199" s="56">
        <v>52</v>
      </c>
      <c r="BW199" s="56" t="s">
        <v>1228</v>
      </c>
      <c r="BX199" s="56" t="s">
        <v>1786</v>
      </c>
      <c r="BY199" s="56" t="s">
        <v>663</v>
      </c>
      <c r="BZ199" s="56">
        <v>0.5</v>
      </c>
      <c r="CA199" s="56" t="s">
        <v>1587</v>
      </c>
      <c r="CB199" s="56" t="s">
        <v>1782</v>
      </c>
      <c r="CD199" s="56" t="s">
        <v>667</v>
      </c>
      <c r="CG199" s="56">
        <v>0</v>
      </c>
      <c r="CH199" s="56">
        <v>180</v>
      </c>
      <c r="CJ199" s="56">
        <v>100</v>
      </c>
      <c r="CK199" s="56">
        <v>3913.49</v>
      </c>
      <c r="CL199" s="56">
        <v>0</v>
      </c>
      <c r="CN199" s="56">
        <v>546.91</v>
      </c>
      <c r="CO199" s="56">
        <v>546.91</v>
      </c>
      <c r="CP199" s="56">
        <v>97.2</v>
      </c>
      <c r="CQ199" s="56" t="s">
        <v>668</v>
      </c>
      <c r="CR199" s="56">
        <v>0</v>
      </c>
      <c r="CS199" s="56">
        <v>0</v>
      </c>
      <c r="CV199" s="56">
        <v>0</v>
      </c>
      <c r="CX199" s="56">
        <v>0</v>
      </c>
      <c r="CY199" s="56">
        <v>0</v>
      </c>
      <c r="CZ199" s="56">
        <v>362</v>
      </c>
      <c r="DA199" s="56">
        <v>362</v>
      </c>
      <c r="DB199" s="56">
        <v>0</v>
      </c>
      <c r="DC199" s="56">
        <v>3551.49</v>
      </c>
      <c r="DD199" s="56">
        <v>10.46</v>
      </c>
      <c r="DE199" s="56">
        <v>0</v>
      </c>
      <c r="DF199" s="56">
        <v>10.46</v>
      </c>
      <c r="DH199" s="56" t="s">
        <v>670</v>
      </c>
      <c r="DI199" s="56" t="s">
        <v>671</v>
      </c>
      <c r="DK199" s="56">
        <v>79.83</v>
      </c>
      <c r="DL199" s="56">
        <v>3638.23</v>
      </c>
      <c r="DM199" s="56">
        <v>60</v>
      </c>
      <c r="DN199" s="56">
        <v>4501411977</v>
      </c>
      <c r="DO199" s="56" t="s">
        <v>236</v>
      </c>
      <c r="DQ199" s="56" t="s">
        <v>674</v>
      </c>
      <c r="DR199" s="56">
        <v>3</v>
      </c>
      <c r="DW199" s="56">
        <v>380</v>
      </c>
      <c r="DX199" s="56" t="s">
        <v>678</v>
      </c>
      <c r="DY199" s="56" t="s">
        <v>679</v>
      </c>
      <c r="EL199" s="56">
        <v>25</v>
      </c>
      <c r="EM199" s="56">
        <v>15</v>
      </c>
      <c r="EN199" s="56">
        <v>5173</v>
      </c>
      <c r="EO199" s="56">
        <v>2420</v>
      </c>
      <c r="EP199" s="56" t="s">
        <v>1234</v>
      </c>
      <c r="EQ199" s="56" t="s">
        <v>1783</v>
      </c>
      <c r="ER199" s="56" t="s">
        <v>1764</v>
      </c>
      <c r="ES199" s="56">
        <v>2</v>
      </c>
      <c r="ET199" s="56" t="s">
        <v>682</v>
      </c>
      <c r="EU199" s="56" t="s">
        <v>683</v>
      </c>
      <c r="EV199" s="56" t="s">
        <v>683</v>
      </c>
      <c r="FD199" s="56" t="s">
        <v>1787</v>
      </c>
      <c r="FK199" s="56">
        <v>0</v>
      </c>
    </row>
    <row r="200" spans="1:167" x14ac:dyDescent="0.2">
      <c r="A200" s="56">
        <v>29143</v>
      </c>
      <c r="B200" s="56">
        <v>2</v>
      </c>
      <c r="C200" s="56">
        <v>6352</v>
      </c>
      <c r="D200" s="56" t="s">
        <v>634</v>
      </c>
      <c r="E200" s="56" t="s">
        <v>635</v>
      </c>
      <c r="K200" s="56" t="s">
        <v>1788</v>
      </c>
      <c r="L200" s="56" t="s">
        <v>637</v>
      </c>
      <c r="M200" s="56">
        <v>44950</v>
      </c>
      <c r="N200" s="56">
        <v>44952</v>
      </c>
      <c r="O200" s="56">
        <v>38</v>
      </c>
      <c r="P200" s="56" t="s">
        <v>638</v>
      </c>
      <c r="Q200" s="56">
        <v>2</v>
      </c>
      <c r="R200" s="56" t="s">
        <v>639</v>
      </c>
      <c r="S200" s="56" t="s">
        <v>640</v>
      </c>
      <c r="T200" s="56" t="s">
        <v>641</v>
      </c>
      <c r="U200" s="56" t="s">
        <v>1227</v>
      </c>
      <c r="V200" s="56" t="s">
        <v>643</v>
      </c>
      <c r="W200" s="56">
        <v>48</v>
      </c>
      <c r="X200" s="56" t="s">
        <v>699</v>
      </c>
      <c r="Y200" s="56">
        <v>505</v>
      </c>
      <c r="Z200" s="56" t="s">
        <v>1755</v>
      </c>
      <c r="AB200" s="56" t="s">
        <v>1756</v>
      </c>
      <c r="AC200" s="56" t="s">
        <v>1757</v>
      </c>
      <c r="AD200" s="56" t="s">
        <v>1758</v>
      </c>
      <c r="AE200" s="56">
        <v>52</v>
      </c>
      <c r="AF200" s="56" t="s">
        <v>1228</v>
      </c>
      <c r="AG200" s="56" t="s">
        <v>1229</v>
      </c>
      <c r="AH200" s="56" t="s">
        <v>643</v>
      </c>
      <c r="AI200" s="56" t="s">
        <v>1227</v>
      </c>
      <c r="AJ200" s="56">
        <v>431</v>
      </c>
      <c r="AK200" s="56" t="s">
        <v>1759</v>
      </c>
      <c r="AL200" s="56">
        <v>52</v>
      </c>
      <c r="AM200" s="56" t="s">
        <v>1228</v>
      </c>
      <c r="AN200" s="56" t="s">
        <v>1229</v>
      </c>
      <c r="AO200" s="56" t="s">
        <v>1230</v>
      </c>
      <c r="AP200" s="56" t="s">
        <v>643</v>
      </c>
      <c r="AQ200" s="56" t="s">
        <v>1227</v>
      </c>
      <c r="AR200" s="56">
        <v>52</v>
      </c>
      <c r="AS200" s="56" t="s">
        <v>1228</v>
      </c>
      <c r="AT200" s="56" t="s">
        <v>1229</v>
      </c>
      <c r="AU200" s="56" t="s">
        <v>643</v>
      </c>
      <c r="AV200" s="56" t="s">
        <v>1227</v>
      </c>
      <c r="AW200" s="56">
        <v>116</v>
      </c>
      <c r="AX200" s="56" t="s">
        <v>876</v>
      </c>
      <c r="AY200" s="56">
        <v>35</v>
      </c>
      <c r="AZ200" s="56" t="s">
        <v>124</v>
      </c>
      <c r="BA200" s="56" t="s">
        <v>877</v>
      </c>
      <c r="BB200" s="56" t="s">
        <v>770</v>
      </c>
      <c r="BC200" s="56">
        <v>38</v>
      </c>
      <c r="BD200" s="56" t="s">
        <v>289</v>
      </c>
      <c r="BE200" s="56" t="s">
        <v>771</v>
      </c>
      <c r="BF200" s="56">
        <v>2</v>
      </c>
      <c r="BG200" s="56" t="s">
        <v>289</v>
      </c>
      <c r="BH200" s="56" t="s">
        <v>772</v>
      </c>
      <c r="BI200" s="56">
        <v>47.94</v>
      </c>
      <c r="BJ200" s="56">
        <v>128526.66</v>
      </c>
      <c r="BK200" s="56">
        <v>47.94</v>
      </c>
      <c r="BL200" s="56" t="s">
        <v>1760</v>
      </c>
      <c r="BM200" s="56">
        <v>3102</v>
      </c>
      <c r="BN200" s="56" t="s">
        <v>724</v>
      </c>
      <c r="BO200" s="56" t="s">
        <v>725</v>
      </c>
      <c r="BP200" s="56">
        <v>7910.1</v>
      </c>
      <c r="BQ200" s="56">
        <v>6863.69</v>
      </c>
      <c r="BR200" s="56">
        <v>0</v>
      </c>
      <c r="BS200" s="56">
        <v>0</v>
      </c>
      <c r="BT200" s="56">
        <v>0</v>
      </c>
      <c r="BU200" s="56">
        <v>4186</v>
      </c>
      <c r="BV200" s="56">
        <v>52</v>
      </c>
      <c r="BW200" s="56" t="s">
        <v>1228</v>
      </c>
      <c r="BX200" s="56" t="s">
        <v>1789</v>
      </c>
      <c r="BY200" s="56" t="s">
        <v>663</v>
      </c>
      <c r="BZ200" s="56">
        <v>0.5</v>
      </c>
      <c r="CA200" s="56" t="s">
        <v>1587</v>
      </c>
      <c r="CB200" s="56" t="s">
        <v>1762</v>
      </c>
      <c r="CD200" s="56" t="s">
        <v>667</v>
      </c>
      <c r="CG200" s="56">
        <v>0</v>
      </c>
      <c r="CH200" s="56">
        <v>165</v>
      </c>
      <c r="CJ200" s="56">
        <v>100</v>
      </c>
      <c r="CK200" s="56">
        <v>6863.69</v>
      </c>
      <c r="CL200" s="56">
        <v>0</v>
      </c>
      <c r="CN200" s="56">
        <v>949.21</v>
      </c>
      <c r="CO200" s="56">
        <v>949.21</v>
      </c>
      <c r="CP200" s="56">
        <v>97.2</v>
      </c>
      <c r="CQ200" s="56" t="s">
        <v>668</v>
      </c>
      <c r="CR200" s="56">
        <v>0</v>
      </c>
      <c r="CS200" s="56">
        <v>0</v>
      </c>
      <c r="CV200" s="56">
        <v>0</v>
      </c>
      <c r="CX200" s="56">
        <v>0</v>
      </c>
      <c r="CY200" s="56">
        <v>0</v>
      </c>
      <c r="CZ200" s="56">
        <v>634.89</v>
      </c>
      <c r="DA200" s="56">
        <v>634.89</v>
      </c>
      <c r="DB200" s="56">
        <v>0</v>
      </c>
      <c r="DC200" s="56">
        <v>6228.8</v>
      </c>
      <c r="DD200" s="56">
        <v>22.08</v>
      </c>
      <c r="DE200" s="56">
        <v>0</v>
      </c>
      <c r="DF200" s="56">
        <v>22.08</v>
      </c>
      <c r="DH200" s="56" t="s">
        <v>670</v>
      </c>
      <c r="DI200" s="56" t="s">
        <v>671</v>
      </c>
      <c r="DK200" s="56">
        <v>79.69</v>
      </c>
      <c r="DL200" s="56">
        <v>6303.92</v>
      </c>
      <c r="DM200" s="56">
        <v>98</v>
      </c>
      <c r="DN200" s="56">
        <v>4501411725</v>
      </c>
      <c r="DO200" s="56" t="s">
        <v>236</v>
      </c>
      <c r="DQ200" s="56" t="s">
        <v>674</v>
      </c>
      <c r="DR200" s="56">
        <v>3</v>
      </c>
      <c r="DW200" s="56">
        <v>380</v>
      </c>
      <c r="DX200" s="56" t="s">
        <v>678</v>
      </c>
      <c r="DY200" s="56" t="s">
        <v>679</v>
      </c>
      <c r="EL200" s="56">
        <v>25</v>
      </c>
      <c r="EM200" s="56">
        <v>15</v>
      </c>
      <c r="EN200" s="56">
        <v>5173</v>
      </c>
      <c r="EO200" s="56">
        <v>2420</v>
      </c>
      <c r="EP200" s="56" t="s">
        <v>1234</v>
      </c>
      <c r="EQ200" s="56" t="s">
        <v>1763</v>
      </c>
      <c r="ER200" s="56" t="s">
        <v>1764</v>
      </c>
      <c r="ES200" s="56">
        <v>2</v>
      </c>
      <c r="ET200" s="56" t="s">
        <v>682</v>
      </c>
      <c r="EU200" s="56" t="s">
        <v>683</v>
      </c>
      <c r="EV200" s="56" t="s">
        <v>683</v>
      </c>
      <c r="FD200" s="56" t="s">
        <v>1790</v>
      </c>
      <c r="FK200" s="56">
        <v>0</v>
      </c>
    </row>
    <row r="201" spans="1:167" x14ac:dyDescent="0.2">
      <c r="A201" s="56">
        <v>29144</v>
      </c>
      <c r="B201" s="56">
        <v>2</v>
      </c>
      <c r="C201" s="56">
        <v>6352</v>
      </c>
      <c r="D201" s="56" t="s">
        <v>634</v>
      </c>
      <c r="E201" s="56" t="s">
        <v>635</v>
      </c>
      <c r="K201" s="56" t="s">
        <v>1791</v>
      </c>
      <c r="L201" s="56" t="s">
        <v>637</v>
      </c>
      <c r="M201" s="56">
        <v>44950</v>
      </c>
      <c r="N201" s="56">
        <v>44952</v>
      </c>
      <c r="O201" s="56">
        <v>38</v>
      </c>
      <c r="P201" s="56" t="s">
        <v>638</v>
      </c>
      <c r="Q201" s="56">
        <v>2</v>
      </c>
      <c r="R201" s="56" t="s">
        <v>639</v>
      </c>
      <c r="S201" s="56" t="s">
        <v>1057</v>
      </c>
      <c r="T201" s="56" t="s">
        <v>641</v>
      </c>
      <c r="U201" s="56" t="s">
        <v>1058</v>
      </c>
      <c r="V201" s="56" t="s">
        <v>643</v>
      </c>
      <c r="W201" s="56">
        <v>46</v>
      </c>
      <c r="X201" s="56" t="s">
        <v>811</v>
      </c>
      <c r="Y201" s="56">
        <v>278</v>
      </c>
      <c r="Z201" s="56" t="s">
        <v>1059</v>
      </c>
      <c r="AA201" s="56" t="s">
        <v>1060</v>
      </c>
      <c r="AB201" s="56" t="s">
        <v>1061</v>
      </c>
      <c r="AC201" s="56" t="s">
        <v>641</v>
      </c>
      <c r="AD201" s="56" t="s">
        <v>1057</v>
      </c>
      <c r="AL201" s="56">
        <v>208</v>
      </c>
      <c r="AM201" s="56" t="s">
        <v>1062</v>
      </c>
      <c r="AN201" s="56" t="s">
        <v>1063</v>
      </c>
      <c r="AO201" s="56" t="s">
        <v>1064</v>
      </c>
      <c r="AP201" s="56" t="s">
        <v>643</v>
      </c>
      <c r="AQ201" s="56" t="s">
        <v>1058</v>
      </c>
      <c r="AR201" s="56">
        <v>208</v>
      </c>
      <c r="AS201" s="56" t="s">
        <v>1062</v>
      </c>
      <c r="AT201" s="56" t="s">
        <v>1063</v>
      </c>
      <c r="AU201" s="56" t="s">
        <v>643</v>
      </c>
      <c r="AV201" s="56" t="s">
        <v>1058</v>
      </c>
      <c r="AW201" s="56">
        <v>1210</v>
      </c>
      <c r="AX201" s="56" t="s">
        <v>1792</v>
      </c>
      <c r="AY201" s="56">
        <v>1455</v>
      </c>
      <c r="AZ201" s="56" t="s">
        <v>1793</v>
      </c>
      <c r="BA201" s="56" t="s">
        <v>1794</v>
      </c>
      <c r="BB201" s="56" t="s">
        <v>1068</v>
      </c>
      <c r="BC201" s="56">
        <v>929</v>
      </c>
      <c r="BD201" s="56" t="s">
        <v>1069</v>
      </c>
      <c r="BE201" s="56" t="s">
        <v>1070</v>
      </c>
      <c r="BF201" s="56">
        <v>929</v>
      </c>
      <c r="BG201" s="56" t="s">
        <v>1069</v>
      </c>
      <c r="BH201" s="56" t="s">
        <v>1070</v>
      </c>
      <c r="BI201" s="56">
        <v>41.62</v>
      </c>
      <c r="BJ201" s="56">
        <v>3454.46</v>
      </c>
      <c r="BK201" s="56">
        <v>41.62</v>
      </c>
      <c r="BL201" s="56" t="s">
        <v>1071</v>
      </c>
      <c r="BM201" s="56">
        <v>2518</v>
      </c>
      <c r="BN201" s="56" t="s">
        <v>744</v>
      </c>
      <c r="BO201" s="56" t="s">
        <v>1182</v>
      </c>
      <c r="BP201" s="56">
        <v>4786.3</v>
      </c>
      <c r="BQ201" s="56">
        <v>4193.04</v>
      </c>
      <c r="BR201" s="56">
        <v>0</v>
      </c>
      <c r="BS201" s="56">
        <v>0</v>
      </c>
      <c r="BT201" s="56">
        <v>3810.14</v>
      </c>
      <c r="BU201" s="56">
        <v>272838</v>
      </c>
      <c r="BV201" s="56">
        <v>208</v>
      </c>
      <c r="BW201" s="56" t="s">
        <v>1062</v>
      </c>
      <c r="BX201" s="56" t="s">
        <v>1795</v>
      </c>
      <c r="BY201" s="56" t="s">
        <v>663</v>
      </c>
      <c r="BZ201" s="56">
        <v>0.5</v>
      </c>
      <c r="CA201" s="56" t="s">
        <v>664</v>
      </c>
      <c r="CB201" s="56" t="s">
        <v>1073</v>
      </c>
      <c r="CC201" s="56" t="s">
        <v>1184</v>
      </c>
      <c r="CD201" s="56" t="s">
        <v>667</v>
      </c>
      <c r="CF201" s="56">
        <v>3050</v>
      </c>
      <c r="CG201" s="56">
        <v>80.05</v>
      </c>
      <c r="CH201" s="56">
        <v>115</v>
      </c>
      <c r="CI201" s="56">
        <v>92</v>
      </c>
      <c r="CJ201" s="56">
        <v>9.1300000000000008</v>
      </c>
      <c r="CK201" s="56">
        <v>4193.04</v>
      </c>
      <c r="CL201" s="56">
        <v>3810.14</v>
      </c>
      <c r="CM201" s="56">
        <v>48.98</v>
      </c>
      <c r="CN201" s="56">
        <v>574.36</v>
      </c>
      <c r="CO201" s="56">
        <v>574.36</v>
      </c>
      <c r="CP201" s="56">
        <v>18.899999999999999</v>
      </c>
      <c r="CQ201" s="56" t="s">
        <v>668</v>
      </c>
      <c r="CR201" s="56">
        <v>0</v>
      </c>
      <c r="CS201" s="56">
        <v>18.899999999999999</v>
      </c>
      <c r="CT201" s="56" t="s">
        <v>669</v>
      </c>
      <c r="CU201" s="56">
        <v>0</v>
      </c>
      <c r="CV201" s="56">
        <v>0</v>
      </c>
      <c r="CX201" s="56">
        <v>382.9</v>
      </c>
      <c r="CY201" s="56">
        <v>0</v>
      </c>
      <c r="CZ201" s="56">
        <v>33.67</v>
      </c>
      <c r="DA201" s="56">
        <v>387.86</v>
      </c>
      <c r="DB201" s="56">
        <v>354.19</v>
      </c>
      <c r="DC201" s="56">
        <v>4159.37</v>
      </c>
      <c r="DD201" s="56">
        <v>-1.1399999999999999</v>
      </c>
      <c r="DE201" s="56">
        <v>0</v>
      </c>
      <c r="DF201" s="56">
        <v>0.59</v>
      </c>
      <c r="DG201" s="56">
        <v>1.73</v>
      </c>
      <c r="DH201" s="56" t="s">
        <v>670</v>
      </c>
      <c r="DI201" s="56" t="s">
        <v>671</v>
      </c>
      <c r="DK201" s="56">
        <v>7.32</v>
      </c>
      <c r="DL201" s="56">
        <v>350.37</v>
      </c>
      <c r="DO201" s="56" t="s">
        <v>236</v>
      </c>
      <c r="DP201" s="56" t="s">
        <v>673</v>
      </c>
      <c r="DQ201" s="56" t="s">
        <v>674</v>
      </c>
      <c r="DR201" s="56">
        <v>3</v>
      </c>
      <c r="DX201" s="56" t="s">
        <v>678</v>
      </c>
      <c r="DY201" s="56" t="s">
        <v>679</v>
      </c>
      <c r="ED201" s="56">
        <v>1</v>
      </c>
      <c r="EE201" s="56" t="s">
        <v>809</v>
      </c>
      <c r="EF201" s="56">
        <v>1</v>
      </c>
      <c r="EG201" s="56" t="s">
        <v>809</v>
      </c>
      <c r="EH201" s="56">
        <v>1</v>
      </c>
      <c r="EI201" s="56" t="s">
        <v>809</v>
      </c>
      <c r="EJ201" s="56">
        <v>1</v>
      </c>
      <c r="EK201" s="56" t="s">
        <v>809</v>
      </c>
      <c r="EL201" s="56">
        <v>25</v>
      </c>
      <c r="EM201" s="56">
        <v>15</v>
      </c>
      <c r="EN201" s="56">
        <v>5235</v>
      </c>
      <c r="EO201" s="56">
        <v>2441</v>
      </c>
      <c r="EP201" s="56">
        <v>6943</v>
      </c>
      <c r="ER201" s="56" t="s">
        <v>1075</v>
      </c>
      <c r="ES201" s="56">
        <v>2</v>
      </c>
      <c r="ET201" s="56" t="s">
        <v>682</v>
      </c>
      <c r="EU201" s="56" t="s">
        <v>683</v>
      </c>
      <c r="EV201" s="56" t="s">
        <v>683</v>
      </c>
      <c r="FD201" s="56" t="s">
        <v>1796</v>
      </c>
      <c r="FK201" s="56">
        <v>0</v>
      </c>
    </row>
    <row r="202" spans="1:167" x14ac:dyDescent="0.2">
      <c r="A202" s="56">
        <v>29145</v>
      </c>
      <c r="B202" s="56">
        <v>2</v>
      </c>
      <c r="C202" s="56">
        <v>6352</v>
      </c>
      <c r="D202" s="56" t="s">
        <v>634</v>
      </c>
      <c r="E202" s="56" t="s">
        <v>635</v>
      </c>
      <c r="K202" s="56" t="s">
        <v>1797</v>
      </c>
      <c r="L202" s="56" t="s">
        <v>637</v>
      </c>
      <c r="M202" s="56">
        <v>44950</v>
      </c>
      <c r="N202" s="56">
        <v>44952</v>
      </c>
      <c r="O202" s="56">
        <v>38</v>
      </c>
      <c r="P202" s="56" t="s">
        <v>638</v>
      </c>
      <c r="Q202" s="56">
        <v>2</v>
      </c>
      <c r="R202" s="56" t="s">
        <v>639</v>
      </c>
      <c r="S202" s="56" t="s">
        <v>1057</v>
      </c>
      <c r="T202" s="56" t="s">
        <v>641</v>
      </c>
      <c r="U202" s="56" t="s">
        <v>1058</v>
      </c>
      <c r="V202" s="56" t="s">
        <v>643</v>
      </c>
      <c r="W202" s="56">
        <v>46</v>
      </c>
      <c r="X202" s="56" t="s">
        <v>811</v>
      </c>
      <c r="Y202" s="56">
        <v>278</v>
      </c>
      <c r="Z202" s="56" t="s">
        <v>1059</v>
      </c>
      <c r="AA202" s="56" t="s">
        <v>1060</v>
      </c>
      <c r="AB202" s="56" t="s">
        <v>1061</v>
      </c>
      <c r="AC202" s="56" t="s">
        <v>641</v>
      </c>
      <c r="AD202" s="56" t="s">
        <v>1057</v>
      </c>
      <c r="AL202" s="56">
        <v>208</v>
      </c>
      <c r="AM202" s="56" t="s">
        <v>1062</v>
      </c>
      <c r="AN202" s="56" t="s">
        <v>1063</v>
      </c>
      <c r="AO202" s="56" t="s">
        <v>1064</v>
      </c>
      <c r="AP202" s="56" t="s">
        <v>643</v>
      </c>
      <c r="AQ202" s="56" t="s">
        <v>1058</v>
      </c>
      <c r="AR202" s="56">
        <v>208</v>
      </c>
      <c r="AS202" s="56" t="s">
        <v>1062</v>
      </c>
      <c r="AT202" s="56" t="s">
        <v>1063</v>
      </c>
      <c r="AU202" s="56" t="s">
        <v>643</v>
      </c>
      <c r="AV202" s="56" t="s">
        <v>1058</v>
      </c>
      <c r="AW202" s="56">
        <v>241</v>
      </c>
      <c r="AX202" s="56" t="s">
        <v>1798</v>
      </c>
      <c r="AY202" s="56">
        <v>1254</v>
      </c>
      <c r="AZ202" s="56" t="s">
        <v>1066</v>
      </c>
      <c r="BA202" s="56" t="s">
        <v>1067</v>
      </c>
      <c r="BB202" s="56" t="s">
        <v>1068</v>
      </c>
      <c r="BC202" s="56">
        <v>929</v>
      </c>
      <c r="BD202" s="56" t="s">
        <v>1069</v>
      </c>
      <c r="BE202" s="56" t="s">
        <v>1070</v>
      </c>
      <c r="BF202" s="56">
        <v>929</v>
      </c>
      <c r="BG202" s="56" t="s">
        <v>1069</v>
      </c>
      <c r="BH202" s="56" t="s">
        <v>1070</v>
      </c>
      <c r="BI202" s="56">
        <v>37.840000000000003</v>
      </c>
      <c r="BJ202" s="56">
        <v>3140.72</v>
      </c>
      <c r="BK202" s="56">
        <v>37.840000000000003</v>
      </c>
      <c r="BL202" s="56" t="s">
        <v>1071</v>
      </c>
      <c r="BM202" s="56">
        <v>2518</v>
      </c>
      <c r="BN202" s="56" t="s">
        <v>786</v>
      </c>
      <c r="BO202" s="56">
        <v>2544</v>
      </c>
      <c r="BP202" s="56">
        <v>4351.6000000000004</v>
      </c>
      <c r="BQ202" s="56">
        <v>3810.51</v>
      </c>
      <c r="BR202" s="56">
        <v>0</v>
      </c>
      <c r="BS202" s="56">
        <v>0</v>
      </c>
      <c r="BT202" s="56">
        <v>3462.38</v>
      </c>
      <c r="BU202" s="56">
        <v>272846</v>
      </c>
      <c r="BV202" s="56">
        <v>208</v>
      </c>
      <c r="BW202" s="56" t="s">
        <v>1062</v>
      </c>
      <c r="BX202" s="56" t="s">
        <v>1799</v>
      </c>
      <c r="BY202" s="56" t="s">
        <v>663</v>
      </c>
      <c r="BZ202" s="56">
        <v>0.5</v>
      </c>
      <c r="CA202" s="56" t="s">
        <v>664</v>
      </c>
      <c r="CB202" s="56" t="s">
        <v>1073</v>
      </c>
      <c r="CC202" s="56" t="s">
        <v>1184</v>
      </c>
      <c r="CD202" s="56" t="s">
        <v>667</v>
      </c>
      <c r="CF202" s="56">
        <v>2770</v>
      </c>
      <c r="CG202" s="56">
        <v>80</v>
      </c>
      <c r="CH202" s="56">
        <v>115</v>
      </c>
      <c r="CI202" s="56">
        <v>92</v>
      </c>
      <c r="CJ202" s="56">
        <v>9.14</v>
      </c>
      <c r="CK202" s="56">
        <v>3810.51</v>
      </c>
      <c r="CL202" s="56">
        <v>3462.38</v>
      </c>
      <c r="CM202" s="56">
        <v>57.53</v>
      </c>
      <c r="CN202" s="56">
        <v>522.19000000000005</v>
      </c>
      <c r="CO202" s="56">
        <v>522.19000000000005</v>
      </c>
      <c r="CP202" s="56">
        <v>18.899999999999999</v>
      </c>
      <c r="CQ202" s="56" t="s">
        <v>668</v>
      </c>
      <c r="CR202" s="56">
        <v>0</v>
      </c>
      <c r="CS202" s="56">
        <v>18.899999999999999</v>
      </c>
      <c r="CT202" s="56" t="s">
        <v>669</v>
      </c>
      <c r="CU202" s="56">
        <v>0</v>
      </c>
      <c r="CV202" s="56">
        <v>0</v>
      </c>
      <c r="CX202" s="56">
        <v>348.13</v>
      </c>
      <c r="CY202" s="56">
        <v>0</v>
      </c>
      <c r="CZ202" s="56">
        <v>30.45</v>
      </c>
      <c r="DA202" s="56">
        <v>352.47</v>
      </c>
      <c r="DB202" s="56">
        <v>322.02</v>
      </c>
      <c r="DC202" s="56">
        <v>3780.06</v>
      </c>
      <c r="DD202" s="56">
        <v>-1.03</v>
      </c>
      <c r="DE202" s="56">
        <v>0</v>
      </c>
      <c r="DF202" s="56">
        <v>0.54</v>
      </c>
      <c r="DG202" s="56">
        <v>1.57</v>
      </c>
      <c r="DH202" s="56" t="s">
        <v>670</v>
      </c>
      <c r="DI202" s="56" t="s">
        <v>671</v>
      </c>
      <c r="DK202" s="56">
        <v>7.32</v>
      </c>
      <c r="DL202" s="56">
        <v>318.70999999999998</v>
      </c>
      <c r="DO202" s="56" t="s">
        <v>236</v>
      </c>
      <c r="DP202" s="56" t="s">
        <v>673</v>
      </c>
      <c r="DQ202" s="56" t="s">
        <v>674</v>
      </c>
      <c r="DR202" s="56">
        <v>3</v>
      </c>
      <c r="DX202" s="56" t="s">
        <v>678</v>
      </c>
      <c r="DY202" s="56" t="s">
        <v>679</v>
      </c>
      <c r="ED202" s="56">
        <v>1</v>
      </c>
      <c r="EE202" s="56" t="s">
        <v>809</v>
      </c>
      <c r="EF202" s="56">
        <v>1</v>
      </c>
      <c r="EG202" s="56" t="s">
        <v>809</v>
      </c>
      <c r="EH202" s="56">
        <v>1</v>
      </c>
      <c r="EI202" s="56" t="s">
        <v>809</v>
      </c>
      <c r="EJ202" s="56">
        <v>1</v>
      </c>
      <c r="EK202" s="56" t="s">
        <v>809</v>
      </c>
      <c r="EL202" s="56">
        <v>25</v>
      </c>
      <c r="EM202" s="56">
        <v>15</v>
      </c>
      <c r="EN202" s="56">
        <v>5235</v>
      </c>
      <c r="EO202" s="56">
        <v>2441</v>
      </c>
      <c r="EP202" s="56">
        <v>6943</v>
      </c>
      <c r="ER202" s="56" t="s">
        <v>1075</v>
      </c>
      <c r="ES202" s="56">
        <v>2</v>
      </c>
      <c r="ET202" s="56" t="s">
        <v>682</v>
      </c>
      <c r="EU202" s="56" t="s">
        <v>683</v>
      </c>
      <c r="EV202" s="56" t="s">
        <v>683</v>
      </c>
      <c r="FD202" s="56" t="s">
        <v>1800</v>
      </c>
      <c r="FK202" s="56">
        <v>0</v>
      </c>
    </row>
    <row r="203" spans="1:167" x14ac:dyDescent="0.2">
      <c r="A203" s="56">
        <v>29146</v>
      </c>
      <c r="B203" s="56">
        <v>2</v>
      </c>
      <c r="C203" s="56">
        <v>6352</v>
      </c>
      <c r="D203" s="56" t="s">
        <v>634</v>
      </c>
      <c r="E203" s="56" t="s">
        <v>635</v>
      </c>
      <c r="K203" s="56" t="s">
        <v>1801</v>
      </c>
      <c r="L203" s="56" t="s">
        <v>637</v>
      </c>
      <c r="M203" s="56">
        <v>44950</v>
      </c>
      <c r="N203" s="56">
        <v>44952</v>
      </c>
      <c r="O203" s="56">
        <v>38</v>
      </c>
      <c r="P203" s="56" t="s">
        <v>638</v>
      </c>
      <c r="Q203" s="56">
        <v>2</v>
      </c>
      <c r="R203" s="56" t="s">
        <v>639</v>
      </c>
      <c r="S203" s="56" t="s">
        <v>640</v>
      </c>
      <c r="T203" s="56" t="s">
        <v>641</v>
      </c>
      <c r="U203" s="56" t="s">
        <v>1582</v>
      </c>
      <c r="V203" s="56" t="s">
        <v>643</v>
      </c>
      <c r="W203" s="56">
        <v>48</v>
      </c>
      <c r="X203" s="56" t="s">
        <v>699</v>
      </c>
      <c r="Y203" s="56">
        <v>756</v>
      </c>
      <c r="Z203" s="56" t="s">
        <v>1779</v>
      </c>
      <c r="AB203" s="56" t="s">
        <v>1780</v>
      </c>
      <c r="AC203" s="56" t="s">
        <v>1757</v>
      </c>
      <c r="AD203" s="56" t="s">
        <v>1758</v>
      </c>
      <c r="AE203" s="56">
        <v>51</v>
      </c>
      <c r="AF203" s="56" t="s">
        <v>1228</v>
      </c>
      <c r="AG203" s="56" t="s">
        <v>1583</v>
      </c>
      <c r="AH203" s="56" t="s">
        <v>643</v>
      </c>
      <c r="AI203" s="56" t="s">
        <v>1582</v>
      </c>
      <c r="AJ203" s="56">
        <v>139</v>
      </c>
      <c r="AK203" s="56" t="s">
        <v>651</v>
      </c>
      <c r="AL203" s="56">
        <v>51</v>
      </c>
      <c r="AM203" s="56" t="s">
        <v>1228</v>
      </c>
      <c r="AN203" s="56" t="s">
        <v>1583</v>
      </c>
      <c r="AO203" s="56" t="s">
        <v>1584</v>
      </c>
      <c r="AP203" s="56" t="s">
        <v>643</v>
      </c>
      <c r="AQ203" s="56" t="s">
        <v>1582</v>
      </c>
      <c r="AR203" s="56">
        <v>51</v>
      </c>
      <c r="AS203" s="56" t="s">
        <v>1228</v>
      </c>
      <c r="AT203" s="56" t="s">
        <v>1583</v>
      </c>
      <c r="AU203" s="56" t="s">
        <v>643</v>
      </c>
      <c r="AV203" s="56" t="s">
        <v>1582</v>
      </c>
      <c r="AW203" s="56">
        <v>109</v>
      </c>
      <c r="AX203" s="56" t="s">
        <v>826</v>
      </c>
      <c r="AY203" s="56">
        <v>20</v>
      </c>
      <c r="AZ203" s="56" t="s">
        <v>30</v>
      </c>
      <c r="BA203" s="56" t="s">
        <v>827</v>
      </c>
      <c r="BB203" s="56" t="s">
        <v>770</v>
      </c>
      <c r="BC203" s="56">
        <v>38</v>
      </c>
      <c r="BD203" s="56" t="s">
        <v>289</v>
      </c>
      <c r="BE203" s="56" t="s">
        <v>771</v>
      </c>
      <c r="BF203" s="56">
        <v>2</v>
      </c>
      <c r="BG203" s="56" t="s">
        <v>289</v>
      </c>
      <c r="BH203" s="56" t="s">
        <v>772</v>
      </c>
      <c r="BI203" s="56">
        <v>25.44</v>
      </c>
      <c r="BJ203" s="56">
        <v>61169.46</v>
      </c>
      <c r="BK203" s="56">
        <v>25.44</v>
      </c>
      <c r="BL203" s="56" t="s">
        <v>897</v>
      </c>
      <c r="BM203" s="56">
        <v>3102</v>
      </c>
      <c r="BN203" s="56" t="s">
        <v>724</v>
      </c>
      <c r="BO203" s="56" t="s">
        <v>725</v>
      </c>
      <c r="BP203" s="56">
        <v>6232.8</v>
      </c>
      <c r="BQ203" s="56">
        <v>5484.86</v>
      </c>
      <c r="BR203" s="56">
        <v>0</v>
      </c>
      <c r="BS203" s="56">
        <v>0</v>
      </c>
      <c r="BT203" s="56">
        <v>0</v>
      </c>
      <c r="BU203" s="56">
        <v>1217</v>
      </c>
      <c r="BV203" s="56">
        <v>51</v>
      </c>
      <c r="BW203" s="56" t="s">
        <v>1228</v>
      </c>
      <c r="BX203" s="56" t="s">
        <v>1802</v>
      </c>
      <c r="BY203" s="56" t="s">
        <v>663</v>
      </c>
      <c r="BZ203" s="56">
        <v>0.5</v>
      </c>
      <c r="CA203" s="56" t="s">
        <v>1587</v>
      </c>
      <c r="CB203" s="56" t="s">
        <v>1782</v>
      </c>
      <c r="CD203" s="56" t="s">
        <v>667</v>
      </c>
      <c r="CG203" s="56">
        <v>0</v>
      </c>
      <c r="CH203" s="56">
        <v>245</v>
      </c>
      <c r="CJ203" s="56">
        <v>100</v>
      </c>
      <c r="CK203" s="56">
        <v>5484.86</v>
      </c>
      <c r="CL203" s="56">
        <v>0</v>
      </c>
      <c r="CN203" s="56">
        <v>747.94</v>
      </c>
      <c r="CO203" s="56">
        <v>747.94</v>
      </c>
      <c r="CP203" s="56">
        <v>0</v>
      </c>
      <c r="CQ203" s="56" t="s">
        <v>708</v>
      </c>
      <c r="CR203" s="56">
        <v>0</v>
      </c>
      <c r="CS203" s="56">
        <v>0</v>
      </c>
      <c r="CV203" s="56">
        <v>0</v>
      </c>
      <c r="CX203" s="56">
        <v>0</v>
      </c>
      <c r="CY203" s="56">
        <v>0</v>
      </c>
      <c r="CZ203" s="56">
        <v>507.35</v>
      </c>
      <c r="DA203" s="56">
        <v>507.35</v>
      </c>
      <c r="DB203" s="56">
        <v>0</v>
      </c>
      <c r="DC203" s="56">
        <v>4977.51</v>
      </c>
      <c r="DD203" s="56">
        <v>10.51</v>
      </c>
      <c r="DE203" s="56">
        <v>0</v>
      </c>
      <c r="DF203" s="56">
        <v>10.51</v>
      </c>
      <c r="DH203" s="56" t="s">
        <v>670</v>
      </c>
      <c r="DI203" s="56" t="s">
        <v>671</v>
      </c>
      <c r="DK203" s="56">
        <v>79.69</v>
      </c>
      <c r="DL203" s="56">
        <v>4967</v>
      </c>
      <c r="DM203" s="56">
        <v>100</v>
      </c>
      <c r="DN203" s="56">
        <v>4501411978</v>
      </c>
      <c r="DO203" s="56" t="s">
        <v>236</v>
      </c>
      <c r="DQ203" s="56" t="s">
        <v>674</v>
      </c>
      <c r="DR203" s="56">
        <v>3</v>
      </c>
      <c r="DW203" s="56">
        <v>590</v>
      </c>
      <c r="DX203" s="56" t="s">
        <v>678</v>
      </c>
      <c r="DY203" s="56" t="s">
        <v>679</v>
      </c>
      <c r="EL203" s="56">
        <v>25</v>
      </c>
      <c r="EM203" s="56">
        <v>15</v>
      </c>
      <c r="EN203" s="56">
        <v>5173</v>
      </c>
      <c r="EO203" s="56">
        <v>1950</v>
      </c>
      <c r="EP203" s="56" t="s">
        <v>1234</v>
      </c>
      <c r="EQ203" s="56" t="s">
        <v>1803</v>
      </c>
      <c r="ER203" s="56" t="s">
        <v>1804</v>
      </c>
      <c r="ES203" s="56">
        <v>2</v>
      </c>
      <c r="ET203" s="56" t="s">
        <v>682</v>
      </c>
      <c r="EU203" s="56" t="s">
        <v>683</v>
      </c>
      <c r="EV203" s="56" t="s">
        <v>683</v>
      </c>
      <c r="FD203" s="56" t="s">
        <v>1805</v>
      </c>
      <c r="FK203" s="56">
        <v>0</v>
      </c>
    </row>
    <row r="204" spans="1:167" x14ac:dyDescent="0.2">
      <c r="A204" s="56">
        <v>29147</v>
      </c>
      <c r="B204" s="56">
        <v>2</v>
      </c>
      <c r="C204" s="56">
        <v>6352</v>
      </c>
      <c r="D204" s="56" t="s">
        <v>634</v>
      </c>
      <c r="E204" s="56" t="s">
        <v>635</v>
      </c>
      <c r="K204" s="56" t="s">
        <v>1806</v>
      </c>
      <c r="L204" s="56" t="s">
        <v>637</v>
      </c>
      <c r="M204" s="56">
        <v>44950</v>
      </c>
      <c r="N204" s="56">
        <v>44952</v>
      </c>
      <c r="O204" s="56">
        <v>38</v>
      </c>
      <c r="P204" s="56" t="s">
        <v>638</v>
      </c>
      <c r="Q204" s="56">
        <v>2</v>
      </c>
      <c r="R204" s="56" t="s">
        <v>639</v>
      </c>
      <c r="S204" s="56" t="s">
        <v>640</v>
      </c>
      <c r="T204" s="56" t="s">
        <v>641</v>
      </c>
      <c r="U204" s="56" t="s">
        <v>1582</v>
      </c>
      <c r="V204" s="56" t="s">
        <v>643</v>
      </c>
      <c r="W204" s="56">
        <v>48</v>
      </c>
      <c r="X204" s="56" t="s">
        <v>699</v>
      </c>
      <c r="Y204" s="56">
        <v>756</v>
      </c>
      <c r="Z204" s="56" t="s">
        <v>1779</v>
      </c>
      <c r="AB204" s="56" t="s">
        <v>1780</v>
      </c>
      <c r="AC204" s="56" t="s">
        <v>1757</v>
      </c>
      <c r="AD204" s="56" t="s">
        <v>1758</v>
      </c>
      <c r="AE204" s="56">
        <v>51</v>
      </c>
      <c r="AF204" s="56" t="s">
        <v>1228</v>
      </c>
      <c r="AG204" s="56" t="s">
        <v>1583</v>
      </c>
      <c r="AH204" s="56" t="s">
        <v>643</v>
      </c>
      <c r="AI204" s="56" t="s">
        <v>1582</v>
      </c>
      <c r="AJ204" s="56">
        <v>139</v>
      </c>
      <c r="AK204" s="56" t="s">
        <v>651</v>
      </c>
      <c r="AL204" s="56">
        <v>51</v>
      </c>
      <c r="AM204" s="56" t="s">
        <v>1228</v>
      </c>
      <c r="AN204" s="56" t="s">
        <v>1583</v>
      </c>
      <c r="AO204" s="56" t="s">
        <v>1584</v>
      </c>
      <c r="AP204" s="56" t="s">
        <v>643</v>
      </c>
      <c r="AQ204" s="56" t="s">
        <v>1582</v>
      </c>
      <c r="AR204" s="56">
        <v>51</v>
      </c>
      <c r="AS204" s="56" t="s">
        <v>1228</v>
      </c>
      <c r="AT204" s="56" t="s">
        <v>1583</v>
      </c>
      <c r="AU204" s="56" t="s">
        <v>643</v>
      </c>
      <c r="AV204" s="56" t="s">
        <v>1582</v>
      </c>
      <c r="AW204" s="56">
        <v>109</v>
      </c>
      <c r="AX204" s="56" t="s">
        <v>826</v>
      </c>
      <c r="AY204" s="56">
        <v>20</v>
      </c>
      <c r="AZ204" s="56" t="s">
        <v>30</v>
      </c>
      <c r="BA204" s="56" t="s">
        <v>827</v>
      </c>
      <c r="BB204" s="56" t="s">
        <v>770</v>
      </c>
      <c r="BC204" s="56">
        <v>38</v>
      </c>
      <c r="BD204" s="56" t="s">
        <v>289</v>
      </c>
      <c r="BE204" s="56" t="s">
        <v>771</v>
      </c>
      <c r="BF204" s="56">
        <v>2</v>
      </c>
      <c r="BG204" s="56" t="s">
        <v>289</v>
      </c>
      <c r="BH204" s="56" t="s">
        <v>772</v>
      </c>
      <c r="BI204" s="56">
        <v>24.32</v>
      </c>
      <c r="BJ204" s="56">
        <v>58476.47</v>
      </c>
      <c r="BK204" s="56">
        <v>24.32</v>
      </c>
      <c r="BL204" s="56" t="s">
        <v>897</v>
      </c>
      <c r="BM204" s="56">
        <v>3102</v>
      </c>
      <c r="BN204" s="56" t="s">
        <v>724</v>
      </c>
      <c r="BO204" s="56" t="s">
        <v>725</v>
      </c>
      <c r="BP204" s="56">
        <v>5958.4</v>
      </c>
      <c r="BQ204" s="56">
        <v>5121.8900000000003</v>
      </c>
      <c r="BR204" s="56">
        <v>0</v>
      </c>
      <c r="BS204" s="56">
        <v>0</v>
      </c>
      <c r="BT204" s="56">
        <v>0</v>
      </c>
      <c r="BU204" s="56">
        <v>1218</v>
      </c>
      <c r="BV204" s="56">
        <v>51</v>
      </c>
      <c r="BW204" s="56" t="s">
        <v>1228</v>
      </c>
      <c r="BX204" s="56" t="s">
        <v>1807</v>
      </c>
      <c r="BY204" s="56" t="s">
        <v>663</v>
      </c>
      <c r="BZ204" s="56">
        <v>0.5</v>
      </c>
      <c r="CA204" s="56" t="s">
        <v>1587</v>
      </c>
      <c r="CB204" s="56" t="s">
        <v>1782</v>
      </c>
      <c r="CD204" s="56" t="s">
        <v>667</v>
      </c>
      <c r="CG204" s="56">
        <v>0</v>
      </c>
      <c r="CH204" s="56">
        <v>245</v>
      </c>
      <c r="CJ204" s="56">
        <v>100</v>
      </c>
      <c r="CK204" s="56">
        <v>5121.8900000000003</v>
      </c>
      <c r="CL204" s="56">
        <v>0</v>
      </c>
      <c r="CN204" s="56">
        <v>715.01</v>
      </c>
      <c r="CO204" s="56">
        <v>715.01</v>
      </c>
      <c r="CP204" s="56">
        <v>121.5</v>
      </c>
      <c r="CQ204" s="56" t="s">
        <v>668</v>
      </c>
      <c r="CR204" s="56">
        <v>0</v>
      </c>
      <c r="CS204" s="56">
        <v>0</v>
      </c>
      <c r="CV204" s="56">
        <v>0</v>
      </c>
      <c r="CX204" s="56">
        <v>0</v>
      </c>
      <c r="CY204" s="56">
        <v>0</v>
      </c>
      <c r="CZ204" s="56">
        <v>473.77</v>
      </c>
      <c r="DA204" s="56">
        <v>473.77</v>
      </c>
      <c r="DB204" s="56">
        <v>0</v>
      </c>
      <c r="DC204" s="56">
        <v>4648.12</v>
      </c>
      <c r="DD204" s="56">
        <v>10.050000000000001</v>
      </c>
      <c r="DE204" s="56">
        <v>0</v>
      </c>
      <c r="DF204" s="56">
        <v>10.050000000000001</v>
      </c>
      <c r="DH204" s="56" t="s">
        <v>670</v>
      </c>
      <c r="DI204" s="56" t="s">
        <v>671</v>
      </c>
      <c r="DK204" s="56">
        <v>79.88</v>
      </c>
      <c r="DL204" s="56">
        <v>4759.57</v>
      </c>
      <c r="DM204" s="56">
        <v>100</v>
      </c>
      <c r="DN204" s="56">
        <v>4501411978</v>
      </c>
      <c r="DO204" s="56" t="s">
        <v>236</v>
      </c>
      <c r="DQ204" s="56" t="s">
        <v>674</v>
      </c>
      <c r="DR204" s="56">
        <v>3</v>
      </c>
      <c r="DW204" s="56">
        <v>590</v>
      </c>
      <c r="DX204" s="56" t="s">
        <v>678</v>
      </c>
      <c r="DY204" s="56" t="s">
        <v>679</v>
      </c>
      <c r="EL204" s="56">
        <v>25</v>
      </c>
      <c r="EM204" s="56">
        <v>15</v>
      </c>
      <c r="EN204" s="56">
        <v>5173</v>
      </c>
      <c r="EO204" s="56">
        <v>1950</v>
      </c>
      <c r="EP204" s="56" t="s">
        <v>1234</v>
      </c>
      <c r="EQ204" s="56" t="s">
        <v>1803</v>
      </c>
      <c r="ER204" s="56" t="s">
        <v>1804</v>
      </c>
      <c r="ES204" s="56">
        <v>2</v>
      </c>
      <c r="ET204" s="56" t="s">
        <v>682</v>
      </c>
      <c r="EU204" s="56" t="s">
        <v>683</v>
      </c>
      <c r="EV204" s="56" t="s">
        <v>683</v>
      </c>
      <c r="FD204" s="56" t="s">
        <v>1808</v>
      </c>
      <c r="FK204" s="56">
        <v>0</v>
      </c>
    </row>
    <row r="205" spans="1:167" x14ac:dyDescent="0.2">
      <c r="A205" s="56">
        <v>29148</v>
      </c>
      <c r="B205" s="56">
        <v>2</v>
      </c>
      <c r="C205" s="56">
        <v>6352</v>
      </c>
      <c r="D205" s="56" t="s">
        <v>634</v>
      </c>
      <c r="E205" s="56" t="s">
        <v>635</v>
      </c>
      <c r="K205" s="56" t="s">
        <v>1809</v>
      </c>
      <c r="L205" s="56" t="s">
        <v>637</v>
      </c>
      <c r="M205" s="56">
        <v>44950</v>
      </c>
      <c r="N205" s="56">
        <v>44952</v>
      </c>
      <c r="O205" s="56">
        <v>38</v>
      </c>
      <c r="P205" s="56" t="s">
        <v>638</v>
      </c>
      <c r="Q205" s="56">
        <v>2</v>
      </c>
      <c r="R205" s="56" t="s">
        <v>639</v>
      </c>
      <c r="S205" s="56" t="s">
        <v>640</v>
      </c>
      <c r="T205" s="56" t="s">
        <v>641</v>
      </c>
      <c r="U205" s="56" t="s">
        <v>1058</v>
      </c>
      <c r="V205" s="56" t="s">
        <v>643</v>
      </c>
      <c r="W205" s="56">
        <v>48</v>
      </c>
      <c r="X205" s="56" t="s">
        <v>699</v>
      </c>
      <c r="Y205" s="56">
        <v>208</v>
      </c>
      <c r="Z205" s="56" t="s">
        <v>1062</v>
      </c>
      <c r="AA205" s="56" t="s">
        <v>1063</v>
      </c>
      <c r="AB205" s="56" t="s">
        <v>1064</v>
      </c>
      <c r="AC205" s="56" t="s">
        <v>643</v>
      </c>
      <c r="AD205" s="56" t="s">
        <v>1058</v>
      </c>
      <c r="AE205" s="56">
        <v>208</v>
      </c>
      <c r="AF205" s="56" t="s">
        <v>1062</v>
      </c>
      <c r="AG205" s="56" t="s">
        <v>1063</v>
      </c>
      <c r="AH205" s="56" t="s">
        <v>643</v>
      </c>
      <c r="AI205" s="56" t="s">
        <v>1058</v>
      </c>
      <c r="AJ205" s="56">
        <v>205</v>
      </c>
      <c r="AK205" s="56" t="s">
        <v>1810</v>
      </c>
      <c r="AL205" s="56">
        <v>208</v>
      </c>
      <c r="AM205" s="56" t="s">
        <v>1062</v>
      </c>
      <c r="AN205" s="56" t="s">
        <v>1063</v>
      </c>
      <c r="AO205" s="56" t="s">
        <v>1064</v>
      </c>
      <c r="AP205" s="56" t="s">
        <v>643</v>
      </c>
      <c r="AQ205" s="56" t="s">
        <v>1058</v>
      </c>
      <c r="AR205" s="56">
        <v>208</v>
      </c>
      <c r="AS205" s="56" t="s">
        <v>1062</v>
      </c>
      <c r="AT205" s="56" t="s">
        <v>1063</v>
      </c>
      <c r="AU205" s="56" t="s">
        <v>643</v>
      </c>
      <c r="AV205" s="56" t="s">
        <v>1058</v>
      </c>
      <c r="AW205" s="56">
        <v>113</v>
      </c>
      <c r="AX205" s="56" t="s">
        <v>1025</v>
      </c>
      <c r="AY205" s="56">
        <v>43</v>
      </c>
      <c r="AZ205" s="56" t="s">
        <v>126</v>
      </c>
      <c r="BA205" s="56" t="s">
        <v>1284</v>
      </c>
      <c r="BB205" s="56" t="s">
        <v>770</v>
      </c>
      <c r="BC205" s="56">
        <v>38</v>
      </c>
      <c r="BD205" s="56" t="s">
        <v>289</v>
      </c>
      <c r="BE205" s="56" t="s">
        <v>771</v>
      </c>
      <c r="BF205" s="56">
        <v>38</v>
      </c>
      <c r="BG205" s="56" t="s">
        <v>289</v>
      </c>
      <c r="BH205" s="56" t="s">
        <v>771</v>
      </c>
      <c r="BI205" s="56">
        <v>48.04</v>
      </c>
      <c r="BJ205" s="56">
        <v>120918.12</v>
      </c>
      <c r="BK205" s="56">
        <v>48.04</v>
      </c>
      <c r="BL205" s="56" t="s">
        <v>897</v>
      </c>
      <c r="BM205" s="56">
        <v>3102</v>
      </c>
      <c r="BN205" s="56" t="s">
        <v>786</v>
      </c>
      <c r="BO205" s="56" t="s">
        <v>911</v>
      </c>
      <c r="BP205" s="56">
        <v>8070.72</v>
      </c>
      <c r="BQ205" s="56">
        <v>7005.03</v>
      </c>
      <c r="BR205" s="56">
        <v>0</v>
      </c>
      <c r="BS205" s="56">
        <v>0</v>
      </c>
      <c r="BT205" s="56">
        <v>0</v>
      </c>
      <c r="BU205" s="56">
        <v>20286</v>
      </c>
      <c r="BV205" s="56">
        <v>208</v>
      </c>
      <c r="BW205" s="56" t="s">
        <v>1062</v>
      </c>
      <c r="BX205" s="56" t="s">
        <v>1811</v>
      </c>
      <c r="BY205" s="56" t="s">
        <v>663</v>
      </c>
      <c r="BZ205" s="56">
        <v>0.5</v>
      </c>
      <c r="CA205" s="56" t="s">
        <v>664</v>
      </c>
      <c r="CB205" s="56" t="s">
        <v>1812</v>
      </c>
      <c r="CD205" s="56" t="s">
        <v>667</v>
      </c>
      <c r="CG205" s="56">
        <v>0</v>
      </c>
      <c r="CH205" s="56">
        <v>168</v>
      </c>
      <c r="CJ205" s="56">
        <v>100</v>
      </c>
      <c r="CK205" s="56">
        <v>7005.03</v>
      </c>
      <c r="CL205" s="56">
        <v>0</v>
      </c>
      <c r="CN205" s="56">
        <v>968.49</v>
      </c>
      <c r="CO205" s="56">
        <v>968.49</v>
      </c>
      <c r="CP205" s="56">
        <v>97.2</v>
      </c>
      <c r="CQ205" s="56" t="s">
        <v>668</v>
      </c>
      <c r="CR205" s="56">
        <v>0</v>
      </c>
      <c r="CS205" s="56">
        <v>0</v>
      </c>
      <c r="CV205" s="56">
        <v>0</v>
      </c>
      <c r="CX205" s="56">
        <v>0</v>
      </c>
      <c r="CY205" s="56">
        <v>0</v>
      </c>
      <c r="CZ205" s="56">
        <v>647.96</v>
      </c>
      <c r="DA205" s="56">
        <v>647.96</v>
      </c>
      <c r="DB205" s="56">
        <v>0</v>
      </c>
      <c r="DC205" s="56">
        <v>6357.07</v>
      </c>
      <c r="DD205" s="56">
        <v>20.77</v>
      </c>
      <c r="DE205" s="56">
        <v>0</v>
      </c>
      <c r="DF205" s="56">
        <v>20.77</v>
      </c>
      <c r="DH205" s="56" t="s">
        <v>670</v>
      </c>
      <c r="DI205" s="56" t="s">
        <v>671</v>
      </c>
      <c r="DK205" s="56">
        <v>79.709999999999994</v>
      </c>
      <c r="DL205" s="56">
        <v>6433.5</v>
      </c>
      <c r="DM205" s="56">
        <v>66</v>
      </c>
      <c r="DN205" s="56">
        <v>228623</v>
      </c>
      <c r="DO205" s="56" t="s">
        <v>236</v>
      </c>
      <c r="DQ205" s="56" t="s">
        <v>674</v>
      </c>
      <c r="DR205" s="56">
        <v>3</v>
      </c>
      <c r="DW205" s="56">
        <v>390</v>
      </c>
      <c r="DX205" s="56" t="s">
        <v>678</v>
      </c>
      <c r="DY205" s="56" t="s">
        <v>679</v>
      </c>
      <c r="EL205" s="56">
        <v>25</v>
      </c>
      <c r="EM205" s="56">
        <v>15</v>
      </c>
      <c r="EN205" s="56">
        <v>5173</v>
      </c>
      <c r="EO205" s="56">
        <v>2441</v>
      </c>
      <c r="EP205" s="56">
        <v>6943</v>
      </c>
      <c r="EQ205" s="56" t="s">
        <v>1813</v>
      </c>
      <c r="ER205" s="56" t="s">
        <v>1814</v>
      </c>
      <c r="ES205" s="56">
        <v>2</v>
      </c>
      <c r="ET205" s="56" t="s">
        <v>682</v>
      </c>
      <c r="EU205" s="56" t="s">
        <v>683</v>
      </c>
      <c r="EV205" s="56" t="s">
        <v>683</v>
      </c>
      <c r="FD205" s="56" t="s">
        <v>1815</v>
      </c>
      <c r="FK205" s="56">
        <v>0</v>
      </c>
    </row>
    <row r="206" spans="1:167" x14ac:dyDescent="0.2">
      <c r="A206" s="56">
        <v>29149</v>
      </c>
      <c r="B206" s="56">
        <v>2</v>
      </c>
      <c r="C206" s="56">
        <v>6352</v>
      </c>
      <c r="D206" s="56" t="s">
        <v>634</v>
      </c>
      <c r="E206" s="56" t="s">
        <v>635</v>
      </c>
      <c r="K206" s="56" t="s">
        <v>1816</v>
      </c>
      <c r="L206" s="56" t="s">
        <v>637</v>
      </c>
      <c r="M206" s="56">
        <v>44950</v>
      </c>
      <c r="N206" s="56">
        <v>44952</v>
      </c>
      <c r="O206" s="56">
        <v>38</v>
      </c>
      <c r="P206" s="56" t="s">
        <v>638</v>
      </c>
      <c r="Q206" s="56">
        <v>2</v>
      </c>
      <c r="R206" s="56" t="s">
        <v>639</v>
      </c>
      <c r="S206" s="56" t="s">
        <v>893</v>
      </c>
      <c r="T206" s="56" t="s">
        <v>641</v>
      </c>
      <c r="U206" s="56" t="s">
        <v>735</v>
      </c>
      <c r="V206" s="56" t="s">
        <v>643</v>
      </c>
      <c r="W206" s="56">
        <v>49</v>
      </c>
      <c r="X206" s="56" t="s">
        <v>887</v>
      </c>
      <c r="Y206" s="56">
        <v>162</v>
      </c>
      <c r="Z206" s="56" t="s">
        <v>1030</v>
      </c>
      <c r="AA206" s="56" t="s">
        <v>1031</v>
      </c>
      <c r="AB206" s="56" t="s">
        <v>1032</v>
      </c>
      <c r="AC206" s="56" t="s">
        <v>641</v>
      </c>
      <c r="AD206" s="56" t="s">
        <v>893</v>
      </c>
      <c r="AE206" s="56">
        <v>91</v>
      </c>
      <c r="AF206" s="56" t="s">
        <v>736</v>
      </c>
      <c r="AG206" s="56" t="s">
        <v>737</v>
      </c>
      <c r="AH206" s="56" t="s">
        <v>643</v>
      </c>
      <c r="AI206" s="56" t="s">
        <v>735</v>
      </c>
      <c r="AJ206" s="56">
        <v>162</v>
      </c>
      <c r="AK206" s="56" t="s">
        <v>1030</v>
      </c>
      <c r="AL206" s="56">
        <v>98</v>
      </c>
      <c r="AM206" s="56" t="s">
        <v>645</v>
      </c>
      <c r="AN206" s="56" t="s">
        <v>646</v>
      </c>
      <c r="AO206" s="56" t="s">
        <v>647</v>
      </c>
      <c r="AP206" s="56" t="s">
        <v>643</v>
      </c>
      <c r="AQ206" s="56" t="s">
        <v>648</v>
      </c>
      <c r="AR206" s="56">
        <v>162</v>
      </c>
      <c r="AS206" s="56" t="s">
        <v>1030</v>
      </c>
      <c r="AT206" s="56" t="s">
        <v>1031</v>
      </c>
      <c r="AU206" s="56" t="s">
        <v>641</v>
      </c>
      <c r="AV206" s="56" t="s">
        <v>893</v>
      </c>
      <c r="AW206" s="56">
        <v>50</v>
      </c>
      <c r="AX206" s="56" t="s">
        <v>881</v>
      </c>
      <c r="AY206" s="56">
        <v>77</v>
      </c>
      <c r="AZ206" s="56" t="s">
        <v>131</v>
      </c>
      <c r="BA206" s="56" t="s">
        <v>882</v>
      </c>
      <c r="BB206" s="56" t="s">
        <v>770</v>
      </c>
      <c r="BC206" s="56">
        <v>38</v>
      </c>
      <c r="BD206" s="56" t="s">
        <v>289</v>
      </c>
      <c r="BE206" s="56" t="s">
        <v>771</v>
      </c>
      <c r="BF206" s="56">
        <v>2</v>
      </c>
      <c r="BG206" s="56" t="s">
        <v>289</v>
      </c>
      <c r="BH206" s="56" t="s">
        <v>772</v>
      </c>
      <c r="BI206" s="56">
        <v>45.98</v>
      </c>
      <c r="BJ206" s="56">
        <v>178773</v>
      </c>
      <c r="BK206" s="56">
        <v>45.98</v>
      </c>
      <c r="BL206" s="56" t="s">
        <v>1691</v>
      </c>
      <c r="BM206" s="56">
        <v>3105</v>
      </c>
      <c r="BN206" s="56" t="s">
        <v>786</v>
      </c>
      <c r="BO206" s="56" t="s">
        <v>883</v>
      </c>
      <c r="BP206" s="56">
        <v>5885.44</v>
      </c>
      <c r="BQ206" s="56">
        <v>5106.29</v>
      </c>
      <c r="BR206" s="56">
        <v>0</v>
      </c>
      <c r="BS206" s="56">
        <v>0</v>
      </c>
      <c r="BT206" s="56">
        <v>0</v>
      </c>
      <c r="BU206" s="56">
        <v>38086</v>
      </c>
      <c r="BV206" s="56">
        <v>162</v>
      </c>
      <c r="BW206" s="56" t="s">
        <v>1030</v>
      </c>
      <c r="BX206" s="56" t="s">
        <v>1817</v>
      </c>
      <c r="BY206" s="56" t="s">
        <v>663</v>
      </c>
      <c r="BZ206" s="56">
        <v>0.25</v>
      </c>
      <c r="CA206" s="56" t="s">
        <v>664</v>
      </c>
      <c r="CB206" s="56" t="s">
        <v>1664</v>
      </c>
      <c r="CD206" s="56" t="s">
        <v>667</v>
      </c>
      <c r="CG206" s="56">
        <v>0</v>
      </c>
      <c r="CH206" s="56">
        <v>128</v>
      </c>
      <c r="CJ206" s="56">
        <v>100</v>
      </c>
      <c r="CK206" s="56">
        <v>5106.29</v>
      </c>
      <c r="CL206" s="56">
        <v>0</v>
      </c>
      <c r="CN206" s="56">
        <v>706.25</v>
      </c>
      <c r="CO206" s="56">
        <v>706.25</v>
      </c>
      <c r="CP206" s="56">
        <v>72.900000000000006</v>
      </c>
      <c r="CQ206" s="56" t="s">
        <v>668</v>
      </c>
      <c r="CR206" s="56">
        <v>0</v>
      </c>
      <c r="CS206" s="56">
        <v>0</v>
      </c>
      <c r="CV206" s="56">
        <v>0</v>
      </c>
      <c r="CX206" s="56">
        <v>0</v>
      </c>
      <c r="CY206" s="56">
        <v>0</v>
      </c>
      <c r="CZ206" s="56">
        <v>472.33</v>
      </c>
      <c r="DA206" s="56">
        <v>472.33</v>
      </c>
      <c r="DB206" s="56">
        <v>0</v>
      </c>
      <c r="DC206" s="56">
        <v>4633.96</v>
      </c>
      <c r="DD206" s="56">
        <v>30.71</v>
      </c>
      <c r="DE206" s="56">
        <v>0</v>
      </c>
      <c r="DF206" s="56">
        <v>30.71</v>
      </c>
      <c r="DH206" s="56" t="s">
        <v>670</v>
      </c>
      <c r="DI206" s="56" t="s">
        <v>671</v>
      </c>
      <c r="DK206" s="56">
        <v>79.45</v>
      </c>
      <c r="DL206" s="56">
        <v>4676.1499999999996</v>
      </c>
      <c r="DM206" s="56">
        <v>102</v>
      </c>
      <c r="DO206" s="56" t="s">
        <v>236</v>
      </c>
      <c r="DQ206" s="56" t="s">
        <v>674</v>
      </c>
      <c r="DR206" s="56">
        <v>3</v>
      </c>
      <c r="DW206" s="56">
        <v>280</v>
      </c>
      <c r="DX206" s="56" t="s">
        <v>678</v>
      </c>
      <c r="DY206" s="56" t="s">
        <v>679</v>
      </c>
      <c r="EL206" s="56">
        <v>25</v>
      </c>
      <c r="EM206" s="56">
        <v>15</v>
      </c>
      <c r="EN206" s="56">
        <v>4779</v>
      </c>
      <c r="EO206" s="56">
        <v>1805</v>
      </c>
      <c r="EP206" s="56" t="s">
        <v>1234</v>
      </c>
      <c r="EQ206" s="56" t="s">
        <v>1693</v>
      </c>
      <c r="ER206" s="56" t="s">
        <v>902</v>
      </c>
      <c r="ES206" s="56">
        <v>2</v>
      </c>
      <c r="ET206" s="56" t="s">
        <v>682</v>
      </c>
      <c r="EU206" s="56" t="s">
        <v>683</v>
      </c>
      <c r="EV206" s="56" t="s">
        <v>683</v>
      </c>
      <c r="FD206" s="56" t="s">
        <v>1818</v>
      </c>
      <c r="FK206" s="56">
        <v>0</v>
      </c>
    </row>
    <row r="207" spans="1:167" x14ac:dyDescent="0.2">
      <c r="A207" s="56">
        <v>29150</v>
      </c>
      <c r="B207" s="56">
        <v>2</v>
      </c>
      <c r="C207" s="56">
        <v>6352</v>
      </c>
      <c r="D207" s="56" t="s">
        <v>634</v>
      </c>
      <c r="E207" s="56" t="s">
        <v>635</v>
      </c>
      <c r="K207" s="56" t="s">
        <v>1819</v>
      </c>
      <c r="L207" s="56" t="s">
        <v>637</v>
      </c>
      <c r="M207" s="56">
        <v>44950</v>
      </c>
      <c r="N207" s="56">
        <v>44952</v>
      </c>
      <c r="O207" s="56">
        <v>38</v>
      </c>
      <c r="P207" s="56" t="s">
        <v>638</v>
      </c>
      <c r="Q207" s="56">
        <v>2</v>
      </c>
      <c r="R207" s="56" t="s">
        <v>639</v>
      </c>
      <c r="S207" s="56" t="s">
        <v>893</v>
      </c>
      <c r="T207" s="56" t="s">
        <v>641</v>
      </c>
      <c r="U207" s="56" t="s">
        <v>735</v>
      </c>
      <c r="V207" s="56" t="s">
        <v>643</v>
      </c>
      <c r="W207" s="56">
        <v>49</v>
      </c>
      <c r="X207" s="56" t="s">
        <v>887</v>
      </c>
      <c r="Y207" s="56">
        <v>162</v>
      </c>
      <c r="Z207" s="56" t="s">
        <v>1030</v>
      </c>
      <c r="AA207" s="56" t="s">
        <v>1031</v>
      </c>
      <c r="AB207" s="56" t="s">
        <v>1032</v>
      </c>
      <c r="AC207" s="56" t="s">
        <v>641</v>
      </c>
      <c r="AD207" s="56" t="s">
        <v>893</v>
      </c>
      <c r="AE207" s="56">
        <v>91</v>
      </c>
      <c r="AF207" s="56" t="s">
        <v>736</v>
      </c>
      <c r="AG207" s="56" t="s">
        <v>737</v>
      </c>
      <c r="AH207" s="56" t="s">
        <v>643</v>
      </c>
      <c r="AI207" s="56" t="s">
        <v>735</v>
      </c>
      <c r="AJ207" s="56">
        <v>162</v>
      </c>
      <c r="AK207" s="56" t="s">
        <v>1030</v>
      </c>
      <c r="AL207" s="56">
        <v>98</v>
      </c>
      <c r="AM207" s="56" t="s">
        <v>645</v>
      </c>
      <c r="AN207" s="56" t="s">
        <v>646</v>
      </c>
      <c r="AO207" s="56" t="s">
        <v>647</v>
      </c>
      <c r="AP207" s="56" t="s">
        <v>643</v>
      </c>
      <c r="AQ207" s="56" t="s">
        <v>648</v>
      </c>
      <c r="AR207" s="56">
        <v>162</v>
      </c>
      <c r="AS207" s="56" t="s">
        <v>1030</v>
      </c>
      <c r="AT207" s="56" t="s">
        <v>1031</v>
      </c>
      <c r="AU207" s="56" t="s">
        <v>641</v>
      </c>
      <c r="AV207" s="56" t="s">
        <v>893</v>
      </c>
      <c r="AW207" s="56">
        <v>112</v>
      </c>
      <c r="AX207" s="56" t="s">
        <v>842</v>
      </c>
      <c r="AY207" s="56">
        <v>16</v>
      </c>
      <c r="AZ207" s="56" t="s">
        <v>24</v>
      </c>
      <c r="BA207" s="56" t="s">
        <v>843</v>
      </c>
      <c r="BB207" s="56" t="s">
        <v>844</v>
      </c>
      <c r="BC207" s="56">
        <v>2</v>
      </c>
      <c r="BD207" s="56" t="s">
        <v>289</v>
      </c>
      <c r="BE207" s="56" t="s">
        <v>772</v>
      </c>
      <c r="BF207" s="56">
        <v>2</v>
      </c>
      <c r="BG207" s="56" t="s">
        <v>289</v>
      </c>
      <c r="BH207" s="56" t="s">
        <v>772</v>
      </c>
      <c r="BI207" s="56">
        <v>46.87</v>
      </c>
      <c r="BJ207" s="56">
        <v>182233.37</v>
      </c>
      <c r="BK207" s="56">
        <v>46.87</v>
      </c>
      <c r="BL207" s="56" t="s">
        <v>1691</v>
      </c>
      <c r="BM207" s="56">
        <v>3105</v>
      </c>
      <c r="BN207" s="56" t="s">
        <v>660</v>
      </c>
      <c r="BO207" s="56" t="s">
        <v>706</v>
      </c>
      <c r="BP207" s="56">
        <v>5999.36</v>
      </c>
      <c r="BQ207" s="56">
        <v>5206.54</v>
      </c>
      <c r="BR207" s="56">
        <v>0</v>
      </c>
      <c r="BS207" s="56">
        <v>0</v>
      </c>
      <c r="BT207" s="56">
        <v>0</v>
      </c>
      <c r="BU207" s="56">
        <v>38088</v>
      </c>
      <c r="BV207" s="56">
        <v>162</v>
      </c>
      <c r="BW207" s="56" t="s">
        <v>1030</v>
      </c>
      <c r="BX207" s="56" t="s">
        <v>1820</v>
      </c>
      <c r="BY207" s="56" t="s">
        <v>663</v>
      </c>
      <c r="BZ207" s="56">
        <v>0.25</v>
      </c>
      <c r="CA207" s="56" t="s">
        <v>664</v>
      </c>
      <c r="CB207" s="56" t="s">
        <v>1664</v>
      </c>
      <c r="CD207" s="56" t="s">
        <v>667</v>
      </c>
      <c r="CG207" s="56">
        <v>0</v>
      </c>
      <c r="CH207" s="56">
        <v>128</v>
      </c>
      <c r="CJ207" s="56">
        <v>100</v>
      </c>
      <c r="CK207" s="56">
        <v>5206.54</v>
      </c>
      <c r="CL207" s="56">
        <v>0</v>
      </c>
      <c r="CN207" s="56">
        <v>719.92</v>
      </c>
      <c r="CO207" s="56">
        <v>719.92</v>
      </c>
      <c r="CP207" s="56">
        <v>72.900000000000006</v>
      </c>
      <c r="CQ207" s="56" t="s">
        <v>668</v>
      </c>
      <c r="CR207" s="56">
        <v>0</v>
      </c>
      <c r="CS207" s="56">
        <v>0</v>
      </c>
      <c r="CV207" s="56">
        <v>0</v>
      </c>
      <c r="CX207" s="56">
        <v>0</v>
      </c>
      <c r="CY207" s="56">
        <v>0</v>
      </c>
      <c r="CZ207" s="56">
        <v>481.61</v>
      </c>
      <c r="DA207" s="56">
        <v>481.61</v>
      </c>
      <c r="DB207" s="56">
        <v>0</v>
      </c>
      <c r="DC207" s="56">
        <v>4724.93</v>
      </c>
      <c r="DD207" s="56">
        <v>31.31</v>
      </c>
      <c r="DE207" s="56">
        <v>0</v>
      </c>
      <c r="DF207" s="56">
        <v>31.31</v>
      </c>
      <c r="DH207" s="56" t="s">
        <v>670</v>
      </c>
      <c r="DI207" s="56" t="s">
        <v>671</v>
      </c>
      <c r="DK207" s="56">
        <v>79.45</v>
      </c>
      <c r="DL207" s="56">
        <v>4766.5200000000004</v>
      </c>
      <c r="DM207" s="56">
        <v>102</v>
      </c>
      <c r="DO207" s="56" t="s">
        <v>236</v>
      </c>
      <c r="DQ207" s="56" t="s">
        <v>674</v>
      </c>
      <c r="DR207" s="56">
        <v>3</v>
      </c>
      <c r="DW207" s="56">
        <v>280</v>
      </c>
      <c r="DX207" s="56" t="s">
        <v>678</v>
      </c>
      <c r="DY207" s="56" t="s">
        <v>679</v>
      </c>
      <c r="EL207" s="56">
        <v>25</v>
      </c>
      <c r="EM207" s="56">
        <v>15</v>
      </c>
      <c r="EN207" s="56">
        <v>4779</v>
      </c>
      <c r="EO207" s="56">
        <v>1805</v>
      </c>
      <c r="EP207" s="56" t="s">
        <v>1234</v>
      </c>
      <c r="EQ207" s="56" t="s">
        <v>1693</v>
      </c>
      <c r="ER207" s="56" t="s">
        <v>902</v>
      </c>
      <c r="ES207" s="56">
        <v>2</v>
      </c>
      <c r="ET207" s="56" t="s">
        <v>682</v>
      </c>
      <c r="EU207" s="56" t="s">
        <v>683</v>
      </c>
      <c r="EV207" s="56" t="s">
        <v>683</v>
      </c>
      <c r="FD207" s="56" t="s">
        <v>1821</v>
      </c>
      <c r="FK207" s="56">
        <v>0</v>
      </c>
    </row>
    <row r="208" spans="1:167" x14ac:dyDescent="0.2">
      <c r="A208" s="56">
        <v>29151</v>
      </c>
      <c r="B208" s="56">
        <v>2</v>
      </c>
      <c r="C208" s="56">
        <v>6352</v>
      </c>
      <c r="D208" s="56" t="s">
        <v>634</v>
      </c>
      <c r="E208" s="56" t="s">
        <v>635</v>
      </c>
      <c r="K208" s="56" t="s">
        <v>1822</v>
      </c>
      <c r="L208" s="56" t="s">
        <v>637</v>
      </c>
      <c r="M208" s="56">
        <v>44950</v>
      </c>
      <c r="N208" s="56">
        <v>44952</v>
      </c>
      <c r="O208" s="56">
        <v>38</v>
      </c>
      <c r="P208" s="56" t="s">
        <v>638</v>
      </c>
      <c r="Q208" s="56">
        <v>2</v>
      </c>
      <c r="R208" s="56" t="s">
        <v>639</v>
      </c>
      <c r="S208" s="56" t="s">
        <v>893</v>
      </c>
      <c r="T208" s="56" t="s">
        <v>641</v>
      </c>
      <c r="U208" s="56" t="s">
        <v>735</v>
      </c>
      <c r="V208" s="56" t="s">
        <v>643</v>
      </c>
      <c r="W208" s="56">
        <v>49</v>
      </c>
      <c r="X208" s="56" t="s">
        <v>887</v>
      </c>
      <c r="Y208" s="56">
        <v>162</v>
      </c>
      <c r="Z208" s="56" t="s">
        <v>1030</v>
      </c>
      <c r="AA208" s="56" t="s">
        <v>1031</v>
      </c>
      <c r="AB208" s="56" t="s">
        <v>1032</v>
      </c>
      <c r="AC208" s="56" t="s">
        <v>641</v>
      </c>
      <c r="AD208" s="56" t="s">
        <v>893</v>
      </c>
      <c r="AE208" s="56">
        <v>91</v>
      </c>
      <c r="AF208" s="56" t="s">
        <v>736</v>
      </c>
      <c r="AG208" s="56" t="s">
        <v>737</v>
      </c>
      <c r="AH208" s="56" t="s">
        <v>643</v>
      </c>
      <c r="AI208" s="56" t="s">
        <v>735</v>
      </c>
      <c r="AJ208" s="56">
        <v>162</v>
      </c>
      <c r="AK208" s="56" t="s">
        <v>1030</v>
      </c>
      <c r="AL208" s="56">
        <v>98</v>
      </c>
      <c r="AM208" s="56" t="s">
        <v>645</v>
      </c>
      <c r="AN208" s="56" t="s">
        <v>646</v>
      </c>
      <c r="AO208" s="56" t="s">
        <v>647</v>
      </c>
      <c r="AP208" s="56" t="s">
        <v>643</v>
      </c>
      <c r="AQ208" s="56" t="s">
        <v>648</v>
      </c>
      <c r="AR208" s="56">
        <v>162</v>
      </c>
      <c r="AS208" s="56" t="s">
        <v>1030</v>
      </c>
      <c r="AT208" s="56" t="s">
        <v>1031</v>
      </c>
      <c r="AU208" s="56" t="s">
        <v>641</v>
      </c>
      <c r="AV208" s="56" t="s">
        <v>893</v>
      </c>
      <c r="AW208" s="56">
        <v>117</v>
      </c>
      <c r="AX208" s="56" t="s">
        <v>848</v>
      </c>
      <c r="AY208" s="56">
        <v>1</v>
      </c>
      <c r="AZ208" s="56" t="s">
        <v>28</v>
      </c>
      <c r="BA208" s="56" t="s">
        <v>849</v>
      </c>
      <c r="BB208" s="56" t="s">
        <v>770</v>
      </c>
      <c r="BC208" s="56">
        <v>38</v>
      </c>
      <c r="BD208" s="56" t="s">
        <v>289</v>
      </c>
      <c r="BE208" s="56" t="s">
        <v>771</v>
      </c>
      <c r="BF208" s="56">
        <v>2</v>
      </c>
      <c r="BG208" s="56" t="s">
        <v>289</v>
      </c>
      <c r="BH208" s="56" t="s">
        <v>772</v>
      </c>
      <c r="BI208" s="56">
        <v>48.21</v>
      </c>
      <c r="BJ208" s="56">
        <v>192946.06</v>
      </c>
      <c r="BK208" s="56">
        <v>48.21</v>
      </c>
      <c r="BL208" s="56" t="s">
        <v>1691</v>
      </c>
      <c r="BM208" s="56">
        <v>3105</v>
      </c>
      <c r="BN208" s="56" t="s">
        <v>724</v>
      </c>
      <c r="BO208" s="56" t="s">
        <v>725</v>
      </c>
      <c r="BP208" s="56">
        <v>6170.88</v>
      </c>
      <c r="BQ208" s="56">
        <v>5357.47</v>
      </c>
      <c r="BR208" s="56">
        <v>0</v>
      </c>
      <c r="BS208" s="56">
        <v>0</v>
      </c>
      <c r="BT208" s="56">
        <v>0</v>
      </c>
      <c r="BU208" s="56">
        <v>38089</v>
      </c>
      <c r="BV208" s="56">
        <v>162</v>
      </c>
      <c r="BW208" s="56" t="s">
        <v>1030</v>
      </c>
      <c r="BX208" s="56" t="s">
        <v>1823</v>
      </c>
      <c r="BY208" s="56" t="s">
        <v>663</v>
      </c>
      <c r="BZ208" s="56">
        <v>0.25</v>
      </c>
      <c r="CA208" s="56" t="s">
        <v>664</v>
      </c>
      <c r="CB208" s="56" t="s">
        <v>1041</v>
      </c>
      <c r="CD208" s="56" t="s">
        <v>667</v>
      </c>
      <c r="CG208" s="56">
        <v>0</v>
      </c>
      <c r="CH208" s="56">
        <v>128</v>
      </c>
      <c r="CJ208" s="56">
        <v>100</v>
      </c>
      <c r="CK208" s="56">
        <v>5357.47</v>
      </c>
      <c r="CL208" s="56">
        <v>0</v>
      </c>
      <c r="CN208" s="56">
        <v>740.51</v>
      </c>
      <c r="CO208" s="56">
        <v>740.51</v>
      </c>
      <c r="CP208" s="56">
        <v>72.900000000000006</v>
      </c>
      <c r="CQ208" s="56" t="s">
        <v>668</v>
      </c>
      <c r="CR208" s="56">
        <v>0</v>
      </c>
      <c r="CS208" s="56">
        <v>0</v>
      </c>
      <c r="CV208" s="56">
        <v>0</v>
      </c>
      <c r="CX208" s="56">
        <v>0</v>
      </c>
      <c r="CY208" s="56">
        <v>0</v>
      </c>
      <c r="CZ208" s="56">
        <v>495.57</v>
      </c>
      <c r="DA208" s="56">
        <v>495.57</v>
      </c>
      <c r="DB208" s="56">
        <v>0</v>
      </c>
      <c r="DC208" s="56">
        <v>4861.8999999999996</v>
      </c>
      <c r="DD208" s="56">
        <v>33.15</v>
      </c>
      <c r="DE208" s="56">
        <v>0</v>
      </c>
      <c r="DF208" s="56">
        <v>33.15</v>
      </c>
      <c r="DH208" s="56" t="s">
        <v>670</v>
      </c>
      <c r="DI208" s="56" t="s">
        <v>671</v>
      </c>
      <c r="DK208" s="56">
        <v>79.430000000000007</v>
      </c>
      <c r="DL208" s="56">
        <v>4901.6499999999996</v>
      </c>
      <c r="DM208" s="56">
        <v>102</v>
      </c>
      <c r="DO208" s="56" t="s">
        <v>236</v>
      </c>
      <c r="DQ208" s="56" t="s">
        <v>674</v>
      </c>
      <c r="DR208" s="56">
        <v>3</v>
      </c>
      <c r="DW208" s="56">
        <v>280</v>
      </c>
      <c r="DX208" s="56" t="s">
        <v>678</v>
      </c>
      <c r="DY208" s="56" t="s">
        <v>679</v>
      </c>
      <c r="EL208" s="56">
        <v>25</v>
      </c>
      <c r="EM208" s="56">
        <v>15</v>
      </c>
      <c r="EN208" s="56">
        <v>4779</v>
      </c>
      <c r="EO208" s="56">
        <v>1805</v>
      </c>
      <c r="EP208" s="56" t="s">
        <v>1234</v>
      </c>
      <c r="EQ208" s="56" t="s">
        <v>1693</v>
      </c>
      <c r="ER208" s="56" t="s">
        <v>902</v>
      </c>
      <c r="ES208" s="56">
        <v>2</v>
      </c>
      <c r="ET208" s="56" t="s">
        <v>682</v>
      </c>
      <c r="EU208" s="56" t="s">
        <v>683</v>
      </c>
      <c r="EV208" s="56" t="s">
        <v>683</v>
      </c>
      <c r="FD208" s="56" t="s">
        <v>1824</v>
      </c>
      <c r="FK208" s="56">
        <v>0</v>
      </c>
    </row>
    <row r="209" spans="1:167" x14ac:dyDescent="0.2">
      <c r="A209" s="56">
        <v>29152</v>
      </c>
      <c r="B209" s="56">
        <v>2</v>
      </c>
      <c r="C209" s="56">
        <v>6352</v>
      </c>
      <c r="D209" s="56" t="s">
        <v>634</v>
      </c>
      <c r="E209" s="56" t="s">
        <v>635</v>
      </c>
      <c r="K209" s="56" t="s">
        <v>1825</v>
      </c>
      <c r="L209" s="56" t="s">
        <v>637</v>
      </c>
      <c r="M209" s="56">
        <v>44950</v>
      </c>
      <c r="N209" s="56">
        <v>44952</v>
      </c>
      <c r="O209" s="56">
        <v>38</v>
      </c>
      <c r="P209" s="56" t="s">
        <v>638</v>
      </c>
      <c r="Q209" s="56">
        <v>2</v>
      </c>
      <c r="R209" s="56" t="s">
        <v>639</v>
      </c>
      <c r="S209" s="56" t="s">
        <v>640</v>
      </c>
      <c r="T209" s="56" t="s">
        <v>641</v>
      </c>
      <c r="U209" s="56" t="s">
        <v>1058</v>
      </c>
      <c r="V209" s="56" t="s">
        <v>643</v>
      </c>
      <c r="W209" s="56">
        <v>49</v>
      </c>
      <c r="X209" s="56" t="s">
        <v>887</v>
      </c>
      <c r="Y209" s="56">
        <v>208</v>
      </c>
      <c r="Z209" s="56" t="s">
        <v>1062</v>
      </c>
      <c r="AA209" s="56" t="s">
        <v>1063</v>
      </c>
      <c r="AB209" s="56" t="s">
        <v>1064</v>
      </c>
      <c r="AC209" s="56" t="s">
        <v>643</v>
      </c>
      <c r="AD209" s="56" t="s">
        <v>1058</v>
      </c>
      <c r="AE209" s="56">
        <v>208</v>
      </c>
      <c r="AF209" s="56" t="s">
        <v>1062</v>
      </c>
      <c r="AG209" s="56" t="s">
        <v>1063</v>
      </c>
      <c r="AH209" s="56" t="s">
        <v>643</v>
      </c>
      <c r="AI209" s="56" t="s">
        <v>1058</v>
      </c>
      <c r="AJ209" s="56">
        <v>205</v>
      </c>
      <c r="AK209" s="56" t="s">
        <v>1810</v>
      </c>
      <c r="AL209" s="56">
        <v>208</v>
      </c>
      <c r="AM209" s="56" t="s">
        <v>1062</v>
      </c>
      <c r="AN209" s="56" t="s">
        <v>1063</v>
      </c>
      <c r="AO209" s="56" t="s">
        <v>1064</v>
      </c>
      <c r="AP209" s="56" t="s">
        <v>643</v>
      </c>
      <c r="AQ209" s="56" t="s">
        <v>1058</v>
      </c>
      <c r="AR209" s="56">
        <v>208</v>
      </c>
      <c r="AS209" s="56" t="s">
        <v>1062</v>
      </c>
      <c r="AT209" s="56" t="s">
        <v>1063</v>
      </c>
      <c r="AU209" s="56" t="s">
        <v>643</v>
      </c>
      <c r="AV209" s="56" t="s">
        <v>1058</v>
      </c>
      <c r="AW209" s="56">
        <v>326</v>
      </c>
      <c r="AX209" s="56" t="s">
        <v>1826</v>
      </c>
      <c r="AY209" s="56">
        <v>11</v>
      </c>
      <c r="AZ209" s="56" t="s">
        <v>1827</v>
      </c>
      <c r="BA209" s="56" t="s">
        <v>1828</v>
      </c>
      <c r="BB209" s="56" t="s">
        <v>1829</v>
      </c>
      <c r="BC209" s="56">
        <v>100</v>
      </c>
      <c r="BD209" s="56" t="s">
        <v>1830</v>
      </c>
      <c r="BE209" s="56" t="s">
        <v>1831</v>
      </c>
      <c r="BF209" s="56">
        <v>100</v>
      </c>
      <c r="BG209" s="56" t="s">
        <v>1830</v>
      </c>
      <c r="BH209" s="56" t="s">
        <v>1831</v>
      </c>
      <c r="BI209" s="56">
        <v>36.770000000000003</v>
      </c>
      <c r="BJ209" s="56">
        <v>92551.19</v>
      </c>
      <c r="BK209" s="56">
        <v>36.770000000000003</v>
      </c>
      <c r="BL209" s="56" t="s">
        <v>897</v>
      </c>
      <c r="BM209" s="56">
        <v>3102</v>
      </c>
      <c r="BN209" s="56" t="s">
        <v>660</v>
      </c>
      <c r="BO209" s="56" t="s">
        <v>1832</v>
      </c>
      <c r="BP209" s="56">
        <v>6177.36</v>
      </c>
      <c r="BQ209" s="56">
        <v>5360.48</v>
      </c>
      <c r="BR209" s="56">
        <v>0</v>
      </c>
      <c r="BS209" s="56">
        <v>0</v>
      </c>
      <c r="BT209" s="56">
        <v>4630.96</v>
      </c>
      <c r="BU209" s="56">
        <v>20288</v>
      </c>
      <c r="BV209" s="56">
        <v>208</v>
      </c>
      <c r="BW209" s="56" t="s">
        <v>1062</v>
      </c>
      <c r="BX209" s="56" t="s">
        <v>1833</v>
      </c>
      <c r="BY209" s="56" t="s">
        <v>663</v>
      </c>
      <c r="BZ209" s="56">
        <v>0.5</v>
      </c>
      <c r="CA209" s="56" t="s">
        <v>664</v>
      </c>
      <c r="CB209" s="56" t="s">
        <v>1812</v>
      </c>
      <c r="CC209" s="56" t="s">
        <v>1834</v>
      </c>
      <c r="CD209" s="56" t="s">
        <v>667</v>
      </c>
      <c r="CF209" s="56">
        <v>3704.77</v>
      </c>
      <c r="CG209" s="56">
        <v>80</v>
      </c>
      <c r="CH209" s="56">
        <v>168</v>
      </c>
      <c r="CI209" s="56">
        <v>128</v>
      </c>
      <c r="CJ209" s="56">
        <v>13.61</v>
      </c>
      <c r="CK209" s="56">
        <v>5360.48</v>
      </c>
      <c r="CL209" s="56">
        <v>4630.96</v>
      </c>
      <c r="CM209" s="56">
        <v>64.3</v>
      </c>
      <c r="CN209" s="56">
        <v>741.28</v>
      </c>
      <c r="CO209" s="56">
        <v>741.28</v>
      </c>
      <c r="CP209" s="56">
        <v>75.599999999999994</v>
      </c>
      <c r="CQ209" s="56" t="s">
        <v>668</v>
      </c>
      <c r="CR209" s="56">
        <v>0</v>
      </c>
      <c r="CS209" s="56">
        <v>75.599999999999994</v>
      </c>
      <c r="CT209" s="56" t="s">
        <v>669</v>
      </c>
      <c r="CU209" s="56">
        <v>0</v>
      </c>
      <c r="CV209" s="56">
        <v>0</v>
      </c>
      <c r="CX209" s="56">
        <v>706.92</v>
      </c>
      <c r="CY209" s="56">
        <v>0</v>
      </c>
      <c r="CZ209" s="56">
        <v>174.58</v>
      </c>
      <c r="DA209" s="56">
        <v>495.85</v>
      </c>
      <c r="DB209" s="56">
        <v>321.27</v>
      </c>
      <c r="DC209" s="56">
        <v>5185.8999999999996</v>
      </c>
      <c r="DD209" s="56">
        <v>-7.78</v>
      </c>
      <c r="DE209" s="56">
        <v>0</v>
      </c>
      <c r="DF209" s="56">
        <v>15.9</v>
      </c>
      <c r="DG209" s="56">
        <v>46.28</v>
      </c>
      <c r="DH209" s="56" t="s">
        <v>670</v>
      </c>
      <c r="DI209" s="56" t="s">
        <v>671</v>
      </c>
      <c r="DK209" s="56">
        <v>9.11</v>
      </c>
      <c r="DL209" s="56">
        <v>562.72</v>
      </c>
      <c r="DM209" s="56">
        <v>66</v>
      </c>
      <c r="DN209" s="56">
        <v>228623</v>
      </c>
      <c r="DO209" s="56" t="s">
        <v>1835</v>
      </c>
      <c r="DP209" s="56" t="s">
        <v>677</v>
      </c>
      <c r="DQ209" s="56" t="s">
        <v>674</v>
      </c>
      <c r="DR209" s="56">
        <v>2</v>
      </c>
      <c r="DS209" s="56" t="s">
        <v>1836</v>
      </c>
      <c r="DT209" s="56" t="s">
        <v>1837</v>
      </c>
      <c r="DU209" s="56">
        <v>36</v>
      </c>
      <c r="DV209" s="56" t="s">
        <v>677</v>
      </c>
      <c r="DW209" s="56">
        <v>390</v>
      </c>
      <c r="DX209" s="56" t="s">
        <v>709</v>
      </c>
      <c r="DY209" s="56" t="s">
        <v>679</v>
      </c>
      <c r="ED209" s="56">
        <v>2</v>
      </c>
      <c r="EE209" s="56" t="s">
        <v>639</v>
      </c>
      <c r="EF209" s="56">
        <v>2</v>
      </c>
      <c r="EG209" s="56" t="s">
        <v>639</v>
      </c>
      <c r="EH209" s="56">
        <v>2</v>
      </c>
      <c r="EI209" s="56" t="s">
        <v>639</v>
      </c>
      <c r="EJ209" s="56">
        <v>2</v>
      </c>
      <c r="EK209" s="56" t="s">
        <v>639</v>
      </c>
      <c r="EL209" s="56">
        <v>25</v>
      </c>
      <c r="EM209" s="56">
        <v>15</v>
      </c>
      <c r="EN209" s="56">
        <v>5173</v>
      </c>
      <c r="EO209" s="56">
        <v>2441</v>
      </c>
      <c r="EP209" s="56">
        <v>6943</v>
      </c>
      <c r="EQ209" s="56" t="s">
        <v>1813</v>
      </c>
      <c r="ER209" s="56" t="s">
        <v>1814</v>
      </c>
      <c r="ES209" s="56">
        <v>2</v>
      </c>
      <c r="ET209" s="56" t="s">
        <v>682</v>
      </c>
      <c r="EU209" s="56" t="s">
        <v>683</v>
      </c>
      <c r="EV209" s="56" t="s">
        <v>683</v>
      </c>
      <c r="FD209" s="56" t="s">
        <v>1838</v>
      </c>
      <c r="FK209" s="56">
        <v>0</v>
      </c>
    </row>
    <row r="210" spans="1:167" x14ac:dyDescent="0.2">
      <c r="A210" s="56">
        <v>29153</v>
      </c>
      <c r="B210" s="56">
        <v>2</v>
      </c>
      <c r="C210" s="56">
        <v>6352</v>
      </c>
      <c r="D210" s="56" t="s">
        <v>634</v>
      </c>
      <c r="E210" s="56" t="s">
        <v>635</v>
      </c>
      <c r="K210" s="56" t="s">
        <v>1839</v>
      </c>
      <c r="L210" s="56" t="s">
        <v>637</v>
      </c>
      <c r="M210" s="56">
        <v>44950</v>
      </c>
      <c r="N210" s="56">
        <v>44952</v>
      </c>
      <c r="O210" s="56">
        <v>38</v>
      </c>
      <c r="P210" s="56" t="s">
        <v>638</v>
      </c>
      <c r="Q210" s="56">
        <v>2</v>
      </c>
      <c r="R210" s="56" t="s">
        <v>639</v>
      </c>
      <c r="S210" s="56" t="s">
        <v>893</v>
      </c>
      <c r="T210" s="56" t="s">
        <v>641</v>
      </c>
      <c r="U210" s="56" t="s">
        <v>735</v>
      </c>
      <c r="V210" s="56" t="s">
        <v>643</v>
      </c>
      <c r="W210" s="56">
        <v>49</v>
      </c>
      <c r="X210" s="56" t="s">
        <v>887</v>
      </c>
      <c r="Y210" s="56">
        <v>162</v>
      </c>
      <c r="Z210" s="56" t="s">
        <v>1030</v>
      </c>
      <c r="AA210" s="56" t="s">
        <v>1031</v>
      </c>
      <c r="AB210" s="56" t="s">
        <v>1032</v>
      </c>
      <c r="AC210" s="56" t="s">
        <v>641</v>
      </c>
      <c r="AD210" s="56" t="s">
        <v>893</v>
      </c>
      <c r="AE210" s="56">
        <v>91</v>
      </c>
      <c r="AF210" s="56" t="s">
        <v>736</v>
      </c>
      <c r="AG210" s="56" t="s">
        <v>737</v>
      </c>
      <c r="AH210" s="56" t="s">
        <v>643</v>
      </c>
      <c r="AI210" s="56" t="s">
        <v>735</v>
      </c>
      <c r="AJ210" s="56">
        <v>162</v>
      </c>
      <c r="AK210" s="56" t="s">
        <v>1030</v>
      </c>
      <c r="AL210" s="56">
        <v>98</v>
      </c>
      <c r="AM210" s="56" t="s">
        <v>645</v>
      </c>
      <c r="AN210" s="56" t="s">
        <v>646</v>
      </c>
      <c r="AO210" s="56" t="s">
        <v>647</v>
      </c>
      <c r="AP210" s="56" t="s">
        <v>643</v>
      </c>
      <c r="AQ210" s="56" t="s">
        <v>648</v>
      </c>
      <c r="AR210" s="56">
        <v>162</v>
      </c>
      <c r="AS210" s="56" t="s">
        <v>1030</v>
      </c>
      <c r="AT210" s="56" t="s">
        <v>1031</v>
      </c>
      <c r="AU210" s="56" t="s">
        <v>641</v>
      </c>
      <c r="AV210" s="56" t="s">
        <v>893</v>
      </c>
      <c r="AW210" s="56">
        <v>115</v>
      </c>
      <c r="AX210" s="56" t="s">
        <v>853</v>
      </c>
      <c r="AY210" s="56">
        <v>55</v>
      </c>
      <c r="AZ210" s="56" t="s">
        <v>23</v>
      </c>
      <c r="BA210" s="56" t="s">
        <v>854</v>
      </c>
      <c r="BB210" s="56" t="s">
        <v>844</v>
      </c>
      <c r="BC210" s="56">
        <v>2</v>
      </c>
      <c r="BD210" s="56" t="s">
        <v>289</v>
      </c>
      <c r="BE210" s="56" t="s">
        <v>772</v>
      </c>
      <c r="BF210" s="56">
        <v>2</v>
      </c>
      <c r="BG210" s="56" t="s">
        <v>289</v>
      </c>
      <c r="BH210" s="56" t="s">
        <v>772</v>
      </c>
      <c r="BI210" s="56">
        <v>46.51</v>
      </c>
      <c r="BJ210" s="56">
        <v>180833.67</v>
      </c>
      <c r="BK210" s="56">
        <v>46.51</v>
      </c>
      <c r="BL210" s="56" t="s">
        <v>1691</v>
      </c>
      <c r="BM210" s="56">
        <v>3105</v>
      </c>
      <c r="BN210" s="56" t="s">
        <v>660</v>
      </c>
      <c r="BO210" s="56" t="s">
        <v>855</v>
      </c>
      <c r="BP210" s="56">
        <v>5953.28</v>
      </c>
      <c r="BQ210" s="56">
        <v>5165.99</v>
      </c>
      <c r="BR210" s="56">
        <v>0</v>
      </c>
      <c r="BS210" s="56">
        <v>0</v>
      </c>
      <c r="BT210" s="56">
        <v>0</v>
      </c>
      <c r="BU210" s="56">
        <v>38093</v>
      </c>
      <c r="BV210" s="56">
        <v>162</v>
      </c>
      <c r="BW210" s="56" t="s">
        <v>1030</v>
      </c>
      <c r="BX210" s="56" t="s">
        <v>1840</v>
      </c>
      <c r="BY210" s="56" t="s">
        <v>663</v>
      </c>
      <c r="BZ210" s="56">
        <v>0.25</v>
      </c>
      <c r="CA210" s="56" t="s">
        <v>664</v>
      </c>
      <c r="CB210" s="56" t="s">
        <v>1664</v>
      </c>
      <c r="CD210" s="56" t="s">
        <v>667</v>
      </c>
      <c r="CG210" s="56">
        <v>0</v>
      </c>
      <c r="CH210" s="56">
        <v>128</v>
      </c>
      <c r="CJ210" s="56">
        <v>100</v>
      </c>
      <c r="CK210" s="56">
        <v>5165.99</v>
      </c>
      <c r="CL210" s="56">
        <v>0</v>
      </c>
      <c r="CN210" s="56">
        <v>714.39</v>
      </c>
      <c r="CO210" s="56">
        <v>714.39</v>
      </c>
      <c r="CP210" s="56">
        <v>72.900000000000006</v>
      </c>
      <c r="CQ210" s="56" t="s">
        <v>668</v>
      </c>
      <c r="CR210" s="56">
        <v>0</v>
      </c>
      <c r="CS210" s="56">
        <v>0</v>
      </c>
      <c r="CV210" s="56">
        <v>0</v>
      </c>
      <c r="CX210" s="56">
        <v>0</v>
      </c>
      <c r="CY210" s="56">
        <v>0</v>
      </c>
      <c r="CZ210" s="56">
        <v>477.86</v>
      </c>
      <c r="DA210" s="56">
        <v>477.86</v>
      </c>
      <c r="DB210" s="56">
        <v>0</v>
      </c>
      <c r="DC210" s="56">
        <v>4688.13</v>
      </c>
      <c r="DD210" s="56">
        <v>31.07</v>
      </c>
      <c r="DE210" s="56">
        <v>0</v>
      </c>
      <c r="DF210" s="56">
        <v>31.07</v>
      </c>
      <c r="DH210" s="56" t="s">
        <v>670</v>
      </c>
      <c r="DI210" s="56" t="s">
        <v>671</v>
      </c>
      <c r="DK210" s="56">
        <v>79.45</v>
      </c>
      <c r="DL210" s="56">
        <v>4729.96</v>
      </c>
      <c r="DM210" s="56">
        <v>102</v>
      </c>
      <c r="DO210" s="56" t="s">
        <v>236</v>
      </c>
      <c r="DQ210" s="56" t="s">
        <v>674</v>
      </c>
      <c r="DR210" s="56">
        <v>3</v>
      </c>
      <c r="DW210" s="56">
        <v>280</v>
      </c>
      <c r="DX210" s="56" t="s">
        <v>678</v>
      </c>
      <c r="DY210" s="56" t="s">
        <v>679</v>
      </c>
      <c r="EL210" s="56">
        <v>25</v>
      </c>
      <c r="EM210" s="56">
        <v>15</v>
      </c>
      <c r="EN210" s="56">
        <v>4779</v>
      </c>
      <c r="EO210" s="56">
        <v>1805</v>
      </c>
      <c r="EP210" s="56" t="s">
        <v>1234</v>
      </c>
      <c r="EQ210" s="56" t="s">
        <v>1693</v>
      </c>
      <c r="ER210" s="56" t="s">
        <v>902</v>
      </c>
      <c r="ES210" s="56">
        <v>2</v>
      </c>
      <c r="ET210" s="56" t="s">
        <v>682</v>
      </c>
      <c r="EU210" s="56" t="s">
        <v>683</v>
      </c>
      <c r="EV210" s="56" t="s">
        <v>683</v>
      </c>
      <c r="FD210" s="56" t="s">
        <v>1841</v>
      </c>
      <c r="FK210" s="56">
        <v>0</v>
      </c>
    </row>
    <row r="211" spans="1:167" x14ac:dyDescent="0.2">
      <c r="A211" s="56">
        <v>29154</v>
      </c>
      <c r="B211" s="56">
        <v>2</v>
      </c>
      <c r="C211" s="56">
        <v>6352</v>
      </c>
      <c r="D211" s="56" t="s">
        <v>634</v>
      </c>
      <c r="E211" s="56" t="s">
        <v>635</v>
      </c>
      <c r="K211" s="56" t="s">
        <v>1842</v>
      </c>
      <c r="L211" s="56" t="s">
        <v>637</v>
      </c>
      <c r="M211" s="56">
        <v>44950</v>
      </c>
      <c r="N211" s="56">
        <v>44952</v>
      </c>
      <c r="O211" s="56">
        <v>38</v>
      </c>
      <c r="P211" s="56" t="s">
        <v>638</v>
      </c>
      <c r="Q211" s="56">
        <v>2</v>
      </c>
      <c r="R211" s="56" t="s">
        <v>639</v>
      </c>
      <c r="S211" s="56" t="s">
        <v>640</v>
      </c>
      <c r="T211" s="56" t="s">
        <v>641</v>
      </c>
      <c r="U211" s="56" t="s">
        <v>1582</v>
      </c>
      <c r="V211" s="56" t="s">
        <v>643</v>
      </c>
      <c r="W211" s="56">
        <v>49</v>
      </c>
      <c r="X211" s="56" t="s">
        <v>887</v>
      </c>
      <c r="Y211" s="56">
        <v>756</v>
      </c>
      <c r="Z211" s="56" t="s">
        <v>1779</v>
      </c>
      <c r="AB211" s="56" t="s">
        <v>1780</v>
      </c>
      <c r="AC211" s="56" t="s">
        <v>1757</v>
      </c>
      <c r="AD211" s="56" t="s">
        <v>1758</v>
      </c>
      <c r="AE211" s="56">
        <v>51</v>
      </c>
      <c r="AF211" s="56" t="s">
        <v>1228</v>
      </c>
      <c r="AG211" s="56" t="s">
        <v>1583</v>
      </c>
      <c r="AH211" s="56" t="s">
        <v>643</v>
      </c>
      <c r="AI211" s="56" t="s">
        <v>1582</v>
      </c>
      <c r="AJ211" s="56">
        <v>139</v>
      </c>
      <c r="AK211" s="56" t="s">
        <v>651</v>
      </c>
      <c r="AL211" s="56">
        <v>51</v>
      </c>
      <c r="AM211" s="56" t="s">
        <v>1228</v>
      </c>
      <c r="AN211" s="56" t="s">
        <v>1583</v>
      </c>
      <c r="AO211" s="56" t="s">
        <v>1584</v>
      </c>
      <c r="AP211" s="56" t="s">
        <v>643</v>
      </c>
      <c r="AQ211" s="56" t="s">
        <v>1582</v>
      </c>
      <c r="AR211" s="56">
        <v>51</v>
      </c>
      <c r="AS211" s="56" t="s">
        <v>1228</v>
      </c>
      <c r="AT211" s="56" t="s">
        <v>1583</v>
      </c>
      <c r="AU211" s="56" t="s">
        <v>643</v>
      </c>
      <c r="AV211" s="56" t="s">
        <v>1582</v>
      </c>
      <c r="AW211" s="56">
        <v>108</v>
      </c>
      <c r="AX211" s="56" t="s">
        <v>977</v>
      </c>
      <c r="AY211" s="56">
        <v>47</v>
      </c>
      <c r="AZ211" s="56" t="s">
        <v>32</v>
      </c>
      <c r="BA211" s="56" t="s">
        <v>978</v>
      </c>
      <c r="BB211" s="56" t="s">
        <v>770</v>
      </c>
      <c r="BC211" s="56">
        <v>38</v>
      </c>
      <c r="BD211" s="56" t="s">
        <v>289</v>
      </c>
      <c r="BE211" s="56" t="s">
        <v>771</v>
      </c>
      <c r="BF211" s="56">
        <v>2</v>
      </c>
      <c r="BG211" s="56" t="s">
        <v>289</v>
      </c>
      <c r="BH211" s="56" t="s">
        <v>772</v>
      </c>
      <c r="BI211" s="56">
        <v>23.51</v>
      </c>
      <c r="BJ211" s="56">
        <v>56528.85</v>
      </c>
      <c r="BK211" s="56">
        <v>23.51</v>
      </c>
      <c r="BL211" s="56" t="s">
        <v>897</v>
      </c>
      <c r="BM211" s="56">
        <v>3102</v>
      </c>
      <c r="BN211" s="56" t="s">
        <v>724</v>
      </c>
      <c r="BO211" s="56" t="s">
        <v>725</v>
      </c>
      <c r="BP211" s="56">
        <v>5759.95</v>
      </c>
      <c r="BQ211" s="56">
        <v>5068.76</v>
      </c>
      <c r="BR211" s="56">
        <v>0</v>
      </c>
      <c r="BS211" s="56">
        <v>0</v>
      </c>
      <c r="BT211" s="56">
        <v>0</v>
      </c>
      <c r="BU211" s="56">
        <v>1219</v>
      </c>
      <c r="BV211" s="56">
        <v>51</v>
      </c>
      <c r="BW211" s="56" t="s">
        <v>1228</v>
      </c>
      <c r="BX211" s="56" t="s">
        <v>1843</v>
      </c>
      <c r="BY211" s="56" t="s">
        <v>663</v>
      </c>
      <c r="BZ211" s="56">
        <v>0.5</v>
      </c>
      <c r="CA211" s="56" t="s">
        <v>1587</v>
      </c>
      <c r="CB211" s="56" t="s">
        <v>1782</v>
      </c>
      <c r="CD211" s="56" t="s">
        <v>667</v>
      </c>
      <c r="CG211" s="56">
        <v>0</v>
      </c>
      <c r="CH211" s="56">
        <v>245</v>
      </c>
      <c r="CJ211" s="56">
        <v>100</v>
      </c>
      <c r="CK211" s="56">
        <v>5068.76</v>
      </c>
      <c r="CL211" s="56">
        <v>0</v>
      </c>
      <c r="CN211" s="56">
        <v>691.19</v>
      </c>
      <c r="CO211" s="56">
        <v>691.19</v>
      </c>
      <c r="CP211" s="56">
        <v>0</v>
      </c>
      <c r="CQ211" s="56" t="s">
        <v>708</v>
      </c>
      <c r="CR211" s="56">
        <v>0</v>
      </c>
      <c r="CS211" s="56">
        <v>0</v>
      </c>
      <c r="CV211" s="56">
        <v>0</v>
      </c>
      <c r="CX211" s="56">
        <v>0</v>
      </c>
      <c r="CY211" s="56">
        <v>0</v>
      </c>
      <c r="CZ211" s="56">
        <v>468.86</v>
      </c>
      <c r="DA211" s="56">
        <v>468.86</v>
      </c>
      <c r="DB211" s="56">
        <v>0</v>
      </c>
      <c r="DC211" s="56">
        <v>4599.8999999999996</v>
      </c>
      <c r="DD211" s="56">
        <v>9.7100000000000009</v>
      </c>
      <c r="DE211" s="56">
        <v>0</v>
      </c>
      <c r="DF211" s="56">
        <v>9.7100000000000009</v>
      </c>
      <c r="DH211" s="56" t="s">
        <v>670</v>
      </c>
      <c r="DI211" s="56" t="s">
        <v>671</v>
      </c>
      <c r="DK211" s="56">
        <v>79.69</v>
      </c>
      <c r="DL211" s="56">
        <v>4590.1899999999996</v>
      </c>
      <c r="DM211" s="56">
        <v>100</v>
      </c>
      <c r="DN211" s="56">
        <v>4501411978</v>
      </c>
      <c r="DO211" s="56" t="s">
        <v>236</v>
      </c>
      <c r="DQ211" s="56" t="s">
        <v>674</v>
      </c>
      <c r="DR211" s="56">
        <v>3</v>
      </c>
      <c r="DW211" s="56">
        <v>590</v>
      </c>
      <c r="DX211" s="56" t="s">
        <v>678</v>
      </c>
      <c r="DY211" s="56" t="s">
        <v>679</v>
      </c>
      <c r="EL211" s="56">
        <v>25</v>
      </c>
      <c r="EM211" s="56">
        <v>15</v>
      </c>
      <c r="EN211" s="56">
        <v>5173</v>
      </c>
      <c r="EO211" s="56">
        <v>1950</v>
      </c>
      <c r="EP211" s="56" t="s">
        <v>1234</v>
      </c>
      <c r="EQ211" s="56" t="s">
        <v>1803</v>
      </c>
      <c r="ER211" s="56" t="s">
        <v>1804</v>
      </c>
      <c r="ES211" s="56">
        <v>2</v>
      </c>
      <c r="ET211" s="56" t="s">
        <v>682</v>
      </c>
      <c r="EU211" s="56" t="s">
        <v>683</v>
      </c>
      <c r="EV211" s="56" t="s">
        <v>683</v>
      </c>
      <c r="FD211" s="56" t="s">
        <v>1844</v>
      </c>
      <c r="FK211" s="56">
        <v>0</v>
      </c>
    </row>
    <row r="212" spans="1:167" x14ac:dyDescent="0.2">
      <c r="A212" s="56">
        <v>29155</v>
      </c>
      <c r="B212" s="56">
        <v>2</v>
      </c>
      <c r="C212" s="56">
        <v>6352</v>
      </c>
      <c r="D212" s="56" t="s">
        <v>634</v>
      </c>
      <c r="E212" s="56" t="s">
        <v>635</v>
      </c>
      <c r="K212" s="56" t="s">
        <v>1845</v>
      </c>
      <c r="L212" s="56" t="s">
        <v>637</v>
      </c>
      <c r="M212" s="56">
        <v>44950</v>
      </c>
      <c r="N212" s="56">
        <v>44952</v>
      </c>
      <c r="O212" s="56">
        <v>38</v>
      </c>
      <c r="P212" s="56" t="s">
        <v>638</v>
      </c>
      <c r="Q212" s="56">
        <v>2</v>
      </c>
      <c r="R212" s="56" t="s">
        <v>639</v>
      </c>
      <c r="S212" s="56" t="s">
        <v>640</v>
      </c>
      <c r="T212" s="56" t="s">
        <v>641</v>
      </c>
      <c r="U212" s="56" t="s">
        <v>1582</v>
      </c>
      <c r="V212" s="56" t="s">
        <v>643</v>
      </c>
      <c r="W212" s="56">
        <v>49</v>
      </c>
      <c r="X212" s="56" t="s">
        <v>887</v>
      </c>
      <c r="Y212" s="56">
        <v>756</v>
      </c>
      <c r="Z212" s="56" t="s">
        <v>1779</v>
      </c>
      <c r="AB212" s="56" t="s">
        <v>1780</v>
      </c>
      <c r="AC212" s="56" t="s">
        <v>1757</v>
      </c>
      <c r="AD212" s="56" t="s">
        <v>1758</v>
      </c>
      <c r="AE212" s="56">
        <v>51</v>
      </c>
      <c r="AF212" s="56" t="s">
        <v>1228</v>
      </c>
      <c r="AG212" s="56" t="s">
        <v>1583</v>
      </c>
      <c r="AH212" s="56" t="s">
        <v>643</v>
      </c>
      <c r="AI212" s="56" t="s">
        <v>1582</v>
      </c>
      <c r="AJ212" s="56">
        <v>139</v>
      </c>
      <c r="AK212" s="56" t="s">
        <v>651</v>
      </c>
      <c r="AL212" s="56">
        <v>51</v>
      </c>
      <c r="AM212" s="56" t="s">
        <v>1228</v>
      </c>
      <c r="AN212" s="56" t="s">
        <v>1583</v>
      </c>
      <c r="AO212" s="56" t="s">
        <v>1584</v>
      </c>
      <c r="AP212" s="56" t="s">
        <v>643</v>
      </c>
      <c r="AQ212" s="56" t="s">
        <v>1582</v>
      </c>
      <c r="AR212" s="56">
        <v>51</v>
      </c>
      <c r="AS212" s="56" t="s">
        <v>1228</v>
      </c>
      <c r="AT212" s="56" t="s">
        <v>1583</v>
      </c>
      <c r="AU212" s="56" t="s">
        <v>643</v>
      </c>
      <c r="AV212" s="56" t="s">
        <v>1582</v>
      </c>
      <c r="AW212" s="56">
        <v>108</v>
      </c>
      <c r="AX212" s="56" t="s">
        <v>977</v>
      </c>
      <c r="AY212" s="56">
        <v>47</v>
      </c>
      <c r="AZ212" s="56" t="s">
        <v>32</v>
      </c>
      <c r="BA212" s="56" t="s">
        <v>978</v>
      </c>
      <c r="BB212" s="56" t="s">
        <v>770</v>
      </c>
      <c r="BC212" s="56">
        <v>38</v>
      </c>
      <c r="BD212" s="56" t="s">
        <v>289</v>
      </c>
      <c r="BE212" s="56" t="s">
        <v>771</v>
      </c>
      <c r="BF212" s="56">
        <v>2</v>
      </c>
      <c r="BG212" s="56" t="s">
        <v>289</v>
      </c>
      <c r="BH212" s="56" t="s">
        <v>772</v>
      </c>
      <c r="BI212" s="56">
        <v>24.9</v>
      </c>
      <c r="BJ212" s="56">
        <v>59871.05</v>
      </c>
      <c r="BK212" s="56">
        <v>24.9</v>
      </c>
      <c r="BL212" s="56" t="s">
        <v>897</v>
      </c>
      <c r="BM212" s="56">
        <v>3102</v>
      </c>
      <c r="BN212" s="56" t="s">
        <v>724</v>
      </c>
      <c r="BO212" s="56" t="s">
        <v>725</v>
      </c>
      <c r="BP212" s="56">
        <v>6100.5</v>
      </c>
      <c r="BQ212" s="56">
        <v>5246.94</v>
      </c>
      <c r="BR212" s="56">
        <v>0</v>
      </c>
      <c r="BS212" s="56">
        <v>0</v>
      </c>
      <c r="BT212" s="56">
        <v>0</v>
      </c>
      <c r="BU212" s="56">
        <v>1220</v>
      </c>
      <c r="BV212" s="56">
        <v>51</v>
      </c>
      <c r="BW212" s="56" t="s">
        <v>1228</v>
      </c>
      <c r="BX212" s="56" t="s">
        <v>1846</v>
      </c>
      <c r="BY212" s="56" t="s">
        <v>663</v>
      </c>
      <c r="BZ212" s="56">
        <v>0.5</v>
      </c>
      <c r="CA212" s="56" t="s">
        <v>1587</v>
      </c>
      <c r="CB212" s="56" t="s">
        <v>1782</v>
      </c>
      <c r="CD212" s="56" t="s">
        <v>667</v>
      </c>
      <c r="CG212" s="56">
        <v>0</v>
      </c>
      <c r="CH212" s="56">
        <v>245</v>
      </c>
      <c r="CJ212" s="56">
        <v>100</v>
      </c>
      <c r="CK212" s="56">
        <v>5246.94</v>
      </c>
      <c r="CL212" s="56">
        <v>0</v>
      </c>
      <c r="CN212" s="56">
        <v>732.06</v>
      </c>
      <c r="CO212" s="56">
        <v>732.06</v>
      </c>
      <c r="CP212" s="56">
        <v>121.5</v>
      </c>
      <c r="CQ212" s="56" t="s">
        <v>668</v>
      </c>
      <c r="CR212" s="56">
        <v>0</v>
      </c>
      <c r="CS212" s="56">
        <v>0</v>
      </c>
      <c r="CV212" s="56">
        <v>0</v>
      </c>
      <c r="CX212" s="56">
        <v>0</v>
      </c>
      <c r="CY212" s="56">
        <v>0</v>
      </c>
      <c r="CZ212" s="56">
        <v>485.34</v>
      </c>
      <c r="DA212" s="56">
        <v>485.34</v>
      </c>
      <c r="DB212" s="56">
        <v>0</v>
      </c>
      <c r="DC212" s="56">
        <v>4761.6000000000004</v>
      </c>
      <c r="DD212" s="56">
        <v>10.29</v>
      </c>
      <c r="DE212" s="56">
        <v>0</v>
      </c>
      <c r="DF212" s="56">
        <v>10.29</v>
      </c>
      <c r="DH212" s="56" t="s">
        <v>670</v>
      </c>
      <c r="DI212" s="56" t="s">
        <v>671</v>
      </c>
      <c r="DK212" s="56">
        <v>79.88</v>
      </c>
      <c r="DL212" s="56">
        <v>4872.8100000000004</v>
      </c>
      <c r="DM212" s="56">
        <v>100</v>
      </c>
      <c r="DN212" s="56">
        <v>4501411978</v>
      </c>
      <c r="DO212" s="56" t="s">
        <v>236</v>
      </c>
      <c r="DQ212" s="56" t="s">
        <v>674</v>
      </c>
      <c r="DR212" s="56">
        <v>3</v>
      </c>
      <c r="DW212" s="56">
        <v>590</v>
      </c>
      <c r="DX212" s="56" t="s">
        <v>678</v>
      </c>
      <c r="DY212" s="56" t="s">
        <v>679</v>
      </c>
      <c r="EL212" s="56">
        <v>25</v>
      </c>
      <c r="EM212" s="56">
        <v>15</v>
      </c>
      <c r="EN212" s="56">
        <v>5173</v>
      </c>
      <c r="EO212" s="56">
        <v>1950</v>
      </c>
      <c r="EP212" s="56" t="s">
        <v>1234</v>
      </c>
      <c r="EQ212" s="56" t="s">
        <v>1803</v>
      </c>
      <c r="ER212" s="56" t="s">
        <v>1804</v>
      </c>
      <c r="ES212" s="56">
        <v>2</v>
      </c>
      <c r="ET212" s="56" t="s">
        <v>682</v>
      </c>
      <c r="EU212" s="56" t="s">
        <v>683</v>
      </c>
      <c r="EV212" s="56" t="s">
        <v>683</v>
      </c>
      <c r="FD212" s="56" t="s">
        <v>1847</v>
      </c>
      <c r="FK212" s="56">
        <v>0</v>
      </c>
    </row>
    <row r="213" spans="1:167" x14ac:dyDescent="0.2">
      <c r="A213" s="56">
        <v>29743</v>
      </c>
      <c r="B213" s="56">
        <v>1</v>
      </c>
      <c r="C213" s="56">
        <v>5352</v>
      </c>
      <c r="D213" s="56" t="s">
        <v>634</v>
      </c>
      <c r="E213" s="56" t="s">
        <v>635</v>
      </c>
      <c r="K213" s="56" t="s">
        <v>1848</v>
      </c>
      <c r="L213" s="56" t="s">
        <v>637</v>
      </c>
      <c r="M213" s="56">
        <v>44950</v>
      </c>
      <c r="N213" s="56">
        <v>44952</v>
      </c>
      <c r="O213" s="56">
        <v>2</v>
      </c>
      <c r="P213" s="56" t="s">
        <v>682</v>
      </c>
      <c r="Q213" s="56">
        <v>1</v>
      </c>
      <c r="R213" s="56" t="s">
        <v>809</v>
      </c>
      <c r="S213" s="56" t="s">
        <v>1849</v>
      </c>
      <c r="T213" s="56" t="s">
        <v>643</v>
      </c>
      <c r="U213" s="56" t="s">
        <v>1850</v>
      </c>
      <c r="V213" s="56" t="s">
        <v>643</v>
      </c>
      <c r="W213" s="56">
        <v>41</v>
      </c>
      <c r="X213" s="56" t="s">
        <v>1217</v>
      </c>
      <c r="Y213" s="56">
        <v>64</v>
      </c>
      <c r="Z213" s="56" t="s">
        <v>1851</v>
      </c>
      <c r="AA213" s="56" t="s">
        <v>1852</v>
      </c>
      <c r="AB213" s="56" t="s">
        <v>1853</v>
      </c>
      <c r="AC213" s="56" t="s">
        <v>643</v>
      </c>
      <c r="AD213" s="56" t="s">
        <v>1849</v>
      </c>
      <c r="AL213" s="56">
        <v>954</v>
      </c>
      <c r="AM213" s="56" t="s">
        <v>1854</v>
      </c>
      <c r="AN213" s="56" t="s">
        <v>1855</v>
      </c>
      <c r="AO213" s="56" t="s">
        <v>1856</v>
      </c>
      <c r="AP213" s="56" t="s">
        <v>643</v>
      </c>
      <c r="AQ213" s="56" t="s">
        <v>1850</v>
      </c>
      <c r="AR213" s="56">
        <v>954</v>
      </c>
      <c r="AS213" s="56" t="s">
        <v>1854</v>
      </c>
      <c r="AT213" s="56" t="s">
        <v>1855</v>
      </c>
      <c r="AU213" s="56" t="s">
        <v>643</v>
      </c>
      <c r="AV213" s="56" t="s">
        <v>1850</v>
      </c>
      <c r="AW213" s="56">
        <v>590</v>
      </c>
      <c r="AX213" s="56" t="s">
        <v>1857</v>
      </c>
      <c r="AY213" s="56">
        <v>1214</v>
      </c>
      <c r="AZ213" s="56" t="s">
        <v>1858</v>
      </c>
      <c r="BA213" s="56" t="s">
        <v>1859</v>
      </c>
      <c r="BB213" s="56" t="s">
        <v>1860</v>
      </c>
      <c r="BC213" s="56">
        <v>589</v>
      </c>
      <c r="BD213" s="56" t="s">
        <v>1861</v>
      </c>
      <c r="BE213" s="56" t="s">
        <v>1862</v>
      </c>
      <c r="BF213" s="56">
        <v>589</v>
      </c>
      <c r="BG213" s="56" t="s">
        <v>1861</v>
      </c>
      <c r="BH213" s="56" t="s">
        <v>1862</v>
      </c>
      <c r="BI213" s="56">
        <v>47.76</v>
      </c>
      <c r="BJ213" s="56">
        <v>18148.8</v>
      </c>
      <c r="BK213" s="56">
        <v>47.76</v>
      </c>
      <c r="BL213" s="56" t="s">
        <v>1863</v>
      </c>
      <c r="BM213" s="56">
        <v>3104</v>
      </c>
      <c r="BN213" s="56" t="s">
        <v>724</v>
      </c>
      <c r="BO213" s="56" t="s">
        <v>725</v>
      </c>
      <c r="BP213" s="56">
        <v>4776</v>
      </c>
      <c r="BQ213" s="56">
        <v>4703.1000000000004</v>
      </c>
      <c r="BR213" s="56">
        <v>0</v>
      </c>
      <c r="BS213" s="56">
        <v>0</v>
      </c>
      <c r="BT213" s="56">
        <v>4225.5</v>
      </c>
      <c r="BU213" s="56">
        <v>35196</v>
      </c>
      <c r="BV213" s="56">
        <v>954</v>
      </c>
      <c r="BW213" s="56" t="s">
        <v>1854</v>
      </c>
      <c r="BX213" s="56" t="s">
        <v>1864</v>
      </c>
      <c r="BY213" s="56" t="s">
        <v>663</v>
      </c>
      <c r="BZ213" s="56">
        <v>0.25</v>
      </c>
      <c r="CA213" s="56" t="s">
        <v>664</v>
      </c>
      <c r="CB213" s="56" t="s">
        <v>1865</v>
      </c>
      <c r="CC213" s="56" t="s">
        <v>1866</v>
      </c>
      <c r="CD213" s="56" t="s">
        <v>667</v>
      </c>
      <c r="CF213" s="56">
        <v>3100</v>
      </c>
      <c r="CG213" s="56">
        <v>73.36</v>
      </c>
      <c r="CH213" s="56">
        <v>100</v>
      </c>
      <c r="CI213" s="56">
        <v>90</v>
      </c>
      <c r="CJ213" s="56">
        <v>10.16</v>
      </c>
      <c r="CK213" s="56">
        <v>4703.1000000000004</v>
      </c>
      <c r="CL213" s="56">
        <v>4225.5</v>
      </c>
      <c r="CM213" s="56">
        <v>76.44</v>
      </c>
      <c r="CN213" s="56">
        <v>0</v>
      </c>
      <c r="CO213" s="56">
        <v>0</v>
      </c>
      <c r="CP213" s="56">
        <v>72.900000000000006</v>
      </c>
      <c r="CQ213" s="56" t="s">
        <v>668</v>
      </c>
      <c r="CR213" s="56">
        <v>0</v>
      </c>
      <c r="CS213" s="56">
        <v>72.900000000000006</v>
      </c>
      <c r="CT213" s="56" t="s">
        <v>669</v>
      </c>
      <c r="CU213" s="56">
        <v>0</v>
      </c>
      <c r="CV213" s="56">
        <v>0</v>
      </c>
      <c r="CX213" s="56">
        <v>456.9</v>
      </c>
      <c r="CY213" s="56">
        <v>0</v>
      </c>
      <c r="CZ213" s="56">
        <v>141.9</v>
      </c>
      <c r="DA213" s="56">
        <v>435.04</v>
      </c>
      <c r="DB213" s="56">
        <v>293.14</v>
      </c>
      <c r="DC213" s="56">
        <v>4561.2</v>
      </c>
      <c r="DD213" s="56">
        <v>14.71</v>
      </c>
      <c r="DE213" s="56">
        <v>0</v>
      </c>
      <c r="DF213" s="56">
        <v>3.08</v>
      </c>
      <c r="DG213" s="56">
        <v>9.07</v>
      </c>
      <c r="DH213" s="56" t="s">
        <v>670</v>
      </c>
      <c r="DI213" s="56" t="s">
        <v>671</v>
      </c>
      <c r="DK213" s="56">
        <v>7.15</v>
      </c>
      <c r="DL213" s="56">
        <v>341.69</v>
      </c>
      <c r="DO213" s="56" t="s">
        <v>236</v>
      </c>
      <c r="DP213" s="56" t="s">
        <v>673</v>
      </c>
      <c r="DQ213" s="56" t="s">
        <v>674</v>
      </c>
      <c r="DR213" s="56">
        <v>2</v>
      </c>
      <c r="DS213" s="56" t="s">
        <v>1867</v>
      </c>
      <c r="DT213" s="56" t="s">
        <v>1868</v>
      </c>
      <c r="DU213" s="56">
        <v>36</v>
      </c>
      <c r="DV213" s="56" t="s">
        <v>677</v>
      </c>
      <c r="DX213" s="56" t="s">
        <v>678</v>
      </c>
      <c r="DY213" s="56" t="s">
        <v>679</v>
      </c>
      <c r="ED213" s="56">
        <v>1</v>
      </c>
      <c r="EE213" s="56" t="s">
        <v>809</v>
      </c>
      <c r="EF213" s="56">
        <v>1</v>
      </c>
      <c r="EG213" s="56" t="s">
        <v>809</v>
      </c>
      <c r="EH213" s="56">
        <v>1</v>
      </c>
      <c r="EI213" s="56" t="s">
        <v>809</v>
      </c>
      <c r="EJ213" s="56">
        <v>1</v>
      </c>
      <c r="EK213" s="56" t="s">
        <v>809</v>
      </c>
      <c r="EL213" s="56">
        <v>15</v>
      </c>
      <c r="EM213" s="56">
        <v>15</v>
      </c>
      <c r="EN213" s="56">
        <v>1826</v>
      </c>
      <c r="EO213" s="56">
        <v>2073</v>
      </c>
      <c r="EP213" s="56">
        <v>6944</v>
      </c>
      <c r="EQ213" s="56" t="s">
        <v>1434</v>
      </c>
      <c r="ER213" s="56" t="s">
        <v>1869</v>
      </c>
      <c r="ES213" s="56">
        <v>2</v>
      </c>
      <c r="ET213" s="56" t="s">
        <v>682</v>
      </c>
      <c r="EU213" s="56" t="s">
        <v>683</v>
      </c>
      <c r="EV213" s="56" t="s">
        <v>683</v>
      </c>
      <c r="FD213" s="56" t="s">
        <v>1870</v>
      </c>
      <c r="FK213" s="56">
        <v>0</v>
      </c>
    </row>
    <row r="214" spans="1:167" x14ac:dyDescent="0.2">
      <c r="A214" s="56">
        <v>29156</v>
      </c>
      <c r="B214" s="56">
        <v>2</v>
      </c>
      <c r="C214" s="56">
        <v>6352</v>
      </c>
      <c r="D214" s="56" t="s">
        <v>634</v>
      </c>
      <c r="E214" s="56" t="s">
        <v>635</v>
      </c>
      <c r="K214" s="56" t="s">
        <v>1871</v>
      </c>
      <c r="L214" s="56" t="s">
        <v>637</v>
      </c>
      <c r="M214" s="56">
        <v>44951</v>
      </c>
      <c r="N214" s="56">
        <v>44953</v>
      </c>
      <c r="O214" s="56">
        <v>38</v>
      </c>
      <c r="P214" s="56" t="s">
        <v>638</v>
      </c>
      <c r="Q214" s="56">
        <v>2</v>
      </c>
      <c r="R214" s="56" t="s">
        <v>639</v>
      </c>
      <c r="S214" s="56" t="s">
        <v>893</v>
      </c>
      <c r="T214" s="56" t="s">
        <v>641</v>
      </c>
      <c r="U214" s="56" t="s">
        <v>735</v>
      </c>
      <c r="V214" s="56" t="s">
        <v>643</v>
      </c>
      <c r="W214" s="56">
        <v>49</v>
      </c>
      <c r="X214" s="56" t="s">
        <v>887</v>
      </c>
      <c r="Y214" s="56">
        <v>162</v>
      </c>
      <c r="Z214" s="56" t="s">
        <v>1030</v>
      </c>
      <c r="AA214" s="56" t="s">
        <v>1031</v>
      </c>
      <c r="AB214" s="56" t="s">
        <v>1032</v>
      </c>
      <c r="AC214" s="56" t="s">
        <v>641</v>
      </c>
      <c r="AD214" s="56" t="s">
        <v>893</v>
      </c>
      <c r="AE214" s="56">
        <v>91</v>
      </c>
      <c r="AF214" s="56" t="s">
        <v>736</v>
      </c>
      <c r="AG214" s="56" t="s">
        <v>737</v>
      </c>
      <c r="AH214" s="56" t="s">
        <v>643</v>
      </c>
      <c r="AI214" s="56" t="s">
        <v>735</v>
      </c>
      <c r="AJ214" s="56">
        <v>162</v>
      </c>
      <c r="AK214" s="56" t="s">
        <v>1030</v>
      </c>
      <c r="AL214" s="56">
        <v>98</v>
      </c>
      <c r="AM214" s="56" t="s">
        <v>645</v>
      </c>
      <c r="AN214" s="56" t="s">
        <v>646</v>
      </c>
      <c r="AO214" s="56" t="s">
        <v>647</v>
      </c>
      <c r="AP214" s="56" t="s">
        <v>643</v>
      </c>
      <c r="AQ214" s="56" t="s">
        <v>648</v>
      </c>
      <c r="AR214" s="56">
        <v>162</v>
      </c>
      <c r="AS214" s="56" t="s">
        <v>1030</v>
      </c>
      <c r="AT214" s="56" t="s">
        <v>1031</v>
      </c>
      <c r="AU214" s="56" t="s">
        <v>641</v>
      </c>
      <c r="AV214" s="56" t="s">
        <v>893</v>
      </c>
      <c r="AW214" s="56">
        <v>167</v>
      </c>
      <c r="AX214" s="56" t="s">
        <v>1872</v>
      </c>
      <c r="AY214" s="56">
        <v>142</v>
      </c>
      <c r="AZ214" s="56" t="s">
        <v>1873</v>
      </c>
      <c r="BA214" s="56" t="s">
        <v>1874</v>
      </c>
      <c r="BB214" s="56" t="s">
        <v>1875</v>
      </c>
      <c r="BC214" s="56">
        <v>166</v>
      </c>
      <c r="BD214" s="56" t="s">
        <v>1876</v>
      </c>
      <c r="BE214" s="56" t="s">
        <v>1877</v>
      </c>
      <c r="BF214" s="56">
        <v>166</v>
      </c>
      <c r="BG214" s="56" t="s">
        <v>1876</v>
      </c>
      <c r="BH214" s="56" t="s">
        <v>1877</v>
      </c>
      <c r="BI214" s="56">
        <v>46.62</v>
      </c>
      <c r="BJ214" s="56">
        <v>181261.36</v>
      </c>
      <c r="BK214" s="56">
        <v>46.62</v>
      </c>
      <c r="BL214" s="56" t="s">
        <v>1691</v>
      </c>
      <c r="BM214" s="56">
        <v>3105</v>
      </c>
      <c r="BN214" s="56" t="s">
        <v>660</v>
      </c>
      <c r="BO214" s="56" t="s">
        <v>706</v>
      </c>
      <c r="BP214" s="56">
        <v>5967.36</v>
      </c>
      <c r="BQ214" s="56">
        <v>5178.38</v>
      </c>
      <c r="BR214" s="56">
        <v>0</v>
      </c>
      <c r="BS214" s="56">
        <v>0</v>
      </c>
      <c r="BT214" s="56">
        <v>4216.6099999999997</v>
      </c>
      <c r="BU214" s="56">
        <v>38110</v>
      </c>
      <c r="BV214" s="56">
        <v>162</v>
      </c>
      <c r="BW214" s="56" t="s">
        <v>1030</v>
      </c>
      <c r="BX214" s="56" t="s">
        <v>1878</v>
      </c>
      <c r="BY214" s="56" t="s">
        <v>663</v>
      </c>
      <c r="BZ214" s="56">
        <v>0.25</v>
      </c>
      <c r="CA214" s="56" t="s">
        <v>664</v>
      </c>
      <c r="CB214" s="56" t="s">
        <v>1664</v>
      </c>
      <c r="CC214" s="56" t="s">
        <v>1042</v>
      </c>
      <c r="CD214" s="56" t="s">
        <v>667</v>
      </c>
      <c r="CF214" s="56">
        <v>3373.29</v>
      </c>
      <c r="CG214" s="56">
        <v>80</v>
      </c>
      <c r="CH214" s="56">
        <v>128</v>
      </c>
      <c r="CI214" s="56">
        <v>92.01</v>
      </c>
      <c r="CJ214" s="56">
        <v>18.57</v>
      </c>
      <c r="CK214" s="56">
        <v>5178.38</v>
      </c>
      <c r="CL214" s="56">
        <v>4216.6099999999997</v>
      </c>
      <c r="CM214" s="56">
        <v>44.5</v>
      </c>
      <c r="CN214" s="56">
        <v>716.08</v>
      </c>
      <c r="CO214" s="56">
        <v>716.08</v>
      </c>
      <c r="CP214" s="56">
        <v>72.900000000000006</v>
      </c>
      <c r="CQ214" s="56" t="s">
        <v>668</v>
      </c>
      <c r="CR214" s="56">
        <v>0</v>
      </c>
      <c r="CS214" s="56">
        <v>72.900000000000006</v>
      </c>
      <c r="CT214" s="56" t="s">
        <v>669</v>
      </c>
      <c r="CU214" s="56">
        <v>0</v>
      </c>
      <c r="CV214" s="56">
        <v>0</v>
      </c>
      <c r="CX214" s="56">
        <v>941.36</v>
      </c>
      <c r="CY214" s="56">
        <v>0</v>
      </c>
      <c r="CZ214" s="56">
        <v>186.47</v>
      </c>
      <c r="DA214" s="56">
        <v>479</v>
      </c>
      <c r="DB214" s="56">
        <v>292.52999999999997</v>
      </c>
      <c r="DC214" s="56">
        <v>4991.91</v>
      </c>
      <c r="DD214" s="56">
        <v>-39.08</v>
      </c>
      <c r="DE214" s="56">
        <v>0</v>
      </c>
      <c r="DF214" s="56">
        <v>31.14</v>
      </c>
      <c r="DG214" s="56">
        <v>90.63</v>
      </c>
      <c r="DH214" s="56" t="s">
        <v>670</v>
      </c>
      <c r="DI214" s="56" t="s">
        <v>671</v>
      </c>
      <c r="DK214" s="56">
        <v>13.99</v>
      </c>
      <c r="DL214" s="56">
        <v>834.79</v>
      </c>
      <c r="DM214" s="56">
        <v>102</v>
      </c>
      <c r="DO214" s="56" t="s">
        <v>236</v>
      </c>
      <c r="DP214" s="56" t="s">
        <v>673</v>
      </c>
      <c r="DQ214" s="56" t="s">
        <v>674</v>
      </c>
      <c r="DR214" s="56">
        <v>2</v>
      </c>
      <c r="DS214" s="56" t="s">
        <v>1879</v>
      </c>
      <c r="DT214" s="56" t="s">
        <v>1880</v>
      </c>
      <c r="DU214" s="56">
        <v>36</v>
      </c>
      <c r="DV214" s="56" t="s">
        <v>677</v>
      </c>
      <c r="DW214" s="56">
        <v>280</v>
      </c>
      <c r="DX214" s="56" t="s">
        <v>678</v>
      </c>
      <c r="DY214" s="56" t="s">
        <v>679</v>
      </c>
      <c r="ED214" s="56">
        <v>2</v>
      </c>
      <c r="EE214" s="56" t="s">
        <v>639</v>
      </c>
      <c r="EF214" s="56">
        <v>2</v>
      </c>
      <c r="EG214" s="56" t="s">
        <v>639</v>
      </c>
      <c r="EH214" s="56">
        <v>2</v>
      </c>
      <c r="EI214" s="56" t="s">
        <v>639</v>
      </c>
      <c r="EJ214" s="56">
        <v>2</v>
      </c>
      <c r="EK214" s="56" t="s">
        <v>639</v>
      </c>
      <c r="EL214" s="56">
        <v>25</v>
      </c>
      <c r="EM214" s="56">
        <v>15</v>
      </c>
      <c r="EN214" s="56">
        <v>4779</v>
      </c>
      <c r="EO214" s="56">
        <v>1805</v>
      </c>
      <c r="EP214" s="56" t="s">
        <v>1234</v>
      </c>
      <c r="EQ214" s="56" t="s">
        <v>1693</v>
      </c>
      <c r="ER214" s="56" t="s">
        <v>902</v>
      </c>
      <c r="ES214" s="56">
        <v>2</v>
      </c>
      <c r="ET214" s="56" t="s">
        <v>682</v>
      </c>
      <c r="EU214" s="56" t="s">
        <v>683</v>
      </c>
      <c r="EV214" s="56" t="s">
        <v>683</v>
      </c>
      <c r="FD214" s="56" t="s">
        <v>1881</v>
      </c>
      <c r="FK214" s="56">
        <v>0</v>
      </c>
    </row>
    <row r="215" spans="1:167" x14ac:dyDescent="0.2">
      <c r="A215" s="56">
        <v>29157</v>
      </c>
      <c r="B215" s="56">
        <v>2</v>
      </c>
      <c r="C215" s="56">
        <v>6352</v>
      </c>
      <c r="D215" s="56" t="s">
        <v>634</v>
      </c>
      <c r="E215" s="56" t="s">
        <v>635</v>
      </c>
      <c r="K215" s="56" t="s">
        <v>1882</v>
      </c>
      <c r="L215" s="56" t="s">
        <v>637</v>
      </c>
      <c r="M215" s="56">
        <v>44951</v>
      </c>
      <c r="N215" s="56">
        <v>44953</v>
      </c>
      <c r="O215" s="56">
        <v>38</v>
      </c>
      <c r="P215" s="56" t="s">
        <v>638</v>
      </c>
      <c r="Q215" s="56">
        <v>2</v>
      </c>
      <c r="R215" s="56" t="s">
        <v>639</v>
      </c>
      <c r="S215" s="56" t="s">
        <v>640</v>
      </c>
      <c r="T215" s="56" t="s">
        <v>641</v>
      </c>
      <c r="U215" s="56" t="s">
        <v>1227</v>
      </c>
      <c r="V215" s="56" t="s">
        <v>643</v>
      </c>
      <c r="W215" s="56">
        <v>49</v>
      </c>
      <c r="X215" s="56" t="s">
        <v>887</v>
      </c>
      <c r="Y215" s="56">
        <v>505</v>
      </c>
      <c r="Z215" s="56" t="s">
        <v>1755</v>
      </c>
      <c r="AB215" s="56" t="s">
        <v>1756</v>
      </c>
      <c r="AC215" s="56" t="s">
        <v>1757</v>
      </c>
      <c r="AD215" s="56" t="s">
        <v>1758</v>
      </c>
      <c r="AE215" s="56">
        <v>52</v>
      </c>
      <c r="AF215" s="56" t="s">
        <v>1228</v>
      </c>
      <c r="AG215" s="56" t="s">
        <v>1229</v>
      </c>
      <c r="AH215" s="56" t="s">
        <v>643</v>
      </c>
      <c r="AI215" s="56" t="s">
        <v>1227</v>
      </c>
      <c r="AJ215" s="56">
        <v>431</v>
      </c>
      <c r="AK215" s="56" t="s">
        <v>1759</v>
      </c>
      <c r="AL215" s="56">
        <v>52</v>
      </c>
      <c r="AM215" s="56" t="s">
        <v>1228</v>
      </c>
      <c r="AN215" s="56" t="s">
        <v>1229</v>
      </c>
      <c r="AO215" s="56" t="s">
        <v>1230</v>
      </c>
      <c r="AP215" s="56" t="s">
        <v>643</v>
      </c>
      <c r="AQ215" s="56" t="s">
        <v>1227</v>
      </c>
      <c r="AR215" s="56">
        <v>52</v>
      </c>
      <c r="AS215" s="56" t="s">
        <v>1228</v>
      </c>
      <c r="AT215" s="56" t="s">
        <v>1229</v>
      </c>
      <c r="AU215" s="56" t="s">
        <v>643</v>
      </c>
      <c r="AV215" s="56" t="s">
        <v>1227</v>
      </c>
      <c r="AW215" s="56">
        <v>114</v>
      </c>
      <c r="AX215" s="56" t="s">
        <v>1396</v>
      </c>
      <c r="AY215" s="56">
        <v>27</v>
      </c>
      <c r="AZ215" s="56" t="s">
        <v>33</v>
      </c>
      <c r="BA215" s="56" t="s">
        <v>1397</v>
      </c>
      <c r="BB215" s="56" t="s">
        <v>770</v>
      </c>
      <c r="BC215" s="56">
        <v>38</v>
      </c>
      <c r="BD215" s="56" t="s">
        <v>289</v>
      </c>
      <c r="BE215" s="56" t="s">
        <v>771</v>
      </c>
      <c r="BF215" s="56">
        <v>2</v>
      </c>
      <c r="BG215" s="56" t="s">
        <v>289</v>
      </c>
      <c r="BH215" s="56" t="s">
        <v>772</v>
      </c>
      <c r="BI215" s="56">
        <v>49.56</v>
      </c>
      <c r="BJ215" s="56">
        <v>132869.85999999999</v>
      </c>
      <c r="BK215" s="56">
        <v>49.56</v>
      </c>
      <c r="BL215" s="56" t="s">
        <v>1760</v>
      </c>
      <c r="BM215" s="56">
        <v>3102</v>
      </c>
      <c r="BN215" s="56" t="s">
        <v>786</v>
      </c>
      <c r="BO215" s="56" t="s">
        <v>883</v>
      </c>
      <c r="BP215" s="56">
        <v>8177.4</v>
      </c>
      <c r="BQ215" s="56">
        <v>7098.91</v>
      </c>
      <c r="BR215" s="56">
        <v>0</v>
      </c>
      <c r="BS215" s="56">
        <v>0</v>
      </c>
      <c r="BT215" s="56">
        <v>0</v>
      </c>
      <c r="BU215" s="56">
        <v>4193</v>
      </c>
      <c r="BV215" s="56">
        <v>52</v>
      </c>
      <c r="BW215" s="56" t="s">
        <v>1228</v>
      </c>
      <c r="BX215" s="56" t="s">
        <v>1883</v>
      </c>
      <c r="BY215" s="56" t="s">
        <v>663</v>
      </c>
      <c r="BZ215" s="56">
        <v>0.5</v>
      </c>
      <c r="CA215" s="56" t="s">
        <v>1587</v>
      </c>
      <c r="CB215" s="56" t="s">
        <v>1762</v>
      </c>
      <c r="CD215" s="56" t="s">
        <v>667</v>
      </c>
      <c r="CG215" s="56">
        <v>0</v>
      </c>
      <c r="CH215" s="56">
        <v>165</v>
      </c>
      <c r="CJ215" s="56">
        <v>100</v>
      </c>
      <c r="CK215" s="56">
        <v>7098.91</v>
      </c>
      <c r="CL215" s="56">
        <v>0</v>
      </c>
      <c r="CN215" s="56">
        <v>981.29</v>
      </c>
      <c r="CO215" s="56">
        <v>981.29</v>
      </c>
      <c r="CP215" s="56">
        <v>97.2</v>
      </c>
      <c r="CQ215" s="56" t="s">
        <v>668</v>
      </c>
      <c r="CR215" s="56">
        <v>0</v>
      </c>
      <c r="CS215" s="56">
        <v>0</v>
      </c>
      <c r="CV215" s="56">
        <v>0</v>
      </c>
      <c r="CX215" s="56">
        <v>0</v>
      </c>
      <c r="CY215" s="56">
        <v>0</v>
      </c>
      <c r="CZ215" s="56">
        <v>656.65</v>
      </c>
      <c r="DA215" s="56">
        <v>656.65</v>
      </c>
      <c r="DB215" s="56">
        <v>0</v>
      </c>
      <c r="DC215" s="56">
        <v>6442.26</v>
      </c>
      <c r="DD215" s="56">
        <v>22.83</v>
      </c>
      <c r="DE215" s="56">
        <v>0</v>
      </c>
      <c r="DF215" s="56">
        <v>22.83</v>
      </c>
      <c r="DH215" s="56" t="s">
        <v>670</v>
      </c>
      <c r="DI215" s="56" t="s">
        <v>671</v>
      </c>
      <c r="DK215" s="56">
        <v>79.69</v>
      </c>
      <c r="DL215" s="56">
        <v>6516.63</v>
      </c>
      <c r="DM215" s="56">
        <v>98</v>
      </c>
      <c r="DN215" s="56">
        <v>4501411725</v>
      </c>
      <c r="DO215" s="56" t="s">
        <v>236</v>
      </c>
      <c r="DQ215" s="56" t="s">
        <v>674</v>
      </c>
      <c r="DR215" s="56">
        <v>3</v>
      </c>
      <c r="DW215" s="56">
        <v>380</v>
      </c>
      <c r="DX215" s="56" t="s">
        <v>678</v>
      </c>
      <c r="DY215" s="56" t="s">
        <v>679</v>
      </c>
      <c r="EL215" s="56">
        <v>25</v>
      </c>
      <c r="EM215" s="56">
        <v>15</v>
      </c>
      <c r="EN215" s="56">
        <v>5173</v>
      </c>
      <c r="EO215" s="56">
        <v>2420</v>
      </c>
      <c r="EP215" s="56" t="s">
        <v>1234</v>
      </c>
      <c r="EQ215" s="56" t="s">
        <v>1763</v>
      </c>
      <c r="ER215" s="56" t="s">
        <v>1764</v>
      </c>
      <c r="ES215" s="56">
        <v>2</v>
      </c>
      <c r="ET215" s="56" t="s">
        <v>682</v>
      </c>
      <c r="EU215" s="56" t="s">
        <v>683</v>
      </c>
      <c r="EV215" s="56" t="s">
        <v>683</v>
      </c>
      <c r="FD215" s="56" t="s">
        <v>1884</v>
      </c>
      <c r="FK215" s="56">
        <v>0</v>
      </c>
    </row>
    <row r="216" spans="1:167" x14ac:dyDescent="0.2">
      <c r="A216" s="56">
        <v>29158</v>
      </c>
      <c r="B216" s="56">
        <v>2</v>
      </c>
      <c r="C216" s="56">
        <v>6352</v>
      </c>
      <c r="D216" s="56" t="s">
        <v>634</v>
      </c>
      <c r="E216" s="56" t="s">
        <v>635</v>
      </c>
      <c r="K216" s="56" t="s">
        <v>1885</v>
      </c>
      <c r="L216" s="56" t="s">
        <v>637</v>
      </c>
      <c r="M216" s="56">
        <v>44951</v>
      </c>
      <c r="N216" s="56">
        <v>44953</v>
      </c>
      <c r="O216" s="56">
        <v>38</v>
      </c>
      <c r="P216" s="56" t="s">
        <v>638</v>
      </c>
      <c r="Q216" s="56">
        <v>2</v>
      </c>
      <c r="R216" s="56" t="s">
        <v>639</v>
      </c>
      <c r="S216" s="56" t="s">
        <v>640</v>
      </c>
      <c r="T216" s="56" t="s">
        <v>641</v>
      </c>
      <c r="U216" s="56" t="s">
        <v>1582</v>
      </c>
      <c r="V216" s="56" t="s">
        <v>643</v>
      </c>
      <c r="W216" s="56">
        <v>49</v>
      </c>
      <c r="X216" s="56" t="s">
        <v>887</v>
      </c>
      <c r="Y216" s="56">
        <v>756</v>
      </c>
      <c r="Z216" s="56" t="s">
        <v>1779</v>
      </c>
      <c r="AB216" s="56" t="s">
        <v>1780</v>
      </c>
      <c r="AC216" s="56" t="s">
        <v>1757</v>
      </c>
      <c r="AD216" s="56" t="s">
        <v>1758</v>
      </c>
      <c r="AE216" s="56">
        <v>51</v>
      </c>
      <c r="AF216" s="56" t="s">
        <v>1228</v>
      </c>
      <c r="AG216" s="56" t="s">
        <v>1583</v>
      </c>
      <c r="AH216" s="56" t="s">
        <v>643</v>
      </c>
      <c r="AI216" s="56" t="s">
        <v>1582</v>
      </c>
      <c r="AJ216" s="56">
        <v>139</v>
      </c>
      <c r="AK216" s="56" t="s">
        <v>651</v>
      </c>
      <c r="AL216" s="56">
        <v>51</v>
      </c>
      <c r="AM216" s="56" t="s">
        <v>1228</v>
      </c>
      <c r="AN216" s="56" t="s">
        <v>1583</v>
      </c>
      <c r="AO216" s="56" t="s">
        <v>1584</v>
      </c>
      <c r="AP216" s="56" t="s">
        <v>643</v>
      </c>
      <c r="AQ216" s="56" t="s">
        <v>1582</v>
      </c>
      <c r="AR216" s="56">
        <v>51</v>
      </c>
      <c r="AS216" s="56" t="s">
        <v>1228</v>
      </c>
      <c r="AT216" s="56" t="s">
        <v>1583</v>
      </c>
      <c r="AU216" s="56" t="s">
        <v>643</v>
      </c>
      <c r="AV216" s="56" t="s">
        <v>1582</v>
      </c>
      <c r="AW216" s="56">
        <v>110</v>
      </c>
      <c r="AX216" s="56" t="s">
        <v>864</v>
      </c>
      <c r="AY216" s="56">
        <v>68</v>
      </c>
      <c r="AZ216" s="56" t="s">
        <v>25</v>
      </c>
      <c r="BA216" s="56" t="s">
        <v>865</v>
      </c>
      <c r="BB216" s="56" t="s">
        <v>844</v>
      </c>
      <c r="BC216" s="56">
        <v>2</v>
      </c>
      <c r="BD216" s="56" t="s">
        <v>289</v>
      </c>
      <c r="BE216" s="56" t="s">
        <v>772</v>
      </c>
      <c r="BF216" s="56">
        <v>2</v>
      </c>
      <c r="BG216" s="56" t="s">
        <v>289</v>
      </c>
      <c r="BH216" s="56" t="s">
        <v>772</v>
      </c>
      <c r="BI216" s="56">
        <v>23.25</v>
      </c>
      <c r="BJ216" s="56">
        <v>55903.7</v>
      </c>
      <c r="BK216" s="56">
        <v>23.25</v>
      </c>
      <c r="BL216" s="56" t="s">
        <v>897</v>
      </c>
      <c r="BM216" s="56">
        <v>3102</v>
      </c>
      <c r="BN216" s="56" t="s">
        <v>660</v>
      </c>
      <c r="BO216" s="56" t="s">
        <v>866</v>
      </c>
      <c r="BP216" s="56">
        <v>5696.25</v>
      </c>
      <c r="BQ216" s="56">
        <v>5012.7</v>
      </c>
      <c r="BR216" s="56">
        <v>0</v>
      </c>
      <c r="BS216" s="56">
        <v>0</v>
      </c>
      <c r="BT216" s="56">
        <v>0</v>
      </c>
      <c r="BU216" s="56">
        <v>1226</v>
      </c>
      <c r="BV216" s="56">
        <v>51</v>
      </c>
      <c r="BW216" s="56" t="s">
        <v>1228</v>
      </c>
      <c r="BX216" s="56" t="s">
        <v>1886</v>
      </c>
      <c r="BY216" s="56" t="s">
        <v>663</v>
      </c>
      <c r="BZ216" s="56">
        <v>0.5</v>
      </c>
      <c r="CA216" s="56" t="s">
        <v>1587</v>
      </c>
      <c r="CB216" s="56" t="s">
        <v>1782</v>
      </c>
      <c r="CD216" s="56" t="s">
        <v>667</v>
      </c>
      <c r="CG216" s="56">
        <v>0</v>
      </c>
      <c r="CH216" s="56">
        <v>245</v>
      </c>
      <c r="CJ216" s="56">
        <v>100</v>
      </c>
      <c r="CK216" s="56">
        <v>5012.7</v>
      </c>
      <c r="CL216" s="56">
        <v>0</v>
      </c>
      <c r="CN216" s="56">
        <v>683.55</v>
      </c>
      <c r="CO216" s="56">
        <v>683.55</v>
      </c>
      <c r="CP216" s="56">
        <v>0</v>
      </c>
      <c r="CQ216" s="56" t="s">
        <v>708</v>
      </c>
      <c r="CR216" s="56">
        <v>0</v>
      </c>
      <c r="CS216" s="56">
        <v>0</v>
      </c>
      <c r="CV216" s="56">
        <v>0</v>
      </c>
      <c r="CX216" s="56">
        <v>0</v>
      </c>
      <c r="CY216" s="56">
        <v>0</v>
      </c>
      <c r="CZ216" s="56">
        <v>463.68</v>
      </c>
      <c r="DA216" s="56">
        <v>463.68</v>
      </c>
      <c r="DB216" s="56">
        <v>0</v>
      </c>
      <c r="DC216" s="56">
        <v>4549.0200000000004</v>
      </c>
      <c r="DD216" s="56">
        <v>9.6</v>
      </c>
      <c r="DE216" s="56">
        <v>0</v>
      </c>
      <c r="DF216" s="56">
        <v>9.6</v>
      </c>
      <c r="DH216" s="56" t="s">
        <v>670</v>
      </c>
      <c r="DI216" s="56" t="s">
        <v>671</v>
      </c>
      <c r="DK216" s="56">
        <v>79.69</v>
      </c>
      <c r="DL216" s="56">
        <v>4539.42</v>
      </c>
      <c r="DM216" s="56">
        <v>100</v>
      </c>
      <c r="DN216" s="56">
        <v>4501411978</v>
      </c>
      <c r="DO216" s="56" t="s">
        <v>236</v>
      </c>
      <c r="DQ216" s="56" t="s">
        <v>674</v>
      </c>
      <c r="DR216" s="56">
        <v>3</v>
      </c>
      <c r="DW216" s="56">
        <v>590</v>
      </c>
      <c r="DX216" s="56" t="s">
        <v>678</v>
      </c>
      <c r="DY216" s="56" t="s">
        <v>679</v>
      </c>
      <c r="EL216" s="56">
        <v>25</v>
      </c>
      <c r="EM216" s="56">
        <v>15</v>
      </c>
      <c r="EN216" s="56">
        <v>5173</v>
      </c>
      <c r="EO216" s="56">
        <v>1950</v>
      </c>
      <c r="EP216" s="56" t="s">
        <v>1234</v>
      </c>
      <c r="EQ216" s="56" t="s">
        <v>1803</v>
      </c>
      <c r="ER216" s="56" t="s">
        <v>1804</v>
      </c>
      <c r="ES216" s="56">
        <v>2</v>
      </c>
      <c r="ET216" s="56" t="s">
        <v>682</v>
      </c>
      <c r="EU216" s="56" t="s">
        <v>683</v>
      </c>
      <c r="EV216" s="56" t="s">
        <v>683</v>
      </c>
      <c r="FD216" s="56" t="s">
        <v>1887</v>
      </c>
      <c r="FK216" s="56">
        <v>0</v>
      </c>
    </row>
    <row r="217" spans="1:167" x14ac:dyDescent="0.2">
      <c r="A217" s="56">
        <v>29159</v>
      </c>
      <c r="B217" s="56">
        <v>2</v>
      </c>
      <c r="C217" s="56">
        <v>6352</v>
      </c>
      <c r="D217" s="56" t="s">
        <v>634</v>
      </c>
      <c r="E217" s="56" t="s">
        <v>635</v>
      </c>
      <c r="K217" s="56" t="s">
        <v>1888</v>
      </c>
      <c r="L217" s="56" t="s">
        <v>637</v>
      </c>
      <c r="M217" s="56">
        <v>44951</v>
      </c>
      <c r="N217" s="56">
        <v>44953</v>
      </c>
      <c r="O217" s="56">
        <v>38</v>
      </c>
      <c r="P217" s="56" t="s">
        <v>638</v>
      </c>
      <c r="Q217" s="56">
        <v>2</v>
      </c>
      <c r="R217" s="56" t="s">
        <v>639</v>
      </c>
      <c r="S217" s="56" t="s">
        <v>640</v>
      </c>
      <c r="T217" s="56" t="s">
        <v>641</v>
      </c>
      <c r="U217" s="56" t="s">
        <v>1582</v>
      </c>
      <c r="V217" s="56" t="s">
        <v>643</v>
      </c>
      <c r="W217" s="56">
        <v>49</v>
      </c>
      <c r="X217" s="56" t="s">
        <v>887</v>
      </c>
      <c r="Y217" s="56">
        <v>756</v>
      </c>
      <c r="Z217" s="56" t="s">
        <v>1779</v>
      </c>
      <c r="AB217" s="56" t="s">
        <v>1780</v>
      </c>
      <c r="AC217" s="56" t="s">
        <v>1757</v>
      </c>
      <c r="AD217" s="56" t="s">
        <v>1758</v>
      </c>
      <c r="AE217" s="56">
        <v>51</v>
      </c>
      <c r="AF217" s="56" t="s">
        <v>1228</v>
      </c>
      <c r="AG217" s="56" t="s">
        <v>1583</v>
      </c>
      <c r="AH217" s="56" t="s">
        <v>643</v>
      </c>
      <c r="AI217" s="56" t="s">
        <v>1582</v>
      </c>
      <c r="AJ217" s="56">
        <v>139</v>
      </c>
      <c r="AK217" s="56" t="s">
        <v>651</v>
      </c>
      <c r="AL217" s="56">
        <v>51</v>
      </c>
      <c r="AM217" s="56" t="s">
        <v>1228</v>
      </c>
      <c r="AN217" s="56" t="s">
        <v>1583</v>
      </c>
      <c r="AO217" s="56" t="s">
        <v>1584</v>
      </c>
      <c r="AP217" s="56" t="s">
        <v>643</v>
      </c>
      <c r="AQ217" s="56" t="s">
        <v>1582</v>
      </c>
      <c r="AR217" s="56">
        <v>51</v>
      </c>
      <c r="AS217" s="56" t="s">
        <v>1228</v>
      </c>
      <c r="AT217" s="56" t="s">
        <v>1583</v>
      </c>
      <c r="AU217" s="56" t="s">
        <v>643</v>
      </c>
      <c r="AV217" s="56" t="s">
        <v>1582</v>
      </c>
      <c r="AW217" s="56">
        <v>110</v>
      </c>
      <c r="AX217" s="56" t="s">
        <v>864</v>
      </c>
      <c r="AY217" s="56">
        <v>68</v>
      </c>
      <c r="AZ217" s="56" t="s">
        <v>25</v>
      </c>
      <c r="BA217" s="56" t="s">
        <v>865</v>
      </c>
      <c r="BB217" s="56" t="s">
        <v>844</v>
      </c>
      <c r="BC217" s="56">
        <v>2</v>
      </c>
      <c r="BD217" s="56" t="s">
        <v>289</v>
      </c>
      <c r="BE217" s="56" t="s">
        <v>772</v>
      </c>
      <c r="BF217" s="56">
        <v>2</v>
      </c>
      <c r="BG217" s="56" t="s">
        <v>289</v>
      </c>
      <c r="BH217" s="56" t="s">
        <v>772</v>
      </c>
      <c r="BI217" s="56">
        <v>23.3</v>
      </c>
      <c r="BJ217" s="56">
        <v>56023.92</v>
      </c>
      <c r="BK217" s="56">
        <v>23.3</v>
      </c>
      <c r="BL217" s="56" t="s">
        <v>897</v>
      </c>
      <c r="BM217" s="56">
        <v>3102</v>
      </c>
      <c r="BN217" s="56" t="s">
        <v>660</v>
      </c>
      <c r="BO217" s="56" t="s">
        <v>866</v>
      </c>
      <c r="BP217" s="56">
        <v>5708.5</v>
      </c>
      <c r="BQ217" s="56">
        <v>4901.9799999999996</v>
      </c>
      <c r="BR217" s="56">
        <v>0</v>
      </c>
      <c r="BS217" s="56">
        <v>0</v>
      </c>
      <c r="BT217" s="56">
        <v>0</v>
      </c>
      <c r="BU217" s="56">
        <v>1225</v>
      </c>
      <c r="BV217" s="56">
        <v>51</v>
      </c>
      <c r="BW217" s="56" t="s">
        <v>1228</v>
      </c>
      <c r="BX217" s="56" t="s">
        <v>1889</v>
      </c>
      <c r="BY217" s="56" t="s">
        <v>663</v>
      </c>
      <c r="BZ217" s="56">
        <v>0.5</v>
      </c>
      <c r="CA217" s="56" t="s">
        <v>1587</v>
      </c>
      <c r="CB217" s="56" t="s">
        <v>1782</v>
      </c>
      <c r="CD217" s="56" t="s">
        <v>667</v>
      </c>
      <c r="CG217" s="56">
        <v>0</v>
      </c>
      <c r="CH217" s="56">
        <v>245</v>
      </c>
      <c r="CJ217" s="56">
        <v>100</v>
      </c>
      <c r="CK217" s="56">
        <v>4901.9799999999996</v>
      </c>
      <c r="CL217" s="56">
        <v>0</v>
      </c>
      <c r="CN217" s="56">
        <v>685.02</v>
      </c>
      <c r="CO217" s="56">
        <v>685.02</v>
      </c>
      <c r="CP217" s="56">
        <v>121.5</v>
      </c>
      <c r="CQ217" s="56" t="s">
        <v>668</v>
      </c>
      <c r="CR217" s="56">
        <v>0</v>
      </c>
      <c r="CS217" s="56">
        <v>0</v>
      </c>
      <c r="CV217" s="56">
        <v>0</v>
      </c>
      <c r="CX217" s="56">
        <v>0</v>
      </c>
      <c r="CY217" s="56">
        <v>0</v>
      </c>
      <c r="CZ217" s="56">
        <v>453.43</v>
      </c>
      <c r="DA217" s="56">
        <v>453.43</v>
      </c>
      <c r="DB217" s="56">
        <v>0</v>
      </c>
      <c r="DC217" s="56">
        <v>4448.55</v>
      </c>
      <c r="DD217" s="56">
        <v>9.6300000000000008</v>
      </c>
      <c r="DE217" s="56">
        <v>0</v>
      </c>
      <c r="DF217" s="56">
        <v>9.6300000000000008</v>
      </c>
      <c r="DH217" s="56" t="s">
        <v>670</v>
      </c>
      <c r="DI217" s="56" t="s">
        <v>671</v>
      </c>
      <c r="DK217" s="56">
        <v>79.89</v>
      </c>
      <c r="DL217" s="56">
        <v>4560.42</v>
      </c>
      <c r="DM217" s="56">
        <v>100</v>
      </c>
      <c r="DN217" s="56">
        <v>4501411978</v>
      </c>
      <c r="DO217" s="56" t="s">
        <v>236</v>
      </c>
      <c r="DQ217" s="56" t="s">
        <v>674</v>
      </c>
      <c r="DR217" s="56">
        <v>3</v>
      </c>
      <c r="DW217" s="56">
        <v>590</v>
      </c>
      <c r="DX217" s="56" t="s">
        <v>678</v>
      </c>
      <c r="DY217" s="56" t="s">
        <v>679</v>
      </c>
      <c r="EL217" s="56">
        <v>25</v>
      </c>
      <c r="EM217" s="56">
        <v>15</v>
      </c>
      <c r="EN217" s="56">
        <v>5173</v>
      </c>
      <c r="EO217" s="56">
        <v>1950</v>
      </c>
      <c r="EP217" s="56" t="s">
        <v>1234</v>
      </c>
      <c r="EQ217" s="56" t="s">
        <v>1803</v>
      </c>
      <c r="ER217" s="56" t="s">
        <v>1804</v>
      </c>
      <c r="ES217" s="56">
        <v>2</v>
      </c>
      <c r="ET217" s="56" t="s">
        <v>682</v>
      </c>
      <c r="EU217" s="56" t="s">
        <v>683</v>
      </c>
      <c r="EV217" s="56" t="s">
        <v>683</v>
      </c>
      <c r="FD217" s="56" t="s">
        <v>1890</v>
      </c>
      <c r="FK217" s="56">
        <v>0</v>
      </c>
    </row>
    <row r="218" spans="1:167" x14ac:dyDescent="0.2">
      <c r="A218" s="56">
        <v>29160</v>
      </c>
      <c r="B218" s="56">
        <v>2</v>
      </c>
      <c r="C218" s="56">
        <v>6352</v>
      </c>
      <c r="D218" s="56" t="s">
        <v>634</v>
      </c>
      <c r="E218" s="56" t="s">
        <v>635</v>
      </c>
      <c r="K218" s="56" t="s">
        <v>1891</v>
      </c>
      <c r="L218" s="56" t="s">
        <v>637</v>
      </c>
      <c r="M218" s="56">
        <v>44951</v>
      </c>
      <c r="N218" s="56">
        <v>44953</v>
      </c>
      <c r="O218" s="56">
        <v>38</v>
      </c>
      <c r="P218" s="56" t="s">
        <v>638</v>
      </c>
      <c r="Q218" s="56">
        <v>2</v>
      </c>
      <c r="R218" s="56" t="s">
        <v>639</v>
      </c>
      <c r="S218" s="56" t="s">
        <v>640</v>
      </c>
      <c r="T218" s="56" t="s">
        <v>641</v>
      </c>
      <c r="U218" s="56" t="s">
        <v>1227</v>
      </c>
      <c r="V218" s="56" t="s">
        <v>643</v>
      </c>
      <c r="W218" s="56">
        <v>49</v>
      </c>
      <c r="X218" s="56" t="s">
        <v>887</v>
      </c>
      <c r="Y218" s="56">
        <v>505</v>
      </c>
      <c r="Z218" s="56" t="s">
        <v>1755</v>
      </c>
      <c r="AB218" s="56" t="s">
        <v>1756</v>
      </c>
      <c r="AC218" s="56" t="s">
        <v>1757</v>
      </c>
      <c r="AD218" s="56" t="s">
        <v>1758</v>
      </c>
      <c r="AE218" s="56">
        <v>52</v>
      </c>
      <c r="AF218" s="56" t="s">
        <v>1228</v>
      </c>
      <c r="AG218" s="56" t="s">
        <v>1229</v>
      </c>
      <c r="AH218" s="56" t="s">
        <v>643</v>
      </c>
      <c r="AI218" s="56" t="s">
        <v>1227</v>
      </c>
      <c r="AJ218" s="56">
        <v>431</v>
      </c>
      <c r="AK218" s="56" t="s">
        <v>1759</v>
      </c>
      <c r="AL218" s="56">
        <v>52</v>
      </c>
      <c r="AM218" s="56" t="s">
        <v>1228</v>
      </c>
      <c r="AN218" s="56" t="s">
        <v>1229</v>
      </c>
      <c r="AO218" s="56" t="s">
        <v>1230</v>
      </c>
      <c r="AP218" s="56" t="s">
        <v>643</v>
      </c>
      <c r="AQ218" s="56" t="s">
        <v>1227</v>
      </c>
      <c r="AR218" s="56">
        <v>52</v>
      </c>
      <c r="AS218" s="56" t="s">
        <v>1228</v>
      </c>
      <c r="AT218" s="56" t="s">
        <v>1229</v>
      </c>
      <c r="AU218" s="56" t="s">
        <v>643</v>
      </c>
      <c r="AV218" s="56" t="s">
        <v>1227</v>
      </c>
      <c r="AW218" s="56">
        <v>118</v>
      </c>
      <c r="AX218" s="56" t="s">
        <v>870</v>
      </c>
      <c r="AY218" s="56">
        <v>59</v>
      </c>
      <c r="AZ218" s="56" t="s">
        <v>127</v>
      </c>
      <c r="BA218" s="56" t="s">
        <v>871</v>
      </c>
      <c r="BB218" s="56" t="s">
        <v>844</v>
      </c>
      <c r="BC218" s="56">
        <v>2</v>
      </c>
      <c r="BD218" s="56" t="s">
        <v>289</v>
      </c>
      <c r="BE218" s="56" t="s">
        <v>772</v>
      </c>
      <c r="BF218" s="56">
        <v>2</v>
      </c>
      <c r="BG218" s="56" t="s">
        <v>289</v>
      </c>
      <c r="BH218" s="56" t="s">
        <v>772</v>
      </c>
      <c r="BI218" s="56">
        <v>36.18</v>
      </c>
      <c r="BJ218" s="56">
        <v>96998.22</v>
      </c>
      <c r="BK218" s="56">
        <v>36.18</v>
      </c>
      <c r="BL218" s="56" t="s">
        <v>1760</v>
      </c>
      <c r="BM218" s="56">
        <v>3102</v>
      </c>
      <c r="BN218" s="56" t="s">
        <v>660</v>
      </c>
      <c r="BO218" s="56" t="s">
        <v>872</v>
      </c>
      <c r="BP218" s="56">
        <v>5969.7</v>
      </c>
      <c r="BQ218" s="56">
        <v>5177.74</v>
      </c>
      <c r="BR218" s="56">
        <v>0</v>
      </c>
      <c r="BS218" s="56">
        <v>0</v>
      </c>
      <c r="BT218" s="56">
        <v>0</v>
      </c>
      <c r="BU218" s="56">
        <v>4194</v>
      </c>
      <c r="BV218" s="56">
        <v>52</v>
      </c>
      <c r="BW218" s="56" t="s">
        <v>1228</v>
      </c>
      <c r="BX218" s="56" t="s">
        <v>1892</v>
      </c>
      <c r="BY218" s="56" t="s">
        <v>663</v>
      </c>
      <c r="BZ218" s="56">
        <v>0.5</v>
      </c>
      <c r="CA218" s="56" t="s">
        <v>1587</v>
      </c>
      <c r="CB218" s="56" t="s">
        <v>1762</v>
      </c>
      <c r="CD218" s="56" t="s">
        <v>667</v>
      </c>
      <c r="CG218" s="56">
        <v>0</v>
      </c>
      <c r="CH218" s="56">
        <v>165</v>
      </c>
      <c r="CJ218" s="56">
        <v>100</v>
      </c>
      <c r="CK218" s="56">
        <v>5177.74</v>
      </c>
      <c r="CL218" s="56">
        <v>0</v>
      </c>
      <c r="CN218" s="56">
        <v>716.36</v>
      </c>
      <c r="CO218" s="56">
        <v>716.36</v>
      </c>
      <c r="CP218" s="56">
        <v>75.599999999999994</v>
      </c>
      <c r="CQ218" s="56" t="s">
        <v>668</v>
      </c>
      <c r="CR218" s="56">
        <v>0</v>
      </c>
      <c r="CS218" s="56">
        <v>0</v>
      </c>
      <c r="CV218" s="56">
        <v>0</v>
      </c>
      <c r="CX218" s="56">
        <v>0</v>
      </c>
      <c r="CY218" s="56">
        <v>0</v>
      </c>
      <c r="CZ218" s="56">
        <v>478.94</v>
      </c>
      <c r="DA218" s="56">
        <v>478.94</v>
      </c>
      <c r="DB218" s="56">
        <v>0</v>
      </c>
      <c r="DC218" s="56">
        <v>4698.8</v>
      </c>
      <c r="DD218" s="56">
        <v>16.670000000000002</v>
      </c>
      <c r="DE218" s="56">
        <v>0</v>
      </c>
      <c r="DF218" s="56">
        <v>16.670000000000002</v>
      </c>
      <c r="DH218" s="56" t="s">
        <v>670</v>
      </c>
      <c r="DI218" s="56" t="s">
        <v>671</v>
      </c>
      <c r="DK218" s="56">
        <v>79.7</v>
      </c>
      <c r="DL218" s="56">
        <v>4757.7299999999996</v>
      </c>
      <c r="DM218" s="56">
        <v>98</v>
      </c>
      <c r="DN218" s="56">
        <v>4501411725</v>
      </c>
      <c r="DO218" s="56" t="s">
        <v>236</v>
      </c>
      <c r="DQ218" s="56" t="s">
        <v>674</v>
      </c>
      <c r="DR218" s="56">
        <v>3</v>
      </c>
      <c r="DW218" s="56">
        <v>380</v>
      </c>
      <c r="DX218" s="56" t="s">
        <v>678</v>
      </c>
      <c r="DY218" s="56" t="s">
        <v>679</v>
      </c>
      <c r="EL218" s="56">
        <v>25</v>
      </c>
      <c r="EM218" s="56">
        <v>15</v>
      </c>
      <c r="EN218" s="56">
        <v>5173</v>
      </c>
      <c r="EO218" s="56">
        <v>2420</v>
      </c>
      <c r="EP218" s="56" t="s">
        <v>1234</v>
      </c>
      <c r="EQ218" s="56" t="s">
        <v>1763</v>
      </c>
      <c r="ER218" s="56" t="s">
        <v>1764</v>
      </c>
      <c r="ES218" s="56">
        <v>2</v>
      </c>
      <c r="ET218" s="56" t="s">
        <v>682</v>
      </c>
      <c r="EU218" s="56" t="s">
        <v>683</v>
      </c>
      <c r="EV218" s="56" t="s">
        <v>683</v>
      </c>
      <c r="FD218" s="56" t="s">
        <v>1893</v>
      </c>
      <c r="FK218" s="56">
        <v>0</v>
      </c>
    </row>
    <row r="219" spans="1:167" x14ac:dyDescent="0.2">
      <c r="A219" s="56">
        <v>29161</v>
      </c>
      <c r="B219" s="56">
        <v>2</v>
      </c>
      <c r="C219" s="56">
        <v>6352</v>
      </c>
      <c r="D219" s="56" t="s">
        <v>634</v>
      </c>
      <c r="E219" s="56" t="s">
        <v>635</v>
      </c>
      <c r="K219" s="56" t="s">
        <v>1894</v>
      </c>
      <c r="L219" s="56" t="s">
        <v>637</v>
      </c>
      <c r="M219" s="56">
        <v>44951</v>
      </c>
      <c r="N219" s="56">
        <v>44953</v>
      </c>
      <c r="O219" s="56">
        <v>38</v>
      </c>
      <c r="P219" s="56" t="s">
        <v>638</v>
      </c>
      <c r="Q219" s="56">
        <v>2</v>
      </c>
      <c r="R219" s="56" t="s">
        <v>639</v>
      </c>
      <c r="S219" s="56" t="s">
        <v>640</v>
      </c>
      <c r="T219" s="56" t="s">
        <v>641</v>
      </c>
      <c r="U219" s="56" t="s">
        <v>1227</v>
      </c>
      <c r="V219" s="56" t="s">
        <v>643</v>
      </c>
      <c r="W219" s="56">
        <v>49</v>
      </c>
      <c r="X219" s="56" t="s">
        <v>887</v>
      </c>
      <c r="Y219" s="56">
        <v>505</v>
      </c>
      <c r="Z219" s="56" t="s">
        <v>1755</v>
      </c>
      <c r="AB219" s="56" t="s">
        <v>1756</v>
      </c>
      <c r="AC219" s="56" t="s">
        <v>1757</v>
      </c>
      <c r="AD219" s="56" t="s">
        <v>1758</v>
      </c>
      <c r="AE219" s="56">
        <v>52</v>
      </c>
      <c r="AF219" s="56" t="s">
        <v>1228</v>
      </c>
      <c r="AG219" s="56" t="s">
        <v>1229</v>
      </c>
      <c r="AH219" s="56" t="s">
        <v>643</v>
      </c>
      <c r="AI219" s="56" t="s">
        <v>1227</v>
      </c>
      <c r="AJ219" s="56">
        <v>431</v>
      </c>
      <c r="AK219" s="56" t="s">
        <v>1759</v>
      </c>
      <c r="AL219" s="56">
        <v>52</v>
      </c>
      <c r="AM219" s="56" t="s">
        <v>1228</v>
      </c>
      <c r="AN219" s="56" t="s">
        <v>1229</v>
      </c>
      <c r="AO219" s="56" t="s">
        <v>1230</v>
      </c>
      <c r="AP219" s="56" t="s">
        <v>643</v>
      </c>
      <c r="AQ219" s="56" t="s">
        <v>1227</v>
      </c>
      <c r="AR219" s="56">
        <v>52</v>
      </c>
      <c r="AS219" s="56" t="s">
        <v>1228</v>
      </c>
      <c r="AT219" s="56" t="s">
        <v>1229</v>
      </c>
      <c r="AU219" s="56" t="s">
        <v>643</v>
      </c>
      <c r="AV219" s="56" t="s">
        <v>1227</v>
      </c>
      <c r="AW219" s="56">
        <v>1181</v>
      </c>
      <c r="AX219" s="56" t="s">
        <v>1404</v>
      </c>
      <c r="AY219" s="56">
        <v>62</v>
      </c>
      <c r="AZ219" s="56" t="s">
        <v>22</v>
      </c>
      <c r="BA219" s="56" t="s">
        <v>1405</v>
      </c>
      <c r="BB219" s="56" t="s">
        <v>844</v>
      </c>
      <c r="BC219" s="56">
        <v>2</v>
      </c>
      <c r="BD219" s="56" t="s">
        <v>289</v>
      </c>
      <c r="BE219" s="56" t="s">
        <v>772</v>
      </c>
      <c r="BF219" s="56">
        <v>2</v>
      </c>
      <c r="BG219" s="56" t="s">
        <v>289</v>
      </c>
      <c r="BH219" s="56" t="s">
        <v>772</v>
      </c>
      <c r="BI219" s="56">
        <v>36.36</v>
      </c>
      <c r="BJ219" s="56">
        <v>97480.8</v>
      </c>
      <c r="BK219" s="56">
        <v>36.36</v>
      </c>
      <c r="BL219" s="56" t="s">
        <v>1760</v>
      </c>
      <c r="BM219" s="56">
        <v>3102</v>
      </c>
      <c r="BN219" s="56" t="s">
        <v>660</v>
      </c>
      <c r="BO219" s="56" t="s">
        <v>872</v>
      </c>
      <c r="BP219" s="56">
        <v>5999.4</v>
      </c>
      <c r="BQ219" s="56">
        <v>5203.87</v>
      </c>
      <c r="BR219" s="56">
        <v>0</v>
      </c>
      <c r="BS219" s="56">
        <v>0</v>
      </c>
      <c r="BT219" s="56">
        <v>0</v>
      </c>
      <c r="BU219" s="56">
        <v>4195</v>
      </c>
      <c r="BV219" s="56">
        <v>52</v>
      </c>
      <c r="BW219" s="56" t="s">
        <v>1228</v>
      </c>
      <c r="BX219" s="56" t="s">
        <v>1895</v>
      </c>
      <c r="BY219" s="56" t="s">
        <v>663</v>
      </c>
      <c r="BZ219" s="56">
        <v>0.5</v>
      </c>
      <c r="CA219" s="56" t="s">
        <v>1587</v>
      </c>
      <c r="CB219" s="56" t="s">
        <v>1762</v>
      </c>
      <c r="CD219" s="56" t="s">
        <v>667</v>
      </c>
      <c r="CG219" s="56">
        <v>0</v>
      </c>
      <c r="CH219" s="56">
        <v>165</v>
      </c>
      <c r="CJ219" s="56">
        <v>100</v>
      </c>
      <c r="CK219" s="56">
        <v>5203.87</v>
      </c>
      <c r="CL219" s="56">
        <v>0</v>
      </c>
      <c r="CN219" s="56">
        <v>719.93</v>
      </c>
      <c r="CO219" s="56">
        <v>719.93</v>
      </c>
      <c r="CP219" s="56">
        <v>75.599999999999994</v>
      </c>
      <c r="CQ219" s="56" t="s">
        <v>668</v>
      </c>
      <c r="CR219" s="56">
        <v>0</v>
      </c>
      <c r="CS219" s="56">
        <v>0</v>
      </c>
      <c r="CV219" s="56">
        <v>0</v>
      </c>
      <c r="CX219" s="56">
        <v>0</v>
      </c>
      <c r="CY219" s="56">
        <v>0</v>
      </c>
      <c r="CZ219" s="56">
        <v>481.35</v>
      </c>
      <c r="DA219" s="56">
        <v>481.35</v>
      </c>
      <c r="DB219" s="56">
        <v>0</v>
      </c>
      <c r="DC219" s="56">
        <v>4722.5200000000004</v>
      </c>
      <c r="DD219" s="56">
        <v>16.75</v>
      </c>
      <c r="DE219" s="56">
        <v>0</v>
      </c>
      <c r="DF219" s="56">
        <v>16.75</v>
      </c>
      <c r="DH219" s="56" t="s">
        <v>670</v>
      </c>
      <c r="DI219" s="56" t="s">
        <v>671</v>
      </c>
      <c r="DK219" s="56">
        <v>79.7</v>
      </c>
      <c r="DL219" s="56">
        <v>4781.37</v>
      </c>
      <c r="DM219" s="56">
        <v>98</v>
      </c>
      <c r="DN219" s="56">
        <v>4501411725</v>
      </c>
      <c r="DO219" s="56" t="s">
        <v>236</v>
      </c>
      <c r="DQ219" s="56" t="s">
        <v>674</v>
      </c>
      <c r="DR219" s="56">
        <v>3</v>
      </c>
      <c r="DW219" s="56">
        <v>380</v>
      </c>
      <c r="DX219" s="56" t="s">
        <v>678</v>
      </c>
      <c r="DY219" s="56" t="s">
        <v>679</v>
      </c>
      <c r="EL219" s="56">
        <v>25</v>
      </c>
      <c r="EM219" s="56">
        <v>15</v>
      </c>
      <c r="EN219" s="56">
        <v>5173</v>
      </c>
      <c r="EO219" s="56">
        <v>2420</v>
      </c>
      <c r="EP219" s="56" t="s">
        <v>1234</v>
      </c>
      <c r="EQ219" s="56" t="s">
        <v>1763</v>
      </c>
      <c r="ER219" s="56" t="s">
        <v>1764</v>
      </c>
      <c r="ES219" s="56">
        <v>2</v>
      </c>
      <c r="ET219" s="56" t="s">
        <v>682</v>
      </c>
      <c r="EU219" s="56" t="s">
        <v>683</v>
      </c>
      <c r="EV219" s="56" t="s">
        <v>683</v>
      </c>
      <c r="FD219" s="56" t="s">
        <v>1896</v>
      </c>
      <c r="FK219" s="56">
        <v>0</v>
      </c>
    </row>
    <row r="220" spans="1:167" x14ac:dyDescent="0.2">
      <c r="A220" s="56">
        <v>29162</v>
      </c>
      <c r="B220" s="56">
        <v>2</v>
      </c>
      <c r="C220" s="56">
        <v>6352</v>
      </c>
      <c r="D220" s="56" t="s">
        <v>634</v>
      </c>
      <c r="E220" s="56" t="s">
        <v>635</v>
      </c>
      <c r="K220" s="56" t="s">
        <v>1897</v>
      </c>
      <c r="L220" s="56" t="s">
        <v>637</v>
      </c>
      <c r="M220" s="56">
        <v>44951</v>
      </c>
      <c r="N220" s="56">
        <v>44953</v>
      </c>
      <c r="O220" s="56">
        <v>38</v>
      </c>
      <c r="P220" s="56" t="s">
        <v>638</v>
      </c>
      <c r="Q220" s="56">
        <v>2</v>
      </c>
      <c r="R220" s="56" t="s">
        <v>639</v>
      </c>
      <c r="S220" s="56" t="s">
        <v>640</v>
      </c>
      <c r="T220" s="56" t="s">
        <v>641</v>
      </c>
      <c r="U220" s="56" t="s">
        <v>1227</v>
      </c>
      <c r="V220" s="56" t="s">
        <v>643</v>
      </c>
      <c r="W220" s="56">
        <v>49</v>
      </c>
      <c r="X220" s="56" t="s">
        <v>887</v>
      </c>
      <c r="Y220" s="56">
        <v>505</v>
      </c>
      <c r="Z220" s="56" t="s">
        <v>1755</v>
      </c>
      <c r="AB220" s="56" t="s">
        <v>1756</v>
      </c>
      <c r="AC220" s="56" t="s">
        <v>1757</v>
      </c>
      <c r="AD220" s="56" t="s">
        <v>1758</v>
      </c>
      <c r="AE220" s="56">
        <v>52</v>
      </c>
      <c r="AF220" s="56" t="s">
        <v>1228</v>
      </c>
      <c r="AG220" s="56" t="s">
        <v>1229</v>
      </c>
      <c r="AH220" s="56" t="s">
        <v>643</v>
      </c>
      <c r="AI220" s="56" t="s">
        <v>1227</v>
      </c>
      <c r="AJ220" s="56">
        <v>431</v>
      </c>
      <c r="AK220" s="56" t="s">
        <v>1759</v>
      </c>
      <c r="AL220" s="56">
        <v>52</v>
      </c>
      <c r="AM220" s="56" t="s">
        <v>1228</v>
      </c>
      <c r="AN220" s="56" t="s">
        <v>1229</v>
      </c>
      <c r="AO220" s="56" t="s">
        <v>1230</v>
      </c>
      <c r="AP220" s="56" t="s">
        <v>643</v>
      </c>
      <c r="AQ220" s="56" t="s">
        <v>1227</v>
      </c>
      <c r="AR220" s="56">
        <v>52</v>
      </c>
      <c r="AS220" s="56" t="s">
        <v>1228</v>
      </c>
      <c r="AT220" s="56" t="s">
        <v>1229</v>
      </c>
      <c r="AU220" s="56" t="s">
        <v>643</v>
      </c>
      <c r="AV220" s="56" t="s">
        <v>1227</v>
      </c>
      <c r="AW220" s="56">
        <v>120</v>
      </c>
      <c r="AX220" s="56" t="s">
        <v>836</v>
      </c>
      <c r="AY220" s="56">
        <v>7</v>
      </c>
      <c r="AZ220" s="56" t="s">
        <v>128</v>
      </c>
      <c r="BA220" s="56" t="s">
        <v>837</v>
      </c>
      <c r="BB220" s="56" t="s">
        <v>770</v>
      </c>
      <c r="BC220" s="56">
        <v>38</v>
      </c>
      <c r="BD220" s="56" t="s">
        <v>289</v>
      </c>
      <c r="BE220" s="56" t="s">
        <v>771</v>
      </c>
      <c r="BF220" s="56">
        <v>2</v>
      </c>
      <c r="BG220" s="56" t="s">
        <v>289</v>
      </c>
      <c r="BH220" s="56" t="s">
        <v>772</v>
      </c>
      <c r="BI220" s="56">
        <v>47.82</v>
      </c>
      <c r="BJ220" s="56">
        <v>128204.94</v>
      </c>
      <c r="BK220" s="56">
        <v>47.82</v>
      </c>
      <c r="BL220" s="56" t="s">
        <v>1760</v>
      </c>
      <c r="BM220" s="56">
        <v>3102</v>
      </c>
      <c r="BN220" s="56" t="s">
        <v>724</v>
      </c>
      <c r="BO220" s="56" t="s">
        <v>725</v>
      </c>
      <c r="BP220" s="56">
        <v>7890.3</v>
      </c>
      <c r="BQ220" s="56">
        <v>6846.26</v>
      </c>
      <c r="BR220" s="56">
        <v>0</v>
      </c>
      <c r="BS220" s="56">
        <v>0</v>
      </c>
      <c r="BT220" s="56">
        <v>0</v>
      </c>
      <c r="BU220" s="56">
        <v>4196</v>
      </c>
      <c r="BV220" s="56">
        <v>52</v>
      </c>
      <c r="BW220" s="56" t="s">
        <v>1228</v>
      </c>
      <c r="BX220" s="56" t="s">
        <v>1898</v>
      </c>
      <c r="BY220" s="56" t="s">
        <v>663</v>
      </c>
      <c r="BZ220" s="56">
        <v>0.5</v>
      </c>
      <c r="CA220" s="56" t="s">
        <v>1587</v>
      </c>
      <c r="CB220" s="56" t="s">
        <v>1762</v>
      </c>
      <c r="CD220" s="56" t="s">
        <v>667</v>
      </c>
      <c r="CG220" s="56">
        <v>0</v>
      </c>
      <c r="CH220" s="56">
        <v>165</v>
      </c>
      <c r="CJ220" s="56">
        <v>100</v>
      </c>
      <c r="CK220" s="56">
        <v>6846.26</v>
      </c>
      <c r="CL220" s="56">
        <v>0</v>
      </c>
      <c r="CN220" s="56">
        <v>946.84</v>
      </c>
      <c r="CO220" s="56">
        <v>946.84</v>
      </c>
      <c r="CP220" s="56">
        <v>97.2</v>
      </c>
      <c r="CQ220" s="56" t="s">
        <v>668</v>
      </c>
      <c r="CR220" s="56">
        <v>0</v>
      </c>
      <c r="CS220" s="56">
        <v>0</v>
      </c>
      <c r="CV220" s="56">
        <v>0</v>
      </c>
      <c r="CX220" s="56">
        <v>0</v>
      </c>
      <c r="CY220" s="56">
        <v>0</v>
      </c>
      <c r="CZ220" s="56">
        <v>633.28</v>
      </c>
      <c r="DA220" s="56">
        <v>633.28</v>
      </c>
      <c r="DB220" s="56">
        <v>0</v>
      </c>
      <c r="DC220" s="56">
        <v>6212.98</v>
      </c>
      <c r="DD220" s="56">
        <v>22.03</v>
      </c>
      <c r="DE220" s="56">
        <v>0</v>
      </c>
      <c r="DF220" s="56">
        <v>22.03</v>
      </c>
      <c r="DH220" s="56" t="s">
        <v>670</v>
      </c>
      <c r="DI220" s="56" t="s">
        <v>671</v>
      </c>
      <c r="DK220" s="56">
        <v>79.69</v>
      </c>
      <c r="DL220" s="56">
        <v>6288.15</v>
      </c>
      <c r="DM220" s="56">
        <v>98</v>
      </c>
      <c r="DN220" s="56">
        <v>4501411725</v>
      </c>
      <c r="DO220" s="56" t="s">
        <v>236</v>
      </c>
      <c r="DQ220" s="56" t="s">
        <v>674</v>
      </c>
      <c r="DR220" s="56">
        <v>3</v>
      </c>
      <c r="DW220" s="56">
        <v>380</v>
      </c>
      <c r="DX220" s="56" t="s">
        <v>678</v>
      </c>
      <c r="DY220" s="56" t="s">
        <v>679</v>
      </c>
      <c r="EL220" s="56">
        <v>25</v>
      </c>
      <c r="EM220" s="56">
        <v>15</v>
      </c>
      <c r="EN220" s="56">
        <v>5173</v>
      </c>
      <c r="EO220" s="56">
        <v>2420</v>
      </c>
      <c r="EP220" s="56" t="s">
        <v>1234</v>
      </c>
      <c r="EQ220" s="56" t="s">
        <v>1763</v>
      </c>
      <c r="ER220" s="56" t="s">
        <v>1764</v>
      </c>
      <c r="ES220" s="56">
        <v>2</v>
      </c>
      <c r="ET220" s="56" t="s">
        <v>682</v>
      </c>
      <c r="EU220" s="56" t="s">
        <v>683</v>
      </c>
      <c r="EV220" s="56" t="s">
        <v>683</v>
      </c>
      <c r="FD220" s="56" t="s">
        <v>1899</v>
      </c>
      <c r="FK220" s="56">
        <v>0</v>
      </c>
    </row>
    <row r="221" spans="1:167" x14ac:dyDescent="0.2">
      <c r="A221" s="56">
        <v>29163</v>
      </c>
      <c r="B221" s="56">
        <v>2</v>
      </c>
      <c r="C221" s="56">
        <v>6352</v>
      </c>
      <c r="D221" s="56" t="s">
        <v>634</v>
      </c>
      <c r="E221" s="56" t="s">
        <v>635</v>
      </c>
      <c r="K221" s="56" t="s">
        <v>1900</v>
      </c>
      <c r="L221" s="56" t="s">
        <v>637</v>
      </c>
      <c r="M221" s="56">
        <v>44951</v>
      </c>
      <c r="N221" s="56">
        <v>44953</v>
      </c>
      <c r="O221" s="56">
        <v>38</v>
      </c>
      <c r="P221" s="56" t="s">
        <v>638</v>
      </c>
      <c r="Q221" s="56">
        <v>2</v>
      </c>
      <c r="R221" s="56" t="s">
        <v>639</v>
      </c>
      <c r="S221" s="56" t="s">
        <v>640</v>
      </c>
      <c r="T221" s="56" t="s">
        <v>641</v>
      </c>
      <c r="U221" s="56" t="s">
        <v>1582</v>
      </c>
      <c r="V221" s="56" t="s">
        <v>643</v>
      </c>
      <c r="W221" s="56">
        <v>48</v>
      </c>
      <c r="X221" s="56" t="s">
        <v>699</v>
      </c>
      <c r="Y221" s="56">
        <v>756</v>
      </c>
      <c r="Z221" s="56" t="s">
        <v>1779</v>
      </c>
      <c r="AB221" s="56" t="s">
        <v>1780</v>
      </c>
      <c r="AC221" s="56" t="s">
        <v>1757</v>
      </c>
      <c r="AD221" s="56" t="s">
        <v>1758</v>
      </c>
      <c r="AE221" s="56">
        <v>51</v>
      </c>
      <c r="AF221" s="56" t="s">
        <v>1228</v>
      </c>
      <c r="AG221" s="56" t="s">
        <v>1583</v>
      </c>
      <c r="AH221" s="56" t="s">
        <v>643</v>
      </c>
      <c r="AI221" s="56" t="s">
        <v>1582</v>
      </c>
      <c r="AJ221" s="56">
        <v>139</v>
      </c>
      <c r="AK221" s="56" t="s">
        <v>651</v>
      </c>
      <c r="AL221" s="56">
        <v>51</v>
      </c>
      <c r="AM221" s="56" t="s">
        <v>1228</v>
      </c>
      <c r="AN221" s="56" t="s">
        <v>1583</v>
      </c>
      <c r="AO221" s="56" t="s">
        <v>1584</v>
      </c>
      <c r="AP221" s="56" t="s">
        <v>643</v>
      </c>
      <c r="AQ221" s="56" t="s">
        <v>1582</v>
      </c>
      <c r="AR221" s="56">
        <v>51</v>
      </c>
      <c r="AS221" s="56" t="s">
        <v>1228</v>
      </c>
      <c r="AT221" s="56" t="s">
        <v>1583</v>
      </c>
      <c r="AU221" s="56" t="s">
        <v>643</v>
      </c>
      <c r="AV221" s="56" t="s">
        <v>1582</v>
      </c>
      <c r="AW221" s="56">
        <v>121</v>
      </c>
      <c r="AX221" s="56" t="s">
        <v>859</v>
      </c>
      <c r="AY221" s="56">
        <v>51</v>
      </c>
      <c r="AZ221" s="56" t="s">
        <v>29</v>
      </c>
      <c r="BA221" s="56" t="s">
        <v>860</v>
      </c>
      <c r="BB221" s="56" t="s">
        <v>770</v>
      </c>
      <c r="BC221" s="56">
        <v>38</v>
      </c>
      <c r="BD221" s="56" t="s">
        <v>289</v>
      </c>
      <c r="BE221" s="56" t="s">
        <v>771</v>
      </c>
      <c r="BF221" s="56">
        <v>2</v>
      </c>
      <c r="BG221" s="56" t="s">
        <v>289</v>
      </c>
      <c r="BH221" s="56" t="s">
        <v>772</v>
      </c>
      <c r="BI221" s="56">
        <v>24.45</v>
      </c>
      <c r="BJ221" s="56">
        <v>58789.05</v>
      </c>
      <c r="BK221" s="56">
        <v>24.45</v>
      </c>
      <c r="BL221" s="56" t="s">
        <v>897</v>
      </c>
      <c r="BM221" s="56">
        <v>3102</v>
      </c>
      <c r="BN221" s="56" t="s">
        <v>724</v>
      </c>
      <c r="BO221" s="56" t="s">
        <v>725</v>
      </c>
      <c r="BP221" s="56">
        <v>5990.25</v>
      </c>
      <c r="BQ221" s="56">
        <v>5271.42</v>
      </c>
      <c r="BR221" s="56">
        <v>0</v>
      </c>
      <c r="BS221" s="56">
        <v>0</v>
      </c>
      <c r="BT221" s="56">
        <v>0</v>
      </c>
      <c r="BU221" s="56">
        <v>1227</v>
      </c>
      <c r="BV221" s="56">
        <v>51</v>
      </c>
      <c r="BW221" s="56" t="s">
        <v>1228</v>
      </c>
      <c r="BX221" s="56" t="s">
        <v>1901</v>
      </c>
      <c r="BY221" s="56" t="s">
        <v>663</v>
      </c>
      <c r="BZ221" s="56">
        <v>0.5</v>
      </c>
      <c r="CA221" s="56" t="s">
        <v>1587</v>
      </c>
      <c r="CB221" s="56" t="s">
        <v>1782</v>
      </c>
      <c r="CD221" s="56" t="s">
        <v>667</v>
      </c>
      <c r="CG221" s="56">
        <v>0</v>
      </c>
      <c r="CH221" s="56">
        <v>245</v>
      </c>
      <c r="CJ221" s="56">
        <v>100</v>
      </c>
      <c r="CK221" s="56">
        <v>5271.42</v>
      </c>
      <c r="CL221" s="56">
        <v>0</v>
      </c>
      <c r="CN221" s="56">
        <v>718.83</v>
      </c>
      <c r="CO221" s="56">
        <v>718.83</v>
      </c>
      <c r="CP221" s="56">
        <v>0</v>
      </c>
      <c r="CQ221" s="56" t="s">
        <v>708</v>
      </c>
      <c r="CR221" s="56">
        <v>0</v>
      </c>
      <c r="CS221" s="56">
        <v>0</v>
      </c>
      <c r="CV221" s="56">
        <v>0</v>
      </c>
      <c r="CX221" s="56">
        <v>0</v>
      </c>
      <c r="CY221" s="56">
        <v>0</v>
      </c>
      <c r="CZ221" s="56">
        <v>487.61</v>
      </c>
      <c r="DA221" s="56">
        <v>487.61</v>
      </c>
      <c r="DB221" s="56">
        <v>0</v>
      </c>
      <c r="DC221" s="56">
        <v>4783.8100000000004</v>
      </c>
      <c r="DD221" s="56">
        <v>10.1</v>
      </c>
      <c r="DE221" s="56">
        <v>0</v>
      </c>
      <c r="DF221" s="56">
        <v>10.1</v>
      </c>
      <c r="DH221" s="56" t="s">
        <v>670</v>
      </c>
      <c r="DI221" s="56" t="s">
        <v>671</v>
      </c>
      <c r="DK221" s="56">
        <v>79.69</v>
      </c>
      <c r="DL221" s="56">
        <v>4773.71</v>
      </c>
      <c r="DM221" s="56">
        <v>100</v>
      </c>
      <c r="DN221" s="56">
        <v>4501411978</v>
      </c>
      <c r="DO221" s="56" t="s">
        <v>236</v>
      </c>
      <c r="DQ221" s="56" t="s">
        <v>674</v>
      </c>
      <c r="DR221" s="56">
        <v>3</v>
      </c>
      <c r="DW221" s="56">
        <v>590</v>
      </c>
      <c r="DX221" s="56" t="s">
        <v>678</v>
      </c>
      <c r="DY221" s="56" t="s">
        <v>679</v>
      </c>
      <c r="EL221" s="56">
        <v>25</v>
      </c>
      <c r="EM221" s="56">
        <v>15</v>
      </c>
      <c r="EN221" s="56">
        <v>5173</v>
      </c>
      <c r="EO221" s="56">
        <v>1950</v>
      </c>
      <c r="EP221" s="56" t="s">
        <v>1234</v>
      </c>
      <c r="EQ221" s="56" t="s">
        <v>1803</v>
      </c>
      <c r="ER221" s="56" t="s">
        <v>1804</v>
      </c>
      <c r="ES221" s="56">
        <v>2</v>
      </c>
      <c r="ET221" s="56" t="s">
        <v>682</v>
      </c>
      <c r="EU221" s="56" t="s">
        <v>683</v>
      </c>
      <c r="EV221" s="56" t="s">
        <v>683</v>
      </c>
      <c r="FD221" s="56" t="s">
        <v>1902</v>
      </c>
      <c r="FK221" s="56">
        <v>0</v>
      </c>
    </row>
    <row r="222" spans="1:167" x14ac:dyDescent="0.2">
      <c r="A222" s="56">
        <v>29164</v>
      </c>
      <c r="B222" s="56">
        <v>2</v>
      </c>
      <c r="C222" s="56">
        <v>6352</v>
      </c>
      <c r="D222" s="56" t="s">
        <v>634</v>
      </c>
      <c r="E222" s="56" t="s">
        <v>635</v>
      </c>
      <c r="K222" s="56" t="s">
        <v>1903</v>
      </c>
      <c r="L222" s="56" t="s">
        <v>637</v>
      </c>
      <c r="M222" s="56">
        <v>44951</v>
      </c>
      <c r="N222" s="56">
        <v>44953</v>
      </c>
      <c r="O222" s="56">
        <v>38</v>
      </c>
      <c r="P222" s="56" t="s">
        <v>638</v>
      </c>
      <c r="Q222" s="56">
        <v>2</v>
      </c>
      <c r="R222" s="56" t="s">
        <v>639</v>
      </c>
      <c r="S222" s="56" t="s">
        <v>640</v>
      </c>
      <c r="T222" s="56" t="s">
        <v>641</v>
      </c>
      <c r="U222" s="56" t="s">
        <v>1582</v>
      </c>
      <c r="V222" s="56" t="s">
        <v>643</v>
      </c>
      <c r="W222" s="56">
        <v>48</v>
      </c>
      <c r="X222" s="56" t="s">
        <v>699</v>
      </c>
      <c r="Y222" s="56">
        <v>756</v>
      </c>
      <c r="Z222" s="56" t="s">
        <v>1779</v>
      </c>
      <c r="AB222" s="56" t="s">
        <v>1780</v>
      </c>
      <c r="AC222" s="56" t="s">
        <v>1757</v>
      </c>
      <c r="AD222" s="56" t="s">
        <v>1758</v>
      </c>
      <c r="AE222" s="56">
        <v>51</v>
      </c>
      <c r="AF222" s="56" t="s">
        <v>1228</v>
      </c>
      <c r="AG222" s="56" t="s">
        <v>1583</v>
      </c>
      <c r="AH222" s="56" t="s">
        <v>643</v>
      </c>
      <c r="AI222" s="56" t="s">
        <v>1582</v>
      </c>
      <c r="AJ222" s="56">
        <v>139</v>
      </c>
      <c r="AK222" s="56" t="s">
        <v>651</v>
      </c>
      <c r="AL222" s="56">
        <v>51</v>
      </c>
      <c r="AM222" s="56" t="s">
        <v>1228</v>
      </c>
      <c r="AN222" s="56" t="s">
        <v>1583</v>
      </c>
      <c r="AO222" s="56" t="s">
        <v>1584</v>
      </c>
      <c r="AP222" s="56" t="s">
        <v>643</v>
      </c>
      <c r="AQ222" s="56" t="s">
        <v>1582</v>
      </c>
      <c r="AR222" s="56">
        <v>51</v>
      </c>
      <c r="AS222" s="56" t="s">
        <v>1228</v>
      </c>
      <c r="AT222" s="56" t="s">
        <v>1583</v>
      </c>
      <c r="AU222" s="56" t="s">
        <v>643</v>
      </c>
      <c r="AV222" s="56" t="s">
        <v>1582</v>
      </c>
      <c r="AW222" s="56">
        <v>121</v>
      </c>
      <c r="AX222" s="56" t="s">
        <v>859</v>
      </c>
      <c r="AY222" s="56">
        <v>51</v>
      </c>
      <c r="AZ222" s="56" t="s">
        <v>29</v>
      </c>
      <c r="BA222" s="56" t="s">
        <v>860</v>
      </c>
      <c r="BB222" s="56" t="s">
        <v>770</v>
      </c>
      <c r="BC222" s="56">
        <v>38</v>
      </c>
      <c r="BD222" s="56" t="s">
        <v>289</v>
      </c>
      <c r="BE222" s="56" t="s">
        <v>771</v>
      </c>
      <c r="BF222" s="56">
        <v>2</v>
      </c>
      <c r="BG222" s="56" t="s">
        <v>289</v>
      </c>
      <c r="BH222" s="56" t="s">
        <v>772</v>
      </c>
      <c r="BI222" s="56">
        <v>25.58</v>
      </c>
      <c r="BJ222" s="56">
        <v>61506.09</v>
      </c>
      <c r="BK222" s="56">
        <v>25.58</v>
      </c>
      <c r="BL222" s="56" t="s">
        <v>897</v>
      </c>
      <c r="BM222" s="56">
        <v>3102</v>
      </c>
      <c r="BN222" s="56" t="s">
        <v>724</v>
      </c>
      <c r="BO222" s="56" t="s">
        <v>725</v>
      </c>
      <c r="BP222" s="56">
        <v>6267.1</v>
      </c>
      <c r="BQ222" s="56">
        <v>5393.55</v>
      </c>
      <c r="BR222" s="56">
        <v>0</v>
      </c>
      <c r="BS222" s="56">
        <v>0</v>
      </c>
      <c r="BT222" s="56">
        <v>0</v>
      </c>
      <c r="BU222" s="56">
        <v>1228</v>
      </c>
      <c r="BV222" s="56">
        <v>51</v>
      </c>
      <c r="BW222" s="56" t="s">
        <v>1228</v>
      </c>
      <c r="BX222" s="56" t="s">
        <v>1904</v>
      </c>
      <c r="BY222" s="56" t="s">
        <v>663</v>
      </c>
      <c r="BZ222" s="56">
        <v>0.5</v>
      </c>
      <c r="CA222" s="56" t="s">
        <v>1587</v>
      </c>
      <c r="CB222" s="56" t="s">
        <v>1782</v>
      </c>
      <c r="CD222" s="56" t="s">
        <v>667</v>
      </c>
      <c r="CG222" s="56">
        <v>0</v>
      </c>
      <c r="CH222" s="56">
        <v>245</v>
      </c>
      <c r="CJ222" s="56">
        <v>100</v>
      </c>
      <c r="CK222" s="56">
        <v>5393.55</v>
      </c>
      <c r="CL222" s="56">
        <v>0</v>
      </c>
      <c r="CN222" s="56">
        <v>752.05</v>
      </c>
      <c r="CO222" s="56">
        <v>752.05</v>
      </c>
      <c r="CP222" s="56">
        <v>121.5</v>
      </c>
      <c r="CQ222" s="56" t="s">
        <v>668</v>
      </c>
      <c r="CR222" s="56">
        <v>0</v>
      </c>
      <c r="CS222" s="56">
        <v>0</v>
      </c>
      <c r="CV222" s="56">
        <v>0</v>
      </c>
      <c r="CX222" s="56">
        <v>0</v>
      </c>
      <c r="CY222" s="56">
        <v>0</v>
      </c>
      <c r="CZ222" s="56">
        <v>498.9</v>
      </c>
      <c r="DA222" s="56">
        <v>498.9</v>
      </c>
      <c r="DB222" s="56">
        <v>0</v>
      </c>
      <c r="DC222" s="56">
        <v>4894.6499999999996</v>
      </c>
      <c r="DD222" s="56">
        <v>10.57</v>
      </c>
      <c r="DE222" s="56">
        <v>0</v>
      </c>
      <c r="DF222" s="56">
        <v>10.57</v>
      </c>
      <c r="DH222" s="56" t="s">
        <v>670</v>
      </c>
      <c r="DI222" s="56" t="s">
        <v>671</v>
      </c>
      <c r="DK222" s="56">
        <v>79.87</v>
      </c>
      <c r="DL222" s="56">
        <v>5005.58</v>
      </c>
      <c r="DM222" s="56">
        <v>100</v>
      </c>
      <c r="DN222" s="56">
        <v>4501411978</v>
      </c>
      <c r="DO222" s="56" t="s">
        <v>236</v>
      </c>
      <c r="DQ222" s="56" t="s">
        <v>674</v>
      </c>
      <c r="DR222" s="56">
        <v>3</v>
      </c>
      <c r="DW222" s="56">
        <v>590</v>
      </c>
      <c r="DX222" s="56" t="s">
        <v>678</v>
      </c>
      <c r="DY222" s="56" t="s">
        <v>679</v>
      </c>
      <c r="EL222" s="56">
        <v>25</v>
      </c>
      <c r="EM222" s="56">
        <v>15</v>
      </c>
      <c r="EN222" s="56">
        <v>5173</v>
      </c>
      <c r="EO222" s="56">
        <v>1950</v>
      </c>
      <c r="EP222" s="56" t="s">
        <v>1234</v>
      </c>
      <c r="EQ222" s="56" t="s">
        <v>1803</v>
      </c>
      <c r="ER222" s="56" t="s">
        <v>1804</v>
      </c>
      <c r="ES222" s="56">
        <v>2</v>
      </c>
      <c r="ET222" s="56" t="s">
        <v>682</v>
      </c>
      <c r="EU222" s="56" t="s">
        <v>683</v>
      </c>
      <c r="EV222" s="56" t="s">
        <v>683</v>
      </c>
      <c r="FD222" s="56" t="s">
        <v>1905</v>
      </c>
      <c r="FK222" s="56">
        <v>0</v>
      </c>
    </row>
    <row r="223" spans="1:167" x14ac:dyDescent="0.2">
      <c r="A223" s="56">
        <v>29165</v>
      </c>
      <c r="B223" s="56">
        <v>2</v>
      </c>
      <c r="C223" s="56">
        <v>6352</v>
      </c>
      <c r="D223" s="56" t="s">
        <v>634</v>
      </c>
      <c r="E223" s="56" t="s">
        <v>635</v>
      </c>
      <c r="K223" s="56" t="s">
        <v>1906</v>
      </c>
      <c r="L223" s="56" t="s">
        <v>637</v>
      </c>
      <c r="M223" s="56">
        <v>44951</v>
      </c>
      <c r="N223" s="56">
        <v>44953</v>
      </c>
      <c r="O223" s="56">
        <v>38</v>
      </c>
      <c r="P223" s="56" t="s">
        <v>638</v>
      </c>
      <c r="Q223" s="56">
        <v>2</v>
      </c>
      <c r="R223" s="56" t="s">
        <v>639</v>
      </c>
      <c r="S223" s="56" t="s">
        <v>640</v>
      </c>
      <c r="T223" s="56" t="s">
        <v>641</v>
      </c>
      <c r="U223" s="56" t="s">
        <v>1582</v>
      </c>
      <c r="V223" s="56" t="s">
        <v>643</v>
      </c>
      <c r="W223" s="56">
        <v>48</v>
      </c>
      <c r="X223" s="56" t="s">
        <v>699</v>
      </c>
      <c r="Y223" s="56">
        <v>756</v>
      </c>
      <c r="Z223" s="56" t="s">
        <v>1779</v>
      </c>
      <c r="AB223" s="56" t="s">
        <v>1780</v>
      </c>
      <c r="AC223" s="56" t="s">
        <v>1757</v>
      </c>
      <c r="AD223" s="56" t="s">
        <v>1758</v>
      </c>
      <c r="AE223" s="56">
        <v>51</v>
      </c>
      <c r="AF223" s="56" t="s">
        <v>1228</v>
      </c>
      <c r="AG223" s="56" t="s">
        <v>1583</v>
      </c>
      <c r="AH223" s="56" t="s">
        <v>643</v>
      </c>
      <c r="AI223" s="56" t="s">
        <v>1582</v>
      </c>
      <c r="AJ223" s="56">
        <v>139</v>
      </c>
      <c r="AK223" s="56" t="s">
        <v>651</v>
      </c>
      <c r="AL223" s="56">
        <v>51</v>
      </c>
      <c r="AM223" s="56" t="s">
        <v>1228</v>
      </c>
      <c r="AN223" s="56" t="s">
        <v>1583</v>
      </c>
      <c r="AO223" s="56" t="s">
        <v>1584</v>
      </c>
      <c r="AP223" s="56" t="s">
        <v>643</v>
      </c>
      <c r="AQ223" s="56" t="s">
        <v>1582</v>
      </c>
      <c r="AR223" s="56">
        <v>51</v>
      </c>
      <c r="AS223" s="56" t="s">
        <v>1228</v>
      </c>
      <c r="AT223" s="56" t="s">
        <v>1583</v>
      </c>
      <c r="AU223" s="56" t="s">
        <v>643</v>
      </c>
      <c r="AV223" s="56" t="s">
        <v>1582</v>
      </c>
      <c r="AW223" s="56">
        <v>107</v>
      </c>
      <c r="AX223" s="56" t="s">
        <v>1003</v>
      </c>
      <c r="AY223" s="56">
        <v>39</v>
      </c>
      <c r="AZ223" s="56" t="s">
        <v>27</v>
      </c>
      <c r="BA223" s="56" t="s">
        <v>1004</v>
      </c>
      <c r="BB223" s="56" t="s">
        <v>770</v>
      </c>
      <c r="BC223" s="56">
        <v>38</v>
      </c>
      <c r="BD223" s="56" t="s">
        <v>289</v>
      </c>
      <c r="BE223" s="56" t="s">
        <v>771</v>
      </c>
      <c r="BF223" s="56">
        <v>2</v>
      </c>
      <c r="BG223" s="56" t="s">
        <v>289</v>
      </c>
      <c r="BH223" s="56" t="s">
        <v>772</v>
      </c>
      <c r="BI223" s="56">
        <v>24.7</v>
      </c>
      <c r="BJ223" s="56">
        <v>59390.16</v>
      </c>
      <c r="BK223" s="56">
        <v>24.7</v>
      </c>
      <c r="BL223" s="56" t="s">
        <v>897</v>
      </c>
      <c r="BM223" s="56">
        <v>3102</v>
      </c>
      <c r="BN223" s="56" t="s">
        <v>786</v>
      </c>
      <c r="BO223" s="56" t="s">
        <v>911</v>
      </c>
      <c r="BP223" s="56">
        <v>6051.5</v>
      </c>
      <c r="BQ223" s="56">
        <v>5325.32</v>
      </c>
      <c r="BR223" s="56">
        <v>0</v>
      </c>
      <c r="BS223" s="56">
        <v>0</v>
      </c>
      <c r="BT223" s="56">
        <v>0</v>
      </c>
      <c r="BU223" s="56">
        <v>1231</v>
      </c>
      <c r="BV223" s="56">
        <v>51</v>
      </c>
      <c r="BW223" s="56" t="s">
        <v>1228</v>
      </c>
      <c r="BX223" s="56" t="s">
        <v>1907</v>
      </c>
      <c r="BY223" s="56" t="s">
        <v>663</v>
      </c>
      <c r="BZ223" s="56">
        <v>0.5</v>
      </c>
      <c r="CA223" s="56" t="s">
        <v>1587</v>
      </c>
      <c r="CB223" s="56" t="s">
        <v>1782</v>
      </c>
      <c r="CD223" s="56" t="s">
        <v>667</v>
      </c>
      <c r="CG223" s="56">
        <v>0</v>
      </c>
      <c r="CH223" s="56">
        <v>245</v>
      </c>
      <c r="CJ223" s="56">
        <v>100</v>
      </c>
      <c r="CK223" s="56">
        <v>5325.32</v>
      </c>
      <c r="CL223" s="56">
        <v>0</v>
      </c>
      <c r="CN223" s="56">
        <v>726.18</v>
      </c>
      <c r="CO223" s="56">
        <v>726.18</v>
      </c>
      <c r="CP223" s="56">
        <v>0</v>
      </c>
      <c r="CQ223" s="56" t="s">
        <v>708</v>
      </c>
      <c r="CR223" s="56">
        <v>0</v>
      </c>
      <c r="CS223" s="56">
        <v>0</v>
      </c>
      <c r="CV223" s="56">
        <v>0</v>
      </c>
      <c r="CX223" s="56">
        <v>0</v>
      </c>
      <c r="CY223" s="56">
        <v>0</v>
      </c>
      <c r="CZ223" s="56">
        <v>492.59</v>
      </c>
      <c r="DA223" s="56">
        <v>492.59</v>
      </c>
      <c r="DB223" s="56">
        <v>0</v>
      </c>
      <c r="DC223" s="56">
        <v>4832.7299999999996</v>
      </c>
      <c r="DD223" s="56">
        <v>10.199999999999999</v>
      </c>
      <c r="DE223" s="56">
        <v>0</v>
      </c>
      <c r="DF223" s="56">
        <v>10.199999999999999</v>
      </c>
      <c r="DH223" s="56" t="s">
        <v>670</v>
      </c>
      <c r="DI223" s="56" t="s">
        <v>671</v>
      </c>
      <c r="DK223" s="56">
        <v>79.69</v>
      </c>
      <c r="DL223" s="56">
        <v>4822.53</v>
      </c>
      <c r="DM223" s="56">
        <v>100</v>
      </c>
      <c r="DN223" s="56">
        <v>4501411978</v>
      </c>
      <c r="DO223" s="56" t="s">
        <v>236</v>
      </c>
      <c r="DQ223" s="56" t="s">
        <v>674</v>
      </c>
      <c r="DR223" s="56">
        <v>3</v>
      </c>
      <c r="DW223" s="56">
        <v>590</v>
      </c>
      <c r="DX223" s="56" t="s">
        <v>678</v>
      </c>
      <c r="DY223" s="56" t="s">
        <v>679</v>
      </c>
      <c r="EL223" s="56">
        <v>25</v>
      </c>
      <c r="EM223" s="56">
        <v>15</v>
      </c>
      <c r="EN223" s="56">
        <v>5173</v>
      </c>
      <c r="EO223" s="56">
        <v>1950</v>
      </c>
      <c r="EP223" s="56" t="s">
        <v>1234</v>
      </c>
      <c r="EQ223" s="56" t="s">
        <v>1803</v>
      </c>
      <c r="ER223" s="56" t="s">
        <v>1804</v>
      </c>
      <c r="ES223" s="56">
        <v>2</v>
      </c>
      <c r="ET223" s="56" t="s">
        <v>682</v>
      </c>
      <c r="EU223" s="56" t="s">
        <v>683</v>
      </c>
      <c r="EV223" s="56" t="s">
        <v>683</v>
      </c>
      <c r="FD223" s="56" t="s">
        <v>1908</v>
      </c>
      <c r="FK223" s="56">
        <v>0</v>
      </c>
    </row>
    <row r="224" spans="1:167" x14ac:dyDescent="0.2">
      <c r="A224" s="56">
        <v>29166</v>
      </c>
      <c r="B224" s="56">
        <v>2</v>
      </c>
      <c r="C224" s="56">
        <v>6352</v>
      </c>
      <c r="D224" s="56" t="s">
        <v>634</v>
      </c>
      <c r="E224" s="56" t="s">
        <v>635</v>
      </c>
      <c r="K224" s="56" t="s">
        <v>1909</v>
      </c>
      <c r="L224" s="56" t="s">
        <v>637</v>
      </c>
      <c r="M224" s="56">
        <v>44951</v>
      </c>
      <c r="N224" s="56">
        <v>44953</v>
      </c>
      <c r="O224" s="56">
        <v>38</v>
      </c>
      <c r="P224" s="56" t="s">
        <v>638</v>
      </c>
      <c r="Q224" s="56">
        <v>2</v>
      </c>
      <c r="R224" s="56" t="s">
        <v>639</v>
      </c>
      <c r="S224" s="56" t="s">
        <v>640</v>
      </c>
      <c r="T224" s="56" t="s">
        <v>641</v>
      </c>
      <c r="U224" s="56" t="s">
        <v>1582</v>
      </c>
      <c r="V224" s="56" t="s">
        <v>643</v>
      </c>
      <c r="W224" s="56">
        <v>48</v>
      </c>
      <c r="X224" s="56" t="s">
        <v>699</v>
      </c>
      <c r="Y224" s="56">
        <v>756</v>
      </c>
      <c r="Z224" s="56" t="s">
        <v>1779</v>
      </c>
      <c r="AB224" s="56" t="s">
        <v>1780</v>
      </c>
      <c r="AC224" s="56" t="s">
        <v>1757</v>
      </c>
      <c r="AD224" s="56" t="s">
        <v>1758</v>
      </c>
      <c r="AE224" s="56">
        <v>51</v>
      </c>
      <c r="AF224" s="56" t="s">
        <v>1228</v>
      </c>
      <c r="AG224" s="56" t="s">
        <v>1583</v>
      </c>
      <c r="AH224" s="56" t="s">
        <v>643</v>
      </c>
      <c r="AI224" s="56" t="s">
        <v>1582</v>
      </c>
      <c r="AJ224" s="56">
        <v>139</v>
      </c>
      <c r="AK224" s="56" t="s">
        <v>651</v>
      </c>
      <c r="AL224" s="56">
        <v>51</v>
      </c>
      <c r="AM224" s="56" t="s">
        <v>1228</v>
      </c>
      <c r="AN224" s="56" t="s">
        <v>1583</v>
      </c>
      <c r="AO224" s="56" t="s">
        <v>1584</v>
      </c>
      <c r="AP224" s="56" t="s">
        <v>643</v>
      </c>
      <c r="AQ224" s="56" t="s">
        <v>1582</v>
      </c>
      <c r="AR224" s="56">
        <v>51</v>
      </c>
      <c r="AS224" s="56" t="s">
        <v>1228</v>
      </c>
      <c r="AT224" s="56" t="s">
        <v>1583</v>
      </c>
      <c r="AU224" s="56" t="s">
        <v>643</v>
      </c>
      <c r="AV224" s="56" t="s">
        <v>1582</v>
      </c>
      <c r="AW224" s="56">
        <v>107</v>
      </c>
      <c r="AX224" s="56" t="s">
        <v>1003</v>
      </c>
      <c r="AY224" s="56">
        <v>39</v>
      </c>
      <c r="AZ224" s="56" t="s">
        <v>27</v>
      </c>
      <c r="BA224" s="56" t="s">
        <v>1004</v>
      </c>
      <c r="BB224" s="56" t="s">
        <v>770</v>
      </c>
      <c r="BC224" s="56">
        <v>38</v>
      </c>
      <c r="BD224" s="56" t="s">
        <v>289</v>
      </c>
      <c r="BE224" s="56" t="s">
        <v>771</v>
      </c>
      <c r="BF224" s="56">
        <v>2</v>
      </c>
      <c r="BG224" s="56" t="s">
        <v>289</v>
      </c>
      <c r="BH224" s="56" t="s">
        <v>772</v>
      </c>
      <c r="BI224" s="56">
        <v>25.28</v>
      </c>
      <c r="BJ224" s="56">
        <v>60784.75</v>
      </c>
      <c r="BK224" s="56">
        <v>25.28</v>
      </c>
      <c r="BL224" s="56" t="s">
        <v>897</v>
      </c>
      <c r="BM224" s="56">
        <v>3102</v>
      </c>
      <c r="BN224" s="56" t="s">
        <v>786</v>
      </c>
      <c r="BO224" s="56" t="s">
        <v>911</v>
      </c>
      <c r="BP224" s="56">
        <v>6193.6</v>
      </c>
      <c r="BQ224" s="56">
        <v>5328.87</v>
      </c>
      <c r="BR224" s="56">
        <v>0</v>
      </c>
      <c r="BS224" s="56">
        <v>0</v>
      </c>
      <c r="BT224" s="56">
        <v>0</v>
      </c>
      <c r="BU224" s="56">
        <v>1232</v>
      </c>
      <c r="BV224" s="56">
        <v>51</v>
      </c>
      <c r="BW224" s="56" t="s">
        <v>1228</v>
      </c>
      <c r="BX224" s="56" t="s">
        <v>1910</v>
      </c>
      <c r="BY224" s="56" t="s">
        <v>663</v>
      </c>
      <c r="BZ224" s="56">
        <v>0.5</v>
      </c>
      <c r="CA224" s="56" t="s">
        <v>1587</v>
      </c>
      <c r="CB224" s="56" t="s">
        <v>1782</v>
      </c>
      <c r="CD224" s="56" t="s">
        <v>667</v>
      </c>
      <c r="CG224" s="56">
        <v>0</v>
      </c>
      <c r="CH224" s="56">
        <v>245</v>
      </c>
      <c r="CJ224" s="56">
        <v>100</v>
      </c>
      <c r="CK224" s="56">
        <v>5328.87</v>
      </c>
      <c r="CL224" s="56">
        <v>0</v>
      </c>
      <c r="CN224" s="56">
        <v>743.23</v>
      </c>
      <c r="CO224" s="56">
        <v>743.23</v>
      </c>
      <c r="CP224" s="56">
        <v>121.5</v>
      </c>
      <c r="CQ224" s="56" t="s">
        <v>668</v>
      </c>
      <c r="CR224" s="56">
        <v>0</v>
      </c>
      <c r="CS224" s="56">
        <v>0</v>
      </c>
      <c r="CV224" s="56">
        <v>0</v>
      </c>
      <c r="CX224" s="56">
        <v>0</v>
      </c>
      <c r="CY224" s="56">
        <v>0</v>
      </c>
      <c r="CZ224" s="56">
        <v>492.92</v>
      </c>
      <c r="DA224" s="56">
        <v>492.92</v>
      </c>
      <c r="DB224" s="56">
        <v>0</v>
      </c>
      <c r="DC224" s="56">
        <v>4835.95</v>
      </c>
      <c r="DD224" s="56">
        <v>10.44</v>
      </c>
      <c r="DE224" s="56">
        <v>0</v>
      </c>
      <c r="DF224" s="56">
        <v>10.44</v>
      </c>
      <c r="DH224" s="56" t="s">
        <v>670</v>
      </c>
      <c r="DI224" s="56" t="s">
        <v>671</v>
      </c>
      <c r="DK224" s="56">
        <v>79.87</v>
      </c>
      <c r="DL224" s="56">
        <v>4947.01</v>
      </c>
      <c r="DM224" s="56">
        <v>100</v>
      </c>
      <c r="DN224" s="56">
        <v>4501411978</v>
      </c>
      <c r="DO224" s="56" t="s">
        <v>236</v>
      </c>
      <c r="DQ224" s="56" t="s">
        <v>674</v>
      </c>
      <c r="DR224" s="56">
        <v>3</v>
      </c>
      <c r="DW224" s="56">
        <v>590</v>
      </c>
      <c r="DX224" s="56" t="s">
        <v>678</v>
      </c>
      <c r="DY224" s="56" t="s">
        <v>679</v>
      </c>
      <c r="EL224" s="56">
        <v>25</v>
      </c>
      <c r="EM224" s="56">
        <v>15</v>
      </c>
      <c r="EN224" s="56">
        <v>5173</v>
      </c>
      <c r="EO224" s="56">
        <v>1950</v>
      </c>
      <c r="EP224" s="56" t="s">
        <v>1234</v>
      </c>
      <c r="EQ224" s="56" t="s">
        <v>1803</v>
      </c>
      <c r="ER224" s="56" t="s">
        <v>1804</v>
      </c>
      <c r="ES224" s="56">
        <v>2</v>
      </c>
      <c r="ET224" s="56" t="s">
        <v>682</v>
      </c>
      <c r="EU224" s="56" t="s">
        <v>683</v>
      </c>
      <c r="EV224" s="56" t="s">
        <v>683</v>
      </c>
      <c r="FD224" s="56" t="s">
        <v>1911</v>
      </c>
      <c r="FK224" s="56">
        <v>0</v>
      </c>
    </row>
    <row r="225" spans="1:167" x14ac:dyDescent="0.2">
      <c r="A225" s="56">
        <v>29167</v>
      </c>
      <c r="B225" s="56">
        <v>2</v>
      </c>
      <c r="C225" s="56">
        <v>6352</v>
      </c>
      <c r="D225" s="56" t="s">
        <v>634</v>
      </c>
      <c r="E225" s="56" t="s">
        <v>635</v>
      </c>
      <c r="K225" s="56" t="s">
        <v>1912</v>
      </c>
      <c r="L225" s="56" t="s">
        <v>637</v>
      </c>
      <c r="M225" s="56">
        <v>44951</v>
      </c>
      <c r="N225" s="56">
        <v>44953</v>
      </c>
      <c r="O225" s="56">
        <v>38</v>
      </c>
      <c r="P225" s="56" t="s">
        <v>638</v>
      </c>
      <c r="Q225" s="56">
        <v>2</v>
      </c>
      <c r="R225" s="56" t="s">
        <v>639</v>
      </c>
      <c r="S225" s="56" t="s">
        <v>893</v>
      </c>
      <c r="T225" s="56" t="s">
        <v>641</v>
      </c>
      <c r="U225" s="56" t="s">
        <v>735</v>
      </c>
      <c r="V225" s="56" t="s">
        <v>643</v>
      </c>
      <c r="W225" s="56">
        <v>49</v>
      </c>
      <c r="X225" s="56" t="s">
        <v>887</v>
      </c>
      <c r="Y225" s="56">
        <v>162</v>
      </c>
      <c r="Z225" s="56" t="s">
        <v>1030</v>
      </c>
      <c r="AA225" s="56" t="s">
        <v>1031</v>
      </c>
      <c r="AB225" s="56" t="s">
        <v>1032</v>
      </c>
      <c r="AC225" s="56" t="s">
        <v>641</v>
      </c>
      <c r="AD225" s="56" t="s">
        <v>893</v>
      </c>
      <c r="AE225" s="56">
        <v>91</v>
      </c>
      <c r="AF225" s="56" t="s">
        <v>736</v>
      </c>
      <c r="AG225" s="56" t="s">
        <v>737</v>
      </c>
      <c r="AH225" s="56" t="s">
        <v>643</v>
      </c>
      <c r="AI225" s="56" t="s">
        <v>735</v>
      </c>
      <c r="AJ225" s="56">
        <v>162</v>
      </c>
      <c r="AK225" s="56" t="s">
        <v>1030</v>
      </c>
      <c r="AL225" s="56">
        <v>98</v>
      </c>
      <c r="AM225" s="56" t="s">
        <v>645</v>
      </c>
      <c r="AN225" s="56" t="s">
        <v>646</v>
      </c>
      <c r="AO225" s="56" t="s">
        <v>647</v>
      </c>
      <c r="AP225" s="56" t="s">
        <v>643</v>
      </c>
      <c r="AQ225" s="56" t="s">
        <v>648</v>
      </c>
      <c r="AR225" s="56">
        <v>162</v>
      </c>
      <c r="AS225" s="56" t="s">
        <v>1030</v>
      </c>
      <c r="AT225" s="56" t="s">
        <v>1031</v>
      </c>
      <c r="AU225" s="56" t="s">
        <v>641</v>
      </c>
      <c r="AV225" s="56" t="s">
        <v>893</v>
      </c>
      <c r="AW225" s="56">
        <v>1083</v>
      </c>
      <c r="AX225" s="56" t="s">
        <v>1913</v>
      </c>
      <c r="AY225" s="56">
        <v>543</v>
      </c>
      <c r="AZ225" s="56" t="s">
        <v>1914</v>
      </c>
      <c r="BA225" s="56" t="s">
        <v>1915</v>
      </c>
      <c r="BB225" s="56" t="s">
        <v>1916</v>
      </c>
      <c r="BC225" s="56">
        <v>1083</v>
      </c>
      <c r="BD225" s="56" t="s">
        <v>1913</v>
      </c>
      <c r="BE225" s="56" t="s">
        <v>1917</v>
      </c>
      <c r="BF225" s="56">
        <v>1083</v>
      </c>
      <c r="BG225" s="56" t="s">
        <v>1913</v>
      </c>
      <c r="BH225" s="56" t="s">
        <v>1917</v>
      </c>
      <c r="BI225" s="56">
        <v>47.78</v>
      </c>
      <c r="BJ225" s="56">
        <v>185771.51</v>
      </c>
      <c r="BK225" s="56">
        <v>47.78</v>
      </c>
      <c r="BL225" s="56" t="s">
        <v>1691</v>
      </c>
      <c r="BM225" s="56">
        <v>3105</v>
      </c>
      <c r="BN225" s="56" t="s">
        <v>786</v>
      </c>
      <c r="BO225" s="56" t="s">
        <v>1918</v>
      </c>
      <c r="BP225" s="56">
        <v>6115.84</v>
      </c>
      <c r="BQ225" s="56">
        <v>5309.04</v>
      </c>
      <c r="BR225" s="56">
        <v>0</v>
      </c>
      <c r="BS225" s="56">
        <v>0</v>
      </c>
      <c r="BT225" s="56">
        <v>4323.34</v>
      </c>
      <c r="BU225" s="56">
        <v>38202</v>
      </c>
      <c r="BV225" s="56">
        <v>162</v>
      </c>
      <c r="BW225" s="56" t="s">
        <v>1030</v>
      </c>
      <c r="BX225" s="56" t="s">
        <v>1919</v>
      </c>
      <c r="BY225" s="56" t="s">
        <v>663</v>
      </c>
      <c r="BZ225" s="56">
        <v>0.25</v>
      </c>
      <c r="CA225" s="56" t="s">
        <v>664</v>
      </c>
      <c r="CB225" s="56" t="s">
        <v>1664</v>
      </c>
      <c r="CC225" s="56" t="s">
        <v>1042</v>
      </c>
      <c r="CD225" s="56" t="s">
        <v>667</v>
      </c>
      <c r="CF225" s="56">
        <v>3458.67</v>
      </c>
      <c r="CG225" s="56">
        <v>80</v>
      </c>
      <c r="CH225" s="56">
        <v>128</v>
      </c>
      <c r="CI225" s="56">
        <v>92.01</v>
      </c>
      <c r="CJ225" s="56">
        <v>18.57</v>
      </c>
      <c r="CK225" s="56">
        <v>5309.04</v>
      </c>
      <c r="CL225" s="56">
        <v>4323.34</v>
      </c>
      <c r="CM225" s="56">
        <v>94.18</v>
      </c>
      <c r="CN225" s="56">
        <v>733.9</v>
      </c>
      <c r="CO225" s="56">
        <v>733.9</v>
      </c>
      <c r="CP225" s="56">
        <v>72.900000000000006</v>
      </c>
      <c r="CQ225" s="56" t="s">
        <v>668</v>
      </c>
      <c r="CR225" s="56">
        <v>0</v>
      </c>
      <c r="CS225" s="56">
        <v>72.900000000000006</v>
      </c>
      <c r="CT225" s="56" t="s">
        <v>669</v>
      </c>
      <c r="CU225" s="56">
        <v>0</v>
      </c>
      <c r="CV225" s="56">
        <v>0</v>
      </c>
      <c r="CX225" s="56">
        <v>965.6</v>
      </c>
      <c r="CY225" s="56">
        <v>0</v>
      </c>
      <c r="CZ225" s="56">
        <v>191.16</v>
      </c>
      <c r="DA225" s="56">
        <v>491.09</v>
      </c>
      <c r="DB225" s="56">
        <v>299.93</v>
      </c>
      <c r="DC225" s="56">
        <v>5117.88</v>
      </c>
      <c r="DD225" s="56">
        <v>132.06</v>
      </c>
      <c r="DE225" s="56">
        <v>0</v>
      </c>
      <c r="DF225" s="56">
        <v>31.92</v>
      </c>
      <c r="DG225" s="56">
        <v>92.89</v>
      </c>
      <c r="DH225" s="56" t="s">
        <v>670</v>
      </c>
      <c r="DI225" s="56" t="s">
        <v>671</v>
      </c>
      <c r="DK225" s="56">
        <v>11.16</v>
      </c>
      <c r="DL225" s="56">
        <v>682.58</v>
      </c>
      <c r="DM225" s="56">
        <v>102</v>
      </c>
      <c r="DO225" s="56" t="s">
        <v>236</v>
      </c>
      <c r="DP225" s="56" t="s">
        <v>673</v>
      </c>
      <c r="DQ225" s="56" t="s">
        <v>674</v>
      </c>
      <c r="DR225" s="56">
        <v>1</v>
      </c>
      <c r="DS225" s="56" t="s">
        <v>1920</v>
      </c>
      <c r="DT225" s="56" t="s">
        <v>1921</v>
      </c>
      <c r="DU225" s="56">
        <v>36</v>
      </c>
      <c r="DV225" s="56" t="s">
        <v>677</v>
      </c>
      <c r="DW225" s="56">
        <v>280</v>
      </c>
      <c r="DX225" s="56" t="s">
        <v>678</v>
      </c>
      <c r="DY225" s="56" t="s">
        <v>679</v>
      </c>
      <c r="ED225" s="56">
        <v>2</v>
      </c>
      <c r="EE225" s="56" t="s">
        <v>639</v>
      </c>
      <c r="EF225" s="56">
        <v>2</v>
      </c>
      <c r="EG225" s="56" t="s">
        <v>639</v>
      </c>
      <c r="EH225" s="56">
        <v>2</v>
      </c>
      <c r="EI225" s="56" t="s">
        <v>639</v>
      </c>
      <c r="EJ225" s="56">
        <v>2</v>
      </c>
      <c r="EK225" s="56" t="s">
        <v>639</v>
      </c>
      <c r="EL225" s="56">
        <v>25</v>
      </c>
      <c r="EM225" s="56">
        <v>15</v>
      </c>
      <c r="EN225" s="56">
        <v>4779</v>
      </c>
      <c r="EO225" s="56">
        <v>1805</v>
      </c>
      <c r="EP225" s="56" t="s">
        <v>1234</v>
      </c>
      <c r="EQ225" s="56" t="s">
        <v>1693</v>
      </c>
      <c r="ER225" s="56" t="s">
        <v>902</v>
      </c>
      <c r="ES225" s="56">
        <v>2</v>
      </c>
      <c r="ET225" s="56" t="s">
        <v>682</v>
      </c>
      <c r="EU225" s="56" t="s">
        <v>683</v>
      </c>
      <c r="EV225" s="56" t="s">
        <v>683</v>
      </c>
      <c r="FD225" s="56" t="s">
        <v>1922</v>
      </c>
      <c r="FK225" s="56">
        <v>0</v>
      </c>
    </row>
    <row r="226" spans="1:167" x14ac:dyDescent="0.2">
      <c r="A226" s="56">
        <v>29168</v>
      </c>
      <c r="B226" s="56">
        <v>2</v>
      </c>
      <c r="C226" s="56">
        <v>6352</v>
      </c>
      <c r="D226" s="56" t="s">
        <v>634</v>
      </c>
      <c r="E226" s="56" t="s">
        <v>635</v>
      </c>
      <c r="K226" s="56" t="s">
        <v>1923</v>
      </c>
      <c r="L226" s="56" t="s">
        <v>637</v>
      </c>
      <c r="M226" s="56">
        <v>44951</v>
      </c>
      <c r="N226" s="56">
        <v>44953</v>
      </c>
      <c r="O226" s="56">
        <v>38</v>
      </c>
      <c r="P226" s="56" t="s">
        <v>638</v>
      </c>
      <c r="Q226" s="56">
        <v>2</v>
      </c>
      <c r="R226" s="56" t="s">
        <v>639</v>
      </c>
      <c r="S226" s="56" t="s">
        <v>640</v>
      </c>
      <c r="T226" s="56" t="s">
        <v>641</v>
      </c>
      <c r="U226" s="56" t="s">
        <v>1227</v>
      </c>
      <c r="V226" s="56" t="s">
        <v>643</v>
      </c>
      <c r="W226" s="56">
        <v>49</v>
      </c>
      <c r="X226" s="56" t="s">
        <v>887</v>
      </c>
      <c r="Y226" s="56">
        <v>756</v>
      </c>
      <c r="Z226" s="56" t="s">
        <v>1779</v>
      </c>
      <c r="AB226" s="56" t="s">
        <v>1780</v>
      </c>
      <c r="AC226" s="56" t="s">
        <v>1757</v>
      </c>
      <c r="AD226" s="56" t="s">
        <v>1758</v>
      </c>
      <c r="AE226" s="56">
        <v>52</v>
      </c>
      <c r="AF226" s="56" t="s">
        <v>1228</v>
      </c>
      <c r="AG226" s="56" t="s">
        <v>1229</v>
      </c>
      <c r="AH226" s="56" t="s">
        <v>643</v>
      </c>
      <c r="AI226" s="56" t="s">
        <v>1227</v>
      </c>
      <c r="AJ226" s="56">
        <v>139</v>
      </c>
      <c r="AK226" s="56" t="s">
        <v>651</v>
      </c>
      <c r="AL226" s="56">
        <v>52</v>
      </c>
      <c r="AM226" s="56" t="s">
        <v>1228</v>
      </c>
      <c r="AN226" s="56" t="s">
        <v>1229</v>
      </c>
      <c r="AO226" s="56" t="s">
        <v>1230</v>
      </c>
      <c r="AP226" s="56" t="s">
        <v>643</v>
      </c>
      <c r="AQ226" s="56" t="s">
        <v>1227</v>
      </c>
      <c r="AR226" s="56">
        <v>52</v>
      </c>
      <c r="AS226" s="56" t="s">
        <v>1228</v>
      </c>
      <c r="AT226" s="56" t="s">
        <v>1229</v>
      </c>
      <c r="AU226" s="56" t="s">
        <v>643</v>
      </c>
      <c r="AV226" s="56" t="s">
        <v>1227</v>
      </c>
      <c r="AW226" s="56">
        <v>172</v>
      </c>
      <c r="AX226" s="56" t="s">
        <v>739</v>
      </c>
      <c r="AY226" s="56">
        <v>153</v>
      </c>
      <c r="AZ226" s="56" t="s">
        <v>740</v>
      </c>
      <c r="BA226" s="56" t="s">
        <v>741</v>
      </c>
      <c r="BB226" s="56" t="s">
        <v>742</v>
      </c>
      <c r="BC226" s="56">
        <v>171</v>
      </c>
      <c r="BD226" s="56" t="s">
        <v>739</v>
      </c>
      <c r="BE226" s="56" t="s">
        <v>743</v>
      </c>
      <c r="BF226" s="56">
        <v>171</v>
      </c>
      <c r="BG226" s="56" t="s">
        <v>739</v>
      </c>
      <c r="BH226" s="56" t="s">
        <v>743</v>
      </c>
      <c r="BI226" s="56">
        <v>38.159999999999997</v>
      </c>
      <c r="BJ226" s="56">
        <v>91754.19</v>
      </c>
      <c r="BK226" s="56">
        <v>38.159999999999997</v>
      </c>
      <c r="BL226" s="56" t="s">
        <v>897</v>
      </c>
      <c r="BM226" s="56">
        <v>3102</v>
      </c>
      <c r="BN226" s="56" t="s">
        <v>744</v>
      </c>
      <c r="BO226" s="56" t="s">
        <v>745</v>
      </c>
      <c r="BP226" s="56">
        <v>6868.8</v>
      </c>
      <c r="BQ226" s="56">
        <v>5979.74</v>
      </c>
      <c r="BR226" s="56">
        <v>0</v>
      </c>
      <c r="BS226" s="56">
        <v>0</v>
      </c>
      <c r="BT226" s="56">
        <v>4857.84</v>
      </c>
      <c r="BU226" s="56">
        <v>5863</v>
      </c>
      <c r="BV226" s="56">
        <v>52</v>
      </c>
      <c r="BW226" s="56" t="s">
        <v>1228</v>
      </c>
      <c r="BX226" s="56" t="s">
        <v>1924</v>
      </c>
      <c r="BY226" s="56" t="s">
        <v>663</v>
      </c>
      <c r="BZ226" s="56">
        <v>0.5</v>
      </c>
      <c r="CA226" s="56" t="s">
        <v>1587</v>
      </c>
      <c r="CB226" s="56" t="s">
        <v>1782</v>
      </c>
      <c r="CC226" s="56" t="s">
        <v>1925</v>
      </c>
      <c r="CD226" s="56" t="s">
        <v>667</v>
      </c>
      <c r="CF226" s="56">
        <v>3886.27</v>
      </c>
      <c r="CG226" s="56">
        <v>80</v>
      </c>
      <c r="CH226" s="56">
        <v>180</v>
      </c>
      <c r="CI226" s="56">
        <v>129</v>
      </c>
      <c r="CJ226" s="56">
        <v>18.760000000000002</v>
      </c>
      <c r="CK226" s="56">
        <v>5979.74</v>
      </c>
      <c r="CL226" s="56">
        <v>4857.84</v>
      </c>
      <c r="CM226" s="56">
        <v>40.68</v>
      </c>
      <c r="CN226" s="56">
        <v>824.26</v>
      </c>
      <c r="CO226" s="56">
        <v>824.26</v>
      </c>
      <c r="CP226" s="56">
        <v>64.8</v>
      </c>
      <c r="CQ226" s="56" t="s">
        <v>668</v>
      </c>
      <c r="CR226" s="56">
        <v>0</v>
      </c>
      <c r="CS226" s="56">
        <v>64.8</v>
      </c>
      <c r="CT226" s="56" t="s">
        <v>669</v>
      </c>
      <c r="CU226" s="56">
        <v>0</v>
      </c>
      <c r="CV226" s="56">
        <v>0</v>
      </c>
      <c r="CX226" s="56">
        <v>1098.7</v>
      </c>
      <c r="CY226" s="56">
        <v>0</v>
      </c>
      <c r="CZ226" s="56">
        <v>216.11</v>
      </c>
      <c r="DA226" s="56">
        <v>553.13</v>
      </c>
      <c r="DB226" s="56">
        <v>337.02</v>
      </c>
      <c r="DC226" s="56">
        <v>5763.63</v>
      </c>
      <c r="DD226" s="56">
        <v>187.39</v>
      </c>
      <c r="DE226" s="56">
        <v>0</v>
      </c>
      <c r="DF226" s="56">
        <v>15.76</v>
      </c>
      <c r="DG226" s="56">
        <v>45.88</v>
      </c>
      <c r="DH226" s="56" t="s">
        <v>670</v>
      </c>
      <c r="DI226" s="56" t="s">
        <v>671</v>
      </c>
      <c r="DK226" s="56">
        <v>10.46</v>
      </c>
      <c r="DL226" s="56">
        <v>718.4</v>
      </c>
      <c r="DM226" s="56">
        <v>60</v>
      </c>
      <c r="DN226" s="56">
        <v>4501411977</v>
      </c>
      <c r="DO226" s="56" t="s">
        <v>236</v>
      </c>
      <c r="DP226" s="56" t="s">
        <v>673</v>
      </c>
      <c r="DQ226" s="56" t="s">
        <v>674</v>
      </c>
      <c r="DR226" s="56">
        <v>1</v>
      </c>
      <c r="DS226" s="56" t="s">
        <v>1926</v>
      </c>
      <c r="DT226" s="56" t="s">
        <v>1927</v>
      </c>
      <c r="DU226" s="56">
        <v>36</v>
      </c>
      <c r="DV226" s="56" t="s">
        <v>677</v>
      </c>
      <c r="DW226" s="56">
        <v>380</v>
      </c>
      <c r="DX226" s="56" t="s">
        <v>678</v>
      </c>
      <c r="DY226" s="56" t="s">
        <v>679</v>
      </c>
      <c r="ED226" s="56">
        <v>2</v>
      </c>
      <c r="EE226" s="56" t="s">
        <v>639</v>
      </c>
      <c r="EF226" s="56">
        <v>2</v>
      </c>
      <c r="EG226" s="56" t="s">
        <v>639</v>
      </c>
      <c r="EH226" s="56">
        <v>2</v>
      </c>
      <c r="EI226" s="56" t="s">
        <v>639</v>
      </c>
      <c r="EJ226" s="56">
        <v>2</v>
      </c>
      <c r="EK226" s="56" t="s">
        <v>639</v>
      </c>
      <c r="EL226" s="56">
        <v>25</v>
      </c>
      <c r="EM226" s="56">
        <v>15</v>
      </c>
      <c r="EN226" s="56">
        <v>5173</v>
      </c>
      <c r="EO226" s="56">
        <v>2420</v>
      </c>
      <c r="EP226" s="56" t="s">
        <v>1234</v>
      </c>
      <c r="EQ226" s="56" t="s">
        <v>1783</v>
      </c>
      <c r="ER226" s="56" t="s">
        <v>1764</v>
      </c>
      <c r="ES226" s="56">
        <v>2</v>
      </c>
      <c r="ET226" s="56" t="s">
        <v>682</v>
      </c>
      <c r="EU226" s="56" t="s">
        <v>683</v>
      </c>
      <c r="EV226" s="56" t="s">
        <v>683</v>
      </c>
      <c r="FD226" s="56" t="s">
        <v>1928</v>
      </c>
      <c r="FK226" s="56">
        <v>0</v>
      </c>
    </row>
    <row r="227" spans="1:167" x14ac:dyDescent="0.2">
      <c r="A227" s="56">
        <v>29744</v>
      </c>
      <c r="B227" s="56">
        <v>1</v>
      </c>
      <c r="C227" s="56">
        <v>5352</v>
      </c>
      <c r="D227" s="56" t="s">
        <v>634</v>
      </c>
      <c r="E227" s="56" t="s">
        <v>635</v>
      </c>
      <c r="K227" s="56" t="s">
        <v>1929</v>
      </c>
      <c r="L227" s="56" t="s">
        <v>637</v>
      </c>
      <c r="M227" s="56">
        <v>44951</v>
      </c>
      <c r="N227" s="56">
        <v>44953</v>
      </c>
      <c r="O227" s="56">
        <v>2</v>
      </c>
      <c r="P227" s="56" t="s">
        <v>682</v>
      </c>
      <c r="Q227" s="56">
        <v>1</v>
      </c>
      <c r="R227" s="56" t="s">
        <v>809</v>
      </c>
      <c r="S227" s="56" t="s">
        <v>735</v>
      </c>
      <c r="T227" s="56" t="s">
        <v>643</v>
      </c>
      <c r="U227" s="56" t="s">
        <v>642</v>
      </c>
      <c r="V227" s="56" t="s">
        <v>643</v>
      </c>
      <c r="W227" s="56">
        <v>46</v>
      </c>
      <c r="X227" s="56" t="s">
        <v>811</v>
      </c>
      <c r="Y227" s="56">
        <v>91</v>
      </c>
      <c r="Z227" s="56" t="s">
        <v>736</v>
      </c>
      <c r="AA227" s="56" t="s">
        <v>737</v>
      </c>
      <c r="AB227" s="56" t="s">
        <v>738</v>
      </c>
      <c r="AC227" s="56" t="s">
        <v>643</v>
      </c>
      <c r="AD227" s="56" t="s">
        <v>735</v>
      </c>
      <c r="AL227" s="56">
        <v>141</v>
      </c>
      <c r="AM227" s="56" t="s">
        <v>649</v>
      </c>
      <c r="AN227" s="56" t="s">
        <v>650</v>
      </c>
      <c r="AO227" s="56" t="s">
        <v>652</v>
      </c>
      <c r="AP227" s="56" t="s">
        <v>643</v>
      </c>
      <c r="AQ227" s="56" t="s">
        <v>642</v>
      </c>
      <c r="AR227" s="56">
        <v>98</v>
      </c>
      <c r="AS227" s="56" t="s">
        <v>645</v>
      </c>
      <c r="AT227" s="56" t="s">
        <v>646</v>
      </c>
      <c r="AU227" s="56" t="s">
        <v>643</v>
      </c>
      <c r="AV227" s="56" t="s">
        <v>648</v>
      </c>
      <c r="AW227" s="56">
        <v>167</v>
      </c>
      <c r="AX227" s="56" t="s">
        <v>1872</v>
      </c>
      <c r="AY227" s="56">
        <v>142</v>
      </c>
      <c r="AZ227" s="56" t="s">
        <v>1873</v>
      </c>
      <c r="BA227" s="56" t="s">
        <v>1874</v>
      </c>
      <c r="BB227" s="56" t="s">
        <v>1875</v>
      </c>
      <c r="BC227" s="56">
        <v>166</v>
      </c>
      <c r="BD227" s="56" t="s">
        <v>1876</v>
      </c>
      <c r="BE227" s="56" t="s">
        <v>1877</v>
      </c>
      <c r="BF227" s="56">
        <v>166</v>
      </c>
      <c r="BG227" s="56" t="s">
        <v>1876</v>
      </c>
      <c r="BH227" s="56" t="s">
        <v>1877</v>
      </c>
      <c r="BI227" s="56">
        <v>49.27</v>
      </c>
      <c r="BJ227" s="56">
        <v>117987.36</v>
      </c>
      <c r="BK227" s="56">
        <v>49.27</v>
      </c>
      <c r="BL227" s="56" t="s">
        <v>1930</v>
      </c>
      <c r="BM227" s="56">
        <v>3102</v>
      </c>
      <c r="BN227" s="56" t="s">
        <v>660</v>
      </c>
      <c r="BO227" s="56" t="s">
        <v>706</v>
      </c>
      <c r="BP227" s="56">
        <v>1773.72</v>
      </c>
      <c r="BQ227" s="56">
        <v>1773.72</v>
      </c>
      <c r="BR227" s="56">
        <v>0</v>
      </c>
      <c r="BS227" s="56">
        <v>0</v>
      </c>
      <c r="BT227" s="56">
        <v>1478.1</v>
      </c>
      <c r="BU227" s="56">
        <v>245542</v>
      </c>
      <c r="BV227" s="56">
        <v>98</v>
      </c>
      <c r="BW227" s="56" t="s">
        <v>645</v>
      </c>
      <c r="BX227" s="56" t="s">
        <v>1931</v>
      </c>
      <c r="BY227" s="56" t="s">
        <v>663</v>
      </c>
      <c r="BZ227" s="56">
        <v>0.25</v>
      </c>
      <c r="CA227" s="56" t="s">
        <v>664</v>
      </c>
      <c r="CB227" s="56" t="s">
        <v>1932</v>
      </c>
      <c r="CC227" s="56" t="s">
        <v>1933</v>
      </c>
      <c r="CD227" s="56" t="s">
        <v>667</v>
      </c>
      <c r="CF227" s="56">
        <v>0</v>
      </c>
      <c r="CG227" s="56">
        <v>0</v>
      </c>
      <c r="CH227" s="56">
        <v>36</v>
      </c>
      <c r="CI227" s="56">
        <v>30</v>
      </c>
      <c r="CJ227" s="56">
        <v>16.670000000000002</v>
      </c>
      <c r="CK227" s="56">
        <v>1773.72</v>
      </c>
      <c r="CL227" s="56">
        <v>1478.1</v>
      </c>
      <c r="CM227" s="56">
        <v>26.7</v>
      </c>
      <c r="CN227" s="56">
        <v>0</v>
      </c>
      <c r="CO227" s="56">
        <v>0</v>
      </c>
      <c r="CP227" s="56">
        <v>0</v>
      </c>
      <c r="CQ227" s="56" t="s">
        <v>708</v>
      </c>
      <c r="CR227" s="56">
        <v>0</v>
      </c>
      <c r="CS227" s="56">
        <v>0</v>
      </c>
      <c r="CT227" s="56" t="s">
        <v>1224</v>
      </c>
      <c r="CU227" s="56">
        <v>0</v>
      </c>
      <c r="CV227" s="56">
        <v>0</v>
      </c>
      <c r="CX227" s="56">
        <v>288.66000000000003</v>
      </c>
      <c r="CY227" s="56">
        <v>0</v>
      </c>
      <c r="CZ227" s="56">
        <v>61.53</v>
      </c>
      <c r="DA227" s="56">
        <v>164.07</v>
      </c>
      <c r="DB227" s="56">
        <v>102.54</v>
      </c>
      <c r="DC227" s="56">
        <v>1712.19</v>
      </c>
      <c r="DD227" s="56">
        <v>-32.01</v>
      </c>
      <c r="DE227" s="56">
        <v>0</v>
      </c>
      <c r="DF227" s="56">
        <v>20.02</v>
      </c>
      <c r="DG227" s="56">
        <v>58.99</v>
      </c>
      <c r="DH227" s="56" t="s">
        <v>670</v>
      </c>
      <c r="DI227" s="56" t="s">
        <v>671</v>
      </c>
      <c r="DK227" s="56">
        <v>15.39</v>
      </c>
      <c r="DL227" s="56">
        <v>273.06</v>
      </c>
      <c r="DO227" s="56" t="s">
        <v>236</v>
      </c>
      <c r="DQ227" s="56" t="s">
        <v>674</v>
      </c>
      <c r="DR227" s="56">
        <v>2</v>
      </c>
      <c r="DS227" s="56" t="s">
        <v>1934</v>
      </c>
      <c r="DT227" s="56" t="s">
        <v>1935</v>
      </c>
      <c r="DU227" s="56">
        <v>36</v>
      </c>
      <c r="DV227" s="56" t="s">
        <v>677</v>
      </c>
      <c r="DX227" s="56" t="s">
        <v>678</v>
      </c>
      <c r="DY227" s="56" t="s">
        <v>679</v>
      </c>
      <c r="ED227" s="56">
        <v>1</v>
      </c>
      <c r="EE227" s="56" t="s">
        <v>809</v>
      </c>
      <c r="EF227" s="56">
        <v>1</v>
      </c>
      <c r="EG227" s="56" t="s">
        <v>809</v>
      </c>
      <c r="EH227" s="56">
        <v>1</v>
      </c>
      <c r="EI227" s="56" t="s">
        <v>809</v>
      </c>
      <c r="EJ227" s="56">
        <v>1</v>
      </c>
      <c r="EK227" s="56" t="s">
        <v>809</v>
      </c>
      <c r="EL227" s="56">
        <v>15</v>
      </c>
      <c r="EM227" s="56">
        <v>15</v>
      </c>
      <c r="EN227" s="56">
        <v>1805</v>
      </c>
      <c r="EO227" s="56">
        <v>1622</v>
      </c>
      <c r="EP227" s="56" t="s">
        <v>1234</v>
      </c>
      <c r="EQ227" s="56" t="s">
        <v>1434</v>
      </c>
      <c r="ER227" s="56" t="s">
        <v>1700</v>
      </c>
      <c r="ES227" s="56">
        <v>2</v>
      </c>
      <c r="ET227" s="56" t="s">
        <v>682</v>
      </c>
      <c r="EU227" s="56" t="s">
        <v>683</v>
      </c>
      <c r="EV227" s="56" t="s">
        <v>683</v>
      </c>
      <c r="FD227" s="56" t="s">
        <v>1936</v>
      </c>
      <c r="FK227" s="56">
        <v>0</v>
      </c>
    </row>
    <row r="228" spans="1:167" x14ac:dyDescent="0.2">
      <c r="A228" s="56">
        <v>29169</v>
      </c>
      <c r="B228" s="56">
        <v>2</v>
      </c>
      <c r="C228" s="56">
        <v>6352</v>
      </c>
      <c r="D228" s="56" t="s">
        <v>634</v>
      </c>
      <c r="E228" s="56" t="s">
        <v>635</v>
      </c>
      <c r="K228" s="56" t="s">
        <v>1937</v>
      </c>
      <c r="L228" s="56" t="s">
        <v>637</v>
      </c>
      <c r="M228" s="56">
        <v>44952</v>
      </c>
      <c r="N228" s="56">
        <v>44954</v>
      </c>
      <c r="O228" s="56">
        <v>38</v>
      </c>
      <c r="P228" s="56" t="s">
        <v>638</v>
      </c>
      <c r="Q228" s="56">
        <v>2</v>
      </c>
      <c r="R228" s="56" t="s">
        <v>639</v>
      </c>
      <c r="S228" s="56" t="s">
        <v>640</v>
      </c>
      <c r="T228" s="56" t="s">
        <v>641</v>
      </c>
      <c r="U228" s="56" t="s">
        <v>1227</v>
      </c>
      <c r="V228" s="56" t="s">
        <v>643</v>
      </c>
      <c r="W228" s="56">
        <v>49</v>
      </c>
      <c r="X228" s="56" t="s">
        <v>887</v>
      </c>
      <c r="Y228" s="56">
        <v>505</v>
      </c>
      <c r="Z228" s="56" t="s">
        <v>1755</v>
      </c>
      <c r="AB228" s="56" t="s">
        <v>1756</v>
      </c>
      <c r="AC228" s="56" t="s">
        <v>1757</v>
      </c>
      <c r="AD228" s="56" t="s">
        <v>1758</v>
      </c>
      <c r="AE228" s="56">
        <v>52</v>
      </c>
      <c r="AF228" s="56" t="s">
        <v>1228</v>
      </c>
      <c r="AG228" s="56" t="s">
        <v>1229</v>
      </c>
      <c r="AH228" s="56" t="s">
        <v>643</v>
      </c>
      <c r="AI228" s="56" t="s">
        <v>1227</v>
      </c>
      <c r="AJ228" s="56">
        <v>431</v>
      </c>
      <c r="AK228" s="56" t="s">
        <v>1759</v>
      </c>
      <c r="AL228" s="56">
        <v>52</v>
      </c>
      <c r="AM228" s="56" t="s">
        <v>1228</v>
      </c>
      <c r="AN228" s="56" t="s">
        <v>1229</v>
      </c>
      <c r="AO228" s="56" t="s">
        <v>1230</v>
      </c>
      <c r="AP228" s="56" t="s">
        <v>643</v>
      </c>
      <c r="AQ228" s="56" t="s">
        <v>1227</v>
      </c>
      <c r="AR228" s="56">
        <v>52</v>
      </c>
      <c r="AS228" s="56" t="s">
        <v>1228</v>
      </c>
      <c r="AT228" s="56" t="s">
        <v>1229</v>
      </c>
      <c r="AU228" s="56" t="s">
        <v>643</v>
      </c>
      <c r="AV228" s="56" t="s">
        <v>1227</v>
      </c>
      <c r="AW228" s="56">
        <v>604</v>
      </c>
      <c r="AX228" s="56" t="s">
        <v>1938</v>
      </c>
      <c r="AY228" s="56">
        <v>448</v>
      </c>
      <c r="AZ228" s="56" t="s">
        <v>1939</v>
      </c>
      <c r="BA228" s="56" t="s">
        <v>1940</v>
      </c>
      <c r="BB228" s="56" t="s">
        <v>1941</v>
      </c>
      <c r="BC228" s="56">
        <v>442</v>
      </c>
      <c r="BD228" s="56" t="s">
        <v>1942</v>
      </c>
      <c r="BE228" s="56" t="s">
        <v>1943</v>
      </c>
      <c r="BF228" s="56">
        <v>442</v>
      </c>
      <c r="BG228" s="56" t="s">
        <v>1942</v>
      </c>
      <c r="BH228" s="56" t="s">
        <v>1943</v>
      </c>
      <c r="BI228" s="56">
        <v>38.08</v>
      </c>
      <c r="BJ228" s="56">
        <v>102092.1</v>
      </c>
      <c r="BK228" s="56">
        <v>38.08</v>
      </c>
      <c r="BL228" s="56" t="s">
        <v>1760</v>
      </c>
      <c r="BM228" s="56">
        <v>3102</v>
      </c>
      <c r="BN228" s="56" t="s">
        <v>744</v>
      </c>
      <c r="BO228" s="56" t="s">
        <v>1944</v>
      </c>
      <c r="BP228" s="56">
        <v>6283.2</v>
      </c>
      <c r="BQ228" s="56">
        <v>5453.62</v>
      </c>
      <c r="BR228" s="56">
        <v>0</v>
      </c>
      <c r="BS228" s="56">
        <v>0</v>
      </c>
      <c r="BT228" s="56">
        <v>4113.2</v>
      </c>
      <c r="BU228" s="56">
        <v>4207</v>
      </c>
      <c r="BV228" s="56">
        <v>52</v>
      </c>
      <c r="BW228" s="56" t="s">
        <v>1228</v>
      </c>
      <c r="BX228" s="56" t="s">
        <v>1945</v>
      </c>
      <c r="BY228" s="56" t="s">
        <v>663</v>
      </c>
      <c r="BZ228" s="56">
        <v>0.5</v>
      </c>
      <c r="CA228" s="56" t="s">
        <v>1587</v>
      </c>
      <c r="CB228" s="56" t="s">
        <v>1762</v>
      </c>
      <c r="CC228" s="56" t="s">
        <v>789</v>
      </c>
      <c r="CD228" s="56" t="s">
        <v>667</v>
      </c>
      <c r="CF228" s="56">
        <v>3290.56</v>
      </c>
      <c r="CG228" s="56">
        <v>80</v>
      </c>
      <c r="CH228" s="56">
        <v>165</v>
      </c>
      <c r="CI228" s="56">
        <v>110</v>
      </c>
      <c r="CJ228" s="56">
        <v>24.58</v>
      </c>
      <c r="CK228" s="56">
        <v>5453.62</v>
      </c>
      <c r="CL228" s="56">
        <v>4113.2</v>
      </c>
      <c r="CM228" s="56">
        <v>92.81</v>
      </c>
      <c r="CN228" s="56">
        <v>753.98</v>
      </c>
      <c r="CO228" s="56">
        <v>753.98</v>
      </c>
      <c r="CP228" s="56">
        <v>75.599999999999994</v>
      </c>
      <c r="CQ228" s="56" t="s">
        <v>668</v>
      </c>
      <c r="CR228" s="56">
        <v>0</v>
      </c>
      <c r="CS228" s="56">
        <v>75.599999999999994</v>
      </c>
      <c r="CT228" s="56" t="s">
        <v>669</v>
      </c>
      <c r="CU228" s="56">
        <v>0</v>
      </c>
      <c r="CV228" s="56">
        <v>0</v>
      </c>
      <c r="CX228" s="56">
        <v>1320.57</v>
      </c>
      <c r="CY228" s="56">
        <v>0</v>
      </c>
      <c r="CZ228" s="56">
        <v>123.99</v>
      </c>
      <c r="DA228" s="56">
        <v>504.46</v>
      </c>
      <c r="DB228" s="56">
        <v>380.47</v>
      </c>
      <c r="DC228" s="56">
        <v>5329.63</v>
      </c>
      <c r="DD228" s="56">
        <v>-13.66</v>
      </c>
      <c r="DE228" s="56">
        <v>0</v>
      </c>
      <c r="DF228" s="56">
        <v>17.54</v>
      </c>
      <c r="DG228" s="56">
        <v>51.05</v>
      </c>
      <c r="DH228" s="56" t="s">
        <v>670</v>
      </c>
      <c r="DI228" s="56" t="s">
        <v>671</v>
      </c>
      <c r="DK228" s="56">
        <v>19.89</v>
      </c>
      <c r="DL228" s="56">
        <v>1249.94</v>
      </c>
      <c r="DM228" s="56">
        <v>98</v>
      </c>
      <c r="DN228" s="56">
        <v>4501411725</v>
      </c>
      <c r="DO228" s="56" t="s">
        <v>236</v>
      </c>
      <c r="DP228" s="56" t="s">
        <v>673</v>
      </c>
      <c r="DQ228" s="56" t="s">
        <v>674</v>
      </c>
      <c r="DR228" s="56">
        <v>3</v>
      </c>
      <c r="DS228" s="56" t="s">
        <v>1946</v>
      </c>
      <c r="DT228" s="56" t="s">
        <v>1947</v>
      </c>
      <c r="DU228" s="56">
        <v>36</v>
      </c>
      <c r="DV228" s="56" t="s">
        <v>677</v>
      </c>
      <c r="DW228" s="56">
        <v>380</v>
      </c>
      <c r="DX228" s="56" t="s">
        <v>678</v>
      </c>
      <c r="DY228" s="56" t="s">
        <v>679</v>
      </c>
      <c r="ED228" s="56">
        <v>2</v>
      </c>
      <c r="EE228" s="56" t="s">
        <v>639</v>
      </c>
      <c r="EF228" s="56">
        <v>2</v>
      </c>
      <c r="EG228" s="56" t="s">
        <v>639</v>
      </c>
      <c r="EH228" s="56">
        <v>2</v>
      </c>
      <c r="EI228" s="56" t="s">
        <v>639</v>
      </c>
      <c r="EJ228" s="56">
        <v>2</v>
      </c>
      <c r="EK228" s="56" t="s">
        <v>639</v>
      </c>
      <c r="EL228" s="56">
        <v>25</v>
      </c>
      <c r="EM228" s="56">
        <v>15</v>
      </c>
      <c r="EN228" s="56">
        <v>5173</v>
      </c>
      <c r="EO228" s="56">
        <v>2420</v>
      </c>
      <c r="EP228" s="56" t="s">
        <v>1234</v>
      </c>
      <c r="EQ228" s="56" t="s">
        <v>1763</v>
      </c>
      <c r="ER228" s="56" t="s">
        <v>1764</v>
      </c>
      <c r="ES228" s="56">
        <v>2</v>
      </c>
      <c r="ET228" s="56" t="s">
        <v>682</v>
      </c>
      <c r="EU228" s="56" t="s">
        <v>683</v>
      </c>
      <c r="EV228" s="56" t="s">
        <v>683</v>
      </c>
      <c r="FD228" s="56" t="s">
        <v>1948</v>
      </c>
      <c r="FK228" s="56">
        <v>0</v>
      </c>
    </row>
    <row r="229" spans="1:167" x14ac:dyDescent="0.2">
      <c r="A229" s="56">
        <v>29170</v>
      </c>
      <c r="B229" s="56">
        <v>2</v>
      </c>
      <c r="C229" s="56">
        <v>6352</v>
      </c>
      <c r="D229" s="56" t="s">
        <v>634</v>
      </c>
      <c r="E229" s="56" t="s">
        <v>635</v>
      </c>
      <c r="K229" s="56" t="s">
        <v>1949</v>
      </c>
      <c r="L229" s="56" t="s">
        <v>637</v>
      </c>
      <c r="M229" s="56">
        <v>44952</v>
      </c>
      <c r="N229" s="56">
        <v>44954</v>
      </c>
      <c r="O229" s="56">
        <v>38</v>
      </c>
      <c r="P229" s="56" t="s">
        <v>638</v>
      </c>
      <c r="Q229" s="56">
        <v>2</v>
      </c>
      <c r="R229" s="56" t="s">
        <v>639</v>
      </c>
      <c r="S229" s="56" t="s">
        <v>640</v>
      </c>
      <c r="T229" s="56" t="s">
        <v>641</v>
      </c>
      <c r="U229" s="56" t="s">
        <v>1058</v>
      </c>
      <c r="V229" s="56" t="s">
        <v>643</v>
      </c>
      <c r="W229" s="56">
        <v>49</v>
      </c>
      <c r="X229" s="56" t="s">
        <v>887</v>
      </c>
      <c r="Y229" s="56">
        <v>208</v>
      </c>
      <c r="Z229" s="56" t="s">
        <v>1062</v>
      </c>
      <c r="AA229" s="56" t="s">
        <v>1063</v>
      </c>
      <c r="AB229" s="56" t="s">
        <v>1064</v>
      </c>
      <c r="AC229" s="56" t="s">
        <v>643</v>
      </c>
      <c r="AD229" s="56" t="s">
        <v>1058</v>
      </c>
      <c r="AE229" s="56">
        <v>208</v>
      </c>
      <c r="AF229" s="56" t="s">
        <v>1062</v>
      </c>
      <c r="AG229" s="56" t="s">
        <v>1063</v>
      </c>
      <c r="AH229" s="56" t="s">
        <v>643</v>
      </c>
      <c r="AI229" s="56" t="s">
        <v>1058</v>
      </c>
      <c r="AJ229" s="56">
        <v>205</v>
      </c>
      <c r="AK229" s="56" t="s">
        <v>1810</v>
      </c>
      <c r="AL229" s="56">
        <v>208</v>
      </c>
      <c r="AM229" s="56" t="s">
        <v>1062</v>
      </c>
      <c r="AN229" s="56" t="s">
        <v>1063</v>
      </c>
      <c r="AO229" s="56" t="s">
        <v>1064</v>
      </c>
      <c r="AP229" s="56" t="s">
        <v>643</v>
      </c>
      <c r="AQ229" s="56" t="s">
        <v>1058</v>
      </c>
      <c r="AR229" s="56">
        <v>208</v>
      </c>
      <c r="AS229" s="56" t="s">
        <v>1062</v>
      </c>
      <c r="AT229" s="56" t="s">
        <v>1063</v>
      </c>
      <c r="AU229" s="56" t="s">
        <v>643</v>
      </c>
      <c r="AV229" s="56" t="s">
        <v>1058</v>
      </c>
      <c r="AW229" s="56">
        <v>50</v>
      </c>
      <c r="AX229" s="56" t="s">
        <v>881</v>
      </c>
      <c r="AY229" s="56">
        <v>77</v>
      </c>
      <c r="AZ229" s="56" t="s">
        <v>131</v>
      </c>
      <c r="BA229" s="56" t="s">
        <v>882</v>
      </c>
      <c r="BB229" s="56" t="s">
        <v>770</v>
      </c>
      <c r="BC229" s="56">
        <v>38</v>
      </c>
      <c r="BD229" s="56" t="s">
        <v>289</v>
      </c>
      <c r="BE229" s="56" t="s">
        <v>771</v>
      </c>
      <c r="BF229" s="56">
        <v>2</v>
      </c>
      <c r="BG229" s="56" t="s">
        <v>289</v>
      </c>
      <c r="BH229" s="56" t="s">
        <v>772</v>
      </c>
      <c r="BI229" s="56">
        <v>48.15</v>
      </c>
      <c r="BJ229" s="56">
        <v>121194.99</v>
      </c>
      <c r="BK229" s="56">
        <v>48.15</v>
      </c>
      <c r="BL229" s="56" t="s">
        <v>897</v>
      </c>
      <c r="BM229" s="56">
        <v>3102</v>
      </c>
      <c r="BN229" s="56" t="s">
        <v>786</v>
      </c>
      <c r="BO229" s="56" t="s">
        <v>883</v>
      </c>
      <c r="BP229" s="56">
        <v>8089.2</v>
      </c>
      <c r="BQ229" s="56">
        <v>7021.3</v>
      </c>
      <c r="BR229" s="56">
        <v>0</v>
      </c>
      <c r="BS229" s="56">
        <v>0</v>
      </c>
      <c r="BT229" s="56">
        <v>0</v>
      </c>
      <c r="BU229" s="56">
        <v>20431</v>
      </c>
      <c r="BV229" s="56">
        <v>208</v>
      </c>
      <c r="BW229" s="56" t="s">
        <v>1062</v>
      </c>
      <c r="BX229" s="56" t="s">
        <v>1950</v>
      </c>
      <c r="BY229" s="56" t="s">
        <v>663</v>
      </c>
      <c r="BZ229" s="56">
        <v>0.5</v>
      </c>
      <c r="CA229" s="56" t="s">
        <v>664</v>
      </c>
      <c r="CB229" s="56" t="s">
        <v>1812</v>
      </c>
      <c r="CD229" s="56" t="s">
        <v>667</v>
      </c>
      <c r="CG229" s="56">
        <v>0</v>
      </c>
      <c r="CH229" s="56">
        <v>168</v>
      </c>
      <c r="CJ229" s="56">
        <v>100</v>
      </c>
      <c r="CK229" s="56">
        <v>7021.3</v>
      </c>
      <c r="CL229" s="56">
        <v>0</v>
      </c>
      <c r="CN229" s="56">
        <v>970.7</v>
      </c>
      <c r="CO229" s="56">
        <v>970.7</v>
      </c>
      <c r="CP229" s="56">
        <v>97.2</v>
      </c>
      <c r="CQ229" s="56" t="s">
        <v>668</v>
      </c>
      <c r="CR229" s="56">
        <v>0</v>
      </c>
      <c r="CS229" s="56">
        <v>0</v>
      </c>
      <c r="CV229" s="56">
        <v>0</v>
      </c>
      <c r="CX229" s="56">
        <v>0</v>
      </c>
      <c r="CY229" s="56">
        <v>0</v>
      </c>
      <c r="CZ229" s="56">
        <v>649.47</v>
      </c>
      <c r="DA229" s="56">
        <v>649.47</v>
      </c>
      <c r="DB229" s="56">
        <v>0</v>
      </c>
      <c r="DC229" s="56">
        <v>6371.83</v>
      </c>
      <c r="DD229" s="56">
        <v>20.82</v>
      </c>
      <c r="DE229" s="56">
        <v>0</v>
      </c>
      <c r="DF229" s="56">
        <v>20.82</v>
      </c>
      <c r="DH229" s="56" t="s">
        <v>670</v>
      </c>
      <c r="DI229" s="56" t="s">
        <v>671</v>
      </c>
      <c r="DK229" s="56">
        <v>79.709999999999994</v>
      </c>
      <c r="DL229" s="56">
        <v>6448.21</v>
      </c>
      <c r="DM229" s="56">
        <v>66</v>
      </c>
      <c r="DN229" s="56">
        <v>228623</v>
      </c>
      <c r="DO229" s="56" t="s">
        <v>236</v>
      </c>
      <c r="DQ229" s="56" t="s">
        <v>674</v>
      </c>
      <c r="DR229" s="56">
        <v>3</v>
      </c>
      <c r="DW229" s="56">
        <v>390</v>
      </c>
      <c r="DX229" s="56" t="s">
        <v>678</v>
      </c>
      <c r="DY229" s="56" t="s">
        <v>679</v>
      </c>
      <c r="EL229" s="56">
        <v>25</v>
      </c>
      <c r="EM229" s="56">
        <v>15</v>
      </c>
      <c r="EN229" s="56">
        <v>5173</v>
      </c>
      <c r="EO229" s="56">
        <v>2441</v>
      </c>
      <c r="EP229" s="56">
        <v>6943</v>
      </c>
      <c r="EQ229" s="56" t="s">
        <v>1813</v>
      </c>
      <c r="ER229" s="56" t="s">
        <v>1814</v>
      </c>
      <c r="ES229" s="56">
        <v>2</v>
      </c>
      <c r="ET229" s="56" t="s">
        <v>682</v>
      </c>
      <c r="EU229" s="56" t="s">
        <v>683</v>
      </c>
      <c r="EV229" s="56" t="s">
        <v>683</v>
      </c>
      <c r="FD229" s="56" t="s">
        <v>1951</v>
      </c>
      <c r="FK229" s="56">
        <v>0</v>
      </c>
    </row>
    <row r="230" spans="1:167" x14ac:dyDescent="0.2">
      <c r="A230" s="56">
        <v>29171</v>
      </c>
      <c r="B230" s="56">
        <v>2</v>
      </c>
      <c r="C230" s="56">
        <v>6352</v>
      </c>
      <c r="D230" s="56" t="s">
        <v>634</v>
      </c>
      <c r="E230" s="56" t="s">
        <v>635</v>
      </c>
      <c r="K230" s="56" t="s">
        <v>1952</v>
      </c>
      <c r="L230" s="56" t="s">
        <v>637</v>
      </c>
      <c r="M230" s="56">
        <v>44952</v>
      </c>
      <c r="N230" s="56">
        <v>44954</v>
      </c>
      <c r="O230" s="56">
        <v>38</v>
      </c>
      <c r="P230" s="56" t="s">
        <v>638</v>
      </c>
      <c r="Q230" s="56">
        <v>2</v>
      </c>
      <c r="R230" s="56" t="s">
        <v>639</v>
      </c>
      <c r="S230" s="56" t="s">
        <v>640</v>
      </c>
      <c r="T230" s="56" t="s">
        <v>641</v>
      </c>
      <c r="U230" s="56" t="s">
        <v>1058</v>
      </c>
      <c r="V230" s="56" t="s">
        <v>643</v>
      </c>
      <c r="W230" s="56">
        <v>49</v>
      </c>
      <c r="X230" s="56" t="s">
        <v>887</v>
      </c>
      <c r="Y230" s="56">
        <v>208</v>
      </c>
      <c r="Z230" s="56" t="s">
        <v>1062</v>
      </c>
      <c r="AA230" s="56" t="s">
        <v>1063</v>
      </c>
      <c r="AB230" s="56" t="s">
        <v>1064</v>
      </c>
      <c r="AC230" s="56" t="s">
        <v>643</v>
      </c>
      <c r="AD230" s="56" t="s">
        <v>1058</v>
      </c>
      <c r="AE230" s="56">
        <v>208</v>
      </c>
      <c r="AF230" s="56" t="s">
        <v>1062</v>
      </c>
      <c r="AG230" s="56" t="s">
        <v>1063</v>
      </c>
      <c r="AH230" s="56" t="s">
        <v>643</v>
      </c>
      <c r="AI230" s="56" t="s">
        <v>1058</v>
      </c>
      <c r="AJ230" s="56">
        <v>205</v>
      </c>
      <c r="AK230" s="56" t="s">
        <v>1810</v>
      </c>
      <c r="AL230" s="56">
        <v>208</v>
      </c>
      <c r="AM230" s="56" t="s">
        <v>1062</v>
      </c>
      <c r="AN230" s="56" t="s">
        <v>1063</v>
      </c>
      <c r="AO230" s="56" t="s">
        <v>1064</v>
      </c>
      <c r="AP230" s="56" t="s">
        <v>643</v>
      </c>
      <c r="AQ230" s="56" t="s">
        <v>1058</v>
      </c>
      <c r="AR230" s="56">
        <v>208</v>
      </c>
      <c r="AS230" s="56" t="s">
        <v>1062</v>
      </c>
      <c r="AT230" s="56" t="s">
        <v>1063</v>
      </c>
      <c r="AU230" s="56" t="s">
        <v>643</v>
      </c>
      <c r="AV230" s="56" t="s">
        <v>1058</v>
      </c>
      <c r="AW230" s="56">
        <v>117</v>
      </c>
      <c r="AX230" s="56" t="s">
        <v>848</v>
      </c>
      <c r="AY230" s="56">
        <v>1</v>
      </c>
      <c r="AZ230" s="56" t="s">
        <v>28</v>
      </c>
      <c r="BA230" s="56" t="s">
        <v>849</v>
      </c>
      <c r="BB230" s="56" t="s">
        <v>770</v>
      </c>
      <c r="BC230" s="56">
        <v>38</v>
      </c>
      <c r="BD230" s="56" t="s">
        <v>289</v>
      </c>
      <c r="BE230" s="56" t="s">
        <v>771</v>
      </c>
      <c r="BF230" s="56">
        <v>2</v>
      </c>
      <c r="BG230" s="56" t="s">
        <v>289</v>
      </c>
      <c r="BH230" s="56" t="s">
        <v>772</v>
      </c>
      <c r="BI230" s="56">
        <v>48.49</v>
      </c>
      <c r="BJ230" s="56">
        <v>122050.78</v>
      </c>
      <c r="BK230" s="56">
        <v>48.49</v>
      </c>
      <c r="BL230" s="56" t="s">
        <v>897</v>
      </c>
      <c r="BM230" s="56">
        <v>3102</v>
      </c>
      <c r="BN230" s="56" t="s">
        <v>724</v>
      </c>
      <c r="BO230" s="56" t="s">
        <v>725</v>
      </c>
      <c r="BP230" s="56">
        <v>8146.32</v>
      </c>
      <c r="BQ230" s="56">
        <v>7071.56</v>
      </c>
      <c r="BR230" s="56">
        <v>0</v>
      </c>
      <c r="BS230" s="56">
        <v>0</v>
      </c>
      <c r="BT230" s="56">
        <v>0</v>
      </c>
      <c r="BU230" s="56">
        <v>20436</v>
      </c>
      <c r="BV230" s="56">
        <v>208</v>
      </c>
      <c r="BW230" s="56" t="s">
        <v>1062</v>
      </c>
      <c r="BX230" s="56" t="s">
        <v>1953</v>
      </c>
      <c r="BY230" s="56" t="s">
        <v>663</v>
      </c>
      <c r="BZ230" s="56">
        <v>0.5</v>
      </c>
      <c r="CA230" s="56" t="s">
        <v>664</v>
      </c>
      <c r="CB230" s="56" t="s">
        <v>1812</v>
      </c>
      <c r="CD230" s="56" t="s">
        <v>667</v>
      </c>
      <c r="CG230" s="56">
        <v>0</v>
      </c>
      <c r="CH230" s="56">
        <v>168</v>
      </c>
      <c r="CJ230" s="56">
        <v>100</v>
      </c>
      <c r="CK230" s="56">
        <v>7071.56</v>
      </c>
      <c r="CL230" s="56">
        <v>0</v>
      </c>
      <c r="CN230" s="56">
        <v>977.56</v>
      </c>
      <c r="CO230" s="56">
        <v>977.56</v>
      </c>
      <c r="CP230" s="56">
        <v>97.2</v>
      </c>
      <c r="CQ230" s="56" t="s">
        <v>668</v>
      </c>
      <c r="CR230" s="56">
        <v>0</v>
      </c>
      <c r="CS230" s="56">
        <v>0</v>
      </c>
      <c r="CV230" s="56">
        <v>0</v>
      </c>
      <c r="CX230" s="56">
        <v>0</v>
      </c>
      <c r="CY230" s="56">
        <v>0</v>
      </c>
      <c r="CZ230" s="56">
        <v>654.12</v>
      </c>
      <c r="DA230" s="56">
        <v>654.12</v>
      </c>
      <c r="DB230" s="56">
        <v>0</v>
      </c>
      <c r="DC230" s="56">
        <v>6417.44</v>
      </c>
      <c r="DD230" s="56">
        <v>20.97</v>
      </c>
      <c r="DE230" s="56">
        <v>0</v>
      </c>
      <c r="DF230" s="56">
        <v>20.97</v>
      </c>
      <c r="DH230" s="56" t="s">
        <v>670</v>
      </c>
      <c r="DI230" s="56" t="s">
        <v>671</v>
      </c>
      <c r="DK230" s="56">
        <v>79.709999999999994</v>
      </c>
      <c r="DL230" s="56">
        <v>6493.67</v>
      </c>
      <c r="DM230" s="56">
        <v>66</v>
      </c>
      <c r="DN230" s="56">
        <v>228623</v>
      </c>
      <c r="DO230" s="56" t="s">
        <v>236</v>
      </c>
      <c r="DQ230" s="56" t="s">
        <v>674</v>
      </c>
      <c r="DR230" s="56">
        <v>3</v>
      </c>
      <c r="DW230" s="56">
        <v>390</v>
      </c>
      <c r="DX230" s="56" t="s">
        <v>678</v>
      </c>
      <c r="DY230" s="56" t="s">
        <v>679</v>
      </c>
      <c r="EL230" s="56">
        <v>25</v>
      </c>
      <c r="EM230" s="56">
        <v>15</v>
      </c>
      <c r="EN230" s="56">
        <v>5173</v>
      </c>
      <c r="EO230" s="56">
        <v>2441</v>
      </c>
      <c r="EP230" s="56">
        <v>6943</v>
      </c>
      <c r="EQ230" s="56" t="s">
        <v>1813</v>
      </c>
      <c r="ER230" s="56" t="s">
        <v>1814</v>
      </c>
      <c r="ES230" s="56">
        <v>2</v>
      </c>
      <c r="ET230" s="56" t="s">
        <v>682</v>
      </c>
      <c r="EU230" s="56" t="s">
        <v>683</v>
      </c>
      <c r="EV230" s="56" t="s">
        <v>683</v>
      </c>
      <c r="FD230" s="56" t="s">
        <v>1954</v>
      </c>
      <c r="FK230" s="56">
        <v>0</v>
      </c>
    </row>
    <row r="231" spans="1:167" x14ac:dyDescent="0.2">
      <c r="A231" s="56">
        <v>29172</v>
      </c>
      <c r="B231" s="56">
        <v>2</v>
      </c>
      <c r="C231" s="56">
        <v>6352</v>
      </c>
      <c r="D231" s="56" t="s">
        <v>634</v>
      </c>
      <c r="E231" s="56" t="s">
        <v>635</v>
      </c>
      <c r="K231" s="56" t="s">
        <v>1955</v>
      </c>
      <c r="L231" s="56" t="s">
        <v>637</v>
      </c>
      <c r="M231" s="56">
        <v>44952</v>
      </c>
      <c r="N231" s="56">
        <v>44954</v>
      </c>
      <c r="O231" s="56">
        <v>38</v>
      </c>
      <c r="P231" s="56" t="s">
        <v>638</v>
      </c>
      <c r="Q231" s="56">
        <v>2</v>
      </c>
      <c r="R231" s="56" t="s">
        <v>639</v>
      </c>
      <c r="S231" s="56" t="s">
        <v>640</v>
      </c>
      <c r="T231" s="56" t="s">
        <v>641</v>
      </c>
      <c r="U231" s="56" t="s">
        <v>1227</v>
      </c>
      <c r="V231" s="56" t="s">
        <v>643</v>
      </c>
      <c r="W231" s="56">
        <v>49</v>
      </c>
      <c r="X231" s="56" t="s">
        <v>887</v>
      </c>
      <c r="Y231" s="56">
        <v>505</v>
      </c>
      <c r="Z231" s="56" t="s">
        <v>1755</v>
      </c>
      <c r="AB231" s="56" t="s">
        <v>1756</v>
      </c>
      <c r="AC231" s="56" t="s">
        <v>1757</v>
      </c>
      <c r="AD231" s="56" t="s">
        <v>1758</v>
      </c>
      <c r="AE231" s="56">
        <v>52</v>
      </c>
      <c r="AF231" s="56" t="s">
        <v>1228</v>
      </c>
      <c r="AG231" s="56" t="s">
        <v>1229</v>
      </c>
      <c r="AH231" s="56" t="s">
        <v>643</v>
      </c>
      <c r="AI231" s="56" t="s">
        <v>1227</v>
      </c>
      <c r="AJ231" s="56">
        <v>431</v>
      </c>
      <c r="AK231" s="56" t="s">
        <v>1759</v>
      </c>
      <c r="AL231" s="56">
        <v>52</v>
      </c>
      <c r="AM231" s="56" t="s">
        <v>1228</v>
      </c>
      <c r="AN231" s="56" t="s">
        <v>1229</v>
      </c>
      <c r="AO231" s="56" t="s">
        <v>1230</v>
      </c>
      <c r="AP231" s="56" t="s">
        <v>643</v>
      </c>
      <c r="AQ231" s="56" t="s">
        <v>1227</v>
      </c>
      <c r="AR231" s="56">
        <v>52</v>
      </c>
      <c r="AS231" s="56" t="s">
        <v>1228</v>
      </c>
      <c r="AT231" s="56" t="s">
        <v>1229</v>
      </c>
      <c r="AU231" s="56" t="s">
        <v>643</v>
      </c>
      <c r="AV231" s="56" t="s">
        <v>1227</v>
      </c>
      <c r="AW231" s="56">
        <v>113</v>
      </c>
      <c r="AX231" s="56" t="s">
        <v>1025</v>
      </c>
      <c r="AY231" s="56">
        <v>43</v>
      </c>
      <c r="AZ231" s="56" t="s">
        <v>126</v>
      </c>
      <c r="BA231" s="56" t="s">
        <v>1284</v>
      </c>
      <c r="BB231" s="56" t="s">
        <v>770</v>
      </c>
      <c r="BC231" s="56">
        <v>38</v>
      </c>
      <c r="BD231" s="56" t="s">
        <v>289</v>
      </c>
      <c r="BE231" s="56" t="s">
        <v>771</v>
      </c>
      <c r="BF231" s="56">
        <v>38</v>
      </c>
      <c r="BG231" s="56" t="s">
        <v>289</v>
      </c>
      <c r="BH231" s="56" t="s">
        <v>771</v>
      </c>
      <c r="BI231" s="56">
        <v>48</v>
      </c>
      <c r="BJ231" s="56">
        <v>128687.52</v>
      </c>
      <c r="BK231" s="56">
        <v>48</v>
      </c>
      <c r="BL231" s="56" t="s">
        <v>1760</v>
      </c>
      <c r="BM231" s="56">
        <v>3102</v>
      </c>
      <c r="BN231" s="56" t="s">
        <v>786</v>
      </c>
      <c r="BO231" s="56" t="s">
        <v>911</v>
      </c>
      <c r="BP231" s="56">
        <v>7920</v>
      </c>
      <c r="BQ231" s="56">
        <v>6872.4</v>
      </c>
      <c r="BR231" s="56">
        <v>0</v>
      </c>
      <c r="BS231" s="56">
        <v>0</v>
      </c>
      <c r="BT231" s="56">
        <v>0</v>
      </c>
      <c r="BU231" s="56">
        <v>4208</v>
      </c>
      <c r="BV231" s="56">
        <v>52</v>
      </c>
      <c r="BW231" s="56" t="s">
        <v>1228</v>
      </c>
      <c r="BX231" s="56" t="s">
        <v>1956</v>
      </c>
      <c r="BY231" s="56" t="s">
        <v>663</v>
      </c>
      <c r="BZ231" s="56">
        <v>0.5</v>
      </c>
      <c r="CA231" s="56" t="s">
        <v>1587</v>
      </c>
      <c r="CB231" s="56" t="s">
        <v>1762</v>
      </c>
      <c r="CD231" s="56" t="s">
        <v>667</v>
      </c>
      <c r="CG231" s="56">
        <v>0</v>
      </c>
      <c r="CH231" s="56">
        <v>165</v>
      </c>
      <c r="CJ231" s="56">
        <v>100</v>
      </c>
      <c r="CK231" s="56">
        <v>6872.4</v>
      </c>
      <c r="CL231" s="56">
        <v>0</v>
      </c>
      <c r="CN231" s="56">
        <v>950.4</v>
      </c>
      <c r="CO231" s="56">
        <v>950.4</v>
      </c>
      <c r="CP231" s="56">
        <v>97.2</v>
      </c>
      <c r="CQ231" s="56" t="s">
        <v>668</v>
      </c>
      <c r="CR231" s="56">
        <v>0</v>
      </c>
      <c r="CS231" s="56">
        <v>0</v>
      </c>
      <c r="CV231" s="56">
        <v>0</v>
      </c>
      <c r="CX231" s="56">
        <v>0</v>
      </c>
      <c r="CY231" s="56">
        <v>0</v>
      </c>
      <c r="CZ231" s="56">
        <v>635.69000000000005</v>
      </c>
      <c r="DA231" s="56">
        <v>635.69000000000005</v>
      </c>
      <c r="DB231" s="56">
        <v>0</v>
      </c>
      <c r="DC231" s="56">
        <v>6236.71</v>
      </c>
      <c r="DD231" s="56">
        <v>22.11</v>
      </c>
      <c r="DE231" s="56">
        <v>0</v>
      </c>
      <c r="DF231" s="56">
        <v>22.11</v>
      </c>
      <c r="DH231" s="56" t="s">
        <v>670</v>
      </c>
      <c r="DI231" s="56" t="s">
        <v>671</v>
      </c>
      <c r="DK231" s="56">
        <v>79.69</v>
      </c>
      <c r="DL231" s="56">
        <v>6311.8</v>
      </c>
      <c r="DM231" s="56">
        <v>98</v>
      </c>
      <c r="DN231" s="56">
        <v>4501411725</v>
      </c>
      <c r="DO231" s="56" t="s">
        <v>236</v>
      </c>
      <c r="DQ231" s="56" t="s">
        <v>674</v>
      </c>
      <c r="DR231" s="56">
        <v>3</v>
      </c>
      <c r="DW231" s="56">
        <v>380</v>
      </c>
      <c r="DX231" s="56" t="s">
        <v>678</v>
      </c>
      <c r="DY231" s="56" t="s">
        <v>679</v>
      </c>
      <c r="EL231" s="56">
        <v>25</v>
      </c>
      <c r="EM231" s="56">
        <v>15</v>
      </c>
      <c r="EN231" s="56">
        <v>5173</v>
      </c>
      <c r="EO231" s="56">
        <v>2420</v>
      </c>
      <c r="EP231" s="56" t="s">
        <v>1234</v>
      </c>
      <c r="EQ231" s="56" t="s">
        <v>1763</v>
      </c>
      <c r="ER231" s="56" t="s">
        <v>1764</v>
      </c>
      <c r="ES231" s="56">
        <v>2</v>
      </c>
      <c r="ET231" s="56" t="s">
        <v>682</v>
      </c>
      <c r="EU231" s="56" t="s">
        <v>683</v>
      </c>
      <c r="EV231" s="56" t="s">
        <v>683</v>
      </c>
      <c r="FD231" s="56" t="s">
        <v>1957</v>
      </c>
      <c r="FK231" s="56">
        <v>0</v>
      </c>
    </row>
    <row r="232" spans="1:167" x14ac:dyDescent="0.2">
      <c r="A232" s="56">
        <v>29173</v>
      </c>
      <c r="B232" s="56">
        <v>2</v>
      </c>
      <c r="C232" s="56">
        <v>6352</v>
      </c>
      <c r="D232" s="56" t="s">
        <v>634</v>
      </c>
      <c r="E232" s="56" t="s">
        <v>635</v>
      </c>
      <c r="K232" s="56" t="s">
        <v>1958</v>
      </c>
      <c r="L232" s="56" t="s">
        <v>637</v>
      </c>
      <c r="M232" s="56">
        <v>44952</v>
      </c>
      <c r="N232" s="56">
        <v>44954</v>
      </c>
      <c r="O232" s="56">
        <v>38</v>
      </c>
      <c r="P232" s="56" t="s">
        <v>638</v>
      </c>
      <c r="Q232" s="56">
        <v>2</v>
      </c>
      <c r="R232" s="56" t="s">
        <v>639</v>
      </c>
      <c r="S232" s="56" t="s">
        <v>640</v>
      </c>
      <c r="T232" s="56" t="s">
        <v>641</v>
      </c>
      <c r="U232" s="56" t="s">
        <v>1227</v>
      </c>
      <c r="V232" s="56" t="s">
        <v>643</v>
      </c>
      <c r="W232" s="56">
        <v>49</v>
      </c>
      <c r="X232" s="56" t="s">
        <v>887</v>
      </c>
      <c r="Y232" s="56">
        <v>505</v>
      </c>
      <c r="Z232" s="56" t="s">
        <v>1755</v>
      </c>
      <c r="AB232" s="56" t="s">
        <v>1756</v>
      </c>
      <c r="AC232" s="56" t="s">
        <v>1757</v>
      </c>
      <c r="AD232" s="56" t="s">
        <v>1758</v>
      </c>
      <c r="AE232" s="56">
        <v>52</v>
      </c>
      <c r="AF232" s="56" t="s">
        <v>1228</v>
      </c>
      <c r="AG232" s="56" t="s">
        <v>1229</v>
      </c>
      <c r="AH232" s="56" t="s">
        <v>643</v>
      </c>
      <c r="AI232" s="56" t="s">
        <v>1227</v>
      </c>
      <c r="AJ232" s="56">
        <v>431</v>
      </c>
      <c r="AK232" s="56" t="s">
        <v>1759</v>
      </c>
      <c r="AL232" s="56">
        <v>52</v>
      </c>
      <c r="AM232" s="56" t="s">
        <v>1228</v>
      </c>
      <c r="AN232" s="56" t="s">
        <v>1229</v>
      </c>
      <c r="AO232" s="56" t="s">
        <v>1230</v>
      </c>
      <c r="AP232" s="56" t="s">
        <v>643</v>
      </c>
      <c r="AQ232" s="56" t="s">
        <v>1227</v>
      </c>
      <c r="AR232" s="56">
        <v>52</v>
      </c>
      <c r="AS232" s="56" t="s">
        <v>1228</v>
      </c>
      <c r="AT232" s="56" t="s">
        <v>1229</v>
      </c>
      <c r="AU232" s="56" t="s">
        <v>643</v>
      </c>
      <c r="AV232" s="56" t="s">
        <v>1227</v>
      </c>
      <c r="AW232" s="56">
        <v>546</v>
      </c>
      <c r="AX232" s="56" t="s">
        <v>938</v>
      </c>
      <c r="AY232" s="56">
        <v>602</v>
      </c>
      <c r="AZ232" s="56" t="s">
        <v>939</v>
      </c>
      <c r="BA232" s="56" t="s">
        <v>940</v>
      </c>
      <c r="BB232" s="56" t="s">
        <v>941</v>
      </c>
      <c r="BC232" s="56">
        <v>1002</v>
      </c>
      <c r="BD232" s="56" t="s">
        <v>942</v>
      </c>
      <c r="BE232" s="56" t="s">
        <v>943</v>
      </c>
      <c r="BF232" s="56">
        <v>1004</v>
      </c>
      <c r="BG232" s="56" t="s">
        <v>944</v>
      </c>
      <c r="BH232" s="56" t="s">
        <v>945</v>
      </c>
      <c r="BI232" s="56">
        <v>49.74</v>
      </c>
      <c r="BJ232" s="56">
        <v>133352.44</v>
      </c>
      <c r="BK232" s="56">
        <v>49.74</v>
      </c>
      <c r="BL232" s="56" t="s">
        <v>1760</v>
      </c>
      <c r="BM232" s="56">
        <v>3102</v>
      </c>
      <c r="BN232" s="56" t="s">
        <v>660</v>
      </c>
      <c r="BO232" s="56" t="s">
        <v>706</v>
      </c>
      <c r="BP232" s="56">
        <v>8207.1</v>
      </c>
      <c r="BQ232" s="56">
        <v>7125.05</v>
      </c>
      <c r="BR232" s="56">
        <v>0</v>
      </c>
      <c r="BS232" s="56">
        <v>0</v>
      </c>
      <c r="BT232" s="56">
        <v>5374.2</v>
      </c>
      <c r="BU232" s="56">
        <v>4209</v>
      </c>
      <c r="BV232" s="56">
        <v>52</v>
      </c>
      <c r="BW232" s="56" t="s">
        <v>1228</v>
      </c>
      <c r="BX232" s="56" t="s">
        <v>1959</v>
      </c>
      <c r="BY232" s="56" t="s">
        <v>663</v>
      </c>
      <c r="BZ232" s="56">
        <v>0.5</v>
      </c>
      <c r="CA232" s="56" t="s">
        <v>1587</v>
      </c>
      <c r="CB232" s="56" t="s">
        <v>1762</v>
      </c>
      <c r="CC232" s="56" t="s">
        <v>789</v>
      </c>
      <c r="CD232" s="56" t="s">
        <v>667</v>
      </c>
      <c r="CF232" s="56">
        <v>4299.3599999999997</v>
      </c>
      <c r="CG232" s="56">
        <v>80</v>
      </c>
      <c r="CH232" s="56">
        <v>165</v>
      </c>
      <c r="CI232" s="56">
        <v>110</v>
      </c>
      <c r="CJ232" s="56">
        <v>24.57</v>
      </c>
      <c r="CK232" s="56">
        <v>7125.05</v>
      </c>
      <c r="CL232" s="56">
        <v>5374.2</v>
      </c>
      <c r="CM232" s="56">
        <v>83.91</v>
      </c>
      <c r="CN232" s="56">
        <v>984.85</v>
      </c>
      <c r="CO232" s="56">
        <v>984.85</v>
      </c>
      <c r="CP232" s="56">
        <v>97.2</v>
      </c>
      <c r="CQ232" s="56" t="s">
        <v>668</v>
      </c>
      <c r="CR232" s="56">
        <v>0</v>
      </c>
      <c r="CS232" s="56">
        <v>97.2</v>
      </c>
      <c r="CT232" s="56" t="s">
        <v>669</v>
      </c>
      <c r="CU232" s="56">
        <v>0</v>
      </c>
      <c r="CV232" s="56">
        <v>0</v>
      </c>
      <c r="CX232" s="56">
        <v>1724.73</v>
      </c>
      <c r="CY232" s="56">
        <v>0</v>
      </c>
      <c r="CZ232" s="56">
        <v>286.22000000000003</v>
      </c>
      <c r="DA232" s="56">
        <v>659.06</v>
      </c>
      <c r="DB232" s="56">
        <v>372.84</v>
      </c>
      <c r="DC232" s="56">
        <v>6838.83</v>
      </c>
      <c r="DD232" s="56">
        <v>-17.649999999999999</v>
      </c>
      <c r="DE232" s="56">
        <v>0</v>
      </c>
      <c r="DF232" s="56">
        <v>22.91</v>
      </c>
      <c r="DG232" s="56">
        <v>66.680000000000007</v>
      </c>
      <c r="DH232" s="56" t="s">
        <v>670</v>
      </c>
      <c r="DI232" s="56" t="s">
        <v>671</v>
      </c>
      <c r="DK232" s="56">
        <v>18.059999999999999</v>
      </c>
      <c r="DL232" s="56">
        <v>1482.28</v>
      </c>
      <c r="DM232" s="56">
        <v>98</v>
      </c>
      <c r="DN232" s="56">
        <v>4501411725</v>
      </c>
      <c r="DO232" s="56" t="s">
        <v>236</v>
      </c>
      <c r="DP232" s="56" t="s">
        <v>673</v>
      </c>
      <c r="DQ232" s="56" t="s">
        <v>674</v>
      </c>
      <c r="DR232" s="56">
        <v>2</v>
      </c>
      <c r="DS232" s="56" t="s">
        <v>1960</v>
      </c>
      <c r="DT232" s="56" t="s">
        <v>1961</v>
      </c>
      <c r="DU232" s="56">
        <v>36</v>
      </c>
      <c r="DV232" s="56" t="s">
        <v>677</v>
      </c>
      <c r="DW232" s="56">
        <v>380</v>
      </c>
      <c r="DX232" s="56" t="s">
        <v>678</v>
      </c>
      <c r="DY232" s="56" t="s">
        <v>679</v>
      </c>
      <c r="ED232" s="56">
        <v>2</v>
      </c>
      <c r="EE232" s="56" t="s">
        <v>639</v>
      </c>
      <c r="EF232" s="56">
        <v>2</v>
      </c>
      <c r="EG232" s="56" t="s">
        <v>639</v>
      </c>
      <c r="EH232" s="56">
        <v>2</v>
      </c>
      <c r="EI232" s="56" t="s">
        <v>639</v>
      </c>
      <c r="EJ232" s="56">
        <v>2</v>
      </c>
      <c r="EK232" s="56" t="s">
        <v>639</v>
      </c>
      <c r="EL232" s="56">
        <v>25</v>
      </c>
      <c r="EM232" s="56">
        <v>15</v>
      </c>
      <c r="EN232" s="56">
        <v>5173</v>
      </c>
      <c r="EO232" s="56">
        <v>2420</v>
      </c>
      <c r="EP232" s="56" t="s">
        <v>1234</v>
      </c>
      <c r="EQ232" s="56" t="s">
        <v>1763</v>
      </c>
      <c r="ER232" s="56" t="s">
        <v>1764</v>
      </c>
      <c r="ES232" s="56">
        <v>2</v>
      </c>
      <c r="ET232" s="56" t="s">
        <v>682</v>
      </c>
      <c r="EU232" s="56" t="s">
        <v>683</v>
      </c>
      <c r="EV232" s="56" t="s">
        <v>683</v>
      </c>
      <c r="FD232" s="56" t="s">
        <v>1962</v>
      </c>
      <c r="FK232" s="56">
        <v>0</v>
      </c>
    </row>
    <row r="233" spans="1:167" x14ac:dyDescent="0.2">
      <c r="A233" s="56">
        <v>29174</v>
      </c>
      <c r="B233" s="56">
        <v>2</v>
      </c>
      <c r="C233" s="56">
        <v>6352</v>
      </c>
      <c r="D233" s="56" t="s">
        <v>634</v>
      </c>
      <c r="E233" s="56" t="s">
        <v>635</v>
      </c>
      <c r="K233" s="56" t="s">
        <v>1963</v>
      </c>
      <c r="L233" s="56" t="s">
        <v>637</v>
      </c>
      <c r="M233" s="56">
        <v>44952</v>
      </c>
      <c r="N233" s="56">
        <v>44954</v>
      </c>
      <c r="O233" s="56">
        <v>38</v>
      </c>
      <c r="P233" s="56" t="s">
        <v>638</v>
      </c>
      <c r="Q233" s="56">
        <v>2</v>
      </c>
      <c r="R233" s="56" t="s">
        <v>639</v>
      </c>
      <c r="S233" s="56" t="s">
        <v>640</v>
      </c>
      <c r="T233" s="56" t="s">
        <v>641</v>
      </c>
      <c r="U233" s="56" t="s">
        <v>1058</v>
      </c>
      <c r="V233" s="56" t="s">
        <v>643</v>
      </c>
      <c r="W233" s="56">
        <v>49</v>
      </c>
      <c r="X233" s="56" t="s">
        <v>887</v>
      </c>
      <c r="Y233" s="56">
        <v>208</v>
      </c>
      <c r="Z233" s="56" t="s">
        <v>1062</v>
      </c>
      <c r="AA233" s="56" t="s">
        <v>1063</v>
      </c>
      <c r="AB233" s="56" t="s">
        <v>1064</v>
      </c>
      <c r="AC233" s="56" t="s">
        <v>643</v>
      </c>
      <c r="AD233" s="56" t="s">
        <v>1058</v>
      </c>
      <c r="AE233" s="56">
        <v>208</v>
      </c>
      <c r="AF233" s="56" t="s">
        <v>1062</v>
      </c>
      <c r="AG233" s="56" t="s">
        <v>1063</v>
      </c>
      <c r="AH233" s="56" t="s">
        <v>643</v>
      </c>
      <c r="AI233" s="56" t="s">
        <v>1058</v>
      </c>
      <c r="AJ233" s="56">
        <v>205</v>
      </c>
      <c r="AK233" s="56" t="s">
        <v>1810</v>
      </c>
      <c r="AL233" s="56">
        <v>208</v>
      </c>
      <c r="AM233" s="56" t="s">
        <v>1062</v>
      </c>
      <c r="AN233" s="56" t="s">
        <v>1063</v>
      </c>
      <c r="AO233" s="56" t="s">
        <v>1064</v>
      </c>
      <c r="AP233" s="56" t="s">
        <v>643</v>
      </c>
      <c r="AQ233" s="56" t="s">
        <v>1058</v>
      </c>
      <c r="AR233" s="56">
        <v>208</v>
      </c>
      <c r="AS233" s="56" t="s">
        <v>1062</v>
      </c>
      <c r="AT233" s="56" t="s">
        <v>1063</v>
      </c>
      <c r="AU233" s="56" t="s">
        <v>643</v>
      </c>
      <c r="AV233" s="56" t="s">
        <v>1058</v>
      </c>
      <c r="AW233" s="56">
        <v>114</v>
      </c>
      <c r="AX233" s="56" t="s">
        <v>1396</v>
      </c>
      <c r="AY233" s="56">
        <v>27</v>
      </c>
      <c r="AZ233" s="56" t="s">
        <v>33</v>
      </c>
      <c r="BA233" s="56" t="s">
        <v>1397</v>
      </c>
      <c r="BB233" s="56" t="s">
        <v>770</v>
      </c>
      <c r="BC233" s="56">
        <v>38</v>
      </c>
      <c r="BD233" s="56" t="s">
        <v>289</v>
      </c>
      <c r="BE233" s="56" t="s">
        <v>771</v>
      </c>
      <c r="BF233" s="56">
        <v>2</v>
      </c>
      <c r="BG233" s="56" t="s">
        <v>289</v>
      </c>
      <c r="BH233" s="56" t="s">
        <v>772</v>
      </c>
      <c r="BI233" s="56">
        <v>48.24</v>
      </c>
      <c r="BJ233" s="56">
        <v>121421.53</v>
      </c>
      <c r="BK233" s="56">
        <v>48.24</v>
      </c>
      <c r="BL233" s="56" t="s">
        <v>897</v>
      </c>
      <c r="BM233" s="56">
        <v>3102</v>
      </c>
      <c r="BN233" s="56" t="s">
        <v>786</v>
      </c>
      <c r="BO233" s="56" t="s">
        <v>883</v>
      </c>
      <c r="BP233" s="56">
        <v>8104.32</v>
      </c>
      <c r="BQ233" s="56">
        <v>7034.6</v>
      </c>
      <c r="BR233" s="56">
        <v>0</v>
      </c>
      <c r="BS233" s="56">
        <v>0</v>
      </c>
      <c r="BT233" s="56">
        <v>0</v>
      </c>
      <c r="BU233" s="56">
        <v>20453</v>
      </c>
      <c r="BV233" s="56">
        <v>208</v>
      </c>
      <c r="BW233" s="56" t="s">
        <v>1062</v>
      </c>
      <c r="BX233" s="56" t="s">
        <v>1964</v>
      </c>
      <c r="BY233" s="56" t="s">
        <v>663</v>
      </c>
      <c r="BZ233" s="56">
        <v>0.5</v>
      </c>
      <c r="CA233" s="56" t="s">
        <v>664</v>
      </c>
      <c r="CB233" s="56" t="s">
        <v>1812</v>
      </c>
      <c r="CD233" s="56" t="s">
        <v>667</v>
      </c>
      <c r="CG233" s="56">
        <v>0</v>
      </c>
      <c r="CH233" s="56">
        <v>168</v>
      </c>
      <c r="CJ233" s="56">
        <v>100</v>
      </c>
      <c r="CK233" s="56">
        <v>7034.6</v>
      </c>
      <c r="CL233" s="56">
        <v>0</v>
      </c>
      <c r="CN233" s="56">
        <v>972.52</v>
      </c>
      <c r="CO233" s="56">
        <v>972.52</v>
      </c>
      <c r="CP233" s="56">
        <v>97.2</v>
      </c>
      <c r="CQ233" s="56" t="s">
        <v>668</v>
      </c>
      <c r="CR233" s="56">
        <v>0</v>
      </c>
      <c r="CS233" s="56">
        <v>0</v>
      </c>
      <c r="CV233" s="56">
        <v>0</v>
      </c>
      <c r="CX233" s="56">
        <v>0</v>
      </c>
      <c r="CY233" s="56">
        <v>0</v>
      </c>
      <c r="CZ233" s="56">
        <v>650.70000000000005</v>
      </c>
      <c r="DA233" s="56">
        <v>650.70000000000005</v>
      </c>
      <c r="DB233" s="56">
        <v>0</v>
      </c>
      <c r="DC233" s="56">
        <v>6383.9</v>
      </c>
      <c r="DD233" s="56">
        <v>20.86</v>
      </c>
      <c r="DE233" s="56">
        <v>0</v>
      </c>
      <c r="DF233" s="56">
        <v>20.86</v>
      </c>
      <c r="DH233" s="56" t="s">
        <v>670</v>
      </c>
      <c r="DI233" s="56" t="s">
        <v>671</v>
      </c>
      <c r="DK233" s="56">
        <v>79.709999999999994</v>
      </c>
      <c r="DL233" s="56">
        <v>6460.24</v>
      </c>
      <c r="DM233" s="56">
        <v>66</v>
      </c>
      <c r="DN233" s="56">
        <v>228623</v>
      </c>
      <c r="DO233" s="56" t="s">
        <v>236</v>
      </c>
      <c r="DQ233" s="56" t="s">
        <v>674</v>
      </c>
      <c r="DR233" s="56">
        <v>3</v>
      </c>
      <c r="DW233" s="56">
        <v>390</v>
      </c>
      <c r="DX233" s="56" t="s">
        <v>678</v>
      </c>
      <c r="DY233" s="56" t="s">
        <v>679</v>
      </c>
      <c r="EL233" s="56">
        <v>25</v>
      </c>
      <c r="EM233" s="56">
        <v>15</v>
      </c>
      <c r="EN233" s="56">
        <v>5173</v>
      </c>
      <c r="EO233" s="56">
        <v>2441</v>
      </c>
      <c r="EP233" s="56">
        <v>6943</v>
      </c>
      <c r="EQ233" s="56" t="s">
        <v>1813</v>
      </c>
      <c r="ER233" s="56" t="s">
        <v>1814</v>
      </c>
      <c r="ES233" s="56">
        <v>2</v>
      </c>
      <c r="ET233" s="56" t="s">
        <v>682</v>
      </c>
      <c r="EU233" s="56" t="s">
        <v>683</v>
      </c>
      <c r="EV233" s="56" t="s">
        <v>683</v>
      </c>
      <c r="FD233" s="56" t="s">
        <v>1965</v>
      </c>
      <c r="FK233" s="56">
        <v>0</v>
      </c>
    </row>
    <row r="234" spans="1:167" x14ac:dyDescent="0.2">
      <c r="A234" s="56">
        <v>29175</v>
      </c>
      <c r="B234" s="56">
        <v>2</v>
      </c>
      <c r="C234" s="56">
        <v>6352</v>
      </c>
      <c r="D234" s="56" t="s">
        <v>634</v>
      </c>
      <c r="E234" s="56" t="s">
        <v>635</v>
      </c>
      <c r="K234" s="56" t="s">
        <v>1966</v>
      </c>
      <c r="L234" s="56" t="s">
        <v>637</v>
      </c>
      <c r="M234" s="56">
        <v>44952</v>
      </c>
      <c r="N234" s="56">
        <v>44954</v>
      </c>
      <c r="O234" s="56">
        <v>38</v>
      </c>
      <c r="P234" s="56" t="s">
        <v>638</v>
      </c>
      <c r="Q234" s="56">
        <v>2</v>
      </c>
      <c r="R234" s="56" t="s">
        <v>639</v>
      </c>
      <c r="S234" s="56" t="s">
        <v>640</v>
      </c>
      <c r="T234" s="56" t="s">
        <v>641</v>
      </c>
      <c r="U234" s="56" t="s">
        <v>1227</v>
      </c>
      <c r="V234" s="56" t="s">
        <v>643</v>
      </c>
      <c r="W234" s="56">
        <v>49</v>
      </c>
      <c r="X234" s="56" t="s">
        <v>887</v>
      </c>
      <c r="Y234" s="56">
        <v>505</v>
      </c>
      <c r="Z234" s="56" t="s">
        <v>1755</v>
      </c>
      <c r="AB234" s="56" t="s">
        <v>1756</v>
      </c>
      <c r="AC234" s="56" t="s">
        <v>1757</v>
      </c>
      <c r="AD234" s="56" t="s">
        <v>1758</v>
      </c>
      <c r="AE234" s="56">
        <v>52</v>
      </c>
      <c r="AF234" s="56" t="s">
        <v>1228</v>
      </c>
      <c r="AG234" s="56" t="s">
        <v>1229</v>
      </c>
      <c r="AH234" s="56" t="s">
        <v>643</v>
      </c>
      <c r="AI234" s="56" t="s">
        <v>1227</v>
      </c>
      <c r="AJ234" s="56">
        <v>431</v>
      </c>
      <c r="AK234" s="56" t="s">
        <v>1759</v>
      </c>
      <c r="AL234" s="56">
        <v>52</v>
      </c>
      <c r="AM234" s="56" t="s">
        <v>1228</v>
      </c>
      <c r="AN234" s="56" t="s">
        <v>1229</v>
      </c>
      <c r="AO234" s="56" t="s">
        <v>1230</v>
      </c>
      <c r="AP234" s="56" t="s">
        <v>643</v>
      </c>
      <c r="AQ234" s="56" t="s">
        <v>1227</v>
      </c>
      <c r="AR234" s="56">
        <v>52</v>
      </c>
      <c r="AS234" s="56" t="s">
        <v>1228</v>
      </c>
      <c r="AT234" s="56" t="s">
        <v>1229</v>
      </c>
      <c r="AU234" s="56" t="s">
        <v>643</v>
      </c>
      <c r="AV234" s="56" t="s">
        <v>1227</v>
      </c>
      <c r="AW234" s="56">
        <v>1170</v>
      </c>
      <c r="AX234" s="56" t="s">
        <v>951</v>
      </c>
      <c r="AY234" s="56">
        <v>549</v>
      </c>
      <c r="AZ234" s="56" t="s">
        <v>952</v>
      </c>
      <c r="BA234" s="56" t="s">
        <v>953</v>
      </c>
      <c r="BB234" s="56" t="s">
        <v>941</v>
      </c>
      <c r="BC234" s="56">
        <v>1002</v>
      </c>
      <c r="BD234" s="56" t="s">
        <v>942</v>
      </c>
      <c r="BE234" s="56" t="s">
        <v>943</v>
      </c>
      <c r="BF234" s="56">
        <v>546</v>
      </c>
      <c r="BG234" s="56" t="s">
        <v>938</v>
      </c>
      <c r="BH234" s="56" t="s">
        <v>945</v>
      </c>
      <c r="BI234" s="56">
        <v>50.26</v>
      </c>
      <c r="BJ234" s="56">
        <v>134746.56</v>
      </c>
      <c r="BK234" s="56">
        <v>50.26</v>
      </c>
      <c r="BL234" s="56" t="s">
        <v>1760</v>
      </c>
      <c r="BM234" s="56">
        <v>3102</v>
      </c>
      <c r="BN234" s="56" t="s">
        <v>660</v>
      </c>
      <c r="BO234" s="56" t="s">
        <v>855</v>
      </c>
      <c r="BP234" s="56">
        <v>8292.9</v>
      </c>
      <c r="BQ234" s="56">
        <v>7200.55</v>
      </c>
      <c r="BR234" s="56">
        <v>0</v>
      </c>
      <c r="BS234" s="56">
        <v>0</v>
      </c>
      <c r="BT234" s="56">
        <v>5431.4</v>
      </c>
      <c r="BU234" s="56">
        <v>4210</v>
      </c>
      <c r="BV234" s="56">
        <v>52</v>
      </c>
      <c r="BW234" s="56" t="s">
        <v>1228</v>
      </c>
      <c r="BX234" s="56" t="s">
        <v>1967</v>
      </c>
      <c r="BY234" s="56" t="s">
        <v>663</v>
      </c>
      <c r="BZ234" s="56">
        <v>0.5</v>
      </c>
      <c r="CA234" s="56" t="s">
        <v>1587</v>
      </c>
      <c r="CB234" s="56" t="s">
        <v>1762</v>
      </c>
      <c r="CC234" s="56" t="s">
        <v>789</v>
      </c>
      <c r="CD234" s="56" t="s">
        <v>667</v>
      </c>
      <c r="CF234" s="56">
        <v>4345.12</v>
      </c>
      <c r="CG234" s="56">
        <v>80</v>
      </c>
      <c r="CH234" s="56">
        <v>165</v>
      </c>
      <c r="CI234" s="56">
        <v>110</v>
      </c>
      <c r="CJ234" s="56">
        <v>24.57</v>
      </c>
      <c r="CK234" s="56">
        <v>7200.55</v>
      </c>
      <c r="CL234" s="56">
        <v>5431.4</v>
      </c>
      <c r="CM234" s="56">
        <v>52.4</v>
      </c>
      <c r="CN234" s="56">
        <v>995.15</v>
      </c>
      <c r="CO234" s="56">
        <v>995.15</v>
      </c>
      <c r="CP234" s="56">
        <v>97.2</v>
      </c>
      <c r="CQ234" s="56" t="s">
        <v>668</v>
      </c>
      <c r="CR234" s="56">
        <v>0</v>
      </c>
      <c r="CS234" s="56">
        <v>97.2</v>
      </c>
      <c r="CT234" s="56" t="s">
        <v>669</v>
      </c>
      <c r="CU234" s="56">
        <v>0</v>
      </c>
      <c r="CV234" s="56">
        <v>0</v>
      </c>
      <c r="CX234" s="56">
        <v>1742.59</v>
      </c>
      <c r="CY234" s="56">
        <v>0</v>
      </c>
      <c r="CZ234" s="56">
        <v>289.25</v>
      </c>
      <c r="DA234" s="56">
        <v>666.05</v>
      </c>
      <c r="DB234" s="56">
        <v>376.8</v>
      </c>
      <c r="DC234" s="56">
        <v>6911.3</v>
      </c>
      <c r="DD234" s="56">
        <v>-17.66</v>
      </c>
      <c r="DE234" s="56">
        <v>0</v>
      </c>
      <c r="DF234" s="56">
        <v>23.15</v>
      </c>
      <c r="DG234" s="56">
        <v>67.37</v>
      </c>
      <c r="DH234" s="56" t="s">
        <v>670</v>
      </c>
      <c r="DI234" s="56" t="s">
        <v>671</v>
      </c>
      <c r="DK234" s="56">
        <v>18.059999999999999</v>
      </c>
      <c r="DL234" s="56">
        <v>1497.56</v>
      </c>
      <c r="DM234" s="56">
        <v>98</v>
      </c>
      <c r="DN234" s="56">
        <v>4501411725</v>
      </c>
      <c r="DO234" s="56" t="s">
        <v>236</v>
      </c>
      <c r="DP234" s="56" t="s">
        <v>673</v>
      </c>
      <c r="DQ234" s="56" t="s">
        <v>674</v>
      </c>
      <c r="DR234" s="56">
        <v>2</v>
      </c>
      <c r="DS234" s="56" t="s">
        <v>1968</v>
      </c>
      <c r="DT234" s="56" t="s">
        <v>1969</v>
      </c>
      <c r="DU234" s="56">
        <v>36</v>
      </c>
      <c r="DV234" s="56" t="s">
        <v>677</v>
      </c>
      <c r="DW234" s="56">
        <v>380</v>
      </c>
      <c r="DX234" s="56" t="s">
        <v>678</v>
      </c>
      <c r="DY234" s="56" t="s">
        <v>679</v>
      </c>
      <c r="ED234" s="56">
        <v>2</v>
      </c>
      <c r="EE234" s="56" t="s">
        <v>639</v>
      </c>
      <c r="EF234" s="56">
        <v>2</v>
      </c>
      <c r="EG234" s="56" t="s">
        <v>639</v>
      </c>
      <c r="EH234" s="56">
        <v>2</v>
      </c>
      <c r="EI234" s="56" t="s">
        <v>639</v>
      </c>
      <c r="EJ234" s="56">
        <v>2</v>
      </c>
      <c r="EK234" s="56" t="s">
        <v>639</v>
      </c>
      <c r="EL234" s="56">
        <v>25</v>
      </c>
      <c r="EM234" s="56">
        <v>15</v>
      </c>
      <c r="EN234" s="56">
        <v>5173</v>
      </c>
      <c r="EO234" s="56">
        <v>2420</v>
      </c>
      <c r="EP234" s="56" t="s">
        <v>1234</v>
      </c>
      <c r="EQ234" s="56" t="s">
        <v>1763</v>
      </c>
      <c r="ER234" s="56" t="s">
        <v>1764</v>
      </c>
      <c r="ES234" s="56">
        <v>2</v>
      </c>
      <c r="ET234" s="56" t="s">
        <v>682</v>
      </c>
      <c r="EU234" s="56" t="s">
        <v>683</v>
      </c>
      <c r="EV234" s="56" t="s">
        <v>683</v>
      </c>
      <c r="FD234" s="56" t="s">
        <v>1970</v>
      </c>
      <c r="FK234" s="56">
        <v>0</v>
      </c>
    </row>
    <row r="235" spans="1:167" x14ac:dyDescent="0.2">
      <c r="A235" s="56">
        <v>29176</v>
      </c>
      <c r="B235" s="56">
        <v>2</v>
      </c>
      <c r="C235" s="56">
        <v>6352</v>
      </c>
      <c r="D235" s="56" t="s">
        <v>634</v>
      </c>
      <c r="E235" s="56" t="s">
        <v>635</v>
      </c>
      <c r="K235" s="56" t="s">
        <v>1971</v>
      </c>
      <c r="L235" s="56" t="s">
        <v>637</v>
      </c>
      <c r="M235" s="56">
        <v>44952</v>
      </c>
      <c r="N235" s="56">
        <v>44954</v>
      </c>
      <c r="O235" s="56">
        <v>38</v>
      </c>
      <c r="P235" s="56" t="s">
        <v>638</v>
      </c>
      <c r="Q235" s="56">
        <v>2</v>
      </c>
      <c r="R235" s="56" t="s">
        <v>639</v>
      </c>
      <c r="S235" s="56" t="s">
        <v>640</v>
      </c>
      <c r="T235" s="56" t="s">
        <v>641</v>
      </c>
      <c r="U235" s="56" t="s">
        <v>1227</v>
      </c>
      <c r="V235" s="56" t="s">
        <v>643</v>
      </c>
      <c r="W235" s="56">
        <v>48</v>
      </c>
      <c r="X235" s="56" t="s">
        <v>699</v>
      </c>
      <c r="Y235" s="56">
        <v>505</v>
      </c>
      <c r="Z235" s="56" t="s">
        <v>1755</v>
      </c>
      <c r="AB235" s="56" t="s">
        <v>1756</v>
      </c>
      <c r="AC235" s="56" t="s">
        <v>1757</v>
      </c>
      <c r="AD235" s="56" t="s">
        <v>1758</v>
      </c>
      <c r="AE235" s="56">
        <v>52</v>
      </c>
      <c r="AF235" s="56" t="s">
        <v>1228</v>
      </c>
      <c r="AG235" s="56" t="s">
        <v>1229</v>
      </c>
      <c r="AH235" s="56" t="s">
        <v>643</v>
      </c>
      <c r="AI235" s="56" t="s">
        <v>1227</v>
      </c>
      <c r="AJ235" s="56">
        <v>431</v>
      </c>
      <c r="AK235" s="56" t="s">
        <v>1759</v>
      </c>
      <c r="AL235" s="56">
        <v>52</v>
      </c>
      <c r="AM235" s="56" t="s">
        <v>1228</v>
      </c>
      <c r="AN235" s="56" t="s">
        <v>1229</v>
      </c>
      <c r="AO235" s="56" t="s">
        <v>1230</v>
      </c>
      <c r="AP235" s="56" t="s">
        <v>643</v>
      </c>
      <c r="AQ235" s="56" t="s">
        <v>1227</v>
      </c>
      <c r="AR235" s="56">
        <v>52</v>
      </c>
      <c r="AS235" s="56" t="s">
        <v>1228</v>
      </c>
      <c r="AT235" s="56" t="s">
        <v>1229</v>
      </c>
      <c r="AU235" s="56" t="s">
        <v>643</v>
      </c>
      <c r="AV235" s="56" t="s">
        <v>1227</v>
      </c>
      <c r="AW235" s="56">
        <v>115</v>
      </c>
      <c r="AX235" s="56" t="s">
        <v>853</v>
      </c>
      <c r="AY235" s="56">
        <v>55</v>
      </c>
      <c r="AZ235" s="56" t="s">
        <v>23</v>
      </c>
      <c r="BA235" s="56" t="s">
        <v>854</v>
      </c>
      <c r="BB235" s="56" t="s">
        <v>844</v>
      </c>
      <c r="BC235" s="56">
        <v>2</v>
      </c>
      <c r="BD235" s="56" t="s">
        <v>289</v>
      </c>
      <c r="BE235" s="56" t="s">
        <v>772</v>
      </c>
      <c r="BF235" s="56">
        <v>2</v>
      </c>
      <c r="BG235" s="56" t="s">
        <v>289</v>
      </c>
      <c r="BH235" s="56" t="s">
        <v>772</v>
      </c>
      <c r="BI235" s="56">
        <v>49.82</v>
      </c>
      <c r="BJ235" s="56">
        <v>133566.92000000001</v>
      </c>
      <c r="BK235" s="56">
        <v>49.82</v>
      </c>
      <c r="BL235" s="56" t="s">
        <v>1760</v>
      </c>
      <c r="BM235" s="56">
        <v>3102</v>
      </c>
      <c r="BN235" s="56" t="s">
        <v>660</v>
      </c>
      <c r="BO235" s="56" t="s">
        <v>855</v>
      </c>
      <c r="BP235" s="56">
        <v>8220.2999999999993</v>
      </c>
      <c r="BQ235" s="56">
        <v>7136.66</v>
      </c>
      <c r="BR235" s="56">
        <v>0</v>
      </c>
      <c r="BS235" s="56">
        <v>0</v>
      </c>
      <c r="BT235" s="56">
        <v>0</v>
      </c>
      <c r="BU235" s="56">
        <v>4211</v>
      </c>
      <c r="BV235" s="56">
        <v>52</v>
      </c>
      <c r="BW235" s="56" t="s">
        <v>1228</v>
      </c>
      <c r="BX235" s="56" t="s">
        <v>1972</v>
      </c>
      <c r="BY235" s="56" t="s">
        <v>663</v>
      </c>
      <c r="BZ235" s="56">
        <v>0.5</v>
      </c>
      <c r="CA235" s="56" t="s">
        <v>1587</v>
      </c>
      <c r="CB235" s="56" t="s">
        <v>1762</v>
      </c>
      <c r="CD235" s="56" t="s">
        <v>667</v>
      </c>
      <c r="CG235" s="56">
        <v>0</v>
      </c>
      <c r="CH235" s="56">
        <v>165</v>
      </c>
      <c r="CJ235" s="56">
        <v>100</v>
      </c>
      <c r="CK235" s="56">
        <v>7136.66</v>
      </c>
      <c r="CL235" s="56">
        <v>0</v>
      </c>
      <c r="CN235" s="56">
        <v>986.44</v>
      </c>
      <c r="CO235" s="56">
        <v>986.44</v>
      </c>
      <c r="CP235" s="56">
        <v>97.2</v>
      </c>
      <c r="CQ235" s="56" t="s">
        <v>668</v>
      </c>
      <c r="CR235" s="56">
        <v>0</v>
      </c>
      <c r="CS235" s="56">
        <v>0</v>
      </c>
      <c r="CV235" s="56">
        <v>0</v>
      </c>
      <c r="CX235" s="56">
        <v>0</v>
      </c>
      <c r="CY235" s="56">
        <v>0</v>
      </c>
      <c r="CZ235" s="56">
        <v>660.14</v>
      </c>
      <c r="DA235" s="56">
        <v>660.14</v>
      </c>
      <c r="DB235" s="56">
        <v>0</v>
      </c>
      <c r="DC235" s="56">
        <v>6476.52</v>
      </c>
      <c r="DD235" s="56">
        <v>22.95</v>
      </c>
      <c r="DE235" s="56">
        <v>0</v>
      </c>
      <c r="DF235" s="56">
        <v>22.95</v>
      </c>
      <c r="DH235" s="56" t="s">
        <v>670</v>
      </c>
      <c r="DI235" s="56" t="s">
        <v>671</v>
      </c>
      <c r="DK235" s="56">
        <v>79.69</v>
      </c>
      <c r="DL235" s="56">
        <v>6550.77</v>
      </c>
      <c r="DM235" s="56">
        <v>98</v>
      </c>
      <c r="DN235" s="56">
        <v>4501411725</v>
      </c>
      <c r="DO235" s="56" t="s">
        <v>236</v>
      </c>
      <c r="DQ235" s="56" t="s">
        <v>674</v>
      </c>
      <c r="DR235" s="56">
        <v>3</v>
      </c>
      <c r="DW235" s="56">
        <v>380</v>
      </c>
      <c r="DX235" s="56" t="s">
        <v>678</v>
      </c>
      <c r="DY235" s="56" t="s">
        <v>679</v>
      </c>
      <c r="EL235" s="56">
        <v>25</v>
      </c>
      <c r="EM235" s="56">
        <v>15</v>
      </c>
      <c r="EN235" s="56">
        <v>5173</v>
      </c>
      <c r="EO235" s="56">
        <v>2420</v>
      </c>
      <c r="EP235" s="56" t="s">
        <v>1234</v>
      </c>
      <c r="EQ235" s="56" t="s">
        <v>1763</v>
      </c>
      <c r="ER235" s="56" t="s">
        <v>1764</v>
      </c>
      <c r="ES235" s="56">
        <v>2</v>
      </c>
      <c r="ET235" s="56" t="s">
        <v>682</v>
      </c>
      <c r="EU235" s="56" t="s">
        <v>683</v>
      </c>
      <c r="EV235" s="56" t="s">
        <v>683</v>
      </c>
      <c r="FD235" s="56" t="s">
        <v>1973</v>
      </c>
      <c r="FK235" s="56">
        <v>0</v>
      </c>
    </row>
    <row r="236" spans="1:167" x14ac:dyDescent="0.2">
      <c r="A236" s="56">
        <v>29177</v>
      </c>
      <c r="B236" s="56">
        <v>2</v>
      </c>
      <c r="C236" s="56">
        <v>6352</v>
      </c>
      <c r="D236" s="56" t="s">
        <v>634</v>
      </c>
      <c r="E236" s="56" t="s">
        <v>635</v>
      </c>
      <c r="K236" s="56" t="s">
        <v>1974</v>
      </c>
      <c r="L236" s="56" t="s">
        <v>637</v>
      </c>
      <c r="M236" s="56">
        <v>44952</v>
      </c>
      <c r="N236" s="56">
        <v>44954</v>
      </c>
      <c r="O236" s="56">
        <v>38</v>
      </c>
      <c r="P236" s="56" t="s">
        <v>638</v>
      </c>
      <c r="Q236" s="56">
        <v>2</v>
      </c>
      <c r="R236" s="56" t="s">
        <v>639</v>
      </c>
      <c r="S236" s="56" t="s">
        <v>640</v>
      </c>
      <c r="T236" s="56" t="s">
        <v>641</v>
      </c>
      <c r="U236" s="56" t="s">
        <v>1227</v>
      </c>
      <c r="V236" s="56" t="s">
        <v>643</v>
      </c>
      <c r="W236" s="56">
        <v>48</v>
      </c>
      <c r="X236" s="56" t="s">
        <v>699</v>
      </c>
      <c r="Y236" s="56">
        <v>756</v>
      </c>
      <c r="Z236" s="56" t="s">
        <v>1779</v>
      </c>
      <c r="AB236" s="56" t="s">
        <v>1780</v>
      </c>
      <c r="AC236" s="56" t="s">
        <v>1757</v>
      </c>
      <c r="AD236" s="56" t="s">
        <v>1758</v>
      </c>
      <c r="AE236" s="56">
        <v>52</v>
      </c>
      <c r="AF236" s="56" t="s">
        <v>1228</v>
      </c>
      <c r="AG236" s="56" t="s">
        <v>1229</v>
      </c>
      <c r="AH236" s="56" t="s">
        <v>643</v>
      </c>
      <c r="AI236" s="56" t="s">
        <v>1227</v>
      </c>
      <c r="AJ236" s="56">
        <v>139</v>
      </c>
      <c r="AK236" s="56" t="s">
        <v>651</v>
      </c>
      <c r="AL236" s="56">
        <v>52</v>
      </c>
      <c r="AM236" s="56" t="s">
        <v>1228</v>
      </c>
      <c r="AN236" s="56" t="s">
        <v>1229</v>
      </c>
      <c r="AO236" s="56" t="s">
        <v>1230</v>
      </c>
      <c r="AP236" s="56" t="s">
        <v>643</v>
      </c>
      <c r="AQ236" s="56" t="s">
        <v>1227</v>
      </c>
      <c r="AR236" s="56">
        <v>52</v>
      </c>
      <c r="AS236" s="56" t="s">
        <v>1228</v>
      </c>
      <c r="AT236" s="56" t="s">
        <v>1229</v>
      </c>
      <c r="AU236" s="56" t="s">
        <v>643</v>
      </c>
      <c r="AV236" s="56" t="s">
        <v>1227</v>
      </c>
      <c r="AW236" s="56">
        <v>108</v>
      </c>
      <c r="AX236" s="56" t="s">
        <v>977</v>
      </c>
      <c r="AY236" s="56">
        <v>47</v>
      </c>
      <c r="AZ236" s="56" t="s">
        <v>32</v>
      </c>
      <c r="BA236" s="56" t="s">
        <v>978</v>
      </c>
      <c r="BB236" s="56" t="s">
        <v>770</v>
      </c>
      <c r="BC236" s="56">
        <v>38</v>
      </c>
      <c r="BD236" s="56" t="s">
        <v>289</v>
      </c>
      <c r="BE236" s="56" t="s">
        <v>771</v>
      </c>
      <c r="BF236" s="56">
        <v>2</v>
      </c>
      <c r="BG236" s="56" t="s">
        <v>289</v>
      </c>
      <c r="BH236" s="56" t="s">
        <v>772</v>
      </c>
      <c r="BI236" s="56">
        <v>25.13</v>
      </c>
      <c r="BJ236" s="56">
        <v>60424.08</v>
      </c>
      <c r="BK236" s="56">
        <v>25.13</v>
      </c>
      <c r="BL236" s="56" t="s">
        <v>897</v>
      </c>
      <c r="BM236" s="56">
        <v>3102</v>
      </c>
      <c r="BN236" s="56" t="s">
        <v>724</v>
      </c>
      <c r="BO236" s="56" t="s">
        <v>725</v>
      </c>
      <c r="BP236" s="56">
        <v>4523.3999999999996</v>
      </c>
      <c r="BQ236" s="56">
        <v>3980.59</v>
      </c>
      <c r="BR236" s="56">
        <v>0</v>
      </c>
      <c r="BS236" s="56">
        <v>0</v>
      </c>
      <c r="BT236" s="56">
        <v>0</v>
      </c>
      <c r="BU236" s="56">
        <v>5868</v>
      </c>
      <c r="BV236" s="56">
        <v>52</v>
      </c>
      <c r="BW236" s="56" t="s">
        <v>1228</v>
      </c>
      <c r="BX236" s="56" t="s">
        <v>1975</v>
      </c>
      <c r="BY236" s="56" t="s">
        <v>663</v>
      </c>
      <c r="BZ236" s="56">
        <v>0.5</v>
      </c>
      <c r="CA236" s="56" t="s">
        <v>1587</v>
      </c>
      <c r="CB236" s="56" t="s">
        <v>1782</v>
      </c>
      <c r="CD236" s="56" t="s">
        <v>667</v>
      </c>
      <c r="CG236" s="56">
        <v>0</v>
      </c>
      <c r="CH236" s="56">
        <v>180</v>
      </c>
      <c r="CJ236" s="56">
        <v>100</v>
      </c>
      <c r="CK236" s="56">
        <v>3980.59</v>
      </c>
      <c r="CL236" s="56">
        <v>0</v>
      </c>
      <c r="CN236" s="56">
        <v>542.80999999999995</v>
      </c>
      <c r="CO236" s="56">
        <v>542.80999999999995</v>
      </c>
      <c r="CP236" s="56">
        <v>0</v>
      </c>
      <c r="CQ236" s="56" t="s">
        <v>708</v>
      </c>
      <c r="CR236" s="56">
        <v>0</v>
      </c>
      <c r="CS236" s="56">
        <v>0</v>
      </c>
      <c r="CV236" s="56">
        <v>0</v>
      </c>
      <c r="CX236" s="56">
        <v>0</v>
      </c>
      <c r="CY236" s="56">
        <v>0</v>
      </c>
      <c r="CZ236" s="56">
        <v>368.2</v>
      </c>
      <c r="DA236" s="56">
        <v>368.2</v>
      </c>
      <c r="DB236" s="56">
        <v>0</v>
      </c>
      <c r="DC236" s="56">
        <v>3612.39</v>
      </c>
      <c r="DD236" s="56">
        <v>10.38</v>
      </c>
      <c r="DE236" s="56">
        <v>0</v>
      </c>
      <c r="DF236" s="56">
        <v>10.38</v>
      </c>
      <c r="DH236" s="56" t="s">
        <v>670</v>
      </c>
      <c r="DI236" s="56" t="s">
        <v>671</v>
      </c>
      <c r="DK236" s="56">
        <v>79.63</v>
      </c>
      <c r="DL236" s="56">
        <v>3602.01</v>
      </c>
      <c r="DM236" s="56">
        <v>60</v>
      </c>
      <c r="DN236" s="56">
        <v>4501411977</v>
      </c>
      <c r="DO236" s="56" t="s">
        <v>236</v>
      </c>
      <c r="DQ236" s="56" t="s">
        <v>674</v>
      </c>
      <c r="DR236" s="56">
        <v>3</v>
      </c>
      <c r="DW236" s="56">
        <v>380</v>
      </c>
      <c r="DX236" s="56" t="s">
        <v>678</v>
      </c>
      <c r="DY236" s="56" t="s">
        <v>679</v>
      </c>
      <c r="EL236" s="56">
        <v>25</v>
      </c>
      <c r="EM236" s="56">
        <v>15</v>
      </c>
      <c r="EN236" s="56">
        <v>5173</v>
      </c>
      <c r="EO236" s="56">
        <v>2420</v>
      </c>
      <c r="EP236" s="56" t="s">
        <v>1234</v>
      </c>
      <c r="EQ236" s="56" t="s">
        <v>1783</v>
      </c>
      <c r="ER236" s="56" t="s">
        <v>1764</v>
      </c>
      <c r="ES236" s="56">
        <v>2</v>
      </c>
      <c r="ET236" s="56" t="s">
        <v>682</v>
      </c>
      <c r="EU236" s="56" t="s">
        <v>683</v>
      </c>
      <c r="EV236" s="56" t="s">
        <v>683</v>
      </c>
      <c r="FD236" s="56" t="s">
        <v>1976</v>
      </c>
      <c r="FK236" s="56">
        <v>0</v>
      </c>
    </row>
    <row r="237" spans="1:167" x14ac:dyDescent="0.2">
      <c r="A237" s="56">
        <v>29178</v>
      </c>
      <c r="B237" s="56">
        <v>2</v>
      </c>
      <c r="C237" s="56">
        <v>6352</v>
      </c>
      <c r="D237" s="56" t="s">
        <v>634</v>
      </c>
      <c r="E237" s="56" t="s">
        <v>635</v>
      </c>
      <c r="K237" s="56" t="s">
        <v>1977</v>
      </c>
      <c r="L237" s="56" t="s">
        <v>637</v>
      </c>
      <c r="M237" s="56">
        <v>44952</v>
      </c>
      <c r="N237" s="56">
        <v>44954</v>
      </c>
      <c r="O237" s="56">
        <v>38</v>
      </c>
      <c r="P237" s="56" t="s">
        <v>638</v>
      </c>
      <c r="Q237" s="56">
        <v>2</v>
      </c>
      <c r="R237" s="56" t="s">
        <v>639</v>
      </c>
      <c r="S237" s="56" t="s">
        <v>640</v>
      </c>
      <c r="T237" s="56" t="s">
        <v>641</v>
      </c>
      <c r="U237" s="56" t="s">
        <v>1227</v>
      </c>
      <c r="V237" s="56" t="s">
        <v>643</v>
      </c>
      <c r="W237" s="56">
        <v>48</v>
      </c>
      <c r="X237" s="56" t="s">
        <v>699</v>
      </c>
      <c r="Y237" s="56">
        <v>756</v>
      </c>
      <c r="Z237" s="56" t="s">
        <v>1779</v>
      </c>
      <c r="AB237" s="56" t="s">
        <v>1780</v>
      </c>
      <c r="AC237" s="56" t="s">
        <v>1757</v>
      </c>
      <c r="AD237" s="56" t="s">
        <v>1758</v>
      </c>
      <c r="AE237" s="56">
        <v>52</v>
      </c>
      <c r="AF237" s="56" t="s">
        <v>1228</v>
      </c>
      <c r="AG237" s="56" t="s">
        <v>1229</v>
      </c>
      <c r="AH237" s="56" t="s">
        <v>643</v>
      </c>
      <c r="AI237" s="56" t="s">
        <v>1227</v>
      </c>
      <c r="AJ237" s="56">
        <v>139</v>
      </c>
      <c r="AK237" s="56" t="s">
        <v>651</v>
      </c>
      <c r="AL237" s="56">
        <v>52</v>
      </c>
      <c r="AM237" s="56" t="s">
        <v>1228</v>
      </c>
      <c r="AN237" s="56" t="s">
        <v>1229</v>
      </c>
      <c r="AO237" s="56" t="s">
        <v>1230</v>
      </c>
      <c r="AP237" s="56" t="s">
        <v>643</v>
      </c>
      <c r="AQ237" s="56" t="s">
        <v>1227</v>
      </c>
      <c r="AR237" s="56">
        <v>52</v>
      </c>
      <c r="AS237" s="56" t="s">
        <v>1228</v>
      </c>
      <c r="AT237" s="56" t="s">
        <v>1229</v>
      </c>
      <c r="AU237" s="56" t="s">
        <v>643</v>
      </c>
      <c r="AV237" s="56" t="s">
        <v>1227</v>
      </c>
      <c r="AW237" s="56">
        <v>108</v>
      </c>
      <c r="AX237" s="56" t="s">
        <v>977</v>
      </c>
      <c r="AY237" s="56">
        <v>47</v>
      </c>
      <c r="AZ237" s="56" t="s">
        <v>32</v>
      </c>
      <c r="BA237" s="56" t="s">
        <v>978</v>
      </c>
      <c r="BB237" s="56" t="s">
        <v>770</v>
      </c>
      <c r="BC237" s="56">
        <v>38</v>
      </c>
      <c r="BD237" s="56" t="s">
        <v>289</v>
      </c>
      <c r="BE237" s="56" t="s">
        <v>771</v>
      </c>
      <c r="BF237" s="56">
        <v>2</v>
      </c>
      <c r="BG237" s="56" t="s">
        <v>289</v>
      </c>
      <c r="BH237" s="56" t="s">
        <v>772</v>
      </c>
      <c r="BI237" s="56">
        <v>23.77</v>
      </c>
      <c r="BJ237" s="56">
        <v>57154.01</v>
      </c>
      <c r="BK237" s="56">
        <v>23.77</v>
      </c>
      <c r="BL237" s="56" t="s">
        <v>897</v>
      </c>
      <c r="BM237" s="56">
        <v>3102</v>
      </c>
      <c r="BN237" s="56" t="s">
        <v>724</v>
      </c>
      <c r="BO237" s="56" t="s">
        <v>725</v>
      </c>
      <c r="BP237" s="56">
        <v>4278.6000000000004</v>
      </c>
      <c r="BQ237" s="56">
        <v>3667.97</v>
      </c>
      <c r="BR237" s="56">
        <v>0</v>
      </c>
      <c r="BS237" s="56">
        <v>0</v>
      </c>
      <c r="BT237" s="56">
        <v>0</v>
      </c>
      <c r="BU237" s="56">
        <v>5869</v>
      </c>
      <c r="BV237" s="56">
        <v>52</v>
      </c>
      <c r="BW237" s="56" t="s">
        <v>1228</v>
      </c>
      <c r="BX237" s="56" t="s">
        <v>1978</v>
      </c>
      <c r="BY237" s="56" t="s">
        <v>663</v>
      </c>
      <c r="BZ237" s="56">
        <v>0.5</v>
      </c>
      <c r="CA237" s="56" t="s">
        <v>1587</v>
      </c>
      <c r="CB237" s="56" t="s">
        <v>1782</v>
      </c>
      <c r="CD237" s="56" t="s">
        <v>667</v>
      </c>
      <c r="CG237" s="56">
        <v>0</v>
      </c>
      <c r="CH237" s="56">
        <v>180</v>
      </c>
      <c r="CJ237" s="56">
        <v>100</v>
      </c>
      <c r="CK237" s="56">
        <v>3667.97</v>
      </c>
      <c r="CL237" s="56">
        <v>0</v>
      </c>
      <c r="CN237" s="56">
        <v>513.42999999999995</v>
      </c>
      <c r="CO237" s="56">
        <v>513.42999999999995</v>
      </c>
      <c r="CP237" s="56">
        <v>97.2</v>
      </c>
      <c r="CQ237" s="56" t="s">
        <v>668</v>
      </c>
      <c r="CR237" s="56">
        <v>0</v>
      </c>
      <c r="CS237" s="56">
        <v>0</v>
      </c>
      <c r="CV237" s="56">
        <v>0</v>
      </c>
      <c r="CX237" s="56">
        <v>0</v>
      </c>
      <c r="CY237" s="56">
        <v>0</v>
      </c>
      <c r="CZ237" s="56">
        <v>339.29</v>
      </c>
      <c r="DA237" s="56">
        <v>339.29</v>
      </c>
      <c r="DB237" s="56">
        <v>0</v>
      </c>
      <c r="DC237" s="56">
        <v>3328.68</v>
      </c>
      <c r="DD237" s="56">
        <v>9.82</v>
      </c>
      <c r="DE237" s="56">
        <v>0</v>
      </c>
      <c r="DF237" s="56">
        <v>9.82</v>
      </c>
      <c r="DH237" s="56" t="s">
        <v>670</v>
      </c>
      <c r="DI237" s="56" t="s">
        <v>671</v>
      </c>
      <c r="DK237" s="56">
        <v>79.84</v>
      </c>
      <c r="DL237" s="56">
        <v>3416.06</v>
      </c>
      <c r="DM237" s="56">
        <v>60</v>
      </c>
      <c r="DN237" s="56">
        <v>4501411977</v>
      </c>
      <c r="DO237" s="56" t="s">
        <v>236</v>
      </c>
      <c r="DQ237" s="56" t="s">
        <v>674</v>
      </c>
      <c r="DR237" s="56">
        <v>3</v>
      </c>
      <c r="DW237" s="56">
        <v>380</v>
      </c>
      <c r="DX237" s="56" t="s">
        <v>678</v>
      </c>
      <c r="DY237" s="56" t="s">
        <v>679</v>
      </c>
      <c r="EL237" s="56">
        <v>25</v>
      </c>
      <c r="EM237" s="56">
        <v>15</v>
      </c>
      <c r="EN237" s="56">
        <v>5173</v>
      </c>
      <c r="EO237" s="56">
        <v>2420</v>
      </c>
      <c r="EP237" s="56" t="s">
        <v>1234</v>
      </c>
      <c r="EQ237" s="56" t="s">
        <v>1783</v>
      </c>
      <c r="ER237" s="56" t="s">
        <v>1764</v>
      </c>
      <c r="ES237" s="56">
        <v>2</v>
      </c>
      <c r="ET237" s="56" t="s">
        <v>682</v>
      </c>
      <c r="EU237" s="56" t="s">
        <v>683</v>
      </c>
      <c r="EV237" s="56" t="s">
        <v>683</v>
      </c>
      <c r="FD237" s="56" t="s">
        <v>1979</v>
      </c>
      <c r="FK237" s="56">
        <v>0</v>
      </c>
    </row>
    <row r="238" spans="1:167" x14ac:dyDescent="0.2">
      <c r="A238" s="56">
        <v>29179</v>
      </c>
      <c r="B238" s="56">
        <v>2</v>
      </c>
      <c r="C238" s="56">
        <v>6352</v>
      </c>
      <c r="D238" s="56" t="s">
        <v>634</v>
      </c>
      <c r="E238" s="56" t="s">
        <v>635</v>
      </c>
      <c r="K238" s="56" t="s">
        <v>1980</v>
      </c>
      <c r="L238" s="56" t="s">
        <v>637</v>
      </c>
      <c r="M238" s="56">
        <v>44952</v>
      </c>
      <c r="N238" s="56">
        <v>44954</v>
      </c>
      <c r="O238" s="56">
        <v>38</v>
      </c>
      <c r="P238" s="56" t="s">
        <v>638</v>
      </c>
      <c r="Q238" s="56">
        <v>2</v>
      </c>
      <c r="R238" s="56" t="s">
        <v>639</v>
      </c>
      <c r="S238" s="56" t="s">
        <v>640</v>
      </c>
      <c r="T238" s="56" t="s">
        <v>641</v>
      </c>
      <c r="U238" s="56" t="s">
        <v>1227</v>
      </c>
      <c r="V238" s="56" t="s">
        <v>643</v>
      </c>
      <c r="W238" s="56">
        <v>48</v>
      </c>
      <c r="X238" s="56" t="s">
        <v>699</v>
      </c>
      <c r="Y238" s="56">
        <v>756</v>
      </c>
      <c r="Z238" s="56" t="s">
        <v>1779</v>
      </c>
      <c r="AB238" s="56" t="s">
        <v>1780</v>
      </c>
      <c r="AC238" s="56" t="s">
        <v>1757</v>
      </c>
      <c r="AD238" s="56" t="s">
        <v>1758</v>
      </c>
      <c r="AE238" s="56">
        <v>52</v>
      </c>
      <c r="AF238" s="56" t="s">
        <v>1228</v>
      </c>
      <c r="AG238" s="56" t="s">
        <v>1229</v>
      </c>
      <c r="AH238" s="56" t="s">
        <v>643</v>
      </c>
      <c r="AI238" s="56" t="s">
        <v>1227</v>
      </c>
      <c r="AJ238" s="56">
        <v>139</v>
      </c>
      <c r="AK238" s="56" t="s">
        <v>651</v>
      </c>
      <c r="AL238" s="56">
        <v>52</v>
      </c>
      <c r="AM238" s="56" t="s">
        <v>1228</v>
      </c>
      <c r="AN238" s="56" t="s">
        <v>1229</v>
      </c>
      <c r="AO238" s="56" t="s">
        <v>1230</v>
      </c>
      <c r="AP238" s="56" t="s">
        <v>643</v>
      </c>
      <c r="AQ238" s="56" t="s">
        <v>1227</v>
      </c>
      <c r="AR238" s="56">
        <v>52</v>
      </c>
      <c r="AS238" s="56" t="s">
        <v>1228</v>
      </c>
      <c r="AT238" s="56" t="s">
        <v>1229</v>
      </c>
      <c r="AU238" s="56" t="s">
        <v>643</v>
      </c>
      <c r="AV238" s="56" t="s">
        <v>1227</v>
      </c>
      <c r="AW238" s="56">
        <v>109</v>
      </c>
      <c r="AX238" s="56" t="s">
        <v>826</v>
      </c>
      <c r="AY238" s="56">
        <v>20</v>
      </c>
      <c r="AZ238" s="56" t="s">
        <v>30</v>
      </c>
      <c r="BA238" s="56" t="s">
        <v>827</v>
      </c>
      <c r="BB238" s="56" t="s">
        <v>770</v>
      </c>
      <c r="BC238" s="56">
        <v>38</v>
      </c>
      <c r="BD238" s="56" t="s">
        <v>289</v>
      </c>
      <c r="BE238" s="56" t="s">
        <v>771</v>
      </c>
      <c r="BF238" s="56">
        <v>2</v>
      </c>
      <c r="BG238" s="56" t="s">
        <v>289</v>
      </c>
      <c r="BH238" s="56" t="s">
        <v>772</v>
      </c>
      <c r="BI238" s="56">
        <v>27.13</v>
      </c>
      <c r="BJ238" s="56">
        <v>65233</v>
      </c>
      <c r="BK238" s="56">
        <v>27.13</v>
      </c>
      <c r="BL238" s="56" t="s">
        <v>897</v>
      </c>
      <c r="BM238" s="56">
        <v>3102</v>
      </c>
      <c r="BN238" s="56" t="s">
        <v>724</v>
      </c>
      <c r="BO238" s="56" t="s">
        <v>725</v>
      </c>
      <c r="BP238" s="56">
        <v>4883.3999999999996</v>
      </c>
      <c r="BQ238" s="56">
        <v>4297.3900000000003</v>
      </c>
      <c r="BR238" s="56">
        <v>0</v>
      </c>
      <c r="BS238" s="56">
        <v>0</v>
      </c>
      <c r="BT238" s="56">
        <v>0</v>
      </c>
      <c r="BU238" s="56">
        <v>5870</v>
      </c>
      <c r="BV238" s="56">
        <v>52</v>
      </c>
      <c r="BW238" s="56" t="s">
        <v>1228</v>
      </c>
      <c r="BX238" s="56" t="s">
        <v>1981</v>
      </c>
      <c r="BY238" s="56" t="s">
        <v>663</v>
      </c>
      <c r="BZ238" s="56">
        <v>0.5</v>
      </c>
      <c r="CA238" s="56" t="s">
        <v>1587</v>
      </c>
      <c r="CB238" s="56" t="s">
        <v>1782</v>
      </c>
      <c r="CD238" s="56" t="s">
        <v>667</v>
      </c>
      <c r="CG238" s="56">
        <v>0</v>
      </c>
      <c r="CH238" s="56">
        <v>180</v>
      </c>
      <c r="CJ238" s="56">
        <v>100</v>
      </c>
      <c r="CK238" s="56">
        <v>4297.3900000000003</v>
      </c>
      <c r="CL238" s="56">
        <v>0</v>
      </c>
      <c r="CN238" s="56">
        <v>586.01</v>
      </c>
      <c r="CO238" s="56">
        <v>586.01</v>
      </c>
      <c r="CP238" s="56">
        <v>0</v>
      </c>
      <c r="CQ238" s="56" t="s">
        <v>708</v>
      </c>
      <c r="CR238" s="56">
        <v>0</v>
      </c>
      <c r="CS238" s="56">
        <v>0</v>
      </c>
      <c r="CV238" s="56">
        <v>0</v>
      </c>
      <c r="CX238" s="56">
        <v>0</v>
      </c>
      <c r="CY238" s="56">
        <v>0</v>
      </c>
      <c r="CZ238" s="56">
        <v>397.51</v>
      </c>
      <c r="DA238" s="56">
        <v>397.51</v>
      </c>
      <c r="DB238" s="56">
        <v>0</v>
      </c>
      <c r="DC238" s="56">
        <v>3899.88</v>
      </c>
      <c r="DD238" s="56">
        <v>11.21</v>
      </c>
      <c r="DE238" s="56">
        <v>0</v>
      </c>
      <c r="DF238" s="56">
        <v>11.21</v>
      </c>
      <c r="DH238" s="56" t="s">
        <v>670</v>
      </c>
      <c r="DI238" s="56" t="s">
        <v>671</v>
      </c>
      <c r="DK238" s="56">
        <v>79.63</v>
      </c>
      <c r="DL238" s="56">
        <v>3888.67</v>
      </c>
      <c r="DM238" s="56">
        <v>60</v>
      </c>
      <c r="DN238" s="56">
        <v>4501411977</v>
      </c>
      <c r="DO238" s="56" t="s">
        <v>236</v>
      </c>
      <c r="DQ238" s="56" t="s">
        <v>674</v>
      </c>
      <c r="DR238" s="56">
        <v>3</v>
      </c>
      <c r="DW238" s="56">
        <v>380</v>
      </c>
      <c r="DX238" s="56" t="s">
        <v>678</v>
      </c>
      <c r="DY238" s="56" t="s">
        <v>679</v>
      </c>
      <c r="EL238" s="56">
        <v>25</v>
      </c>
      <c r="EM238" s="56">
        <v>15</v>
      </c>
      <c r="EN238" s="56">
        <v>5173</v>
      </c>
      <c r="EO238" s="56">
        <v>2420</v>
      </c>
      <c r="EP238" s="56" t="s">
        <v>1234</v>
      </c>
      <c r="EQ238" s="56" t="s">
        <v>1783</v>
      </c>
      <c r="ER238" s="56" t="s">
        <v>1764</v>
      </c>
      <c r="ES238" s="56">
        <v>2</v>
      </c>
      <c r="ET238" s="56" t="s">
        <v>682</v>
      </c>
      <c r="EU238" s="56" t="s">
        <v>683</v>
      </c>
      <c r="EV238" s="56" t="s">
        <v>683</v>
      </c>
      <c r="FD238" s="56" t="s">
        <v>1982</v>
      </c>
      <c r="FK238" s="56">
        <v>0</v>
      </c>
    </row>
    <row r="239" spans="1:167" x14ac:dyDescent="0.2">
      <c r="A239" s="56">
        <v>29180</v>
      </c>
      <c r="B239" s="56">
        <v>2</v>
      </c>
      <c r="C239" s="56">
        <v>6352</v>
      </c>
      <c r="D239" s="56" t="s">
        <v>634</v>
      </c>
      <c r="E239" s="56" t="s">
        <v>635</v>
      </c>
      <c r="K239" s="56" t="s">
        <v>1983</v>
      </c>
      <c r="L239" s="56" t="s">
        <v>637</v>
      </c>
      <c r="M239" s="56">
        <v>44952</v>
      </c>
      <c r="N239" s="56">
        <v>44954</v>
      </c>
      <c r="O239" s="56">
        <v>38</v>
      </c>
      <c r="P239" s="56" t="s">
        <v>638</v>
      </c>
      <c r="Q239" s="56">
        <v>2</v>
      </c>
      <c r="R239" s="56" t="s">
        <v>639</v>
      </c>
      <c r="S239" s="56" t="s">
        <v>640</v>
      </c>
      <c r="T239" s="56" t="s">
        <v>641</v>
      </c>
      <c r="U239" s="56" t="s">
        <v>1227</v>
      </c>
      <c r="V239" s="56" t="s">
        <v>643</v>
      </c>
      <c r="W239" s="56">
        <v>48</v>
      </c>
      <c r="X239" s="56" t="s">
        <v>699</v>
      </c>
      <c r="Y239" s="56">
        <v>756</v>
      </c>
      <c r="Z239" s="56" t="s">
        <v>1779</v>
      </c>
      <c r="AB239" s="56" t="s">
        <v>1780</v>
      </c>
      <c r="AC239" s="56" t="s">
        <v>1757</v>
      </c>
      <c r="AD239" s="56" t="s">
        <v>1758</v>
      </c>
      <c r="AE239" s="56">
        <v>52</v>
      </c>
      <c r="AF239" s="56" t="s">
        <v>1228</v>
      </c>
      <c r="AG239" s="56" t="s">
        <v>1229</v>
      </c>
      <c r="AH239" s="56" t="s">
        <v>643</v>
      </c>
      <c r="AI239" s="56" t="s">
        <v>1227</v>
      </c>
      <c r="AJ239" s="56">
        <v>139</v>
      </c>
      <c r="AK239" s="56" t="s">
        <v>651</v>
      </c>
      <c r="AL239" s="56">
        <v>52</v>
      </c>
      <c r="AM239" s="56" t="s">
        <v>1228</v>
      </c>
      <c r="AN239" s="56" t="s">
        <v>1229</v>
      </c>
      <c r="AO239" s="56" t="s">
        <v>1230</v>
      </c>
      <c r="AP239" s="56" t="s">
        <v>643</v>
      </c>
      <c r="AQ239" s="56" t="s">
        <v>1227</v>
      </c>
      <c r="AR239" s="56">
        <v>52</v>
      </c>
      <c r="AS239" s="56" t="s">
        <v>1228</v>
      </c>
      <c r="AT239" s="56" t="s">
        <v>1229</v>
      </c>
      <c r="AU239" s="56" t="s">
        <v>643</v>
      </c>
      <c r="AV239" s="56" t="s">
        <v>1227</v>
      </c>
      <c r="AW239" s="56">
        <v>109</v>
      </c>
      <c r="AX239" s="56" t="s">
        <v>826</v>
      </c>
      <c r="AY239" s="56">
        <v>20</v>
      </c>
      <c r="AZ239" s="56" t="s">
        <v>30</v>
      </c>
      <c r="BA239" s="56" t="s">
        <v>827</v>
      </c>
      <c r="BB239" s="56" t="s">
        <v>770</v>
      </c>
      <c r="BC239" s="56">
        <v>38</v>
      </c>
      <c r="BD239" s="56" t="s">
        <v>289</v>
      </c>
      <c r="BE239" s="56" t="s">
        <v>771</v>
      </c>
      <c r="BF239" s="56">
        <v>2</v>
      </c>
      <c r="BG239" s="56" t="s">
        <v>289</v>
      </c>
      <c r="BH239" s="56" t="s">
        <v>772</v>
      </c>
      <c r="BI239" s="56">
        <v>25.23</v>
      </c>
      <c r="BJ239" s="56">
        <v>60664.53</v>
      </c>
      <c r="BK239" s="56">
        <v>25.23</v>
      </c>
      <c r="BL239" s="56" t="s">
        <v>897</v>
      </c>
      <c r="BM239" s="56">
        <v>3102</v>
      </c>
      <c r="BN239" s="56" t="s">
        <v>724</v>
      </c>
      <c r="BO239" s="56" t="s">
        <v>725</v>
      </c>
      <c r="BP239" s="56">
        <v>4541.3999999999996</v>
      </c>
      <c r="BQ239" s="56">
        <v>3899.23</v>
      </c>
      <c r="BR239" s="56">
        <v>0</v>
      </c>
      <c r="BS239" s="56">
        <v>0</v>
      </c>
      <c r="BT239" s="56">
        <v>0</v>
      </c>
      <c r="BU239" s="56">
        <v>5871</v>
      </c>
      <c r="BV239" s="56">
        <v>52</v>
      </c>
      <c r="BW239" s="56" t="s">
        <v>1228</v>
      </c>
      <c r="BX239" s="56" t="s">
        <v>1984</v>
      </c>
      <c r="BY239" s="56" t="s">
        <v>663</v>
      </c>
      <c r="BZ239" s="56">
        <v>0.5</v>
      </c>
      <c r="CA239" s="56" t="s">
        <v>1587</v>
      </c>
      <c r="CB239" s="56" t="s">
        <v>1782</v>
      </c>
      <c r="CD239" s="56" t="s">
        <v>667</v>
      </c>
      <c r="CG239" s="56">
        <v>0</v>
      </c>
      <c r="CH239" s="56">
        <v>180</v>
      </c>
      <c r="CJ239" s="56">
        <v>100</v>
      </c>
      <c r="CK239" s="56">
        <v>3899.23</v>
      </c>
      <c r="CL239" s="56">
        <v>0</v>
      </c>
      <c r="CN239" s="56">
        <v>544.97</v>
      </c>
      <c r="CO239" s="56">
        <v>544.97</v>
      </c>
      <c r="CP239" s="56">
        <v>97.2</v>
      </c>
      <c r="CQ239" s="56" t="s">
        <v>668</v>
      </c>
      <c r="CR239" s="56">
        <v>0</v>
      </c>
      <c r="CS239" s="56">
        <v>0</v>
      </c>
      <c r="CV239" s="56">
        <v>0</v>
      </c>
      <c r="CX239" s="56">
        <v>0</v>
      </c>
      <c r="CY239" s="56">
        <v>0</v>
      </c>
      <c r="CZ239" s="56">
        <v>360.68</v>
      </c>
      <c r="DA239" s="56">
        <v>360.68</v>
      </c>
      <c r="DB239" s="56">
        <v>0</v>
      </c>
      <c r="DC239" s="56">
        <v>3538.55</v>
      </c>
      <c r="DD239" s="56">
        <v>10.42</v>
      </c>
      <c r="DE239" s="56">
        <v>0</v>
      </c>
      <c r="DF239" s="56">
        <v>10.42</v>
      </c>
      <c r="DH239" s="56" t="s">
        <v>670</v>
      </c>
      <c r="DI239" s="56" t="s">
        <v>671</v>
      </c>
      <c r="DK239" s="56">
        <v>79.83</v>
      </c>
      <c r="DL239" s="56">
        <v>3625.33</v>
      </c>
      <c r="DM239" s="56">
        <v>60</v>
      </c>
      <c r="DN239" s="56">
        <v>4501411977</v>
      </c>
      <c r="DO239" s="56" t="s">
        <v>236</v>
      </c>
      <c r="DQ239" s="56" t="s">
        <v>674</v>
      </c>
      <c r="DR239" s="56">
        <v>3</v>
      </c>
      <c r="DW239" s="56">
        <v>380</v>
      </c>
      <c r="DX239" s="56" t="s">
        <v>678</v>
      </c>
      <c r="DY239" s="56" t="s">
        <v>679</v>
      </c>
      <c r="EL239" s="56">
        <v>25</v>
      </c>
      <c r="EM239" s="56">
        <v>15</v>
      </c>
      <c r="EN239" s="56">
        <v>5173</v>
      </c>
      <c r="EO239" s="56">
        <v>2420</v>
      </c>
      <c r="EP239" s="56" t="s">
        <v>1234</v>
      </c>
      <c r="EQ239" s="56" t="s">
        <v>1783</v>
      </c>
      <c r="ER239" s="56" t="s">
        <v>1764</v>
      </c>
      <c r="ES239" s="56">
        <v>2</v>
      </c>
      <c r="ET239" s="56" t="s">
        <v>682</v>
      </c>
      <c r="EU239" s="56" t="s">
        <v>683</v>
      </c>
      <c r="EV239" s="56" t="s">
        <v>683</v>
      </c>
      <c r="FD239" s="56" t="s">
        <v>1985</v>
      </c>
      <c r="FK239" s="56">
        <v>0</v>
      </c>
    </row>
    <row r="240" spans="1:167" x14ac:dyDescent="0.2">
      <c r="A240" s="56">
        <v>29182</v>
      </c>
      <c r="B240" s="56">
        <v>2</v>
      </c>
      <c r="C240" s="56">
        <v>6352</v>
      </c>
      <c r="D240" s="56" t="s">
        <v>634</v>
      </c>
      <c r="E240" s="56" t="s">
        <v>635</v>
      </c>
      <c r="K240" s="56" t="s">
        <v>1986</v>
      </c>
      <c r="L240" s="56" t="s">
        <v>637</v>
      </c>
      <c r="M240" s="56">
        <v>44952</v>
      </c>
      <c r="N240" s="56">
        <v>44954</v>
      </c>
      <c r="O240" s="56">
        <v>38</v>
      </c>
      <c r="P240" s="56" t="s">
        <v>638</v>
      </c>
      <c r="Q240" s="56">
        <v>2</v>
      </c>
      <c r="R240" s="56" t="s">
        <v>639</v>
      </c>
      <c r="S240" s="56" t="s">
        <v>893</v>
      </c>
      <c r="T240" s="56" t="s">
        <v>641</v>
      </c>
      <c r="U240" s="56" t="s">
        <v>735</v>
      </c>
      <c r="V240" s="56" t="s">
        <v>643</v>
      </c>
      <c r="W240" s="56">
        <v>48</v>
      </c>
      <c r="X240" s="56" t="s">
        <v>699</v>
      </c>
      <c r="Y240" s="56">
        <v>492</v>
      </c>
      <c r="Z240" s="56" t="s">
        <v>645</v>
      </c>
      <c r="AA240" s="56" t="s">
        <v>1987</v>
      </c>
      <c r="AB240" s="56" t="s">
        <v>1988</v>
      </c>
      <c r="AC240" s="56" t="s">
        <v>641</v>
      </c>
      <c r="AD240" s="56" t="s">
        <v>893</v>
      </c>
      <c r="AE240" s="56">
        <v>91</v>
      </c>
      <c r="AF240" s="56" t="s">
        <v>736</v>
      </c>
      <c r="AG240" s="56" t="s">
        <v>737</v>
      </c>
      <c r="AH240" s="56" t="s">
        <v>643</v>
      </c>
      <c r="AI240" s="56" t="s">
        <v>735</v>
      </c>
      <c r="AJ240" s="56">
        <v>492</v>
      </c>
      <c r="AK240" s="56" t="s">
        <v>645</v>
      </c>
      <c r="AL240" s="56">
        <v>98</v>
      </c>
      <c r="AM240" s="56" t="s">
        <v>645</v>
      </c>
      <c r="AN240" s="56" t="s">
        <v>646</v>
      </c>
      <c r="AO240" s="56" t="s">
        <v>647</v>
      </c>
      <c r="AP240" s="56" t="s">
        <v>643</v>
      </c>
      <c r="AQ240" s="56" t="s">
        <v>648</v>
      </c>
      <c r="AR240" s="56">
        <v>492</v>
      </c>
      <c r="AS240" s="56" t="s">
        <v>645</v>
      </c>
      <c r="AT240" s="56" t="s">
        <v>1987</v>
      </c>
      <c r="AU240" s="56" t="s">
        <v>641</v>
      </c>
      <c r="AV240" s="56" t="s">
        <v>893</v>
      </c>
      <c r="AW240" s="56">
        <v>291</v>
      </c>
      <c r="AX240" s="56" t="s">
        <v>1989</v>
      </c>
      <c r="AY240" s="56">
        <v>78</v>
      </c>
      <c r="AZ240" s="56" t="s">
        <v>1990</v>
      </c>
      <c r="BA240" s="56" t="s">
        <v>1991</v>
      </c>
      <c r="BB240" s="56" t="s">
        <v>1992</v>
      </c>
      <c r="BC240" s="56">
        <v>764</v>
      </c>
      <c r="BD240" s="56" t="s">
        <v>1993</v>
      </c>
      <c r="BE240" s="56" t="s">
        <v>1994</v>
      </c>
      <c r="BF240" s="56">
        <v>764</v>
      </c>
      <c r="BG240" s="56" t="s">
        <v>1993</v>
      </c>
      <c r="BH240" s="56" t="s">
        <v>1994</v>
      </c>
      <c r="BI240" s="56">
        <v>48.26</v>
      </c>
      <c r="BJ240" s="56">
        <v>141873.78</v>
      </c>
      <c r="BK240" s="56">
        <v>48.26</v>
      </c>
      <c r="BL240" s="56" t="s">
        <v>1110</v>
      </c>
      <c r="BM240" s="56">
        <v>3105</v>
      </c>
      <c r="BN240" s="56" t="s">
        <v>660</v>
      </c>
      <c r="BO240" s="56" t="s">
        <v>706</v>
      </c>
      <c r="BP240" s="56">
        <v>6177.28</v>
      </c>
      <c r="BQ240" s="56">
        <v>5363.11</v>
      </c>
      <c r="BR240" s="56">
        <v>0</v>
      </c>
      <c r="BS240" s="56">
        <v>0</v>
      </c>
      <c r="BT240" s="56">
        <v>4367.5</v>
      </c>
      <c r="BU240" s="56">
        <v>166786</v>
      </c>
      <c r="BV240" s="56">
        <v>492</v>
      </c>
      <c r="BW240" s="56" t="s">
        <v>645</v>
      </c>
      <c r="BX240" s="56" t="s">
        <v>1995</v>
      </c>
      <c r="BY240" s="56" t="s">
        <v>663</v>
      </c>
      <c r="BZ240" s="56">
        <v>0.25</v>
      </c>
      <c r="CA240" s="56" t="s">
        <v>664</v>
      </c>
      <c r="CB240" s="56" t="s">
        <v>1996</v>
      </c>
      <c r="CC240" s="56" t="s">
        <v>1042</v>
      </c>
      <c r="CD240" s="56" t="s">
        <v>667</v>
      </c>
      <c r="CF240" s="56">
        <v>3494</v>
      </c>
      <c r="CG240" s="56">
        <v>80</v>
      </c>
      <c r="CH240" s="56">
        <v>128</v>
      </c>
      <c r="CI240" s="56">
        <v>92.01</v>
      </c>
      <c r="CJ240" s="56">
        <v>18.559999999999999</v>
      </c>
      <c r="CK240" s="56">
        <v>5363.11</v>
      </c>
      <c r="CL240" s="56">
        <v>4367.5</v>
      </c>
      <c r="CM240" s="56">
        <v>17.100000000000001</v>
      </c>
      <c r="CN240" s="56">
        <v>741.27</v>
      </c>
      <c r="CO240" s="56">
        <v>741.27</v>
      </c>
      <c r="CP240" s="56">
        <v>72.900000000000006</v>
      </c>
      <c r="CQ240" s="56" t="s">
        <v>668</v>
      </c>
      <c r="CR240" s="56">
        <v>0</v>
      </c>
      <c r="CS240" s="56">
        <v>72.900000000000006</v>
      </c>
      <c r="CT240" s="56" t="s">
        <v>669</v>
      </c>
      <c r="CU240" s="56">
        <v>0</v>
      </c>
      <c r="CV240" s="56">
        <v>0</v>
      </c>
      <c r="CX240" s="56">
        <v>974.21</v>
      </c>
      <c r="CY240" s="56">
        <v>0</v>
      </c>
      <c r="CZ240" s="56">
        <v>92.1</v>
      </c>
      <c r="DA240" s="56">
        <v>496.09</v>
      </c>
      <c r="DB240" s="56">
        <v>403.99</v>
      </c>
      <c r="DC240" s="56">
        <v>5271.01</v>
      </c>
      <c r="DD240" s="56">
        <v>-25.16</v>
      </c>
      <c r="DE240" s="56">
        <v>0</v>
      </c>
      <c r="DF240" s="56">
        <v>24.38</v>
      </c>
      <c r="DG240" s="56">
        <v>70.94</v>
      </c>
      <c r="DH240" s="56" t="s">
        <v>670</v>
      </c>
      <c r="DI240" s="56" t="s">
        <v>671</v>
      </c>
      <c r="DK240" s="56">
        <v>15.38</v>
      </c>
      <c r="DL240" s="56">
        <v>950.07</v>
      </c>
      <c r="DM240" s="56">
        <v>103</v>
      </c>
      <c r="DN240" s="56">
        <v>4500923461</v>
      </c>
      <c r="DO240" s="56" t="s">
        <v>1997</v>
      </c>
      <c r="DP240" s="56" t="s">
        <v>677</v>
      </c>
      <c r="DQ240" s="56" t="s">
        <v>674</v>
      </c>
      <c r="DR240" s="56">
        <v>3</v>
      </c>
      <c r="DS240" s="56" t="s">
        <v>1998</v>
      </c>
      <c r="DT240" s="56" t="s">
        <v>1999</v>
      </c>
      <c r="DU240" s="56">
        <v>36</v>
      </c>
      <c r="DV240" s="56" t="s">
        <v>677</v>
      </c>
      <c r="DW240" s="56">
        <v>280</v>
      </c>
      <c r="DX240" s="56" t="s">
        <v>678</v>
      </c>
      <c r="DY240" s="56" t="s">
        <v>679</v>
      </c>
      <c r="ED240" s="56">
        <v>2</v>
      </c>
      <c r="EE240" s="56" t="s">
        <v>639</v>
      </c>
      <c r="EF240" s="56">
        <v>2</v>
      </c>
      <c r="EG240" s="56" t="s">
        <v>639</v>
      </c>
      <c r="EH240" s="56">
        <v>2</v>
      </c>
      <c r="EI240" s="56" t="s">
        <v>639</v>
      </c>
      <c r="EJ240" s="56">
        <v>2</v>
      </c>
      <c r="EK240" s="56" t="s">
        <v>639</v>
      </c>
      <c r="EL240" s="56">
        <v>25</v>
      </c>
      <c r="EM240" s="56">
        <v>15</v>
      </c>
      <c r="EN240" s="56">
        <v>4779</v>
      </c>
      <c r="EO240" s="56">
        <v>1805</v>
      </c>
      <c r="EP240" s="56" t="s">
        <v>1234</v>
      </c>
      <c r="EQ240" s="56" t="s">
        <v>2000</v>
      </c>
      <c r="ER240" s="56" t="s">
        <v>902</v>
      </c>
      <c r="ES240" s="56">
        <v>2</v>
      </c>
      <c r="ET240" s="56" t="s">
        <v>682</v>
      </c>
      <c r="EU240" s="56" t="s">
        <v>683</v>
      </c>
      <c r="EV240" s="56" t="s">
        <v>683</v>
      </c>
      <c r="FD240" s="56" t="s">
        <v>2001</v>
      </c>
      <c r="FJ240" s="56" t="s">
        <v>2002</v>
      </c>
      <c r="FK240" s="56">
        <v>0</v>
      </c>
    </row>
    <row r="241" spans="1:167" x14ac:dyDescent="0.2">
      <c r="A241" s="56">
        <v>29183</v>
      </c>
      <c r="B241" s="56">
        <v>2</v>
      </c>
      <c r="C241" s="56">
        <v>6352</v>
      </c>
      <c r="D241" s="56" t="s">
        <v>634</v>
      </c>
      <c r="E241" s="56" t="s">
        <v>635</v>
      </c>
      <c r="K241" s="56" t="s">
        <v>2003</v>
      </c>
      <c r="L241" s="56" t="s">
        <v>637</v>
      </c>
      <c r="M241" s="56">
        <v>44952</v>
      </c>
      <c r="N241" s="56">
        <v>44954</v>
      </c>
      <c r="O241" s="56">
        <v>38</v>
      </c>
      <c r="P241" s="56" t="s">
        <v>638</v>
      </c>
      <c r="Q241" s="56">
        <v>2</v>
      </c>
      <c r="R241" s="56" t="s">
        <v>639</v>
      </c>
      <c r="S241" s="56" t="s">
        <v>893</v>
      </c>
      <c r="T241" s="56" t="s">
        <v>641</v>
      </c>
      <c r="U241" s="56" t="s">
        <v>735</v>
      </c>
      <c r="V241" s="56" t="s">
        <v>643</v>
      </c>
      <c r="W241" s="56">
        <v>48</v>
      </c>
      <c r="X241" s="56" t="s">
        <v>699</v>
      </c>
      <c r="Y241" s="56">
        <v>492</v>
      </c>
      <c r="Z241" s="56" t="s">
        <v>645</v>
      </c>
      <c r="AA241" s="56" t="s">
        <v>1987</v>
      </c>
      <c r="AB241" s="56" t="s">
        <v>1988</v>
      </c>
      <c r="AC241" s="56" t="s">
        <v>641</v>
      </c>
      <c r="AD241" s="56" t="s">
        <v>893</v>
      </c>
      <c r="AE241" s="56">
        <v>91</v>
      </c>
      <c r="AF241" s="56" t="s">
        <v>736</v>
      </c>
      <c r="AG241" s="56" t="s">
        <v>737</v>
      </c>
      <c r="AH241" s="56" t="s">
        <v>643</v>
      </c>
      <c r="AI241" s="56" t="s">
        <v>735</v>
      </c>
      <c r="AJ241" s="56">
        <v>492</v>
      </c>
      <c r="AK241" s="56" t="s">
        <v>645</v>
      </c>
      <c r="AL241" s="56">
        <v>98</v>
      </c>
      <c r="AM241" s="56" t="s">
        <v>645</v>
      </c>
      <c r="AN241" s="56" t="s">
        <v>646</v>
      </c>
      <c r="AO241" s="56" t="s">
        <v>647</v>
      </c>
      <c r="AP241" s="56" t="s">
        <v>643</v>
      </c>
      <c r="AQ241" s="56" t="s">
        <v>648</v>
      </c>
      <c r="AR241" s="56">
        <v>492</v>
      </c>
      <c r="AS241" s="56" t="s">
        <v>645</v>
      </c>
      <c r="AT241" s="56" t="s">
        <v>1987</v>
      </c>
      <c r="AU241" s="56" t="s">
        <v>641</v>
      </c>
      <c r="AV241" s="56" t="s">
        <v>893</v>
      </c>
      <c r="AW241" s="56">
        <v>251</v>
      </c>
      <c r="AX241" s="56" t="s">
        <v>1313</v>
      </c>
      <c r="AY241" s="56">
        <v>251</v>
      </c>
      <c r="AZ241" s="56" t="s">
        <v>1314</v>
      </c>
      <c r="BA241" s="56" t="s">
        <v>1315</v>
      </c>
      <c r="BB241" s="56" t="s">
        <v>1316</v>
      </c>
      <c r="BC241" s="56">
        <v>250</v>
      </c>
      <c r="BD241" s="56" t="s">
        <v>1317</v>
      </c>
      <c r="BE241" s="56" t="s">
        <v>1318</v>
      </c>
      <c r="BF241" s="56">
        <v>250</v>
      </c>
      <c r="BG241" s="56" t="s">
        <v>1317</v>
      </c>
      <c r="BH241" s="56" t="s">
        <v>1318</v>
      </c>
      <c r="BI241" s="56">
        <v>47.12</v>
      </c>
      <c r="BJ241" s="56">
        <v>138522.43</v>
      </c>
      <c r="BK241" s="56">
        <v>47.12</v>
      </c>
      <c r="BL241" s="56" t="s">
        <v>1110</v>
      </c>
      <c r="BM241" s="56">
        <v>3105</v>
      </c>
      <c r="BN241" s="56" t="s">
        <v>786</v>
      </c>
      <c r="BO241" s="56" t="s">
        <v>1319</v>
      </c>
      <c r="BP241" s="56">
        <v>6031.36</v>
      </c>
      <c r="BQ241" s="56">
        <v>5234.7</v>
      </c>
      <c r="BR241" s="56">
        <v>0</v>
      </c>
      <c r="BS241" s="56">
        <v>0</v>
      </c>
      <c r="BT241" s="56">
        <v>4262.6099999999997</v>
      </c>
      <c r="BU241" s="56">
        <v>166818</v>
      </c>
      <c r="BV241" s="56">
        <v>492</v>
      </c>
      <c r="BW241" s="56" t="s">
        <v>645</v>
      </c>
      <c r="BX241" s="56" t="s">
        <v>2004</v>
      </c>
      <c r="BY241" s="56" t="s">
        <v>663</v>
      </c>
      <c r="BZ241" s="56">
        <v>0.25</v>
      </c>
      <c r="CA241" s="56" t="s">
        <v>664</v>
      </c>
      <c r="CB241" s="56" t="s">
        <v>1996</v>
      </c>
      <c r="CC241" s="56" t="s">
        <v>1042</v>
      </c>
      <c r="CD241" s="56" t="s">
        <v>667</v>
      </c>
      <c r="CF241" s="56">
        <v>3410.09</v>
      </c>
      <c r="CG241" s="56">
        <v>80</v>
      </c>
      <c r="CH241" s="56">
        <v>128</v>
      </c>
      <c r="CI241" s="56">
        <v>92.01</v>
      </c>
      <c r="CJ241" s="56">
        <v>18.57</v>
      </c>
      <c r="CK241" s="56">
        <v>5234.7</v>
      </c>
      <c r="CL241" s="56">
        <v>4262.6099999999997</v>
      </c>
      <c r="CM241" s="56">
        <v>17.100000000000001</v>
      </c>
      <c r="CN241" s="56">
        <v>723.76</v>
      </c>
      <c r="CO241" s="56">
        <v>723.76</v>
      </c>
      <c r="CP241" s="56">
        <v>72.900000000000006</v>
      </c>
      <c r="CQ241" s="56" t="s">
        <v>668</v>
      </c>
      <c r="CR241" s="56">
        <v>0</v>
      </c>
      <c r="CS241" s="56">
        <v>72.900000000000006</v>
      </c>
      <c r="CT241" s="56" t="s">
        <v>669</v>
      </c>
      <c r="CU241" s="56">
        <v>0</v>
      </c>
      <c r="CV241" s="56">
        <v>0</v>
      </c>
      <c r="CX241" s="56">
        <v>951.78</v>
      </c>
      <c r="CY241" s="56">
        <v>0</v>
      </c>
      <c r="CZ241" s="56">
        <v>188.49</v>
      </c>
      <c r="DA241" s="56">
        <v>484.21</v>
      </c>
      <c r="DB241" s="56">
        <v>295.72000000000003</v>
      </c>
      <c r="DC241" s="56">
        <v>5046.21</v>
      </c>
      <c r="DD241" s="56">
        <v>145.36000000000001</v>
      </c>
      <c r="DE241" s="56">
        <v>0</v>
      </c>
      <c r="DF241" s="56">
        <v>23.8</v>
      </c>
      <c r="DG241" s="56">
        <v>69.260000000000005</v>
      </c>
      <c r="DH241" s="56" t="s">
        <v>670</v>
      </c>
      <c r="DI241" s="56" t="s">
        <v>671</v>
      </c>
      <c r="DK241" s="56">
        <v>10.92</v>
      </c>
      <c r="DL241" s="56">
        <v>658.55</v>
      </c>
      <c r="DM241" s="56">
        <v>103</v>
      </c>
      <c r="DN241" s="56">
        <v>4500923461</v>
      </c>
      <c r="DO241" s="56" t="s">
        <v>236</v>
      </c>
      <c r="DP241" s="56" t="s">
        <v>673</v>
      </c>
      <c r="DQ241" s="56" t="s">
        <v>674</v>
      </c>
      <c r="DR241" s="56">
        <v>1</v>
      </c>
      <c r="DS241" s="56" t="s">
        <v>2005</v>
      </c>
      <c r="DT241" s="56" t="s">
        <v>2006</v>
      </c>
      <c r="DU241" s="56">
        <v>36</v>
      </c>
      <c r="DV241" s="56" t="s">
        <v>677</v>
      </c>
      <c r="DW241" s="56">
        <v>280</v>
      </c>
      <c r="DX241" s="56" t="s">
        <v>678</v>
      </c>
      <c r="DY241" s="56" t="s">
        <v>679</v>
      </c>
      <c r="ED241" s="56">
        <v>2</v>
      </c>
      <c r="EE241" s="56" t="s">
        <v>639</v>
      </c>
      <c r="EF241" s="56">
        <v>2</v>
      </c>
      <c r="EG241" s="56" t="s">
        <v>639</v>
      </c>
      <c r="EH241" s="56">
        <v>2</v>
      </c>
      <c r="EI241" s="56" t="s">
        <v>639</v>
      </c>
      <c r="EJ241" s="56">
        <v>2</v>
      </c>
      <c r="EK241" s="56" t="s">
        <v>639</v>
      </c>
      <c r="EL241" s="56">
        <v>25</v>
      </c>
      <c r="EM241" s="56">
        <v>15</v>
      </c>
      <c r="EN241" s="56">
        <v>4779</v>
      </c>
      <c r="EO241" s="56">
        <v>1805</v>
      </c>
      <c r="EP241" s="56" t="s">
        <v>1234</v>
      </c>
      <c r="EQ241" s="56" t="s">
        <v>2000</v>
      </c>
      <c r="ER241" s="56" t="s">
        <v>902</v>
      </c>
      <c r="ES241" s="56">
        <v>2</v>
      </c>
      <c r="ET241" s="56" t="s">
        <v>682</v>
      </c>
      <c r="EU241" s="56" t="s">
        <v>683</v>
      </c>
      <c r="EV241" s="56" t="s">
        <v>683</v>
      </c>
      <c r="FD241" s="56" t="s">
        <v>2007</v>
      </c>
      <c r="FJ241" s="56" t="s">
        <v>2008</v>
      </c>
      <c r="FK241" s="56">
        <v>0</v>
      </c>
    </row>
    <row r="242" spans="1:167" x14ac:dyDescent="0.2">
      <c r="A242" s="56">
        <v>29184</v>
      </c>
      <c r="B242" s="56">
        <v>2</v>
      </c>
      <c r="C242" s="56">
        <v>6352</v>
      </c>
      <c r="D242" s="56" t="s">
        <v>634</v>
      </c>
      <c r="E242" s="56" t="s">
        <v>635</v>
      </c>
      <c r="K242" s="56" t="s">
        <v>2009</v>
      </c>
      <c r="L242" s="56" t="s">
        <v>637</v>
      </c>
      <c r="M242" s="56">
        <v>44952</v>
      </c>
      <c r="N242" s="56">
        <v>44954</v>
      </c>
      <c r="O242" s="56">
        <v>38</v>
      </c>
      <c r="P242" s="56" t="s">
        <v>638</v>
      </c>
      <c r="Q242" s="56">
        <v>2</v>
      </c>
      <c r="R242" s="56" t="s">
        <v>639</v>
      </c>
      <c r="S242" s="56" t="s">
        <v>640</v>
      </c>
      <c r="T242" s="56" t="s">
        <v>641</v>
      </c>
      <c r="U242" s="56" t="s">
        <v>1058</v>
      </c>
      <c r="V242" s="56" t="s">
        <v>643</v>
      </c>
      <c r="W242" s="56">
        <v>49</v>
      </c>
      <c r="X242" s="56" t="s">
        <v>887</v>
      </c>
      <c r="Y242" s="56">
        <v>208</v>
      </c>
      <c r="Z242" s="56" t="s">
        <v>1062</v>
      </c>
      <c r="AA242" s="56" t="s">
        <v>1063</v>
      </c>
      <c r="AB242" s="56" t="s">
        <v>1064</v>
      </c>
      <c r="AC242" s="56" t="s">
        <v>643</v>
      </c>
      <c r="AD242" s="56" t="s">
        <v>1058</v>
      </c>
      <c r="AE242" s="56">
        <v>208</v>
      </c>
      <c r="AF242" s="56" t="s">
        <v>1062</v>
      </c>
      <c r="AG242" s="56" t="s">
        <v>1063</v>
      </c>
      <c r="AH242" s="56" t="s">
        <v>643</v>
      </c>
      <c r="AI242" s="56" t="s">
        <v>1058</v>
      </c>
      <c r="AJ242" s="56">
        <v>205</v>
      </c>
      <c r="AK242" s="56" t="s">
        <v>1810</v>
      </c>
      <c r="AL242" s="56">
        <v>208</v>
      </c>
      <c r="AM242" s="56" t="s">
        <v>1062</v>
      </c>
      <c r="AN242" s="56" t="s">
        <v>1063</v>
      </c>
      <c r="AO242" s="56" t="s">
        <v>1064</v>
      </c>
      <c r="AP242" s="56" t="s">
        <v>643</v>
      </c>
      <c r="AQ242" s="56" t="s">
        <v>1058</v>
      </c>
      <c r="AR242" s="56">
        <v>208</v>
      </c>
      <c r="AS242" s="56" t="s">
        <v>1062</v>
      </c>
      <c r="AT242" s="56" t="s">
        <v>1063</v>
      </c>
      <c r="AU242" s="56" t="s">
        <v>643</v>
      </c>
      <c r="AV242" s="56" t="s">
        <v>1058</v>
      </c>
      <c r="AW242" s="56">
        <v>172</v>
      </c>
      <c r="AX242" s="56" t="s">
        <v>739</v>
      </c>
      <c r="AY242" s="56">
        <v>153</v>
      </c>
      <c r="AZ242" s="56" t="s">
        <v>740</v>
      </c>
      <c r="BA242" s="56" t="s">
        <v>741</v>
      </c>
      <c r="BB242" s="56" t="s">
        <v>742</v>
      </c>
      <c r="BC242" s="56">
        <v>171</v>
      </c>
      <c r="BD242" s="56" t="s">
        <v>739</v>
      </c>
      <c r="BE242" s="56" t="s">
        <v>743</v>
      </c>
      <c r="BF242" s="56">
        <v>171</v>
      </c>
      <c r="BG242" s="56" t="s">
        <v>739</v>
      </c>
      <c r="BH242" s="56" t="s">
        <v>743</v>
      </c>
      <c r="BI242" s="56">
        <v>36.01</v>
      </c>
      <c r="BJ242" s="56">
        <v>90638.25</v>
      </c>
      <c r="BK242" s="56">
        <v>36.01</v>
      </c>
      <c r="BL242" s="56" t="s">
        <v>897</v>
      </c>
      <c r="BM242" s="56">
        <v>3102</v>
      </c>
      <c r="BN242" s="56" t="s">
        <v>744</v>
      </c>
      <c r="BO242" s="56" t="s">
        <v>745</v>
      </c>
      <c r="BP242" s="56">
        <v>6049.68</v>
      </c>
      <c r="BQ242" s="56">
        <v>5258.92</v>
      </c>
      <c r="BR242" s="56">
        <v>0</v>
      </c>
      <c r="BS242" s="56">
        <v>0</v>
      </c>
      <c r="BT242" s="56">
        <v>4256.3999999999996</v>
      </c>
      <c r="BU242" s="56">
        <v>20676</v>
      </c>
      <c r="BV242" s="56">
        <v>208</v>
      </c>
      <c r="BW242" s="56" t="s">
        <v>1062</v>
      </c>
      <c r="BX242" s="56" t="s">
        <v>2010</v>
      </c>
      <c r="BY242" s="56" t="s">
        <v>663</v>
      </c>
      <c r="BZ242" s="56">
        <v>0.5</v>
      </c>
      <c r="CA242" s="56" t="s">
        <v>664</v>
      </c>
      <c r="CB242" s="56" t="s">
        <v>1812</v>
      </c>
      <c r="CC242" s="56" t="s">
        <v>2011</v>
      </c>
      <c r="CD242" s="56" t="s">
        <v>667</v>
      </c>
      <c r="CF242" s="56">
        <v>3405.12</v>
      </c>
      <c r="CG242" s="56">
        <v>80</v>
      </c>
      <c r="CH242" s="56">
        <v>168</v>
      </c>
      <c r="CI242" s="56">
        <v>120</v>
      </c>
      <c r="CJ242" s="56">
        <v>19.059999999999999</v>
      </c>
      <c r="CK242" s="56">
        <v>5258.92</v>
      </c>
      <c r="CL242" s="56">
        <v>4256.3999999999996</v>
      </c>
      <c r="CM242" s="56">
        <v>44.76</v>
      </c>
      <c r="CN242" s="56">
        <v>725.96</v>
      </c>
      <c r="CO242" s="56">
        <v>725.96</v>
      </c>
      <c r="CP242" s="56">
        <v>64.8</v>
      </c>
      <c r="CQ242" s="56" t="s">
        <v>668</v>
      </c>
      <c r="CR242" s="56">
        <v>0</v>
      </c>
      <c r="CS242" s="56">
        <v>64.8</v>
      </c>
      <c r="CT242" s="56" t="s">
        <v>669</v>
      </c>
      <c r="CU242" s="56">
        <v>0</v>
      </c>
      <c r="CV242" s="56">
        <v>0</v>
      </c>
      <c r="CX242" s="56">
        <v>982.38</v>
      </c>
      <c r="CY242" s="56">
        <v>0</v>
      </c>
      <c r="CZ242" s="56">
        <v>191.17</v>
      </c>
      <c r="DA242" s="56">
        <v>486.45</v>
      </c>
      <c r="DB242" s="56">
        <v>295.27999999999997</v>
      </c>
      <c r="DC242" s="56">
        <v>5067.75</v>
      </c>
      <c r="DD242" s="56">
        <v>160.65</v>
      </c>
      <c r="DE242" s="56">
        <v>0</v>
      </c>
      <c r="DF242" s="56">
        <v>15.57</v>
      </c>
      <c r="DG242" s="56">
        <v>45.32</v>
      </c>
      <c r="DH242" s="56" t="s">
        <v>670</v>
      </c>
      <c r="DI242" s="56" t="s">
        <v>671</v>
      </c>
      <c r="DK242" s="56">
        <v>11.09</v>
      </c>
      <c r="DL242" s="56">
        <v>670.84</v>
      </c>
      <c r="DM242" s="56">
        <v>66</v>
      </c>
      <c r="DN242" s="56">
        <v>228623</v>
      </c>
      <c r="DO242" s="56" t="s">
        <v>236</v>
      </c>
      <c r="DP242" s="56" t="s">
        <v>673</v>
      </c>
      <c r="DQ242" s="56" t="s">
        <v>674</v>
      </c>
      <c r="DR242" s="56">
        <v>1</v>
      </c>
      <c r="DS242" s="56" t="s">
        <v>2012</v>
      </c>
      <c r="DT242" s="56" t="s">
        <v>2013</v>
      </c>
      <c r="DU242" s="56">
        <v>36</v>
      </c>
      <c r="DV242" s="56" t="s">
        <v>677</v>
      </c>
      <c r="DW242" s="56">
        <v>390</v>
      </c>
      <c r="DX242" s="56" t="s">
        <v>678</v>
      </c>
      <c r="DY242" s="56" t="s">
        <v>679</v>
      </c>
      <c r="ED242" s="56">
        <v>2</v>
      </c>
      <c r="EE242" s="56" t="s">
        <v>639</v>
      </c>
      <c r="EF242" s="56">
        <v>2</v>
      </c>
      <c r="EG242" s="56" t="s">
        <v>639</v>
      </c>
      <c r="EH242" s="56">
        <v>2</v>
      </c>
      <c r="EI242" s="56" t="s">
        <v>639</v>
      </c>
      <c r="EJ242" s="56">
        <v>2</v>
      </c>
      <c r="EK242" s="56" t="s">
        <v>639</v>
      </c>
      <c r="EL242" s="56">
        <v>25</v>
      </c>
      <c r="EM242" s="56">
        <v>15</v>
      </c>
      <c r="EN242" s="56">
        <v>5173</v>
      </c>
      <c r="EO242" s="56">
        <v>2441</v>
      </c>
      <c r="EP242" s="56">
        <v>6943</v>
      </c>
      <c r="EQ242" s="56" t="s">
        <v>1813</v>
      </c>
      <c r="ER242" s="56" t="s">
        <v>1814</v>
      </c>
      <c r="ES242" s="56">
        <v>2</v>
      </c>
      <c r="ET242" s="56" t="s">
        <v>682</v>
      </c>
      <c r="EU242" s="56" t="s">
        <v>683</v>
      </c>
      <c r="EV242" s="56" t="s">
        <v>683</v>
      </c>
      <c r="FD242" s="56" t="s">
        <v>2014</v>
      </c>
      <c r="FK242" s="56">
        <v>0</v>
      </c>
    </row>
    <row r="243" spans="1:167" x14ac:dyDescent="0.2">
      <c r="A243" s="56">
        <v>29185</v>
      </c>
      <c r="B243" s="56">
        <v>2</v>
      </c>
      <c r="C243" s="56">
        <v>6352</v>
      </c>
      <c r="D243" s="56" t="s">
        <v>634</v>
      </c>
      <c r="E243" s="56" t="s">
        <v>635</v>
      </c>
      <c r="K243" s="56" t="s">
        <v>2015</v>
      </c>
      <c r="L243" s="56" t="s">
        <v>637</v>
      </c>
      <c r="M243" s="56">
        <v>44952</v>
      </c>
      <c r="N243" s="56">
        <v>44954</v>
      </c>
      <c r="O243" s="56">
        <v>38</v>
      </c>
      <c r="P243" s="56" t="s">
        <v>638</v>
      </c>
      <c r="Q243" s="56">
        <v>2</v>
      </c>
      <c r="R243" s="56" t="s">
        <v>639</v>
      </c>
      <c r="S243" s="56" t="s">
        <v>640</v>
      </c>
      <c r="T243" s="56" t="s">
        <v>641</v>
      </c>
      <c r="U243" s="56" t="s">
        <v>1227</v>
      </c>
      <c r="V243" s="56" t="s">
        <v>643</v>
      </c>
      <c r="W243" s="56">
        <v>49</v>
      </c>
      <c r="X243" s="56" t="s">
        <v>887</v>
      </c>
      <c r="Y243" s="56">
        <v>505</v>
      </c>
      <c r="Z243" s="56" t="s">
        <v>1755</v>
      </c>
      <c r="AB243" s="56" t="s">
        <v>1756</v>
      </c>
      <c r="AC243" s="56" t="s">
        <v>1757</v>
      </c>
      <c r="AD243" s="56" t="s">
        <v>1758</v>
      </c>
      <c r="AE243" s="56">
        <v>52</v>
      </c>
      <c r="AF243" s="56" t="s">
        <v>1228</v>
      </c>
      <c r="AG243" s="56" t="s">
        <v>1229</v>
      </c>
      <c r="AH243" s="56" t="s">
        <v>643</v>
      </c>
      <c r="AI243" s="56" t="s">
        <v>1227</v>
      </c>
      <c r="AJ243" s="56">
        <v>431</v>
      </c>
      <c r="AK243" s="56" t="s">
        <v>1759</v>
      </c>
      <c r="AL243" s="56">
        <v>52</v>
      </c>
      <c r="AM243" s="56" t="s">
        <v>1228</v>
      </c>
      <c r="AN243" s="56" t="s">
        <v>1229</v>
      </c>
      <c r="AO243" s="56" t="s">
        <v>1230</v>
      </c>
      <c r="AP243" s="56" t="s">
        <v>643</v>
      </c>
      <c r="AQ243" s="56" t="s">
        <v>1227</v>
      </c>
      <c r="AR243" s="56">
        <v>52</v>
      </c>
      <c r="AS243" s="56" t="s">
        <v>1228</v>
      </c>
      <c r="AT243" s="56" t="s">
        <v>1229</v>
      </c>
      <c r="AU243" s="56" t="s">
        <v>643</v>
      </c>
      <c r="AV243" s="56" t="s">
        <v>1227</v>
      </c>
      <c r="AW243" s="56">
        <v>1181</v>
      </c>
      <c r="AX243" s="56" t="s">
        <v>1404</v>
      </c>
      <c r="AY243" s="56">
        <v>62</v>
      </c>
      <c r="AZ243" s="56" t="s">
        <v>22</v>
      </c>
      <c r="BA243" s="56" t="s">
        <v>1405</v>
      </c>
      <c r="BB243" s="56" t="s">
        <v>844</v>
      </c>
      <c r="BC243" s="56">
        <v>2</v>
      </c>
      <c r="BD243" s="56" t="s">
        <v>289</v>
      </c>
      <c r="BE243" s="56" t="s">
        <v>772</v>
      </c>
      <c r="BF243" s="56">
        <v>2</v>
      </c>
      <c r="BG243" s="56" t="s">
        <v>289</v>
      </c>
      <c r="BH243" s="56" t="s">
        <v>772</v>
      </c>
      <c r="BI243" s="56">
        <v>36.340000000000003</v>
      </c>
      <c r="BJ243" s="56">
        <v>97427.18</v>
      </c>
      <c r="BK243" s="56">
        <v>36.340000000000003</v>
      </c>
      <c r="BL243" s="56" t="s">
        <v>1760</v>
      </c>
      <c r="BM243" s="56">
        <v>3102</v>
      </c>
      <c r="BN243" s="56" t="s">
        <v>660</v>
      </c>
      <c r="BO243" s="56" t="s">
        <v>872</v>
      </c>
      <c r="BP243" s="56">
        <v>5996.1</v>
      </c>
      <c r="BQ243" s="56">
        <v>5200.97</v>
      </c>
      <c r="BR243" s="56">
        <v>0</v>
      </c>
      <c r="BS243" s="56">
        <v>0</v>
      </c>
      <c r="BT243" s="56">
        <v>0</v>
      </c>
      <c r="BU243" s="56">
        <v>4216</v>
      </c>
      <c r="BV243" s="56">
        <v>52</v>
      </c>
      <c r="BW243" s="56" t="s">
        <v>1228</v>
      </c>
      <c r="BX243" s="56" t="s">
        <v>2016</v>
      </c>
      <c r="BY243" s="56" t="s">
        <v>663</v>
      </c>
      <c r="BZ243" s="56">
        <v>0.5</v>
      </c>
      <c r="CA243" s="56" t="s">
        <v>1587</v>
      </c>
      <c r="CB243" s="56" t="s">
        <v>1762</v>
      </c>
      <c r="CD243" s="56" t="s">
        <v>667</v>
      </c>
      <c r="CG243" s="56">
        <v>0</v>
      </c>
      <c r="CH243" s="56">
        <v>165</v>
      </c>
      <c r="CJ243" s="56">
        <v>100</v>
      </c>
      <c r="CK243" s="56">
        <v>5200.97</v>
      </c>
      <c r="CL243" s="56">
        <v>0</v>
      </c>
      <c r="CN243" s="56">
        <v>719.53</v>
      </c>
      <c r="CO243" s="56">
        <v>719.53</v>
      </c>
      <c r="CP243" s="56">
        <v>75.599999999999994</v>
      </c>
      <c r="CQ243" s="56" t="s">
        <v>668</v>
      </c>
      <c r="CR243" s="56">
        <v>0</v>
      </c>
      <c r="CS243" s="56">
        <v>0</v>
      </c>
      <c r="CV243" s="56">
        <v>0</v>
      </c>
      <c r="CX243" s="56">
        <v>0</v>
      </c>
      <c r="CY243" s="56">
        <v>0</v>
      </c>
      <c r="CZ243" s="56">
        <v>481.09</v>
      </c>
      <c r="DA243" s="56">
        <v>481.09</v>
      </c>
      <c r="DB243" s="56">
        <v>0</v>
      </c>
      <c r="DC243" s="56">
        <v>4719.88</v>
      </c>
      <c r="DD243" s="56">
        <v>16.739999999999998</v>
      </c>
      <c r="DE243" s="56">
        <v>0</v>
      </c>
      <c r="DF243" s="56">
        <v>16.739999999999998</v>
      </c>
      <c r="DH243" s="56" t="s">
        <v>670</v>
      </c>
      <c r="DI243" s="56" t="s">
        <v>671</v>
      </c>
      <c r="DK243" s="56">
        <v>79.7</v>
      </c>
      <c r="DL243" s="56">
        <v>4778.74</v>
      </c>
      <c r="DM243" s="56">
        <v>98</v>
      </c>
      <c r="DN243" s="56">
        <v>4501411725</v>
      </c>
      <c r="DO243" s="56" t="s">
        <v>236</v>
      </c>
      <c r="DQ243" s="56" t="s">
        <v>674</v>
      </c>
      <c r="DR243" s="56">
        <v>3</v>
      </c>
      <c r="DW243" s="56">
        <v>380</v>
      </c>
      <c r="DX243" s="56" t="s">
        <v>678</v>
      </c>
      <c r="DY243" s="56" t="s">
        <v>679</v>
      </c>
      <c r="EL243" s="56">
        <v>25</v>
      </c>
      <c r="EM243" s="56">
        <v>15</v>
      </c>
      <c r="EN243" s="56">
        <v>5173</v>
      </c>
      <c r="EO243" s="56">
        <v>2420</v>
      </c>
      <c r="EP243" s="56" t="s">
        <v>1234</v>
      </c>
      <c r="EQ243" s="56" t="s">
        <v>1763</v>
      </c>
      <c r="ER243" s="56" t="s">
        <v>1764</v>
      </c>
      <c r="ES243" s="56">
        <v>2</v>
      </c>
      <c r="ET243" s="56" t="s">
        <v>682</v>
      </c>
      <c r="EU243" s="56" t="s">
        <v>683</v>
      </c>
      <c r="EV243" s="56" t="s">
        <v>683</v>
      </c>
      <c r="FD243" s="56" t="s">
        <v>2017</v>
      </c>
      <c r="FK243" s="56">
        <v>0</v>
      </c>
    </row>
    <row r="244" spans="1:167" x14ac:dyDescent="0.2">
      <c r="A244" s="56">
        <v>29186</v>
      </c>
      <c r="B244" s="56">
        <v>2</v>
      </c>
      <c r="C244" s="56">
        <v>6352</v>
      </c>
      <c r="D244" s="56" t="s">
        <v>634</v>
      </c>
      <c r="E244" s="56" t="s">
        <v>635</v>
      </c>
      <c r="K244" s="56" t="s">
        <v>2018</v>
      </c>
      <c r="L244" s="56" t="s">
        <v>637</v>
      </c>
      <c r="M244" s="56">
        <v>44953</v>
      </c>
      <c r="N244" s="56">
        <v>44955</v>
      </c>
      <c r="O244" s="56">
        <v>38</v>
      </c>
      <c r="P244" s="56" t="s">
        <v>638</v>
      </c>
      <c r="Q244" s="56">
        <v>2</v>
      </c>
      <c r="R244" s="56" t="s">
        <v>639</v>
      </c>
      <c r="S244" s="56" t="s">
        <v>640</v>
      </c>
      <c r="T244" s="56" t="s">
        <v>641</v>
      </c>
      <c r="U244" s="56" t="s">
        <v>1582</v>
      </c>
      <c r="V244" s="56" t="s">
        <v>643</v>
      </c>
      <c r="W244" s="56">
        <v>49</v>
      </c>
      <c r="X244" s="56" t="s">
        <v>887</v>
      </c>
      <c r="Y244" s="56">
        <v>1246</v>
      </c>
      <c r="Z244" s="56" t="s">
        <v>2019</v>
      </c>
      <c r="AB244" s="56" t="s">
        <v>2020</v>
      </c>
      <c r="AC244" s="56" t="s">
        <v>1757</v>
      </c>
      <c r="AD244" s="56" t="s">
        <v>1758</v>
      </c>
      <c r="AE244" s="56">
        <v>51</v>
      </c>
      <c r="AF244" s="56" t="s">
        <v>1228</v>
      </c>
      <c r="AG244" s="56" t="s">
        <v>1583</v>
      </c>
      <c r="AH244" s="56" t="s">
        <v>643</v>
      </c>
      <c r="AI244" s="56" t="s">
        <v>1582</v>
      </c>
      <c r="AJ244" s="56">
        <v>431</v>
      </c>
      <c r="AK244" s="56" t="s">
        <v>1759</v>
      </c>
      <c r="AL244" s="56">
        <v>51</v>
      </c>
      <c r="AM244" s="56" t="s">
        <v>1228</v>
      </c>
      <c r="AN244" s="56" t="s">
        <v>1583</v>
      </c>
      <c r="AO244" s="56" t="s">
        <v>1584</v>
      </c>
      <c r="AP244" s="56" t="s">
        <v>643</v>
      </c>
      <c r="AQ244" s="56" t="s">
        <v>1582</v>
      </c>
      <c r="AR244" s="56">
        <v>51</v>
      </c>
      <c r="AS244" s="56" t="s">
        <v>1228</v>
      </c>
      <c r="AT244" s="56" t="s">
        <v>1583</v>
      </c>
      <c r="AU244" s="56" t="s">
        <v>643</v>
      </c>
      <c r="AV244" s="56" t="s">
        <v>1582</v>
      </c>
      <c r="AW244" s="56">
        <v>96</v>
      </c>
      <c r="AX244" s="56" t="s">
        <v>2021</v>
      </c>
      <c r="AY244" s="56">
        <v>8</v>
      </c>
      <c r="AZ244" s="56" t="s">
        <v>2022</v>
      </c>
      <c r="BA244" s="56" t="s">
        <v>2023</v>
      </c>
      <c r="BB244" s="56" t="s">
        <v>2024</v>
      </c>
      <c r="BC244" s="56">
        <v>96</v>
      </c>
      <c r="BD244" s="56" t="s">
        <v>2021</v>
      </c>
      <c r="BE244" s="56" t="s">
        <v>2025</v>
      </c>
      <c r="BF244" s="56">
        <v>97</v>
      </c>
      <c r="BG244" s="56" t="s">
        <v>2026</v>
      </c>
      <c r="BH244" s="56" t="s">
        <v>2027</v>
      </c>
      <c r="BI244" s="56">
        <v>36.299999999999997</v>
      </c>
      <c r="BJ244" s="56">
        <v>49750.239999999998</v>
      </c>
      <c r="BK244" s="56">
        <v>36.299999999999997</v>
      </c>
      <c r="BL244" s="56" t="s">
        <v>1274</v>
      </c>
      <c r="BM244" s="56">
        <v>3102</v>
      </c>
      <c r="BN244" s="56" t="s">
        <v>786</v>
      </c>
      <c r="BO244" s="56" t="s">
        <v>2028</v>
      </c>
      <c r="BP244" s="56">
        <v>8167.5</v>
      </c>
      <c r="BQ244" s="56">
        <v>7092.9</v>
      </c>
      <c r="BR244" s="56">
        <v>0</v>
      </c>
      <c r="BS244" s="56">
        <v>0</v>
      </c>
      <c r="BT244" s="56">
        <v>5604.6</v>
      </c>
      <c r="BU244" s="56">
        <v>1212</v>
      </c>
      <c r="BV244" s="56">
        <v>51</v>
      </c>
      <c r="BW244" s="56" t="s">
        <v>1228</v>
      </c>
      <c r="BX244" s="56" t="s">
        <v>2029</v>
      </c>
      <c r="BY244" s="56" t="s">
        <v>663</v>
      </c>
      <c r="BZ244" s="56">
        <v>0.5</v>
      </c>
      <c r="CA244" s="56" t="s">
        <v>1587</v>
      </c>
      <c r="CB244" s="56" t="s">
        <v>2030</v>
      </c>
      <c r="CC244" s="56" t="s">
        <v>2031</v>
      </c>
      <c r="CD244" s="56" t="s">
        <v>667</v>
      </c>
      <c r="CF244" s="56">
        <v>4483.68</v>
      </c>
      <c r="CG244" s="56">
        <v>80</v>
      </c>
      <c r="CH244" s="56">
        <v>225</v>
      </c>
      <c r="CI244" s="56">
        <v>157</v>
      </c>
      <c r="CJ244" s="56">
        <v>20.98</v>
      </c>
      <c r="CK244" s="56">
        <v>7092.9</v>
      </c>
      <c r="CL244" s="56">
        <v>5604.6</v>
      </c>
      <c r="CM244" s="56">
        <v>53.52</v>
      </c>
      <c r="CN244" s="56">
        <v>980.1</v>
      </c>
      <c r="CO244" s="56">
        <v>980.1</v>
      </c>
      <c r="CP244" s="56">
        <v>94.5</v>
      </c>
      <c r="CQ244" s="56" t="s">
        <v>668</v>
      </c>
      <c r="CR244" s="56">
        <v>0</v>
      </c>
      <c r="CS244" s="56">
        <v>94.5</v>
      </c>
      <c r="CT244" s="56" t="s">
        <v>669</v>
      </c>
      <c r="CU244" s="56">
        <v>0</v>
      </c>
      <c r="CV244" s="56">
        <v>0</v>
      </c>
      <c r="CX244" s="56">
        <v>1461.43</v>
      </c>
      <c r="CY244" s="56">
        <v>0</v>
      </c>
      <c r="CZ244" s="56">
        <v>267.27</v>
      </c>
      <c r="DA244" s="56">
        <v>656.09</v>
      </c>
      <c r="DB244" s="56">
        <v>388.82</v>
      </c>
      <c r="DC244" s="56">
        <v>6825.63</v>
      </c>
      <c r="DD244" s="56">
        <v>234.72</v>
      </c>
      <c r="DE244" s="56">
        <v>0</v>
      </c>
      <c r="DF244" s="56">
        <v>8.5500000000000007</v>
      </c>
      <c r="DG244" s="56">
        <v>24.88</v>
      </c>
      <c r="DH244" s="56" t="s">
        <v>670</v>
      </c>
      <c r="DI244" s="56" t="s">
        <v>671</v>
      </c>
      <c r="DK244" s="56">
        <v>12.08</v>
      </c>
      <c r="DL244" s="56">
        <v>986.31</v>
      </c>
      <c r="DM244" s="56">
        <v>105</v>
      </c>
      <c r="DN244" s="56">
        <v>4501406746</v>
      </c>
      <c r="DO244" s="56" t="s">
        <v>2032</v>
      </c>
      <c r="DP244" s="56" t="s">
        <v>677</v>
      </c>
      <c r="DQ244" s="56" t="s">
        <v>674</v>
      </c>
      <c r="DR244" s="56">
        <v>1</v>
      </c>
      <c r="DS244" s="56" t="s">
        <v>2033</v>
      </c>
      <c r="DT244" s="56" t="s">
        <v>2034</v>
      </c>
      <c r="DU244" s="56">
        <v>36</v>
      </c>
      <c r="DV244" s="56" t="s">
        <v>677</v>
      </c>
      <c r="DW244" s="56">
        <v>580</v>
      </c>
      <c r="DX244" s="56" t="s">
        <v>678</v>
      </c>
      <c r="DY244" s="56" t="s">
        <v>679</v>
      </c>
      <c r="ED244" s="56">
        <v>2</v>
      </c>
      <c r="EE244" s="56" t="s">
        <v>639</v>
      </c>
      <c r="EF244" s="56">
        <v>2</v>
      </c>
      <c r="EG244" s="56" t="s">
        <v>639</v>
      </c>
      <c r="EH244" s="56">
        <v>2</v>
      </c>
      <c r="EI244" s="56" t="s">
        <v>639</v>
      </c>
      <c r="EJ244" s="56">
        <v>2</v>
      </c>
      <c r="EK244" s="56" t="s">
        <v>639</v>
      </c>
      <c r="EL244" s="56">
        <v>25</v>
      </c>
      <c r="EM244" s="56">
        <v>15</v>
      </c>
      <c r="EN244" s="56">
        <v>5173</v>
      </c>
      <c r="EO244" s="56">
        <v>1950</v>
      </c>
      <c r="EP244" s="56" t="s">
        <v>1234</v>
      </c>
      <c r="EQ244" s="56" t="s">
        <v>2035</v>
      </c>
      <c r="ER244" s="56" t="s">
        <v>1804</v>
      </c>
      <c r="ES244" s="56">
        <v>2</v>
      </c>
      <c r="ET244" s="56" t="s">
        <v>682</v>
      </c>
      <c r="EU244" s="56" t="s">
        <v>683</v>
      </c>
      <c r="EV244" s="56" t="s">
        <v>683</v>
      </c>
      <c r="FD244" s="56" t="s">
        <v>2036</v>
      </c>
      <c r="FK244" s="56">
        <v>0</v>
      </c>
    </row>
    <row r="245" spans="1:167" x14ac:dyDescent="0.2">
      <c r="A245" s="56">
        <v>29188</v>
      </c>
      <c r="B245" s="56">
        <v>2</v>
      </c>
      <c r="C245" s="56">
        <v>6352</v>
      </c>
      <c r="D245" s="56" t="s">
        <v>634</v>
      </c>
      <c r="E245" s="56" t="s">
        <v>635</v>
      </c>
      <c r="K245" s="56" t="s">
        <v>2037</v>
      </c>
      <c r="L245" s="56" t="s">
        <v>637</v>
      </c>
      <c r="M245" s="56">
        <v>44953</v>
      </c>
      <c r="N245" s="56">
        <v>44955</v>
      </c>
      <c r="O245" s="56">
        <v>38</v>
      </c>
      <c r="P245" s="56" t="s">
        <v>638</v>
      </c>
      <c r="Q245" s="56">
        <v>2</v>
      </c>
      <c r="R245" s="56" t="s">
        <v>639</v>
      </c>
      <c r="S245" s="56" t="s">
        <v>640</v>
      </c>
      <c r="T245" s="56" t="s">
        <v>641</v>
      </c>
      <c r="U245" s="56" t="s">
        <v>1058</v>
      </c>
      <c r="V245" s="56" t="s">
        <v>643</v>
      </c>
      <c r="W245" s="56">
        <v>49</v>
      </c>
      <c r="X245" s="56" t="s">
        <v>887</v>
      </c>
      <c r="Y245" s="56">
        <v>208</v>
      </c>
      <c r="Z245" s="56" t="s">
        <v>1062</v>
      </c>
      <c r="AA245" s="56" t="s">
        <v>1063</v>
      </c>
      <c r="AB245" s="56" t="s">
        <v>1064</v>
      </c>
      <c r="AC245" s="56" t="s">
        <v>643</v>
      </c>
      <c r="AD245" s="56" t="s">
        <v>1058</v>
      </c>
      <c r="AE245" s="56">
        <v>208</v>
      </c>
      <c r="AF245" s="56" t="s">
        <v>1062</v>
      </c>
      <c r="AG245" s="56" t="s">
        <v>1063</v>
      </c>
      <c r="AH245" s="56" t="s">
        <v>643</v>
      </c>
      <c r="AI245" s="56" t="s">
        <v>1058</v>
      </c>
      <c r="AJ245" s="56">
        <v>205</v>
      </c>
      <c r="AK245" s="56" t="s">
        <v>1810</v>
      </c>
      <c r="AL245" s="56">
        <v>208</v>
      </c>
      <c r="AM245" s="56" t="s">
        <v>1062</v>
      </c>
      <c r="AN245" s="56" t="s">
        <v>1063</v>
      </c>
      <c r="AO245" s="56" t="s">
        <v>1064</v>
      </c>
      <c r="AP245" s="56" t="s">
        <v>643</v>
      </c>
      <c r="AQ245" s="56" t="s">
        <v>1058</v>
      </c>
      <c r="AR245" s="56">
        <v>208</v>
      </c>
      <c r="AS245" s="56" t="s">
        <v>1062</v>
      </c>
      <c r="AT245" s="56" t="s">
        <v>1063</v>
      </c>
      <c r="AU245" s="56" t="s">
        <v>643</v>
      </c>
      <c r="AV245" s="56" t="s">
        <v>1058</v>
      </c>
      <c r="AW245" s="56">
        <v>120</v>
      </c>
      <c r="AX245" s="56" t="s">
        <v>836</v>
      </c>
      <c r="AY245" s="56">
        <v>7</v>
      </c>
      <c r="AZ245" s="56" t="s">
        <v>128</v>
      </c>
      <c r="BA245" s="56" t="s">
        <v>837</v>
      </c>
      <c r="BB245" s="56" t="s">
        <v>770</v>
      </c>
      <c r="BC245" s="56">
        <v>38</v>
      </c>
      <c r="BD245" s="56" t="s">
        <v>289</v>
      </c>
      <c r="BE245" s="56" t="s">
        <v>771</v>
      </c>
      <c r="BF245" s="56">
        <v>2</v>
      </c>
      <c r="BG245" s="56" t="s">
        <v>289</v>
      </c>
      <c r="BH245" s="56" t="s">
        <v>772</v>
      </c>
      <c r="BI245" s="56">
        <v>48.2</v>
      </c>
      <c r="BJ245" s="56">
        <v>121320.85</v>
      </c>
      <c r="BK245" s="56">
        <v>48.2</v>
      </c>
      <c r="BL245" s="56" t="s">
        <v>897</v>
      </c>
      <c r="BM245" s="56">
        <v>3102</v>
      </c>
      <c r="BN245" s="56" t="s">
        <v>724</v>
      </c>
      <c r="BO245" s="56" t="s">
        <v>725</v>
      </c>
      <c r="BP245" s="56">
        <v>8097.6</v>
      </c>
      <c r="BQ245" s="56">
        <v>7028.69</v>
      </c>
      <c r="BR245" s="56">
        <v>0</v>
      </c>
      <c r="BS245" s="56">
        <v>0</v>
      </c>
      <c r="BT245" s="56">
        <v>0</v>
      </c>
      <c r="BU245" s="56">
        <v>20706</v>
      </c>
      <c r="BV245" s="56">
        <v>208</v>
      </c>
      <c r="BW245" s="56" t="s">
        <v>1062</v>
      </c>
      <c r="BX245" s="56" t="s">
        <v>2038</v>
      </c>
      <c r="BY245" s="56" t="s">
        <v>663</v>
      </c>
      <c r="BZ245" s="56">
        <v>0.5</v>
      </c>
      <c r="CA245" s="56" t="s">
        <v>664</v>
      </c>
      <c r="CB245" s="56" t="s">
        <v>1812</v>
      </c>
      <c r="CD245" s="56" t="s">
        <v>667</v>
      </c>
      <c r="CG245" s="56">
        <v>0</v>
      </c>
      <c r="CH245" s="56">
        <v>168</v>
      </c>
      <c r="CJ245" s="56">
        <v>100</v>
      </c>
      <c r="CK245" s="56">
        <v>7028.69</v>
      </c>
      <c r="CL245" s="56">
        <v>0</v>
      </c>
      <c r="CN245" s="56">
        <v>971.71</v>
      </c>
      <c r="CO245" s="56">
        <v>971.71</v>
      </c>
      <c r="CP245" s="56">
        <v>97.2</v>
      </c>
      <c r="CQ245" s="56" t="s">
        <v>668</v>
      </c>
      <c r="CR245" s="56">
        <v>0</v>
      </c>
      <c r="CS245" s="56">
        <v>0</v>
      </c>
      <c r="CV245" s="56">
        <v>0</v>
      </c>
      <c r="CX245" s="56">
        <v>0</v>
      </c>
      <c r="CY245" s="56">
        <v>0</v>
      </c>
      <c r="CZ245" s="56">
        <v>650.15</v>
      </c>
      <c r="DA245" s="56">
        <v>650.15</v>
      </c>
      <c r="DB245" s="56">
        <v>0</v>
      </c>
      <c r="DC245" s="56">
        <v>6378.54</v>
      </c>
      <c r="DD245" s="56">
        <v>20.84</v>
      </c>
      <c r="DE245" s="56">
        <v>0</v>
      </c>
      <c r="DF245" s="56">
        <v>20.84</v>
      </c>
      <c r="DH245" s="56" t="s">
        <v>670</v>
      </c>
      <c r="DI245" s="56" t="s">
        <v>671</v>
      </c>
      <c r="DK245" s="56">
        <v>79.709999999999994</v>
      </c>
      <c r="DL245" s="56">
        <v>6454.9</v>
      </c>
      <c r="DM245" s="56">
        <v>66</v>
      </c>
      <c r="DN245" s="56">
        <v>228623</v>
      </c>
      <c r="DO245" s="56" t="s">
        <v>236</v>
      </c>
      <c r="DQ245" s="56" t="s">
        <v>674</v>
      </c>
      <c r="DR245" s="56">
        <v>3</v>
      </c>
      <c r="DW245" s="56">
        <v>390</v>
      </c>
      <c r="DX245" s="56" t="s">
        <v>678</v>
      </c>
      <c r="DY245" s="56" t="s">
        <v>679</v>
      </c>
      <c r="EL245" s="56">
        <v>25</v>
      </c>
      <c r="EM245" s="56">
        <v>15</v>
      </c>
      <c r="EN245" s="56">
        <v>5173</v>
      </c>
      <c r="EO245" s="56">
        <v>2441</v>
      </c>
      <c r="EP245" s="56">
        <v>6943</v>
      </c>
      <c r="EQ245" s="56" t="s">
        <v>1813</v>
      </c>
      <c r="ER245" s="56" t="s">
        <v>1814</v>
      </c>
      <c r="ES245" s="56">
        <v>2</v>
      </c>
      <c r="ET245" s="56" t="s">
        <v>682</v>
      </c>
      <c r="EU245" s="56" t="s">
        <v>683</v>
      </c>
      <c r="EV245" s="56" t="s">
        <v>683</v>
      </c>
      <c r="FD245" s="56" t="s">
        <v>2039</v>
      </c>
      <c r="FK245" s="56">
        <v>0</v>
      </c>
    </row>
    <row r="246" spans="1:167" x14ac:dyDescent="0.2">
      <c r="A246" s="56">
        <v>29189</v>
      </c>
      <c r="B246" s="56">
        <v>2</v>
      </c>
      <c r="C246" s="56">
        <v>6352</v>
      </c>
      <c r="D246" s="56" t="s">
        <v>634</v>
      </c>
      <c r="E246" s="56" t="s">
        <v>635</v>
      </c>
      <c r="K246" s="56" t="s">
        <v>2040</v>
      </c>
      <c r="L246" s="56" t="s">
        <v>637</v>
      </c>
      <c r="M246" s="56">
        <v>44953</v>
      </c>
      <c r="N246" s="56">
        <v>44955</v>
      </c>
      <c r="O246" s="56">
        <v>38</v>
      </c>
      <c r="P246" s="56" t="s">
        <v>638</v>
      </c>
      <c r="Q246" s="56">
        <v>2</v>
      </c>
      <c r="R246" s="56" t="s">
        <v>639</v>
      </c>
      <c r="S246" s="56" t="s">
        <v>640</v>
      </c>
      <c r="T246" s="56" t="s">
        <v>641</v>
      </c>
      <c r="U246" s="56" t="s">
        <v>1058</v>
      </c>
      <c r="V246" s="56" t="s">
        <v>643</v>
      </c>
      <c r="W246" s="56">
        <v>49</v>
      </c>
      <c r="X246" s="56" t="s">
        <v>887</v>
      </c>
      <c r="Y246" s="56">
        <v>208</v>
      </c>
      <c r="Z246" s="56" t="s">
        <v>1062</v>
      </c>
      <c r="AA246" s="56" t="s">
        <v>1063</v>
      </c>
      <c r="AB246" s="56" t="s">
        <v>1064</v>
      </c>
      <c r="AC246" s="56" t="s">
        <v>643</v>
      </c>
      <c r="AD246" s="56" t="s">
        <v>1058</v>
      </c>
      <c r="AE246" s="56">
        <v>208</v>
      </c>
      <c r="AF246" s="56" t="s">
        <v>1062</v>
      </c>
      <c r="AG246" s="56" t="s">
        <v>1063</v>
      </c>
      <c r="AH246" s="56" t="s">
        <v>643</v>
      </c>
      <c r="AI246" s="56" t="s">
        <v>1058</v>
      </c>
      <c r="AJ246" s="56">
        <v>205</v>
      </c>
      <c r="AK246" s="56" t="s">
        <v>1810</v>
      </c>
      <c r="AL246" s="56">
        <v>208</v>
      </c>
      <c r="AM246" s="56" t="s">
        <v>1062</v>
      </c>
      <c r="AN246" s="56" t="s">
        <v>1063</v>
      </c>
      <c r="AO246" s="56" t="s">
        <v>1064</v>
      </c>
      <c r="AP246" s="56" t="s">
        <v>643</v>
      </c>
      <c r="AQ246" s="56" t="s">
        <v>1058</v>
      </c>
      <c r="AR246" s="56">
        <v>208</v>
      </c>
      <c r="AS246" s="56" t="s">
        <v>1062</v>
      </c>
      <c r="AT246" s="56" t="s">
        <v>1063</v>
      </c>
      <c r="AU246" s="56" t="s">
        <v>643</v>
      </c>
      <c r="AV246" s="56" t="s">
        <v>1058</v>
      </c>
      <c r="AW246" s="56">
        <v>118</v>
      </c>
      <c r="AX246" s="56" t="s">
        <v>870</v>
      </c>
      <c r="AY246" s="56">
        <v>59</v>
      </c>
      <c r="AZ246" s="56" t="s">
        <v>127</v>
      </c>
      <c r="BA246" s="56" t="s">
        <v>871</v>
      </c>
      <c r="BB246" s="56" t="s">
        <v>844</v>
      </c>
      <c r="BC246" s="56">
        <v>2</v>
      </c>
      <c r="BD246" s="56" t="s">
        <v>289</v>
      </c>
      <c r="BE246" s="56" t="s">
        <v>772</v>
      </c>
      <c r="BF246" s="56">
        <v>2</v>
      </c>
      <c r="BG246" s="56" t="s">
        <v>289</v>
      </c>
      <c r="BH246" s="56" t="s">
        <v>772</v>
      </c>
      <c r="BI246" s="56">
        <v>37.42</v>
      </c>
      <c r="BJ246" s="56">
        <v>94187.26</v>
      </c>
      <c r="BK246" s="56">
        <v>37.42</v>
      </c>
      <c r="BL246" s="56" t="s">
        <v>897</v>
      </c>
      <c r="BM246" s="56">
        <v>3102</v>
      </c>
      <c r="BN246" s="56" t="s">
        <v>660</v>
      </c>
      <c r="BO246" s="56" t="s">
        <v>872</v>
      </c>
      <c r="BP246" s="56">
        <v>6286.56</v>
      </c>
      <c r="BQ246" s="56">
        <v>5456.57</v>
      </c>
      <c r="BR246" s="56">
        <v>0</v>
      </c>
      <c r="BS246" s="56">
        <v>0</v>
      </c>
      <c r="BT246" s="56">
        <v>0</v>
      </c>
      <c r="BU246" s="56">
        <v>20713</v>
      </c>
      <c r="BV246" s="56">
        <v>208</v>
      </c>
      <c r="BW246" s="56" t="s">
        <v>1062</v>
      </c>
      <c r="BX246" s="56" t="s">
        <v>2041</v>
      </c>
      <c r="BY246" s="56" t="s">
        <v>663</v>
      </c>
      <c r="BZ246" s="56">
        <v>0.5</v>
      </c>
      <c r="CA246" s="56" t="s">
        <v>664</v>
      </c>
      <c r="CB246" s="56" t="s">
        <v>1812</v>
      </c>
      <c r="CD246" s="56" t="s">
        <v>667</v>
      </c>
      <c r="CG246" s="56">
        <v>0</v>
      </c>
      <c r="CH246" s="56">
        <v>168</v>
      </c>
      <c r="CJ246" s="56">
        <v>100</v>
      </c>
      <c r="CK246" s="56">
        <v>5456.57</v>
      </c>
      <c r="CL246" s="56">
        <v>0</v>
      </c>
      <c r="CN246" s="56">
        <v>754.39</v>
      </c>
      <c r="CO246" s="56">
        <v>754.39</v>
      </c>
      <c r="CP246" s="56">
        <v>75.599999999999994</v>
      </c>
      <c r="CQ246" s="56" t="s">
        <v>668</v>
      </c>
      <c r="CR246" s="56">
        <v>0</v>
      </c>
      <c r="CS246" s="56">
        <v>0</v>
      </c>
      <c r="CV246" s="56">
        <v>0</v>
      </c>
      <c r="CX246" s="56">
        <v>0</v>
      </c>
      <c r="CY246" s="56">
        <v>0</v>
      </c>
      <c r="CZ246" s="56">
        <v>504.73</v>
      </c>
      <c r="DA246" s="56">
        <v>504.73</v>
      </c>
      <c r="DB246" s="56">
        <v>0</v>
      </c>
      <c r="DC246" s="56">
        <v>4951.84</v>
      </c>
      <c r="DD246" s="56">
        <v>16.18</v>
      </c>
      <c r="DE246" s="56">
        <v>0</v>
      </c>
      <c r="DF246" s="56">
        <v>16.18</v>
      </c>
      <c r="DH246" s="56" t="s">
        <v>670</v>
      </c>
      <c r="DI246" s="56" t="s">
        <v>671</v>
      </c>
      <c r="DK246" s="56">
        <v>79.709999999999994</v>
      </c>
      <c r="DL246" s="56">
        <v>5011.26</v>
      </c>
      <c r="DM246" s="56">
        <v>66</v>
      </c>
      <c r="DN246" s="56">
        <v>228623</v>
      </c>
      <c r="DO246" s="56" t="s">
        <v>236</v>
      </c>
      <c r="DQ246" s="56" t="s">
        <v>674</v>
      </c>
      <c r="DR246" s="56">
        <v>3</v>
      </c>
      <c r="DW246" s="56">
        <v>390</v>
      </c>
      <c r="DX246" s="56" t="s">
        <v>678</v>
      </c>
      <c r="DY246" s="56" t="s">
        <v>679</v>
      </c>
      <c r="EL246" s="56">
        <v>25</v>
      </c>
      <c r="EM246" s="56">
        <v>15</v>
      </c>
      <c r="EN246" s="56">
        <v>5173</v>
      </c>
      <c r="EO246" s="56">
        <v>2441</v>
      </c>
      <c r="EP246" s="56">
        <v>6943</v>
      </c>
      <c r="EQ246" s="56" t="s">
        <v>1813</v>
      </c>
      <c r="ER246" s="56" t="s">
        <v>1814</v>
      </c>
      <c r="ES246" s="56">
        <v>2</v>
      </c>
      <c r="ET246" s="56" t="s">
        <v>682</v>
      </c>
      <c r="EU246" s="56" t="s">
        <v>683</v>
      </c>
      <c r="EV246" s="56" t="s">
        <v>683</v>
      </c>
      <c r="FD246" s="56" t="s">
        <v>2042</v>
      </c>
      <c r="FK246" s="56">
        <v>0</v>
      </c>
    </row>
    <row r="247" spans="1:167" x14ac:dyDescent="0.2">
      <c r="A247" s="56">
        <v>29190</v>
      </c>
      <c r="B247" s="56">
        <v>2</v>
      </c>
      <c r="C247" s="56">
        <v>6352</v>
      </c>
      <c r="D247" s="56" t="s">
        <v>634</v>
      </c>
      <c r="E247" s="56" t="s">
        <v>635</v>
      </c>
      <c r="K247" s="56" t="s">
        <v>2043</v>
      </c>
      <c r="L247" s="56" t="s">
        <v>637</v>
      </c>
      <c r="M247" s="56">
        <v>44953</v>
      </c>
      <c r="N247" s="56">
        <v>44955</v>
      </c>
      <c r="O247" s="56">
        <v>38</v>
      </c>
      <c r="P247" s="56" t="s">
        <v>638</v>
      </c>
      <c r="Q247" s="56">
        <v>2</v>
      </c>
      <c r="R247" s="56" t="s">
        <v>639</v>
      </c>
      <c r="S247" s="56" t="s">
        <v>640</v>
      </c>
      <c r="T247" s="56" t="s">
        <v>641</v>
      </c>
      <c r="U247" s="56" t="s">
        <v>1582</v>
      </c>
      <c r="V247" s="56" t="s">
        <v>643</v>
      </c>
      <c r="W247" s="56">
        <v>49</v>
      </c>
      <c r="X247" s="56" t="s">
        <v>887</v>
      </c>
      <c r="Y247" s="56">
        <v>756</v>
      </c>
      <c r="Z247" s="56" t="s">
        <v>1779</v>
      </c>
      <c r="AB247" s="56" t="s">
        <v>1780</v>
      </c>
      <c r="AC247" s="56" t="s">
        <v>1757</v>
      </c>
      <c r="AD247" s="56" t="s">
        <v>1758</v>
      </c>
      <c r="AE247" s="56">
        <v>51</v>
      </c>
      <c r="AF247" s="56" t="s">
        <v>1228</v>
      </c>
      <c r="AG247" s="56" t="s">
        <v>1583</v>
      </c>
      <c r="AH247" s="56" t="s">
        <v>643</v>
      </c>
      <c r="AI247" s="56" t="s">
        <v>1582</v>
      </c>
      <c r="AJ247" s="56">
        <v>139</v>
      </c>
      <c r="AK247" s="56" t="s">
        <v>651</v>
      </c>
      <c r="AL247" s="56">
        <v>51</v>
      </c>
      <c r="AM247" s="56" t="s">
        <v>1228</v>
      </c>
      <c r="AN247" s="56" t="s">
        <v>1583</v>
      </c>
      <c r="AO247" s="56" t="s">
        <v>1584</v>
      </c>
      <c r="AP247" s="56" t="s">
        <v>643</v>
      </c>
      <c r="AQ247" s="56" t="s">
        <v>1582</v>
      </c>
      <c r="AR247" s="56">
        <v>51</v>
      </c>
      <c r="AS247" s="56" t="s">
        <v>1228</v>
      </c>
      <c r="AT247" s="56" t="s">
        <v>1583</v>
      </c>
      <c r="AU247" s="56" t="s">
        <v>643</v>
      </c>
      <c r="AV247" s="56" t="s">
        <v>1582</v>
      </c>
      <c r="AW247" s="56">
        <v>149</v>
      </c>
      <c r="AX247" s="56" t="s">
        <v>2044</v>
      </c>
      <c r="AY247" s="56">
        <v>465</v>
      </c>
      <c r="AZ247" s="56" t="s">
        <v>2045</v>
      </c>
      <c r="BA247" s="56" t="s">
        <v>2046</v>
      </c>
      <c r="BB247" s="56" t="s">
        <v>1306</v>
      </c>
      <c r="BC247" s="56">
        <v>134</v>
      </c>
      <c r="BD247" s="56" t="s">
        <v>1307</v>
      </c>
      <c r="BE247" s="56" t="s">
        <v>1308</v>
      </c>
      <c r="BF247" s="56">
        <v>134</v>
      </c>
      <c r="BG247" s="56" t="s">
        <v>1307</v>
      </c>
      <c r="BH247" s="56" t="s">
        <v>1308</v>
      </c>
      <c r="BI247" s="56">
        <v>23.13</v>
      </c>
      <c r="BJ247" s="56">
        <v>55615.16</v>
      </c>
      <c r="BK247" s="56">
        <v>23.13</v>
      </c>
      <c r="BL247" s="56" t="s">
        <v>897</v>
      </c>
      <c r="BM247" s="56">
        <v>3102</v>
      </c>
      <c r="BN247" s="56" t="s">
        <v>786</v>
      </c>
      <c r="BO247" s="56" t="s">
        <v>911</v>
      </c>
      <c r="BP247" s="56">
        <v>5666.85</v>
      </c>
      <c r="BQ247" s="56">
        <v>4986.83</v>
      </c>
      <c r="BR247" s="56">
        <v>0</v>
      </c>
      <c r="BS247" s="56">
        <v>0</v>
      </c>
      <c r="BT247" s="56">
        <v>0</v>
      </c>
      <c r="BU247" s="56">
        <v>1233</v>
      </c>
      <c r="BV247" s="56">
        <v>51</v>
      </c>
      <c r="BW247" s="56" t="s">
        <v>1228</v>
      </c>
      <c r="BX247" s="56" t="s">
        <v>2047</v>
      </c>
      <c r="BY247" s="56" t="s">
        <v>663</v>
      </c>
      <c r="BZ247" s="56">
        <v>0.5</v>
      </c>
      <c r="CA247" s="56" t="s">
        <v>1587</v>
      </c>
      <c r="CB247" s="56" t="s">
        <v>1782</v>
      </c>
      <c r="CD247" s="56" t="s">
        <v>667</v>
      </c>
      <c r="CG247" s="56">
        <v>0</v>
      </c>
      <c r="CH247" s="56">
        <v>245</v>
      </c>
      <c r="CJ247" s="56">
        <v>19.05</v>
      </c>
      <c r="CK247" s="56">
        <v>4928.3318255620316</v>
      </c>
      <c r="CL247" s="56">
        <v>3989.2509367194007</v>
      </c>
      <c r="CN247" s="56">
        <v>680.02</v>
      </c>
      <c r="CO247" s="56">
        <v>680.02</v>
      </c>
      <c r="CP247" s="56">
        <v>0</v>
      </c>
      <c r="CQ247" s="56" t="s">
        <v>708</v>
      </c>
      <c r="CR247" s="56">
        <v>0</v>
      </c>
      <c r="CS247" s="56">
        <v>0</v>
      </c>
      <c r="CV247" s="56">
        <v>0</v>
      </c>
      <c r="CX247" s="56">
        <v>939.08</v>
      </c>
      <c r="CY247" s="56">
        <v>0</v>
      </c>
      <c r="CZ247" s="56">
        <v>461.28</v>
      </c>
      <c r="DA247" s="56">
        <v>461.28</v>
      </c>
      <c r="DB247" s="56">
        <v>0</v>
      </c>
      <c r="DC247" s="56">
        <v>4525.55</v>
      </c>
      <c r="DD247" s="56">
        <v>9.56</v>
      </c>
      <c r="DE247" s="56">
        <v>0</v>
      </c>
      <c r="DF247" s="56">
        <v>9.56</v>
      </c>
      <c r="DH247" s="56" t="s">
        <v>670</v>
      </c>
      <c r="DI247" s="56" t="s">
        <v>671</v>
      </c>
      <c r="DK247" s="56">
        <v>13.73</v>
      </c>
      <c r="DL247" s="56">
        <v>0</v>
      </c>
      <c r="DM247" s="56">
        <v>100</v>
      </c>
      <c r="DN247" s="56">
        <v>4501411978</v>
      </c>
      <c r="DO247" s="56" t="s">
        <v>236</v>
      </c>
      <c r="DQ247" s="56" t="s">
        <v>674</v>
      </c>
      <c r="DR247" s="56">
        <v>2</v>
      </c>
      <c r="DW247" s="56">
        <v>590</v>
      </c>
      <c r="DX247" s="56" t="s">
        <v>678</v>
      </c>
      <c r="DY247" s="56" t="s">
        <v>2048</v>
      </c>
      <c r="DZ247" s="56" t="s">
        <v>2045</v>
      </c>
      <c r="EA247" s="56">
        <v>149</v>
      </c>
      <c r="EB247" s="56" t="s">
        <v>2044</v>
      </c>
      <c r="EC247" s="56">
        <v>44953</v>
      </c>
      <c r="ED247" s="56">
        <v>2</v>
      </c>
      <c r="EE247" s="56" t="s">
        <v>639</v>
      </c>
      <c r="EF247" s="56">
        <v>2</v>
      </c>
      <c r="EG247" s="56" t="s">
        <v>639</v>
      </c>
      <c r="EH247" s="56">
        <v>2</v>
      </c>
      <c r="EI247" s="56" t="s">
        <v>639</v>
      </c>
      <c r="EJ247" s="56">
        <v>2</v>
      </c>
      <c r="EK247" s="56" t="s">
        <v>639</v>
      </c>
      <c r="EL247" s="56">
        <v>25</v>
      </c>
      <c r="EM247" s="56">
        <v>15</v>
      </c>
      <c r="EN247" s="56">
        <v>5173</v>
      </c>
      <c r="EO247" s="56">
        <v>1950</v>
      </c>
      <c r="EP247" s="56" t="s">
        <v>1234</v>
      </c>
      <c r="EQ247" s="56" t="s">
        <v>1803</v>
      </c>
      <c r="ER247" s="56" t="s">
        <v>1804</v>
      </c>
      <c r="ES247" s="56">
        <v>2</v>
      </c>
      <c r="ET247" s="56" t="s">
        <v>682</v>
      </c>
      <c r="EU247" s="56" t="s">
        <v>683</v>
      </c>
      <c r="EV247" s="56" t="s">
        <v>683</v>
      </c>
      <c r="FD247" s="56" t="s">
        <v>2049</v>
      </c>
      <c r="FK247" s="56">
        <v>0</v>
      </c>
    </row>
    <row r="248" spans="1:167" x14ac:dyDescent="0.2">
      <c r="A248" s="56">
        <v>29191</v>
      </c>
      <c r="B248" s="56">
        <v>2</v>
      </c>
      <c r="C248" s="56">
        <v>6352</v>
      </c>
      <c r="D248" s="56" t="s">
        <v>634</v>
      </c>
      <c r="E248" s="56" t="s">
        <v>635</v>
      </c>
      <c r="K248" s="56" t="s">
        <v>2050</v>
      </c>
      <c r="L248" s="56" t="s">
        <v>637</v>
      </c>
      <c r="M248" s="56">
        <v>44953</v>
      </c>
      <c r="N248" s="56">
        <v>44955</v>
      </c>
      <c r="O248" s="56">
        <v>38</v>
      </c>
      <c r="P248" s="56" t="s">
        <v>638</v>
      </c>
      <c r="Q248" s="56">
        <v>2</v>
      </c>
      <c r="R248" s="56" t="s">
        <v>639</v>
      </c>
      <c r="S248" s="56" t="s">
        <v>640</v>
      </c>
      <c r="T248" s="56" t="s">
        <v>641</v>
      </c>
      <c r="U248" s="56" t="s">
        <v>1582</v>
      </c>
      <c r="V248" s="56" t="s">
        <v>643</v>
      </c>
      <c r="W248" s="56">
        <v>49</v>
      </c>
      <c r="X248" s="56" t="s">
        <v>887</v>
      </c>
      <c r="Y248" s="56">
        <v>756</v>
      </c>
      <c r="Z248" s="56" t="s">
        <v>1779</v>
      </c>
      <c r="AB248" s="56" t="s">
        <v>1780</v>
      </c>
      <c r="AC248" s="56" t="s">
        <v>1757</v>
      </c>
      <c r="AD248" s="56" t="s">
        <v>1758</v>
      </c>
      <c r="AE248" s="56">
        <v>51</v>
      </c>
      <c r="AF248" s="56" t="s">
        <v>1228</v>
      </c>
      <c r="AG248" s="56" t="s">
        <v>1583</v>
      </c>
      <c r="AH248" s="56" t="s">
        <v>643</v>
      </c>
      <c r="AI248" s="56" t="s">
        <v>1582</v>
      </c>
      <c r="AJ248" s="56">
        <v>139</v>
      </c>
      <c r="AK248" s="56" t="s">
        <v>651</v>
      </c>
      <c r="AL248" s="56">
        <v>51</v>
      </c>
      <c r="AM248" s="56" t="s">
        <v>1228</v>
      </c>
      <c r="AN248" s="56" t="s">
        <v>1583</v>
      </c>
      <c r="AO248" s="56" t="s">
        <v>1584</v>
      </c>
      <c r="AP248" s="56" t="s">
        <v>643</v>
      </c>
      <c r="AQ248" s="56" t="s">
        <v>1582</v>
      </c>
      <c r="AR248" s="56">
        <v>51</v>
      </c>
      <c r="AS248" s="56" t="s">
        <v>1228</v>
      </c>
      <c r="AT248" s="56" t="s">
        <v>1583</v>
      </c>
      <c r="AU248" s="56" t="s">
        <v>643</v>
      </c>
      <c r="AV248" s="56" t="s">
        <v>1582</v>
      </c>
      <c r="AW248" s="56">
        <v>149</v>
      </c>
      <c r="AX248" s="56" t="s">
        <v>2044</v>
      </c>
      <c r="AY248" s="56">
        <v>465</v>
      </c>
      <c r="AZ248" s="56" t="s">
        <v>2045</v>
      </c>
      <c r="BA248" s="56" t="s">
        <v>2046</v>
      </c>
      <c r="BB248" s="56" t="s">
        <v>1306</v>
      </c>
      <c r="BC248" s="56">
        <v>134</v>
      </c>
      <c r="BD248" s="56" t="s">
        <v>1307</v>
      </c>
      <c r="BE248" s="56" t="s">
        <v>1308</v>
      </c>
      <c r="BF248" s="56">
        <v>134</v>
      </c>
      <c r="BG248" s="56" t="s">
        <v>1307</v>
      </c>
      <c r="BH248" s="56" t="s">
        <v>1308</v>
      </c>
      <c r="BI248" s="56">
        <v>24.91</v>
      </c>
      <c r="BJ248" s="56">
        <v>59895.1</v>
      </c>
      <c r="BK248" s="56">
        <v>24.91</v>
      </c>
      <c r="BL248" s="56" t="s">
        <v>897</v>
      </c>
      <c r="BM248" s="56">
        <v>3102</v>
      </c>
      <c r="BN248" s="56" t="s">
        <v>786</v>
      </c>
      <c r="BO248" s="56" t="s">
        <v>911</v>
      </c>
      <c r="BP248" s="56">
        <v>6102.95</v>
      </c>
      <c r="BQ248" s="56">
        <v>5249.1</v>
      </c>
      <c r="BR248" s="56">
        <v>0</v>
      </c>
      <c r="BS248" s="56">
        <v>0</v>
      </c>
      <c r="BT248" s="56">
        <v>8285.5</v>
      </c>
      <c r="BU248" s="56">
        <v>1234</v>
      </c>
      <c r="BV248" s="56">
        <v>51</v>
      </c>
      <c r="BW248" s="56" t="s">
        <v>1228</v>
      </c>
      <c r="BX248" s="56" t="s">
        <v>2051</v>
      </c>
      <c r="BY248" s="56" t="s">
        <v>663</v>
      </c>
      <c r="BZ248" s="56">
        <v>0.5</v>
      </c>
      <c r="CA248" s="56" t="s">
        <v>1587</v>
      </c>
      <c r="CB248" s="56" t="s">
        <v>1782</v>
      </c>
      <c r="CC248" s="56" t="s">
        <v>2052</v>
      </c>
      <c r="CD248" s="56" t="s">
        <v>667</v>
      </c>
      <c r="CF248" s="56">
        <v>0</v>
      </c>
      <c r="CG248" s="56">
        <v>0</v>
      </c>
      <c r="CH248" s="56">
        <v>245</v>
      </c>
      <c r="CI248" s="56">
        <v>175</v>
      </c>
      <c r="CJ248" s="56">
        <v>19.05</v>
      </c>
      <c r="CK248" s="56">
        <v>5307.5981744379687</v>
      </c>
      <c r="CL248" s="56">
        <v>4296.2490632805993</v>
      </c>
      <c r="CM248" s="56">
        <v>25.65</v>
      </c>
      <c r="CN248" s="56">
        <v>732.35</v>
      </c>
      <c r="CO248" s="56">
        <v>732.35</v>
      </c>
      <c r="CP248" s="56">
        <v>121.5</v>
      </c>
      <c r="CQ248" s="56" t="s">
        <v>668</v>
      </c>
      <c r="CR248" s="56">
        <v>0</v>
      </c>
      <c r="CS248" s="56">
        <v>121.5</v>
      </c>
      <c r="CT248" s="56" t="s">
        <v>669</v>
      </c>
      <c r="CU248" s="56">
        <v>0</v>
      </c>
      <c r="CV248" s="56">
        <v>0</v>
      </c>
      <c r="CX248" s="56">
        <v>1011.35</v>
      </c>
      <c r="CY248" s="56">
        <v>0</v>
      </c>
      <c r="CZ248" s="56">
        <v>-89.26</v>
      </c>
      <c r="DA248" s="56">
        <v>485.54</v>
      </c>
      <c r="DB248" s="56">
        <v>574.79999999999995</v>
      </c>
      <c r="DC248" s="56">
        <v>5338.36</v>
      </c>
      <c r="DD248" s="56">
        <v>-47.47</v>
      </c>
      <c r="DE248" s="56">
        <v>0</v>
      </c>
      <c r="DF248" s="56">
        <v>10.29</v>
      </c>
      <c r="DG248" s="56">
        <v>57.76</v>
      </c>
      <c r="DH248" s="56" t="s">
        <v>670</v>
      </c>
      <c r="DI248" s="56" t="s">
        <v>671</v>
      </c>
      <c r="DK248" s="56">
        <v>13.73</v>
      </c>
      <c r="DL248" s="56">
        <v>1616.32</v>
      </c>
      <c r="DM248" s="56">
        <v>100</v>
      </c>
      <c r="DN248" s="56">
        <v>4501411978</v>
      </c>
      <c r="DO248" s="56" t="s">
        <v>236</v>
      </c>
      <c r="DP248" s="56" t="s">
        <v>673</v>
      </c>
      <c r="DQ248" s="56" t="s">
        <v>674</v>
      </c>
      <c r="DR248" s="56">
        <v>2</v>
      </c>
      <c r="DW248" s="56">
        <v>590</v>
      </c>
      <c r="DX248" s="56" t="s">
        <v>678</v>
      </c>
      <c r="DY248" s="56" t="s">
        <v>2048</v>
      </c>
      <c r="DZ248" s="56" t="s">
        <v>2045</v>
      </c>
      <c r="EA248" s="56">
        <v>149</v>
      </c>
      <c r="EB248" s="56" t="s">
        <v>2044</v>
      </c>
      <c r="EC248" s="56">
        <v>44953</v>
      </c>
      <c r="ED248" s="56">
        <v>2</v>
      </c>
      <c r="EE248" s="56" t="s">
        <v>639</v>
      </c>
      <c r="EF248" s="56">
        <v>2</v>
      </c>
      <c r="EG248" s="56" t="s">
        <v>639</v>
      </c>
      <c r="EH248" s="56">
        <v>2</v>
      </c>
      <c r="EI248" s="56" t="s">
        <v>639</v>
      </c>
      <c r="EJ248" s="56">
        <v>2</v>
      </c>
      <c r="EK248" s="56" t="s">
        <v>639</v>
      </c>
      <c r="EL248" s="56">
        <v>25</v>
      </c>
      <c r="EM248" s="56">
        <v>15</v>
      </c>
      <c r="EN248" s="56">
        <v>5173</v>
      </c>
      <c r="EO248" s="56">
        <v>1950</v>
      </c>
      <c r="EP248" s="56" t="s">
        <v>1234</v>
      </c>
      <c r="EQ248" s="56" t="s">
        <v>1803</v>
      </c>
      <c r="ER248" s="56" t="s">
        <v>1804</v>
      </c>
      <c r="ES248" s="56">
        <v>2</v>
      </c>
      <c r="ET248" s="56" t="s">
        <v>682</v>
      </c>
      <c r="EU248" s="56" t="s">
        <v>683</v>
      </c>
      <c r="EV248" s="56" t="s">
        <v>683</v>
      </c>
      <c r="FD248" s="56" t="s">
        <v>2053</v>
      </c>
      <c r="FK248" s="56">
        <v>0</v>
      </c>
    </row>
    <row r="249" spans="1:167" x14ac:dyDescent="0.2">
      <c r="A249" s="56">
        <v>29193</v>
      </c>
      <c r="B249" s="56">
        <v>2</v>
      </c>
      <c r="C249" s="56">
        <v>6352</v>
      </c>
      <c r="D249" s="56" t="s">
        <v>634</v>
      </c>
      <c r="E249" s="56" t="s">
        <v>635</v>
      </c>
      <c r="K249" s="56" t="s">
        <v>2054</v>
      </c>
      <c r="L249" s="56" t="s">
        <v>637</v>
      </c>
      <c r="M249" s="56">
        <v>44953</v>
      </c>
      <c r="N249" s="56">
        <v>44955</v>
      </c>
      <c r="O249" s="56">
        <v>38</v>
      </c>
      <c r="P249" s="56" t="s">
        <v>638</v>
      </c>
      <c r="Q249" s="56">
        <v>2</v>
      </c>
      <c r="R249" s="56" t="s">
        <v>639</v>
      </c>
      <c r="S249" s="56" t="s">
        <v>640</v>
      </c>
      <c r="T249" s="56" t="s">
        <v>641</v>
      </c>
      <c r="U249" s="56" t="s">
        <v>1227</v>
      </c>
      <c r="V249" s="56" t="s">
        <v>643</v>
      </c>
      <c r="W249" s="56">
        <v>49</v>
      </c>
      <c r="X249" s="56" t="s">
        <v>887</v>
      </c>
      <c r="Y249" s="56">
        <v>756</v>
      </c>
      <c r="Z249" s="56" t="s">
        <v>1779</v>
      </c>
      <c r="AB249" s="56" t="s">
        <v>1780</v>
      </c>
      <c r="AC249" s="56" t="s">
        <v>1757</v>
      </c>
      <c r="AD249" s="56" t="s">
        <v>1758</v>
      </c>
      <c r="AE249" s="56">
        <v>52</v>
      </c>
      <c r="AF249" s="56" t="s">
        <v>1228</v>
      </c>
      <c r="AG249" s="56" t="s">
        <v>1229</v>
      </c>
      <c r="AH249" s="56" t="s">
        <v>643</v>
      </c>
      <c r="AI249" s="56" t="s">
        <v>1227</v>
      </c>
      <c r="AJ249" s="56">
        <v>139</v>
      </c>
      <c r="AK249" s="56" t="s">
        <v>651</v>
      </c>
      <c r="AL249" s="56">
        <v>52</v>
      </c>
      <c r="AM249" s="56" t="s">
        <v>1228</v>
      </c>
      <c r="AN249" s="56" t="s">
        <v>1229</v>
      </c>
      <c r="AO249" s="56" t="s">
        <v>1230</v>
      </c>
      <c r="AP249" s="56" t="s">
        <v>643</v>
      </c>
      <c r="AQ249" s="56" t="s">
        <v>1227</v>
      </c>
      <c r="AR249" s="56">
        <v>52</v>
      </c>
      <c r="AS249" s="56" t="s">
        <v>1228</v>
      </c>
      <c r="AT249" s="56" t="s">
        <v>1229</v>
      </c>
      <c r="AU249" s="56" t="s">
        <v>643</v>
      </c>
      <c r="AV249" s="56" t="s">
        <v>1227</v>
      </c>
      <c r="AW249" s="56">
        <v>110</v>
      </c>
      <c r="AX249" s="56" t="s">
        <v>864</v>
      </c>
      <c r="AY249" s="56">
        <v>68</v>
      </c>
      <c r="AZ249" s="56" t="s">
        <v>25</v>
      </c>
      <c r="BA249" s="56" t="s">
        <v>865</v>
      </c>
      <c r="BB249" s="56" t="s">
        <v>844</v>
      </c>
      <c r="BC249" s="56">
        <v>2</v>
      </c>
      <c r="BD249" s="56" t="s">
        <v>289</v>
      </c>
      <c r="BE249" s="56" t="s">
        <v>772</v>
      </c>
      <c r="BF249" s="56">
        <v>2</v>
      </c>
      <c r="BG249" s="56" t="s">
        <v>289</v>
      </c>
      <c r="BH249" s="56" t="s">
        <v>772</v>
      </c>
      <c r="BI249" s="56">
        <v>23.43</v>
      </c>
      <c r="BJ249" s="56">
        <v>56336.5</v>
      </c>
      <c r="BK249" s="56">
        <v>23.43</v>
      </c>
      <c r="BL249" s="56" t="s">
        <v>897</v>
      </c>
      <c r="BM249" s="56">
        <v>3102</v>
      </c>
      <c r="BN249" s="56" t="s">
        <v>660</v>
      </c>
      <c r="BO249" s="56" t="s">
        <v>866</v>
      </c>
      <c r="BP249" s="56">
        <v>4217.3999999999996</v>
      </c>
      <c r="BQ249" s="56">
        <v>3614.11</v>
      </c>
      <c r="BR249" s="56">
        <v>0</v>
      </c>
      <c r="BS249" s="56">
        <v>0</v>
      </c>
      <c r="BT249" s="56">
        <v>0</v>
      </c>
      <c r="BU249" s="56">
        <v>5876</v>
      </c>
      <c r="BV249" s="56">
        <v>52</v>
      </c>
      <c r="BW249" s="56" t="s">
        <v>1228</v>
      </c>
      <c r="BX249" s="56" t="s">
        <v>2055</v>
      </c>
      <c r="BY249" s="56" t="s">
        <v>663</v>
      </c>
      <c r="BZ249" s="56">
        <v>0.5</v>
      </c>
      <c r="CA249" s="56" t="s">
        <v>1587</v>
      </c>
      <c r="CB249" s="56" t="s">
        <v>1782</v>
      </c>
      <c r="CD249" s="56" t="s">
        <v>667</v>
      </c>
      <c r="CG249" s="56">
        <v>0</v>
      </c>
      <c r="CH249" s="56">
        <v>180</v>
      </c>
      <c r="CJ249" s="56">
        <v>100</v>
      </c>
      <c r="CK249" s="56">
        <v>3614.11</v>
      </c>
      <c r="CL249" s="56">
        <v>0</v>
      </c>
      <c r="CN249" s="56">
        <v>506.09</v>
      </c>
      <c r="CO249" s="56">
        <v>506.09</v>
      </c>
      <c r="CP249" s="56">
        <v>97.2</v>
      </c>
      <c r="CQ249" s="56" t="s">
        <v>668</v>
      </c>
      <c r="CR249" s="56">
        <v>0</v>
      </c>
      <c r="CS249" s="56">
        <v>0</v>
      </c>
      <c r="CV249" s="56">
        <v>0</v>
      </c>
      <c r="CX249" s="56">
        <v>0</v>
      </c>
      <c r="CY249" s="56">
        <v>0</v>
      </c>
      <c r="CZ249" s="56">
        <v>334.3</v>
      </c>
      <c r="DA249" s="56">
        <v>334.3</v>
      </c>
      <c r="DB249" s="56">
        <v>0</v>
      </c>
      <c r="DC249" s="56">
        <v>3279.81</v>
      </c>
      <c r="DD249" s="56">
        <v>9.68</v>
      </c>
      <c r="DE249" s="56">
        <v>0</v>
      </c>
      <c r="DF249" s="56">
        <v>9.68</v>
      </c>
      <c r="DH249" s="56" t="s">
        <v>670</v>
      </c>
      <c r="DI249" s="56" t="s">
        <v>671</v>
      </c>
      <c r="DK249" s="56">
        <v>79.84</v>
      </c>
      <c r="DL249" s="56">
        <v>3367.33</v>
      </c>
      <c r="DM249" s="56">
        <v>60</v>
      </c>
      <c r="DN249" s="56">
        <v>4501411977</v>
      </c>
      <c r="DO249" s="56" t="s">
        <v>236</v>
      </c>
      <c r="DQ249" s="56" t="s">
        <v>674</v>
      </c>
      <c r="DR249" s="56">
        <v>3</v>
      </c>
      <c r="DW249" s="56">
        <v>380</v>
      </c>
      <c r="DX249" s="56" t="s">
        <v>678</v>
      </c>
      <c r="DY249" s="56" t="s">
        <v>679</v>
      </c>
      <c r="EL249" s="56">
        <v>25</v>
      </c>
      <c r="EM249" s="56">
        <v>15</v>
      </c>
      <c r="EN249" s="56">
        <v>5173</v>
      </c>
      <c r="EO249" s="56">
        <v>2420</v>
      </c>
      <c r="EP249" s="56" t="s">
        <v>1234</v>
      </c>
      <c r="EQ249" s="56" t="s">
        <v>1783</v>
      </c>
      <c r="ER249" s="56" t="s">
        <v>1764</v>
      </c>
      <c r="ES249" s="56">
        <v>2</v>
      </c>
      <c r="ET249" s="56" t="s">
        <v>682</v>
      </c>
      <c r="EU249" s="56" t="s">
        <v>683</v>
      </c>
      <c r="EV249" s="56" t="s">
        <v>683</v>
      </c>
      <c r="FD249" s="56" t="s">
        <v>2056</v>
      </c>
      <c r="FK249" s="56">
        <v>0</v>
      </c>
    </row>
    <row r="250" spans="1:167" x14ac:dyDescent="0.2">
      <c r="A250" s="56">
        <v>29194</v>
      </c>
      <c r="B250" s="56">
        <v>2</v>
      </c>
      <c r="C250" s="56">
        <v>6352</v>
      </c>
      <c r="D250" s="56" t="s">
        <v>634</v>
      </c>
      <c r="E250" s="56" t="s">
        <v>635</v>
      </c>
      <c r="K250" s="56" t="s">
        <v>2057</v>
      </c>
      <c r="L250" s="56" t="s">
        <v>637</v>
      </c>
      <c r="M250" s="56">
        <v>44953</v>
      </c>
      <c r="N250" s="56">
        <v>44955</v>
      </c>
      <c r="O250" s="56">
        <v>38</v>
      </c>
      <c r="P250" s="56" t="s">
        <v>638</v>
      </c>
      <c r="Q250" s="56">
        <v>2</v>
      </c>
      <c r="R250" s="56" t="s">
        <v>639</v>
      </c>
      <c r="S250" s="56" t="s">
        <v>640</v>
      </c>
      <c r="T250" s="56" t="s">
        <v>641</v>
      </c>
      <c r="U250" s="56" t="s">
        <v>1227</v>
      </c>
      <c r="V250" s="56" t="s">
        <v>643</v>
      </c>
      <c r="W250" s="56">
        <v>49</v>
      </c>
      <c r="X250" s="56" t="s">
        <v>887</v>
      </c>
      <c r="Y250" s="56">
        <v>756</v>
      </c>
      <c r="Z250" s="56" t="s">
        <v>1779</v>
      </c>
      <c r="AB250" s="56" t="s">
        <v>1780</v>
      </c>
      <c r="AC250" s="56" t="s">
        <v>1757</v>
      </c>
      <c r="AD250" s="56" t="s">
        <v>1758</v>
      </c>
      <c r="AE250" s="56">
        <v>52</v>
      </c>
      <c r="AF250" s="56" t="s">
        <v>1228</v>
      </c>
      <c r="AG250" s="56" t="s">
        <v>1229</v>
      </c>
      <c r="AH250" s="56" t="s">
        <v>643</v>
      </c>
      <c r="AI250" s="56" t="s">
        <v>1227</v>
      </c>
      <c r="AJ250" s="56">
        <v>139</v>
      </c>
      <c r="AK250" s="56" t="s">
        <v>651</v>
      </c>
      <c r="AL250" s="56">
        <v>52</v>
      </c>
      <c r="AM250" s="56" t="s">
        <v>1228</v>
      </c>
      <c r="AN250" s="56" t="s">
        <v>1229</v>
      </c>
      <c r="AO250" s="56" t="s">
        <v>1230</v>
      </c>
      <c r="AP250" s="56" t="s">
        <v>643</v>
      </c>
      <c r="AQ250" s="56" t="s">
        <v>1227</v>
      </c>
      <c r="AR250" s="56">
        <v>52</v>
      </c>
      <c r="AS250" s="56" t="s">
        <v>1228</v>
      </c>
      <c r="AT250" s="56" t="s">
        <v>1229</v>
      </c>
      <c r="AU250" s="56" t="s">
        <v>643</v>
      </c>
      <c r="AV250" s="56" t="s">
        <v>1227</v>
      </c>
      <c r="AW250" s="56">
        <v>110</v>
      </c>
      <c r="AX250" s="56" t="s">
        <v>864</v>
      </c>
      <c r="AY250" s="56">
        <v>68</v>
      </c>
      <c r="AZ250" s="56" t="s">
        <v>25</v>
      </c>
      <c r="BA250" s="56" t="s">
        <v>865</v>
      </c>
      <c r="BB250" s="56" t="s">
        <v>844</v>
      </c>
      <c r="BC250" s="56">
        <v>2</v>
      </c>
      <c r="BD250" s="56" t="s">
        <v>289</v>
      </c>
      <c r="BE250" s="56" t="s">
        <v>772</v>
      </c>
      <c r="BF250" s="56">
        <v>2</v>
      </c>
      <c r="BG250" s="56" t="s">
        <v>289</v>
      </c>
      <c r="BH250" s="56" t="s">
        <v>772</v>
      </c>
      <c r="BI250" s="56">
        <v>24.37</v>
      </c>
      <c r="BJ250" s="56">
        <v>58596.69</v>
      </c>
      <c r="BK250" s="56">
        <v>24.37</v>
      </c>
      <c r="BL250" s="56" t="s">
        <v>897</v>
      </c>
      <c r="BM250" s="56">
        <v>3102</v>
      </c>
      <c r="BN250" s="56" t="s">
        <v>660</v>
      </c>
      <c r="BO250" s="56" t="s">
        <v>866</v>
      </c>
      <c r="BP250" s="56">
        <v>4386.6000000000004</v>
      </c>
      <c r="BQ250" s="56">
        <v>3860.21</v>
      </c>
      <c r="BR250" s="56">
        <v>0</v>
      </c>
      <c r="BS250" s="56">
        <v>0</v>
      </c>
      <c r="BT250" s="56">
        <v>0</v>
      </c>
      <c r="BU250" s="56">
        <v>5877</v>
      </c>
      <c r="BV250" s="56">
        <v>52</v>
      </c>
      <c r="BW250" s="56" t="s">
        <v>1228</v>
      </c>
      <c r="BX250" s="56" t="s">
        <v>2058</v>
      </c>
      <c r="BY250" s="56" t="s">
        <v>663</v>
      </c>
      <c r="BZ250" s="56">
        <v>0.5</v>
      </c>
      <c r="CA250" s="56" t="s">
        <v>1587</v>
      </c>
      <c r="CB250" s="56" t="s">
        <v>1782</v>
      </c>
      <c r="CD250" s="56" t="s">
        <v>667</v>
      </c>
      <c r="CG250" s="56">
        <v>0</v>
      </c>
      <c r="CH250" s="56">
        <v>180</v>
      </c>
      <c r="CJ250" s="56">
        <v>100</v>
      </c>
      <c r="CK250" s="56">
        <v>3860.21</v>
      </c>
      <c r="CL250" s="56">
        <v>0</v>
      </c>
      <c r="CN250" s="56">
        <v>526.39</v>
      </c>
      <c r="CO250" s="56">
        <v>526.39</v>
      </c>
      <c r="CP250" s="56">
        <v>0</v>
      </c>
      <c r="CQ250" s="56" t="s">
        <v>708</v>
      </c>
      <c r="CR250" s="56">
        <v>0</v>
      </c>
      <c r="CS250" s="56">
        <v>0</v>
      </c>
      <c r="CV250" s="56">
        <v>0</v>
      </c>
      <c r="CX250" s="56">
        <v>0</v>
      </c>
      <c r="CY250" s="56">
        <v>0</v>
      </c>
      <c r="CZ250" s="56">
        <v>357.07</v>
      </c>
      <c r="DA250" s="56">
        <v>357.07</v>
      </c>
      <c r="DB250" s="56">
        <v>0</v>
      </c>
      <c r="DC250" s="56">
        <v>3503.14</v>
      </c>
      <c r="DD250" s="56">
        <v>10.07</v>
      </c>
      <c r="DE250" s="56">
        <v>0</v>
      </c>
      <c r="DF250" s="56">
        <v>10.07</v>
      </c>
      <c r="DH250" s="56" t="s">
        <v>670</v>
      </c>
      <c r="DI250" s="56" t="s">
        <v>671</v>
      </c>
      <c r="DK250" s="56">
        <v>79.63</v>
      </c>
      <c r="DL250" s="56">
        <v>3493.07</v>
      </c>
      <c r="DM250" s="56">
        <v>60</v>
      </c>
      <c r="DN250" s="56">
        <v>4501411977</v>
      </c>
      <c r="DO250" s="56" t="s">
        <v>236</v>
      </c>
      <c r="DQ250" s="56" t="s">
        <v>674</v>
      </c>
      <c r="DR250" s="56">
        <v>3</v>
      </c>
      <c r="DW250" s="56">
        <v>380</v>
      </c>
      <c r="DX250" s="56" t="s">
        <v>678</v>
      </c>
      <c r="DY250" s="56" t="s">
        <v>679</v>
      </c>
      <c r="EL250" s="56">
        <v>25</v>
      </c>
      <c r="EM250" s="56">
        <v>15</v>
      </c>
      <c r="EN250" s="56">
        <v>5173</v>
      </c>
      <c r="EO250" s="56">
        <v>2420</v>
      </c>
      <c r="EP250" s="56" t="s">
        <v>1234</v>
      </c>
      <c r="EQ250" s="56" t="s">
        <v>1783</v>
      </c>
      <c r="ER250" s="56" t="s">
        <v>1764</v>
      </c>
      <c r="ES250" s="56">
        <v>2</v>
      </c>
      <c r="ET250" s="56" t="s">
        <v>682</v>
      </c>
      <c r="EU250" s="56" t="s">
        <v>683</v>
      </c>
      <c r="EV250" s="56" t="s">
        <v>683</v>
      </c>
      <c r="FD250" s="56" t="s">
        <v>2059</v>
      </c>
      <c r="FK250" s="56">
        <v>0</v>
      </c>
    </row>
    <row r="251" spans="1:167" x14ac:dyDescent="0.2">
      <c r="A251" s="56">
        <v>29195</v>
      </c>
      <c r="B251" s="56">
        <v>2</v>
      </c>
      <c r="C251" s="56">
        <v>6352</v>
      </c>
      <c r="D251" s="56" t="s">
        <v>634</v>
      </c>
      <c r="E251" s="56" t="s">
        <v>635</v>
      </c>
      <c r="K251" s="56" t="s">
        <v>2060</v>
      </c>
      <c r="L251" s="56" t="s">
        <v>637</v>
      </c>
      <c r="M251" s="56">
        <v>44953</v>
      </c>
      <c r="N251" s="56">
        <v>44955</v>
      </c>
      <c r="O251" s="56">
        <v>38</v>
      </c>
      <c r="P251" s="56" t="s">
        <v>638</v>
      </c>
      <c r="Q251" s="56">
        <v>2</v>
      </c>
      <c r="R251" s="56" t="s">
        <v>639</v>
      </c>
      <c r="S251" s="56" t="s">
        <v>640</v>
      </c>
      <c r="T251" s="56" t="s">
        <v>641</v>
      </c>
      <c r="U251" s="56" t="s">
        <v>1058</v>
      </c>
      <c r="V251" s="56" t="s">
        <v>643</v>
      </c>
      <c r="W251" s="56">
        <v>49</v>
      </c>
      <c r="X251" s="56" t="s">
        <v>887</v>
      </c>
      <c r="Y251" s="56">
        <v>208</v>
      </c>
      <c r="Z251" s="56" t="s">
        <v>1062</v>
      </c>
      <c r="AA251" s="56" t="s">
        <v>1063</v>
      </c>
      <c r="AB251" s="56" t="s">
        <v>1064</v>
      </c>
      <c r="AC251" s="56" t="s">
        <v>643</v>
      </c>
      <c r="AD251" s="56" t="s">
        <v>1058</v>
      </c>
      <c r="AE251" s="56">
        <v>208</v>
      </c>
      <c r="AF251" s="56" t="s">
        <v>1062</v>
      </c>
      <c r="AG251" s="56" t="s">
        <v>1063</v>
      </c>
      <c r="AH251" s="56" t="s">
        <v>643</v>
      </c>
      <c r="AI251" s="56" t="s">
        <v>1058</v>
      </c>
      <c r="AJ251" s="56">
        <v>205</v>
      </c>
      <c r="AK251" s="56" t="s">
        <v>1810</v>
      </c>
      <c r="AL251" s="56">
        <v>208</v>
      </c>
      <c r="AM251" s="56" t="s">
        <v>1062</v>
      </c>
      <c r="AN251" s="56" t="s">
        <v>1063</v>
      </c>
      <c r="AO251" s="56" t="s">
        <v>1064</v>
      </c>
      <c r="AP251" s="56" t="s">
        <v>643</v>
      </c>
      <c r="AQ251" s="56" t="s">
        <v>1058</v>
      </c>
      <c r="AR251" s="56">
        <v>208</v>
      </c>
      <c r="AS251" s="56" t="s">
        <v>1062</v>
      </c>
      <c r="AT251" s="56" t="s">
        <v>1063</v>
      </c>
      <c r="AU251" s="56" t="s">
        <v>643</v>
      </c>
      <c r="AV251" s="56" t="s">
        <v>1058</v>
      </c>
      <c r="AW251" s="56">
        <v>107</v>
      </c>
      <c r="AX251" s="56" t="s">
        <v>1003</v>
      </c>
      <c r="AY251" s="56">
        <v>39</v>
      </c>
      <c r="AZ251" s="56" t="s">
        <v>27</v>
      </c>
      <c r="BA251" s="56" t="s">
        <v>1004</v>
      </c>
      <c r="BB251" s="56" t="s">
        <v>770</v>
      </c>
      <c r="BC251" s="56">
        <v>38</v>
      </c>
      <c r="BD251" s="56" t="s">
        <v>289</v>
      </c>
      <c r="BE251" s="56" t="s">
        <v>771</v>
      </c>
      <c r="BF251" s="56">
        <v>2</v>
      </c>
      <c r="BG251" s="56" t="s">
        <v>289</v>
      </c>
      <c r="BH251" s="56" t="s">
        <v>772</v>
      </c>
      <c r="BI251" s="56">
        <v>47.99</v>
      </c>
      <c r="BJ251" s="56">
        <v>120792.27</v>
      </c>
      <c r="BK251" s="56">
        <v>47.99</v>
      </c>
      <c r="BL251" s="56" t="s">
        <v>897</v>
      </c>
      <c r="BM251" s="56">
        <v>3102</v>
      </c>
      <c r="BN251" s="56" t="s">
        <v>786</v>
      </c>
      <c r="BO251" s="56" t="s">
        <v>911</v>
      </c>
      <c r="BP251" s="56">
        <v>8062.32</v>
      </c>
      <c r="BQ251" s="56">
        <v>6997.64</v>
      </c>
      <c r="BR251" s="56">
        <v>0</v>
      </c>
      <c r="BS251" s="56">
        <v>0</v>
      </c>
      <c r="BT251" s="56">
        <v>0</v>
      </c>
      <c r="BU251" s="56">
        <v>20737</v>
      </c>
      <c r="BV251" s="56">
        <v>208</v>
      </c>
      <c r="BW251" s="56" t="s">
        <v>1062</v>
      </c>
      <c r="BX251" s="56" t="s">
        <v>2061</v>
      </c>
      <c r="BY251" s="56" t="s">
        <v>663</v>
      </c>
      <c r="BZ251" s="56">
        <v>0.5</v>
      </c>
      <c r="CA251" s="56" t="s">
        <v>664</v>
      </c>
      <c r="CB251" s="56" t="s">
        <v>1812</v>
      </c>
      <c r="CD251" s="56" t="s">
        <v>667</v>
      </c>
      <c r="CG251" s="56">
        <v>0</v>
      </c>
      <c r="CH251" s="56">
        <v>168</v>
      </c>
      <c r="CJ251" s="56">
        <v>100</v>
      </c>
      <c r="CK251" s="56">
        <v>6997.64</v>
      </c>
      <c r="CL251" s="56">
        <v>0</v>
      </c>
      <c r="CN251" s="56">
        <v>967.48</v>
      </c>
      <c r="CO251" s="56">
        <v>967.48</v>
      </c>
      <c r="CP251" s="56">
        <v>97.2</v>
      </c>
      <c r="CQ251" s="56" t="s">
        <v>668</v>
      </c>
      <c r="CR251" s="56">
        <v>0</v>
      </c>
      <c r="CS251" s="56">
        <v>0</v>
      </c>
      <c r="CV251" s="56">
        <v>0</v>
      </c>
      <c r="CX251" s="56">
        <v>0</v>
      </c>
      <c r="CY251" s="56">
        <v>0</v>
      </c>
      <c r="CZ251" s="56">
        <v>647.28</v>
      </c>
      <c r="DA251" s="56">
        <v>647.28</v>
      </c>
      <c r="DB251" s="56">
        <v>0</v>
      </c>
      <c r="DC251" s="56">
        <v>6350.36</v>
      </c>
      <c r="DD251" s="56">
        <v>20.75</v>
      </c>
      <c r="DE251" s="56">
        <v>0</v>
      </c>
      <c r="DF251" s="56">
        <v>20.75</v>
      </c>
      <c r="DH251" s="56" t="s">
        <v>670</v>
      </c>
      <c r="DI251" s="56" t="s">
        <v>671</v>
      </c>
      <c r="DK251" s="56">
        <v>79.709999999999994</v>
      </c>
      <c r="DL251" s="56">
        <v>6426.81</v>
      </c>
      <c r="DM251" s="56">
        <v>66</v>
      </c>
      <c r="DN251" s="56">
        <v>228623</v>
      </c>
      <c r="DO251" s="56" t="s">
        <v>236</v>
      </c>
      <c r="DQ251" s="56" t="s">
        <v>674</v>
      </c>
      <c r="DR251" s="56">
        <v>3</v>
      </c>
      <c r="DW251" s="56">
        <v>390</v>
      </c>
      <c r="DX251" s="56" t="s">
        <v>678</v>
      </c>
      <c r="DY251" s="56" t="s">
        <v>679</v>
      </c>
      <c r="EL251" s="56">
        <v>25</v>
      </c>
      <c r="EM251" s="56">
        <v>15</v>
      </c>
      <c r="EN251" s="56">
        <v>5173</v>
      </c>
      <c r="EO251" s="56">
        <v>2441</v>
      </c>
      <c r="EP251" s="56">
        <v>6943</v>
      </c>
      <c r="EQ251" s="56" t="s">
        <v>1813</v>
      </c>
      <c r="ER251" s="56" t="s">
        <v>1814</v>
      </c>
      <c r="ES251" s="56">
        <v>2</v>
      </c>
      <c r="ET251" s="56" t="s">
        <v>682</v>
      </c>
      <c r="EU251" s="56" t="s">
        <v>683</v>
      </c>
      <c r="EV251" s="56" t="s">
        <v>683</v>
      </c>
      <c r="FD251" s="56" t="s">
        <v>2062</v>
      </c>
      <c r="FK251" s="56">
        <v>0</v>
      </c>
    </row>
    <row r="252" spans="1:167" x14ac:dyDescent="0.2">
      <c r="A252" s="56">
        <v>29196</v>
      </c>
      <c r="B252" s="56">
        <v>2</v>
      </c>
      <c r="C252" s="56">
        <v>6352</v>
      </c>
      <c r="D252" s="56" t="s">
        <v>634</v>
      </c>
      <c r="E252" s="56" t="s">
        <v>635</v>
      </c>
      <c r="K252" s="56" t="s">
        <v>2063</v>
      </c>
      <c r="L252" s="56" t="s">
        <v>637</v>
      </c>
      <c r="M252" s="56">
        <v>44953</v>
      </c>
      <c r="N252" s="56">
        <v>44955</v>
      </c>
      <c r="O252" s="56">
        <v>38</v>
      </c>
      <c r="P252" s="56" t="s">
        <v>638</v>
      </c>
      <c r="Q252" s="56">
        <v>2</v>
      </c>
      <c r="R252" s="56" t="s">
        <v>639</v>
      </c>
      <c r="S252" s="56" t="s">
        <v>640</v>
      </c>
      <c r="T252" s="56" t="s">
        <v>641</v>
      </c>
      <c r="U252" s="56" t="s">
        <v>1582</v>
      </c>
      <c r="V252" s="56" t="s">
        <v>643</v>
      </c>
      <c r="W252" s="56">
        <v>49</v>
      </c>
      <c r="X252" s="56" t="s">
        <v>887</v>
      </c>
      <c r="Y252" s="56">
        <v>756</v>
      </c>
      <c r="Z252" s="56" t="s">
        <v>1779</v>
      </c>
      <c r="AB252" s="56" t="s">
        <v>1780</v>
      </c>
      <c r="AC252" s="56" t="s">
        <v>1757</v>
      </c>
      <c r="AD252" s="56" t="s">
        <v>1758</v>
      </c>
      <c r="AE252" s="56">
        <v>51</v>
      </c>
      <c r="AF252" s="56" t="s">
        <v>1228</v>
      </c>
      <c r="AG252" s="56" t="s">
        <v>1583</v>
      </c>
      <c r="AH252" s="56" t="s">
        <v>643</v>
      </c>
      <c r="AI252" s="56" t="s">
        <v>1582</v>
      </c>
      <c r="AJ252" s="56">
        <v>139</v>
      </c>
      <c r="AK252" s="56" t="s">
        <v>651</v>
      </c>
      <c r="AL252" s="56">
        <v>51</v>
      </c>
      <c r="AM252" s="56" t="s">
        <v>1228</v>
      </c>
      <c r="AN252" s="56" t="s">
        <v>1583</v>
      </c>
      <c r="AO252" s="56" t="s">
        <v>1584</v>
      </c>
      <c r="AP252" s="56" t="s">
        <v>643</v>
      </c>
      <c r="AQ252" s="56" t="s">
        <v>1582</v>
      </c>
      <c r="AR252" s="56">
        <v>51</v>
      </c>
      <c r="AS252" s="56" t="s">
        <v>1228</v>
      </c>
      <c r="AT252" s="56" t="s">
        <v>1583</v>
      </c>
      <c r="AU252" s="56" t="s">
        <v>643</v>
      </c>
      <c r="AV252" s="56" t="s">
        <v>1582</v>
      </c>
      <c r="AW252" s="56">
        <v>117</v>
      </c>
      <c r="AX252" s="56" t="s">
        <v>848</v>
      </c>
      <c r="AY252" s="56">
        <v>1</v>
      </c>
      <c r="AZ252" s="56" t="s">
        <v>28</v>
      </c>
      <c r="BA252" s="56" t="s">
        <v>849</v>
      </c>
      <c r="BB252" s="56" t="s">
        <v>770</v>
      </c>
      <c r="BC252" s="56">
        <v>38</v>
      </c>
      <c r="BD252" s="56" t="s">
        <v>289</v>
      </c>
      <c r="BE252" s="56" t="s">
        <v>771</v>
      </c>
      <c r="BF252" s="56">
        <v>2</v>
      </c>
      <c r="BG252" s="56" t="s">
        <v>289</v>
      </c>
      <c r="BH252" s="56" t="s">
        <v>772</v>
      </c>
      <c r="BI252" s="56">
        <v>24.93</v>
      </c>
      <c r="BJ252" s="56">
        <v>59943.19</v>
      </c>
      <c r="BK252" s="56">
        <v>24.93</v>
      </c>
      <c r="BL252" s="56" t="s">
        <v>897</v>
      </c>
      <c r="BM252" s="56">
        <v>3102</v>
      </c>
      <c r="BN252" s="56" t="s">
        <v>724</v>
      </c>
      <c r="BO252" s="56" t="s">
        <v>725</v>
      </c>
      <c r="BP252" s="56">
        <v>6107.85</v>
      </c>
      <c r="BQ252" s="56">
        <v>5374.91</v>
      </c>
      <c r="BR252" s="56">
        <v>0</v>
      </c>
      <c r="BS252" s="56">
        <v>0</v>
      </c>
      <c r="BT252" s="56">
        <v>0</v>
      </c>
      <c r="BU252" s="56">
        <v>1235</v>
      </c>
      <c r="BV252" s="56">
        <v>51</v>
      </c>
      <c r="BW252" s="56" t="s">
        <v>1228</v>
      </c>
      <c r="BX252" s="56" t="s">
        <v>2064</v>
      </c>
      <c r="BY252" s="56" t="s">
        <v>663</v>
      </c>
      <c r="BZ252" s="56">
        <v>0.5</v>
      </c>
      <c r="CA252" s="56" t="s">
        <v>1587</v>
      </c>
      <c r="CB252" s="56" t="s">
        <v>1782</v>
      </c>
      <c r="CD252" s="56" t="s">
        <v>667</v>
      </c>
      <c r="CG252" s="56">
        <v>0</v>
      </c>
      <c r="CH252" s="56">
        <v>245</v>
      </c>
      <c r="CJ252" s="56">
        <v>100</v>
      </c>
      <c r="CK252" s="56">
        <v>5374.91</v>
      </c>
      <c r="CL252" s="56">
        <v>0</v>
      </c>
      <c r="CN252" s="56">
        <v>732.94</v>
      </c>
      <c r="CO252" s="56">
        <v>732.94</v>
      </c>
      <c r="CP252" s="56">
        <v>0</v>
      </c>
      <c r="CQ252" s="56" t="s">
        <v>708</v>
      </c>
      <c r="CR252" s="56">
        <v>0</v>
      </c>
      <c r="CS252" s="56">
        <v>0</v>
      </c>
      <c r="CV252" s="56">
        <v>0</v>
      </c>
      <c r="CX252" s="56">
        <v>0</v>
      </c>
      <c r="CY252" s="56">
        <v>0</v>
      </c>
      <c r="CZ252" s="56">
        <v>497.18</v>
      </c>
      <c r="DA252" s="56">
        <v>497.18</v>
      </c>
      <c r="DB252" s="56">
        <v>0</v>
      </c>
      <c r="DC252" s="56">
        <v>4877.7299999999996</v>
      </c>
      <c r="DD252" s="56">
        <v>10.3</v>
      </c>
      <c r="DE252" s="56">
        <v>0</v>
      </c>
      <c r="DF252" s="56">
        <v>10.3</v>
      </c>
      <c r="DH252" s="56" t="s">
        <v>670</v>
      </c>
      <c r="DI252" s="56" t="s">
        <v>671</v>
      </c>
      <c r="DK252" s="56">
        <v>79.69</v>
      </c>
      <c r="DL252" s="56">
        <v>4867.43</v>
      </c>
      <c r="DM252" s="56">
        <v>100</v>
      </c>
      <c r="DN252" s="56">
        <v>4501411978</v>
      </c>
      <c r="DO252" s="56" t="s">
        <v>236</v>
      </c>
      <c r="DQ252" s="56" t="s">
        <v>674</v>
      </c>
      <c r="DR252" s="56">
        <v>3</v>
      </c>
      <c r="DW252" s="56">
        <v>590</v>
      </c>
      <c r="DX252" s="56" t="s">
        <v>678</v>
      </c>
      <c r="DY252" s="56" t="s">
        <v>679</v>
      </c>
      <c r="EL252" s="56">
        <v>25</v>
      </c>
      <c r="EM252" s="56">
        <v>15</v>
      </c>
      <c r="EN252" s="56">
        <v>5173</v>
      </c>
      <c r="EO252" s="56">
        <v>1950</v>
      </c>
      <c r="EP252" s="56" t="s">
        <v>1234</v>
      </c>
      <c r="EQ252" s="56" t="s">
        <v>1803</v>
      </c>
      <c r="ER252" s="56" t="s">
        <v>1804</v>
      </c>
      <c r="ES252" s="56">
        <v>2</v>
      </c>
      <c r="ET252" s="56" t="s">
        <v>682</v>
      </c>
      <c r="EU252" s="56" t="s">
        <v>683</v>
      </c>
      <c r="EV252" s="56" t="s">
        <v>683</v>
      </c>
      <c r="FD252" s="56" t="s">
        <v>2065</v>
      </c>
      <c r="FK252" s="56">
        <v>0</v>
      </c>
    </row>
    <row r="253" spans="1:167" x14ac:dyDescent="0.2">
      <c r="A253" s="56">
        <v>29197</v>
      </c>
      <c r="B253" s="56">
        <v>2</v>
      </c>
      <c r="C253" s="56">
        <v>6352</v>
      </c>
      <c r="D253" s="56" t="s">
        <v>634</v>
      </c>
      <c r="E253" s="56" t="s">
        <v>635</v>
      </c>
      <c r="K253" s="56" t="s">
        <v>2066</v>
      </c>
      <c r="L253" s="56" t="s">
        <v>637</v>
      </c>
      <c r="M253" s="56">
        <v>44953</v>
      </c>
      <c r="N253" s="56">
        <v>44955</v>
      </c>
      <c r="O253" s="56">
        <v>38</v>
      </c>
      <c r="P253" s="56" t="s">
        <v>638</v>
      </c>
      <c r="Q253" s="56">
        <v>2</v>
      </c>
      <c r="R253" s="56" t="s">
        <v>639</v>
      </c>
      <c r="S253" s="56" t="s">
        <v>640</v>
      </c>
      <c r="T253" s="56" t="s">
        <v>641</v>
      </c>
      <c r="U253" s="56" t="s">
        <v>1582</v>
      </c>
      <c r="V253" s="56" t="s">
        <v>643</v>
      </c>
      <c r="W253" s="56">
        <v>49</v>
      </c>
      <c r="X253" s="56" t="s">
        <v>887</v>
      </c>
      <c r="Y253" s="56">
        <v>756</v>
      </c>
      <c r="Z253" s="56" t="s">
        <v>1779</v>
      </c>
      <c r="AB253" s="56" t="s">
        <v>1780</v>
      </c>
      <c r="AC253" s="56" t="s">
        <v>1757</v>
      </c>
      <c r="AD253" s="56" t="s">
        <v>1758</v>
      </c>
      <c r="AE253" s="56">
        <v>51</v>
      </c>
      <c r="AF253" s="56" t="s">
        <v>1228</v>
      </c>
      <c r="AG253" s="56" t="s">
        <v>1583</v>
      </c>
      <c r="AH253" s="56" t="s">
        <v>643</v>
      </c>
      <c r="AI253" s="56" t="s">
        <v>1582</v>
      </c>
      <c r="AJ253" s="56">
        <v>139</v>
      </c>
      <c r="AK253" s="56" t="s">
        <v>651</v>
      </c>
      <c r="AL253" s="56">
        <v>51</v>
      </c>
      <c r="AM253" s="56" t="s">
        <v>1228</v>
      </c>
      <c r="AN253" s="56" t="s">
        <v>1583</v>
      </c>
      <c r="AO253" s="56" t="s">
        <v>1584</v>
      </c>
      <c r="AP253" s="56" t="s">
        <v>643</v>
      </c>
      <c r="AQ253" s="56" t="s">
        <v>1582</v>
      </c>
      <c r="AR253" s="56">
        <v>51</v>
      </c>
      <c r="AS253" s="56" t="s">
        <v>1228</v>
      </c>
      <c r="AT253" s="56" t="s">
        <v>1583</v>
      </c>
      <c r="AU253" s="56" t="s">
        <v>643</v>
      </c>
      <c r="AV253" s="56" t="s">
        <v>1582</v>
      </c>
      <c r="AW253" s="56">
        <v>117</v>
      </c>
      <c r="AX253" s="56" t="s">
        <v>848</v>
      </c>
      <c r="AY253" s="56">
        <v>1</v>
      </c>
      <c r="AZ253" s="56" t="s">
        <v>28</v>
      </c>
      <c r="BA253" s="56" t="s">
        <v>849</v>
      </c>
      <c r="BB253" s="56" t="s">
        <v>770</v>
      </c>
      <c r="BC253" s="56">
        <v>38</v>
      </c>
      <c r="BD253" s="56" t="s">
        <v>289</v>
      </c>
      <c r="BE253" s="56" t="s">
        <v>771</v>
      </c>
      <c r="BF253" s="56">
        <v>2</v>
      </c>
      <c r="BG253" s="56" t="s">
        <v>289</v>
      </c>
      <c r="BH253" s="56" t="s">
        <v>772</v>
      </c>
      <c r="BI253" s="56">
        <v>26.39</v>
      </c>
      <c r="BJ253" s="56">
        <v>63453.7</v>
      </c>
      <c r="BK253" s="56">
        <v>26.39</v>
      </c>
      <c r="BL253" s="56" t="s">
        <v>897</v>
      </c>
      <c r="BM253" s="56">
        <v>3102</v>
      </c>
      <c r="BN253" s="56" t="s">
        <v>724</v>
      </c>
      <c r="BO253" s="56" t="s">
        <v>725</v>
      </c>
      <c r="BP253" s="56">
        <v>6465.55</v>
      </c>
      <c r="BQ253" s="56">
        <v>5568.18</v>
      </c>
      <c r="BR253" s="56">
        <v>0</v>
      </c>
      <c r="BS253" s="56">
        <v>0</v>
      </c>
      <c r="BT253" s="56">
        <v>0</v>
      </c>
      <c r="BU253" s="56">
        <v>1236</v>
      </c>
      <c r="BV253" s="56">
        <v>51</v>
      </c>
      <c r="BW253" s="56" t="s">
        <v>1228</v>
      </c>
      <c r="BX253" s="56" t="s">
        <v>2067</v>
      </c>
      <c r="BY253" s="56" t="s">
        <v>663</v>
      </c>
      <c r="BZ253" s="56">
        <v>0.5</v>
      </c>
      <c r="CA253" s="56" t="s">
        <v>1587</v>
      </c>
      <c r="CB253" s="56" t="s">
        <v>1782</v>
      </c>
      <c r="CD253" s="56" t="s">
        <v>667</v>
      </c>
      <c r="CG253" s="56">
        <v>0</v>
      </c>
      <c r="CH253" s="56">
        <v>245</v>
      </c>
      <c r="CJ253" s="56">
        <v>100</v>
      </c>
      <c r="CK253" s="56">
        <v>5568.18</v>
      </c>
      <c r="CL253" s="56">
        <v>0</v>
      </c>
      <c r="CN253" s="56">
        <v>775.87</v>
      </c>
      <c r="CO253" s="56">
        <v>775.87</v>
      </c>
      <c r="CP253" s="56">
        <v>121.5</v>
      </c>
      <c r="CQ253" s="56" t="s">
        <v>668</v>
      </c>
      <c r="CR253" s="56">
        <v>0</v>
      </c>
      <c r="CS253" s="56">
        <v>0</v>
      </c>
      <c r="CV253" s="56">
        <v>0</v>
      </c>
      <c r="CX253" s="56">
        <v>0</v>
      </c>
      <c r="CY253" s="56">
        <v>0</v>
      </c>
      <c r="CZ253" s="56">
        <v>515.04999999999995</v>
      </c>
      <c r="DA253" s="56">
        <v>515.04999999999995</v>
      </c>
      <c r="DB253" s="56">
        <v>0</v>
      </c>
      <c r="DC253" s="56">
        <v>5053.13</v>
      </c>
      <c r="DD253" s="56">
        <v>10.9</v>
      </c>
      <c r="DE253" s="56">
        <v>0</v>
      </c>
      <c r="DF253" s="56">
        <v>10.9</v>
      </c>
      <c r="DH253" s="56" t="s">
        <v>670</v>
      </c>
      <c r="DI253" s="56" t="s">
        <v>671</v>
      </c>
      <c r="DK253" s="56">
        <v>79.87</v>
      </c>
      <c r="DL253" s="56">
        <v>5163.7299999999996</v>
      </c>
      <c r="DM253" s="56">
        <v>100</v>
      </c>
      <c r="DN253" s="56">
        <v>4501411978</v>
      </c>
      <c r="DO253" s="56" t="s">
        <v>236</v>
      </c>
      <c r="DQ253" s="56" t="s">
        <v>674</v>
      </c>
      <c r="DR253" s="56">
        <v>3</v>
      </c>
      <c r="DW253" s="56">
        <v>590</v>
      </c>
      <c r="DX253" s="56" t="s">
        <v>678</v>
      </c>
      <c r="DY253" s="56" t="s">
        <v>679</v>
      </c>
      <c r="EL253" s="56">
        <v>25</v>
      </c>
      <c r="EM253" s="56">
        <v>15</v>
      </c>
      <c r="EN253" s="56">
        <v>5173</v>
      </c>
      <c r="EO253" s="56">
        <v>1950</v>
      </c>
      <c r="EP253" s="56" t="s">
        <v>1234</v>
      </c>
      <c r="EQ253" s="56" t="s">
        <v>1803</v>
      </c>
      <c r="ER253" s="56" t="s">
        <v>1804</v>
      </c>
      <c r="ES253" s="56">
        <v>2</v>
      </c>
      <c r="ET253" s="56" t="s">
        <v>682</v>
      </c>
      <c r="EU253" s="56" t="s">
        <v>683</v>
      </c>
      <c r="EV253" s="56" t="s">
        <v>683</v>
      </c>
      <c r="FD253" s="56" t="s">
        <v>2068</v>
      </c>
      <c r="FK253" s="56">
        <v>0</v>
      </c>
    </row>
    <row r="254" spans="1:167" x14ac:dyDescent="0.2">
      <c r="A254" s="56">
        <v>29198</v>
      </c>
      <c r="B254" s="56">
        <v>2</v>
      </c>
      <c r="C254" s="56">
        <v>6352</v>
      </c>
      <c r="D254" s="56" t="s">
        <v>634</v>
      </c>
      <c r="E254" s="56" t="s">
        <v>635</v>
      </c>
      <c r="K254" s="56" t="s">
        <v>2069</v>
      </c>
      <c r="L254" s="56" t="s">
        <v>637</v>
      </c>
      <c r="M254" s="56">
        <v>44953</v>
      </c>
      <c r="N254" s="56">
        <v>44955</v>
      </c>
      <c r="O254" s="56">
        <v>38</v>
      </c>
      <c r="P254" s="56" t="s">
        <v>638</v>
      </c>
      <c r="Q254" s="56">
        <v>2</v>
      </c>
      <c r="R254" s="56" t="s">
        <v>639</v>
      </c>
      <c r="S254" s="56" t="s">
        <v>640</v>
      </c>
      <c r="T254" s="56" t="s">
        <v>641</v>
      </c>
      <c r="U254" s="56" t="s">
        <v>1582</v>
      </c>
      <c r="V254" s="56" t="s">
        <v>643</v>
      </c>
      <c r="W254" s="56">
        <v>49</v>
      </c>
      <c r="X254" s="56" t="s">
        <v>887</v>
      </c>
      <c r="Y254" s="56">
        <v>756</v>
      </c>
      <c r="Z254" s="56" t="s">
        <v>1779</v>
      </c>
      <c r="AB254" s="56" t="s">
        <v>1780</v>
      </c>
      <c r="AC254" s="56" t="s">
        <v>1757</v>
      </c>
      <c r="AD254" s="56" t="s">
        <v>1758</v>
      </c>
      <c r="AE254" s="56">
        <v>51</v>
      </c>
      <c r="AF254" s="56" t="s">
        <v>1228</v>
      </c>
      <c r="AG254" s="56" t="s">
        <v>1583</v>
      </c>
      <c r="AH254" s="56" t="s">
        <v>643</v>
      </c>
      <c r="AI254" s="56" t="s">
        <v>1582</v>
      </c>
      <c r="AJ254" s="56">
        <v>139</v>
      </c>
      <c r="AK254" s="56" t="s">
        <v>651</v>
      </c>
      <c r="AL254" s="56">
        <v>51</v>
      </c>
      <c r="AM254" s="56" t="s">
        <v>1228</v>
      </c>
      <c r="AN254" s="56" t="s">
        <v>1583</v>
      </c>
      <c r="AO254" s="56" t="s">
        <v>1584</v>
      </c>
      <c r="AP254" s="56" t="s">
        <v>643</v>
      </c>
      <c r="AQ254" s="56" t="s">
        <v>1582</v>
      </c>
      <c r="AR254" s="56">
        <v>51</v>
      </c>
      <c r="AS254" s="56" t="s">
        <v>1228</v>
      </c>
      <c r="AT254" s="56" t="s">
        <v>1583</v>
      </c>
      <c r="AU254" s="56" t="s">
        <v>643</v>
      </c>
      <c r="AV254" s="56" t="s">
        <v>1582</v>
      </c>
      <c r="AW254" s="56">
        <v>112</v>
      </c>
      <c r="AX254" s="56" t="s">
        <v>842</v>
      </c>
      <c r="AY254" s="56">
        <v>16</v>
      </c>
      <c r="AZ254" s="56" t="s">
        <v>24</v>
      </c>
      <c r="BA254" s="56" t="s">
        <v>843</v>
      </c>
      <c r="BB254" s="56" t="s">
        <v>844</v>
      </c>
      <c r="BC254" s="56">
        <v>2</v>
      </c>
      <c r="BD254" s="56" t="s">
        <v>289</v>
      </c>
      <c r="BE254" s="56" t="s">
        <v>772</v>
      </c>
      <c r="BF254" s="56">
        <v>2</v>
      </c>
      <c r="BG254" s="56" t="s">
        <v>289</v>
      </c>
      <c r="BH254" s="56" t="s">
        <v>772</v>
      </c>
      <c r="BI254" s="56">
        <v>24.72</v>
      </c>
      <c r="BJ254" s="56">
        <v>59438.25</v>
      </c>
      <c r="BK254" s="56">
        <v>24.72</v>
      </c>
      <c r="BL254" s="56" t="s">
        <v>897</v>
      </c>
      <c r="BM254" s="56">
        <v>3102</v>
      </c>
      <c r="BN254" s="56" t="s">
        <v>660</v>
      </c>
      <c r="BO254" s="56" t="s">
        <v>706</v>
      </c>
      <c r="BP254" s="56">
        <v>6056.4</v>
      </c>
      <c r="BQ254" s="56">
        <v>5208.13</v>
      </c>
      <c r="BR254" s="56">
        <v>0</v>
      </c>
      <c r="BS254" s="56">
        <v>0</v>
      </c>
      <c r="BT254" s="56">
        <v>0</v>
      </c>
      <c r="BU254" s="56">
        <v>1237</v>
      </c>
      <c r="BV254" s="56">
        <v>51</v>
      </c>
      <c r="BW254" s="56" t="s">
        <v>1228</v>
      </c>
      <c r="BX254" s="56" t="s">
        <v>2070</v>
      </c>
      <c r="BY254" s="56" t="s">
        <v>663</v>
      </c>
      <c r="BZ254" s="56">
        <v>0.5</v>
      </c>
      <c r="CA254" s="56" t="s">
        <v>1587</v>
      </c>
      <c r="CB254" s="56" t="s">
        <v>1782</v>
      </c>
      <c r="CD254" s="56" t="s">
        <v>667</v>
      </c>
      <c r="CG254" s="56">
        <v>0</v>
      </c>
      <c r="CH254" s="56">
        <v>245</v>
      </c>
      <c r="CJ254" s="56">
        <v>100</v>
      </c>
      <c r="CK254" s="56">
        <v>5208.13</v>
      </c>
      <c r="CL254" s="56">
        <v>0</v>
      </c>
      <c r="CN254" s="56">
        <v>726.77</v>
      </c>
      <c r="CO254" s="56">
        <v>726.77</v>
      </c>
      <c r="CP254" s="56">
        <v>121.5</v>
      </c>
      <c r="CQ254" s="56" t="s">
        <v>668</v>
      </c>
      <c r="CR254" s="56">
        <v>0</v>
      </c>
      <c r="CS254" s="56">
        <v>0</v>
      </c>
      <c r="CV254" s="56">
        <v>0</v>
      </c>
      <c r="CX254" s="56">
        <v>0</v>
      </c>
      <c r="CY254" s="56">
        <v>0</v>
      </c>
      <c r="CZ254" s="56">
        <v>481.75</v>
      </c>
      <c r="DA254" s="56">
        <v>481.75</v>
      </c>
      <c r="DB254" s="56">
        <v>0</v>
      </c>
      <c r="DC254" s="56">
        <v>4726.38</v>
      </c>
      <c r="DD254" s="56">
        <v>10.210000000000001</v>
      </c>
      <c r="DE254" s="56">
        <v>0</v>
      </c>
      <c r="DF254" s="56">
        <v>10.210000000000001</v>
      </c>
      <c r="DH254" s="56" t="s">
        <v>670</v>
      </c>
      <c r="DI254" s="56" t="s">
        <v>671</v>
      </c>
      <c r="DK254" s="56">
        <v>79.88</v>
      </c>
      <c r="DL254" s="56">
        <v>4837.67</v>
      </c>
      <c r="DM254" s="56">
        <v>100</v>
      </c>
      <c r="DN254" s="56">
        <v>4501411978</v>
      </c>
      <c r="DO254" s="56" t="s">
        <v>236</v>
      </c>
      <c r="DQ254" s="56" t="s">
        <v>674</v>
      </c>
      <c r="DR254" s="56">
        <v>3</v>
      </c>
      <c r="DW254" s="56">
        <v>590</v>
      </c>
      <c r="DX254" s="56" t="s">
        <v>678</v>
      </c>
      <c r="DY254" s="56" t="s">
        <v>679</v>
      </c>
      <c r="EL254" s="56">
        <v>25</v>
      </c>
      <c r="EM254" s="56">
        <v>15</v>
      </c>
      <c r="EN254" s="56">
        <v>5173</v>
      </c>
      <c r="EO254" s="56">
        <v>1950</v>
      </c>
      <c r="EP254" s="56" t="s">
        <v>1234</v>
      </c>
      <c r="EQ254" s="56" t="s">
        <v>1803</v>
      </c>
      <c r="ER254" s="56" t="s">
        <v>1804</v>
      </c>
      <c r="ES254" s="56">
        <v>2</v>
      </c>
      <c r="ET254" s="56" t="s">
        <v>682</v>
      </c>
      <c r="EU254" s="56" t="s">
        <v>683</v>
      </c>
      <c r="EV254" s="56" t="s">
        <v>683</v>
      </c>
      <c r="FD254" s="56" t="s">
        <v>2071</v>
      </c>
      <c r="FK254" s="56">
        <v>0</v>
      </c>
    </row>
    <row r="255" spans="1:167" x14ac:dyDescent="0.2">
      <c r="A255" s="56">
        <v>29199</v>
      </c>
      <c r="B255" s="56">
        <v>2</v>
      </c>
      <c r="C255" s="56">
        <v>6352</v>
      </c>
      <c r="D255" s="56" t="s">
        <v>634</v>
      </c>
      <c r="E255" s="56" t="s">
        <v>635</v>
      </c>
      <c r="K255" s="56" t="s">
        <v>2072</v>
      </c>
      <c r="L255" s="56" t="s">
        <v>637</v>
      </c>
      <c r="M255" s="56">
        <v>44953</v>
      </c>
      <c r="N255" s="56">
        <v>44955</v>
      </c>
      <c r="O255" s="56">
        <v>38</v>
      </c>
      <c r="P255" s="56" t="s">
        <v>638</v>
      </c>
      <c r="Q255" s="56">
        <v>2</v>
      </c>
      <c r="R255" s="56" t="s">
        <v>639</v>
      </c>
      <c r="S255" s="56" t="s">
        <v>640</v>
      </c>
      <c r="T255" s="56" t="s">
        <v>641</v>
      </c>
      <c r="U255" s="56" t="s">
        <v>1582</v>
      </c>
      <c r="V255" s="56" t="s">
        <v>643</v>
      </c>
      <c r="W255" s="56">
        <v>49</v>
      </c>
      <c r="X255" s="56" t="s">
        <v>887</v>
      </c>
      <c r="Y255" s="56">
        <v>756</v>
      </c>
      <c r="Z255" s="56" t="s">
        <v>1779</v>
      </c>
      <c r="AB255" s="56" t="s">
        <v>1780</v>
      </c>
      <c r="AC255" s="56" t="s">
        <v>1757</v>
      </c>
      <c r="AD255" s="56" t="s">
        <v>1758</v>
      </c>
      <c r="AE255" s="56">
        <v>51</v>
      </c>
      <c r="AF255" s="56" t="s">
        <v>1228</v>
      </c>
      <c r="AG255" s="56" t="s">
        <v>1583</v>
      </c>
      <c r="AH255" s="56" t="s">
        <v>643</v>
      </c>
      <c r="AI255" s="56" t="s">
        <v>1582</v>
      </c>
      <c r="AJ255" s="56">
        <v>139</v>
      </c>
      <c r="AK255" s="56" t="s">
        <v>651</v>
      </c>
      <c r="AL255" s="56">
        <v>51</v>
      </c>
      <c r="AM255" s="56" t="s">
        <v>1228</v>
      </c>
      <c r="AN255" s="56" t="s">
        <v>1583</v>
      </c>
      <c r="AO255" s="56" t="s">
        <v>1584</v>
      </c>
      <c r="AP255" s="56" t="s">
        <v>643</v>
      </c>
      <c r="AQ255" s="56" t="s">
        <v>1582</v>
      </c>
      <c r="AR255" s="56">
        <v>51</v>
      </c>
      <c r="AS255" s="56" t="s">
        <v>1228</v>
      </c>
      <c r="AT255" s="56" t="s">
        <v>1583</v>
      </c>
      <c r="AU255" s="56" t="s">
        <v>643</v>
      </c>
      <c r="AV255" s="56" t="s">
        <v>1582</v>
      </c>
      <c r="AW255" s="56">
        <v>112</v>
      </c>
      <c r="AX255" s="56" t="s">
        <v>842</v>
      </c>
      <c r="AY255" s="56">
        <v>16</v>
      </c>
      <c r="AZ255" s="56" t="s">
        <v>24</v>
      </c>
      <c r="BA255" s="56" t="s">
        <v>843</v>
      </c>
      <c r="BB255" s="56" t="s">
        <v>844</v>
      </c>
      <c r="BC255" s="56">
        <v>2</v>
      </c>
      <c r="BD255" s="56" t="s">
        <v>289</v>
      </c>
      <c r="BE255" s="56" t="s">
        <v>772</v>
      </c>
      <c r="BF255" s="56">
        <v>2</v>
      </c>
      <c r="BG255" s="56" t="s">
        <v>289</v>
      </c>
      <c r="BH255" s="56" t="s">
        <v>772</v>
      </c>
      <c r="BI255" s="56">
        <v>26.79</v>
      </c>
      <c r="BJ255" s="56">
        <v>64415.48</v>
      </c>
      <c r="BK255" s="56">
        <v>26.79</v>
      </c>
      <c r="BL255" s="56" t="s">
        <v>897</v>
      </c>
      <c r="BM255" s="56">
        <v>3102</v>
      </c>
      <c r="BN255" s="56" t="s">
        <v>660</v>
      </c>
      <c r="BO255" s="56" t="s">
        <v>706</v>
      </c>
      <c r="BP255" s="56">
        <v>6563.55</v>
      </c>
      <c r="BQ255" s="56">
        <v>5654.42</v>
      </c>
      <c r="BR255" s="56">
        <v>0</v>
      </c>
      <c r="BS255" s="56">
        <v>0</v>
      </c>
      <c r="BT255" s="56">
        <v>0</v>
      </c>
      <c r="BU255" s="56">
        <v>1238</v>
      </c>
      <c r="BV255" s="56">
        <v>51</v>
      </c>
      <c r="BW255" s="56" t="s">
        <v>1228</v>
      </c>
      <c r="BX255" s="56" t="s">
        <v>2073</v>
      </c>
      <c r="BY255" s="56" t="s">
        <v>663</v>
      </c>
      <c r="BZ255" s="56">
        <v>0.5</v>
      </c>
      <c r="CA255" s="56" t="s">
        <v>1587</v>
      </c>
      <c r="CB255" s="56" t="s">
        <v>1782</v>
      </c>
      <c r="CD255" s="56" t="s">
        <v>667</v>
      </c>
      <c r="CG255" s="56">
        <v>0</v>
      </c>
      <c r="CH255" s="56">
        <v>245</v>
      </c>
      <c r="CJ255" s="56">
        <v>100</v>
      </c>
      <c r="CK255" s="56">
        <v>5654.42</v>
      </c>
      <c r="CL255" s="56">
        <v>0</v>
      </c>
      <c r="CN255" s="56">
        <v>787.63</v>
      </c>
      <c r="CO255" s="56">
        <v>787.63</v>
      </c>
      <c r="CP255" s="56">
        <v>121.5</v>
      </c>
      <c r="CQ255" s="56" t="s">
        <v>668</v>
      </c>
      <c r="CR255" s="56">
        <v>0</v>
      </c>
      <c r="CS255" s="56">
        <v>0</v>
      </c>
      <c r="CV255" s="56">
        <v>0</v>
      </c>
      <c r="CX255" s="56">
        <v>0</v>
      </c>
      <c r="CY255" s="56">
        <v>0</v>
      </c>
      <c r="CZ255" s="56">
        <v>523.04</v>
      </c>
      <c r="DA255" s="56">
        <v>523.04</v>
      </c>
      <c r="DB255" s="56">
        <v>0</v>
      </c>
      <c r="DC255" s="56">
        <v>5131.38</v>
      </c>
      <c r="DD255" s="56">
        <v>11.07</v>
      </c>
      <c r="DE255" s="56">
        <v>0</v>
      </c>
      <c r="DF255" s="56">
        <v>11.07</v>
      </c>
      <c r="DH255" s="56" t="s">
        <v>670</v>
      </c>
      <c r="DI255" s="56" t="s">
        <v>671</v>
      </c>
      <c r="DK255" s="56">
        <v>79.86</v>
      </c>
      <c r="DL255" s="56">
        <v>5241.8100000000004</v>
      </c>
      <c r="DM255" s="56">
        <v>100</v>
      </c>
      <c r="DN255" s="56">
        <v>4501411978</v>
      </c>
      <c r="DO255" s="56" t="s">
        <v>236</v>
      </c>
      <c r="DQ255" s="56" t="s">
        <v>674</v>
      </c>
      <c r="DR255" s="56">
        <v>3</v>
      </c>
      <c r="DW255" s="56">
        <v>590</v>
      </c>
      <c r="DX255" s="56" t="s">
        <v>678</v>
      </c>
      <c r="DY255" s="56" t="s">
        <v>679</v>
      </c>
      <c r="EL255" s="56">
        <v>25</v>
      </c>
      <c r="EM255" s="56">
        <v>15</v>
      </c>
      <c r="EN255" s="56">
        <v>5173</v>
      </c>
      <c r="EO255" s="56">
        <v>1950</v>
      </c>
      <c r="EP255" s="56" t="s">
        <v>1234</v>
      </c>
      <c r="EQ255" s="56" t="s">
        <v>1803</v>
      </c>
      <c r="ER255" s="56" t="s">
        <v>1804</v>
      </c>
      <c r="ES255" s="56">
        <v>2</v>
      </c>
      <c r="ET255" s="56" t="s">
        <v>682</v>
      </c>
      <c r="EU255" s="56" t="s">
        <v>683</v>
      </c>
      <c r="EV255" s="56" t="s">
        <v>683</v>
      </c>
      <c r="FD255" s="56" t="s">
        <v>2074</v>
      </c>
      <c r="FK255" s="56">
        <v>0</v>
      </c>
    </row>
    <row r="256" spans="1:167" x14ac:dyDescent="0.2">
      <c r="A256" s="56">
        <v>29200</v>
      </c>
      <c r="B256" s="56">
        <v>2</v>
      </c>
      <c r="C256" s="56">
        <v>6352</v>
      </c>
      <c r="D256" s="56" t="s">
        <v>634</v>
      </c>
      <c r="E256" s="56" t="s">
        <v>635</v>
      </c>
      <c r="K256" s="56" t="s">
        <v>2075</v>
      </c>
      <c r="L256" s="56" t="s">
        <v>637</v>
      </c>
      <c r="M256" s="56">
        <v>44953</v>
      </c>
      <c r="N256" s="56">
        <v>44955</v>
      </c>
      <c r="O256" s="56">
        <v>38</v>
      </c>
      <c r="P256" s="56" t="s">
        <v>638</v>
      </c>
      <c r="Q256" s="56">
        <v>2</v>
      </c>
      <c r="R256" s="56" t="s">
        <v>639</v>
      </c>
      <c r="S256" s="56" t="s">
        <v>640</v>
      </c>
      <c r="T256" s="56" t="s">
        <v>641</v>
      </c>
      <c r="U256" s="56" t="s">
        <v>1227</v>
      </c>
      <c r="V256" s="56" t="s">
        <v>643</v>
      </c>
      <c r="W256" s="56">
        <v>49</v>
      </c>
      <c r="X256" s="56" t="s">
        <v>887</v>
      </c>
      <c r="Y256" s="56">
        <v>756</v>
      </c>
      <c r="Z256" s="56" t="s">
        <v>1779</v>
      </c>
      <c r="AB256" s="56" t="s">
        <v>1780</v>
      </c>
      <c r="AC256" s="56" t="s">
        <v>1757</v>
      </c>
      <c r="AD256" s="56" t="s">
        <v>1758</v>
      </c>
      <c r="AE256" s="56">
        <v>52</v>
      </c>
      <c r="AF256" s="56" t="s">
        <v>1228</v>
      </c>
      <c r="AG256" s="56" t="s">
        <v>1229</v>
      </c>
      <c r="AH256" s="56" t="s">
        <v>643</v>
      </c>
      <c r="AI256" s="56" t="s">
        <v>1227</v>
      </c>
      <c r="AJ256" s="56">
        <v>139</v>
      </c>
      <c r="AK256" s="56" t="s">
        <v>651</v>
      </c>
      <c r="AL256" s="56">
        <v>52</v>
      </c>
      <c r="AM256" s="56" t="s">
        <v>1228</v>
      </c>
      <c r="AN256" s="56" t="s">
        <v>1229</v>
      </c>
      <c r="AO256" s="56" t="s">
        <v>1230</v>
      </c>
      <c r="AP256" s="56" t="s">
        <v>643</v>
      </c>
      <c r="AQ256" s="56" t="s">
        <v>1227</v>
      </c>
      <c r="AR256" s="56">
        <v>52</v>
      </c>
      <c r="AS256" s="56" t="s">
        <v>1228</v>
      </c>
      <c r="AT256" s="56" t="s">
        <v>1229</v>
      </c>
      <c r="AU256" s="56" t="s">
        <v>643</v>
      </c>
      <c r="AV256" s="56" t="s">
        <v>1227</v>
      </c>
      <c r="AW256" s="56">
        <v>50</v>
      </c>
      <c r="AX256" s="56" t="s">
        <v>881</v>
      </c>
      <c r="AY256" s="56">
        <v>77</v>
      </c>
      <c r="AZ256" s="56" t="s">
        <v>131</v>
      </c>
      <c r="BA256" s="56" t="s">
        <v>882</v>
      </c>
      <c r="BB256" s="56" t="s">
        <v>770</v>
      </c>
      <c r="BC256" s="56">
        <v>38</v>
      </c>
      <c r="BD256" s="56" t="s">
        <v>289</v>
      </c>
      <c r="BE256" s="56" t="s">
        <v>771</v>
      </c>
      <c r="BF256" s="56">
        <v>2</v>
      </c>
      <c r="BG256" s="56" t="s">
        <v>289</v>
      </c>
      <c r="BH256" s="56" t="s">
        <v>772</v>
      </c>
      <c r="BI256" s="56">
        <v>23.21</v>
      </c>
      <c r="BJ256" s="56">
        <v>55807.519999999997</v>
      </c>
      <c r="BK256" s="56">
        <v>23.21</v>
      </c>
      <c r="BL256" s="56" t="s">
        <v>897</v>
      </c>
      <c r="BM256" s="56">
        <v>3102</v>
      </c>
      <c r="BN256" s="56" t="s">
        <v>786</v>
      </c>
      <c r="BO256" s="56" t="s">
        <v>883</v>
      </c>
      <c r="BP256" s="56">
        <v>4177.8</v>
      </c>
      <c r="BQ256" s="56">
        <v>3579.26</v>
      </c>
      <c r="BR256" s="56">
        <v>0</v>
      </c>
      <c r="BS256" s="56">
        <v>0</v>
      </c>
      <c r="BT256" s="56">
        <v>0</v>
      </c>
      <c r="BU256" s="56">
        <v>5878</v>
      </c>
      <c r="BV256" s="56">
        <v>52</v>
      </c>
      <c r="BW256" s="56" t="s">
        <v>1228</v>
      </c>
      <c r="BX256" s="56" t="s">
        <v>2076</v>
      </c>
      <c r="BY256" s="56" t="s">
        <v>663</v>
      </c>
      <c r="BZ256" s="56">
        <v>0.5</v>
      </c>
      <c r="CA256" s="56" t="s">
        <v>1587</v>
      </c>
      <c r="CB256" s="56" t="s">
        <v>1782</v>
      </c>
      <c r="CD256" s="56" t="s">
        <v>667</v>
      </c>
      <c r="CG256" s="56">
        <v>0</v>
      </c>
      <c r="CH256" s="56">
        <v>180</v>
      </c>
      <c r="CJ256" s="56">
        <v>100</v>
      </c>
      <c r="CK256" s="56">
        <v>3579.26</v>
      </c>
      <c r="CL256" s="56">
        <v>0</v>
      </c>
      <c r="CN256" s="56">
        <v>501.34</v>
      </c>
      <c r="CO256" s="56">
        <v>501.34</v>
      </c>
      <c r="CP256" s="56">
        <v>97.2</v>
      </c>
      <c r="CQ256" s="56" t="s">
        <v>668</v>
      </c>
      <c r="CR256" s="56">
        <v>0</v>
      </c>
      <c r="CS256" s="56">
        <v>0</v>
      </c>
      <c r="CV256" s="56">
        <v>0</v>
      </c>
      <c r="CX256" s="56">
        <v>0</v>
      </c>
      <c r="CY256" s="56">
        <v>0</v>
      </c>
      <c r="CZ256" s="56">
        <v>331.08</v>
      </c>
      <c r="DA256" s="56">
        <v>331.08</v>
      </c>
      <c r="DB256" s="56">
        <v>0</v>
      </c>
      <c r="DC256" s="56">
        <v>3248.18</v>
      </c>
      <c r="DD256" s="56">
        <v>9.59</v>
      </c>
      <c r="DE256" s="56">
        <v>0</v>
      </c>
      <c r="DF256" s="56">
        <v>9.59</v>
      </c>
      <c r="DH256" s="56" t="s">
        <v>670</v>
      </c>
      <c r="DI256" s="56" t="s">
        <v>671</v>
      </c>
      <c r="DK256" s="56">
        <v>79.849999999999994</v>
      </c>
      <c r="DL256" s="56">
        <v>3335.79</v>
      </c>
      <c r="DM256" s="56">
        <v>60</v>
      </c>
      <c r="DN256" s="56">
        <v>4501411977</v>
      </c>
      <c r="DO256" s="56" t="s">
        <v>236</v>
      </c>
      <c r="DQ256" s="56" t="s">
        <v>674</v>
      </c>
      <c r="DR256" s="56">
        <v>3</v>
      </c>
      <c r="DW256" s="56">
        <v>380</v>
      </c>
      <c r="DX256" s="56" t="s">
        <v>678</v>
      </c>
      <c r="DY256" s="56" t="s">
        <v>679</v>
      </c>
      <c r="EL256" s="56">
        <v>25</v>
      </c>
      <c r="EM256" s="56">
        <v>15</v>
      </c>
      <c r="EN256" s="56">
        <v>5173</v>
      </c>
      <c r="EO256" s="56">
        <v>2420</v>
      </c>
      <c r="EP256" s="56" t="s">
        <v>1234</v>
      </c>
      <c r="EQ256" s="56" t="s">
        <v>1783</v>
      </c>
      <c r="ER256" s="56" t="s">
        <v>1764</v>
      </c>
      <c r="ES256" s="56">
        <v>2</v>
      </c>
      <c r="ET256" s="56" t="s">
        <v>682</v>
      </c>
      <c r="EU256" s="56" t="s">
        <v>683</v>
      </c>
      <c r="EV256" s="56" t="s">
        <v>683</v>
      </c>
      <c r="FD256" s="56" t="s">
        <v>2077</v>
      </c>
      <c r="FK256" s="56">
        <v>0</v>
      </c>
    </row>
    <row r="257" spans="1:167" x14ac:dyDescent="0.2">
      <c r="A257" s="56">
        <v>29201</v>
      </c>
      <c r="B257" s="56">
        <v>2</v>
      </c>
      <c r="C257" s="56">
        <v>6352</v>
      </c>
      <c r="D257" s="56" t="s">
        <v>634</v>
      </c>
      <c r="E257" s="56" t="s">
        <v>635</v>
      </c>
      <c r="K257" s="56" t="s">
        <v>2078</v>
      </c>
      <c r="L257" s="56" t="s">
        <v>637</v>
      </c>
      <c r="M257" s="56">
        <v>44953</v>
      </c>
      <c r="N257" s="56">
        <v>44955</v>
      </c>
      <c r="O257" s="56">
        <v>38</v>
      </c>
      <c r="P257" s="56" t="s">
        <v>638</v>
      </c>
      <c r="Q257" s="56">
        <v>2</v>
      </c>
      <c r="R257" s="56" t="s">
        <v>639</v>
      </c>
      <c r="S257" s="56" t="s">
        <v>640</v>
      </c>
      <c r="T257" s="56" t="s">
        <v>641</v>
      </c>
      <c r="U257" s="56" t="s">
        <v>1227</v>
      </c>
      <c r="V257" s="56" t="s">
        <v>643</v>
      </c>
      <c r="W257" s="56">
        <v>49</v>
      </c>
      <c r="X257" s="56" t="s">
        <v>887</v>
      </c>
      <c r="Y257" s="56">
        <v>756</v>
      </c>
      <c r="Z257" s="56" t="s">
        <v>1779</v>
      </c>
      <c r="AB257" s="56" t="s">
        <v>1780</v>
      </c>
      <c r="AC257" s="56" t="s">
        <v>1757</v>
      </c>
      <c r="AD257" s="56" t="s">
        <v>1758</v>
      </c>
      <c r="AE257" s="56">
        <v>52</v>
      </c>
      <c r="AF257" s="56" t="s">
        <v>1228</v>
      </c>
      <c r="AG257" s="56" t="s">
        <v>1229</v>
      </c>
      <c r="AH257" s="56" t="s">
        <v>643</v>
      </c>
      <c r="AI257" s="56" t="s">
        <v>1227</v>
      </c>
      <c r="AJ257" s="56">
        <v>139</v>
      </c>
      <c r="AK257" s="56" t="s">
        <v>651</v>
      </c>
      <c r="AL257" s="56">
        <v>52</v>
      </c>
      <c r="AM257" s="56" t="s">
        <v>1228</v>
      </c>
      <c r="AN257" s="56" t="s">
        <v>1229</v>
      </c>
      <c r="AO257" s="56" t="s">
        <v>1230</v>
      </c>
      <c r="AP257" s="56" t="s">
        <v>643</v>
      </c>
      <c r="AQ257" s="56" t="s">
        <v>1227</v>
      </c>
      <c r="AR257" s="56">
        <v>52</v>
      </c>
      <c r="AS257" s="56" t="s">
        <v>1228</v>
      </c>
      <c r="AT257" s="56" t="s">
        <v>1229</v>
      </c>
      <c r="AU257" s="56" t="s">
        <v>643</v>
      </c>
      <c r="AV257" s="56" t="s">
        <v>1227</v>
      </c>
      <c r="AW257" s="56">
        <v>50</v>
      </c>
      <c r="AX257" s="56" t="s">
        <v>881</v>
      </c>
      <c r="AY257" s="56">
        <v>77</v>
      </c>
      <c r="AZ257" s="56" t="s">
        <v>131</v>
      </c>
      <c r="BA257" s="56" t="s">
        <v>882</v>
      </c>
      <c r="BB257" s="56" t="s">
        <v>770</v>
      </c>
      <c r="BC257" s="56">
        <v>38</v>
      </c>
      <c r="BD257" s="56" t="s">
        <v>289</v>
      </c>
      <c r="BE257" s="56" t="s">
        <v>771</v>
      </c>
      <c r="BF257" s="56">
        <v>2</v>
      </c>
      <c r="BG257" s="56" t="s">
        <v>289</v>
      </c>
      <c r="BH257" s="56" t="s">
        <v>772</v>
      </c>
      <c r="BI257" s="56">
        <v>24.31</v>
      </c>
      <c r="BJ257" s="56">
        <v>58452.42</v>
      </c>
      <c r="BK257" s="56">
        <v>24.31</v>
      </c>
      <c r="BL257" s="56" t="s">
        <v>897</v>
      </c>
      <c r="BM257" s="56">
        <v>3102</v>
      </c>
      <c r="BN257" s="56" t="s">
        <v>786</v>
      </c>
      <c r="BO257" s="56" t="s">
        <v>883</v>
      </c>
      <c r="BP257" s="56">
        <v>4375.8</v>
      </c>
      <c r="BQ257" s="56">
        <v>3850.7</v>
      </c>
      <c r="BR257" s="56">
        <v>0</v>
      </c>
      <c r="BS257" s="56">
        <v>0</v>
      </c>
      <c r="BT257" s="56">
        <v>0</v>
      </c>
      <c r="BU257" s="56">
        <v>5879</v>
      </c>
      <c r="BV257" s="56">
        <v>52</v>
      </c>
      <c r="BW257" s="56" t="s">
        <v>1228</v>
      </c>
      <c r="BX257" s="56" t="s">
        <v>2079</v>
      </c>
      <c r="BY257" s="56" t="s">
        <v>663</v>
      </c>
      <c r="BZ257" s="56">
        <v>0.5</v>
      </c>
      <c r="CA257" s="56" t="s">
        <v>1587</v>
      </c>
      <c r="CB257" s="56" t="s">
        <v>1782</v>
      </c>
      <c r="CD257" s="56" t="s">
        <v>667</v>
      </c>
      <c r="CG257" s="56">
        <v>0</v>
      </c>
      <c r="CH257" s="56">
        <v>180</v>
      </c>
      <c r="CJ257" s="56">
        <v>100</v>
      </c>
      <c r="CK257" s="56">
        <v>3850.7</v>
      </c>
      <c r="CL257" s="56">
        <v>0</v>
      </c>
      <c r="CN257" s="56">
        <v>525.1</v>
      </c>
      <c r="CO257" s="56">
        <v>525.1</v>
      </c>
      <c r="CP257" s="56">
        <v>0</v>
      </c>
      <c r="CQ257" s="56" t="s">
        <v>708</v>
      </c>
      <c r="CR257" s="56">
        <v>0</v>
      </c>
      <c r="CS257" s="56">
        <v>0</v>
      </c>
      <c r="CV257" s="56">
        <v>0</v>
      </c>
      <c r="CX257" s="56">
        <v>0</v>
      </c>
      <c r="CY257" s="56">
        <v>0</v>
      </c>
      <c r="CZ257" s="56">
        <v>356.19</v>
      </c>
      <c r="DA257" s="56">
        <v>356.19</v>
      </c>
      <c r="DB257" s="56">
        <v>0</v>
      </c>
      <c r="DC257" s="56">
        <v>3494.51</v>
      </c>
      <c r="DD257" s="56">
        <v>10.039999999999999</v>
      </c>
      <c r="DE257" s="56">
        <v>0</v>
      </c>
      <c r="DF257" s="56">
        <v>10.039999999999999</v>
      </c>
      <c r="DH257" s="56" t="s">
        <v>670</v>
      </c>
      <c r="DI257" s="56" t="s">
        <v>671</v>
      </c>
      <c r="DK257" s="56">
        <v>79.63</v>
      </c>
      <c r="DL257" s="56">
        <v>3484.47</v>
      </c>
      <c r="DM257" s="56">
        <v>60</v>
      </c>
      <c r="DN257" s="56">
        <v>4501411977</v>
      </c>
      <c r="DO257" s="56" t="s">
        <v>236</v>
      </c>
      <c r="DQ257" s="56" t="s">
        <v>674</v>
      </c>
      <c r="DR257" s="56">
        <v>3</v>
      </c>
      <c r="DW257" s="56">
        <v>380</v>
      </c>
      <c r="DX257" s="56" t="s">
        <v>678</v>
      </c>
      <c r="DY257" s="56" t="s">
        <v>679</v>
      </c>
      <c r="EL257" s="56">
        <v>25</v>
      </c>
      <c r="EM257" s="56">
        <v>15</v>
      </c>
      <c r="EN257" s="56">
        <v>5173</v>
      </c>
      <c r="EO257" s="56">
        <v>2420</v>
      </c>
      <c r="EP257" s="56" t="s">
        <v>1234</v>
      </c>
      <c r="EQ257" s="56" t="s">
        <v>1783</v>
      </c>
      <c r="ER257" s="56" t="s">
        <v>1764</v>
      </c>
      <c r="ES257" s="56">
        <v>2</v>
      </c>
      <c r="ET257" s="56" t="s">
        <v>682</v>
      </c>
      <c r="EU257" s="56" t="s">
        <v>683</v>
      </c>
      <c r="EV257" s="56" t="s">
        <v>683</v>
      </c>
      <c r="FD257" s="56" t="s">
        <v>2080</v>
      </c>
      <c r="FK257" s="56">
        <v>0</v>
      </c>
    </row>
    <row r="258" spans="1:167" x14ac:dyDescent="0.2">
      <c r="A258" s="56">
        <v>29202</v>
      </c>
      <c r="B258" s="56">
        <v>2</v>
      </c>
      <c r="C258" s="56">
        <v>6352</v>
      </c>
      <c r="D258" s="56" t="s">
        <v>634</v>
      </c>
      <c r="E258" s="56" t="s">
        <v>635</v>
      </c>
      <c r="K258" s="56" t="s">
        <v>2081</v>
      </c>
      <c r="L258" s="56" t="s">
        <v>637</v>
      </c>
      <c r="M258" s="56">
        <v>44953</v>
      </c>
      <c r="N258" s="56">
        <v>44955</v>
      </c>
      <c r="O258" s="56">
        <v>38</v>
      </c>
      <c r="P258" s="56" t="s">
        <v>638</v>
      </c>
      <c r="Q258" s="56">
        <v>2</v>
      </c>
      <c r="R258" s="56" t="s">
        <v>639</v>
      </c>
      <c r="S258" s="56" t="s">
        <v>640</v>
      </c>
      <c r="T258" s="56" t="s">
        <v>641</v>
      </c>
      <c r="U258" s="56" t="s">
        <v>1227</v>
      </c>
      <c r="V258" s="56" t="s">
        <v>643</v>
      </c>
      <c r="W258" s="56">
        <v>49</v>
      </c>
      <c r="X258" s="56" t="s">
        <v>887</v>
      </c>
      <c r="Y258" s="56">
        <v>756</v>
      </c>
      <c r="Z258" s="56" t="s">
        <v>1779</v>
      </c>
      <c r="AB258" s="56" t="s">
        <v>1780</v>
      </c>
      <c r="AC258" s="56" t="s">
        <v>1757</v>
      </c>
      <c r="AD258" s="56" t="s">
        <v>1758</v>
      </c>
      <c r="AE258" s="56">
        <v>52</v>
      </c>
      <c r="AF258" s="56" t="s">
        <v>1228</v>
      </c>
      <c r="AG258" s="56" t="s">
        <v>1229</v>
      </c>
      <c r="AH258" s="56" t="s">
        <v>643</v>
      </c>
      <c r="AI258" s="56" t="s">
        <v>1227</v>
      </c>
      <c r="AJ258" s="56">
        <v>139</v>
      </c>
      <c r="AK258" s="56" t="s">
        <v>651</v>
      </c>
      <c r="AL258" s="56">
        <v>52</v>
      </c>
      <c r="AM258" s="56" t="s">
        <v>1228</v>
      </c>
      <c r="AN258" s="56" t="s">
        <v>1229</v>
      </c>
      <c r="AO258" s="56" t="s">
        <v>1230</v>
      </c>
      <c r="AP258" s="56" t="s">
        <v>643</v>
      </c>
      <c r="AQ258" s="56" t="s">
        <v>1227</v>
      </c>
      <c r="AR258" s="56">
        <v>52</v>
      </c>
      <c r="AS258" s="56" t="s">
        <v>1228</v>
      </c>
      <c r="AT258" s="56" t="s">
        <v>1229</v>
      </c>
      <c r="AU258" s="56" t="s">
        <v>643</v>
      </c>
      <c r="AV258" s="56" t="s">
        <v>1227</v>
      </c>
      <c r="AW258" s="56">
        <v>114</v>
      </c>
      <c r="AX258" s="56" t="s">
        <v>1396</v>
      </c>
      <c r="AY258" s="56">
        <v>27</v>
      </c>
      <c r="AZ258" s="56" t="s">
        <v>33</v>
      </c>
      <c r="BA258" s="56" t="s">
        <v>1397</v>
      </c>
      <c r="BB258" s="56" t="s">
        <v>770</v>
      </c>
      <c r="BC258" s="56">
        <v>38</v>
      </c>
      <c r="BD258" s="56" t="s">
        <v>289</v>
      </c>
      <c r="BE258" s="56" t="s">
        <v>771</v>
      </c>
      <c r="BF258" s="56">
        <v>2</v>
      </c>
      <c r="BG258" s="56" t="s">
        <v>289</v>
      </c>
      <c r="BH258" s="56" t="s">
        <v>772</v>
      </c>
      <c r="BI258" s="56">
        <v>23.12</v>
      </c>
      <c r="BJ258" s="56">
        <v>55591.12</v>
      </c>
      <c r="BK258" s="56">
        <v>23.12</v>
      </c>
      <c r="BL258" s="56" t="s">
        <v>897</v>
      </c>
      <c r="BM258" s="56">
        <v>3102</v>
      </c>
      <c r="BN258" s="56" t="s">
        <v>786</v>
      </c>
      <c r="BO258" s="56" t="s">
        <v>883</v>
      </c>
      <c r="BP258" s="56">
        <v>4161.6000000000004</v>
      </c>
      <c r="BQ258" s="56">
        <v>3662.21</v>
      </c>
      <c r="BR258" s="56">
        <v>0</v>
      </c>
      <c r="BS258" s="56">
        <v>0</v>
      </c>
      <c r="BT258" s="56">
        <v>0</v>
      </c>
      <c r="BU258" s="56">
        <v>5880</v>
      </c>
      <c r="BV258" s="56">
        <v>52</v>
      </c>
      <c r="BW258" s="56" t="s">
        <v>1228</v>
      </c>
      <c r="BX258" s="56" t="s">
        <v>2082</v>
      </c>
      <c r="BY258" s="56" t="s">
        <v>663</v>
      </c>
      <c r="BZ258" s="56">
        <v>0.5</v>
      </c>
      <c r="CA258" s="56" t="s">
        <v>1587</v>
      </c>
      <c r="CB258" s="56" t="s">
        <v>1782</v>
      </c>
      <c r="CD258" s="56" t="s">
        <v>667</v>
      </c>
      <c r="CG258" s="56">
        <v>0</v>
      </c>
      <c r="CH258" s="56">
        <v>180</v>
      </c>
      <c r="CJ258" s="56">
        <v>100</v>
      </c>
      <c r="CK258" s="56">
        <v>3662.21</v>
      </c>
      <c r="CL258" s="56">
        <v>0</v>
      </c>
      <c r="CN258" s="56">
        <v>499.39</v>
      </c>
      <c r="CO258" s="56">
        <v>499.39</v>
      </c>
      <c r="CP258" s="56">
        <v>0</v>
      </c>
      <c r="CQ258" s="56" t="s">
        <v>708</v>
      </c>
      <c r="CR258" s="56">
        <v>0</v>
      </c>
      <c r="CS258" s="56">
        <v>0</v>
      </c>
      <c r="CV258" s="56">
        <v>0</v>
      </c>
      <c r="CX258" s="56">
        <v>0</v>
      </c>
      <c r="CY258" s="56">
        <v>0</v>
      </c>
      <c r="CZ258" s="56">
        <v>338.76</v>
      </c>
      <c r="DA258" s="56">
        <v>338.76</v>
      </c>
      <c r="DB258" s="56">
        <v>0</v>
      </c>
      <c r="DC258" s="56">
        <v>3323.45</v>
      </c>
      <c r="DD258" s="56">
        <v>9.5500000000000007</v>
      </c>
      <c r="DE258" s="56">
        <v>0</v>
      </c>
      <c r="DF258" s="56">
        <v>9.5500000000000007</v>
      </c>
      <c r="DH258" s="56" t="s">
        <v>670</v>
      </c>
      <c r="DI258" s="56" t="s">
        <v>671</v>
      </c>
      <c r="DK258" s="56">
        <v>79.63</v>
      </c>
      <c r="DL258" s="56">
        <v>3313.9</v>
      </c>
      <c r="DM258" s="56">
        <v>60</v>
      </c>
      <c r="DN258" s="56">
        <v>4501411977</v>
      </c>
      <c r="DO258" s="56" t="s">
        <v>236</v>
      </c>
      <c r="DQ258" s="56" t="s">
        <v>674</v>
      </c>
      <c r="DR258" s="56">
        <v>3</v>
      </c>
      <c r="DW258" s="56">
        <v>380</v>
      </c>
      <c r="DX258" s="56" t="s">
        <v>678</v>
      </c>
      <c r="DY258" s="56" t="s">
        <v>679</v>
      </c>
      <c r="EL258" s="56">
        <v>25</v>
      </c>
      <c r="EM258" s="56">
        <v>15</v>
      </c>
      <c r="EN258" s="56">
        <v>5173</v>
      </c>
      <c r="EO258" s="56">
        <v>2420</v>
      </c>
      <c r="EP258" s="56" t="s">
        <v>1234</v>
      </c>
      <c r="EQ258" s="56" t="s">
        <v>1783</v>
      </c>
      <c r="ER258" s="56" t="s">
        <v>1764</v>
      </c>
      <c r="ES258" s="56">
        <v>2</v>
      </c>
      <c r="ET258" s="56" t="s">
        <v>682</v>
      </c>
      <c r="EU258" s="56" t="s">
        <v>683</v>
      </c>
      <c r="EV258" s="56" t="s">
        <v>683</v>
      </c>
      <c r="FD258" s="56" t="s">
        <v>2083</v>
      </c>
      <c r="FK258" s="56">
        <v>0</v>
      </c>
    </row>
    <row r="259" spans="1:167" x14ac:dyDescent="0.2">
      <c r="A259" s="56">
        <v>29203</v>
      </c>
      <c r="B259" s="56">
        <v>2</v>
      </c>
      <c r="C259" s="56">
        <v>6352</v>
      </c>
      <c r="D259" s="56" t="s">
        <v>634</v>
      </c>
      <c r="E259" s="56" t="s">
        <v>635</v>
      </c>
      <c r="K259" s="56" t="s">
        <v>2084</v>
      </c>
      <c r="L259" s="56" t="s">
        <v>637</v>
      </c>
      <c r="M259" s="56">
        <v>44953</v>
      </c>
      <c r="N259" s="56">
        <v>44955</v>
      </c>
      <c r="O259" s="56">
        <v>38</v>
      </c>
      <c r="P259" s="56" t="s">
        <v>638</v>
      </c>
      <c r="Q259" s="56">
        <v>2</v>
      </c>
      <c r="R259" s="56" t="s">
        <v>639</v>
      </c>
      <c r="S259" s="56" t="s">
        <v>640</v>
      </c>
      <c r="T259" s="56" t="s">
        <v>641</v>
      </c>
      <c r="U259" s="56" t="s">
        <v>1227</v>
      </c>
      <c r="V259" s="56" t="s">
        <v>643</v>
      </c>
      <c r="W259" s="56">
        <v>49</v>
      </c>
      <c r="X259" s="56" t="s">
        <v>887</v>
      </c>
      <c r="Y259" s="56">
        <v>756</v>
      </c>
      <c r="Z259" s="56" t="s">
        <v>1779</v>
      </c>
      <c r="AB259" s="56" t="s">
        <v>1780</v>
      </c>
      <c r="AC259" s="56" t="s">
        <v>1757</v>
      </c>
      <c r="AD259" s="56" t="s">
        <v>1758</v>
      </c>
      <c r="AE259" s="56">
        <v>52</v>
      </c>
      <c r="AF259" s="56" t="s">
        <v>1228</v>
      </c>
      <c r="AG259" s="56" t="s">
        <v>1229</v>
      </c>
      <c r="AH259" s="56" t="s">
        <v>643</v>
      </c>
      <c r="AI259" s="56" t="s">
        <v>1227</v>
      </c>
      <c r="AJ259" s="56">
        <v>139</v>
      </c>
      <c r="AK259" s="56" t="s">
        <v>651</v>
      </c>
      <c r="AL259" s="56">
        <v>52</v>
      </c>
      <c r="AM259" s="56" t="s">
        <v>1228</v>
      </c>
      <c r="AN259" s="56" t="s">
        <v>1229</v>
      </c>
      <c r="AO259" s="56" t="s">
        <v>1230</v>
      </c>
      <c r="AP259" s="56" t="s">
        <v>643</v>
      </c>
      <c r="AQ259" s="56" t="s">
        <v>1227</v>
      </c>
      <c r="AR259" s="56">
        <v>52</v>
      </c>
      <c r="AS259" s="56" t="s">
        <v>1228</v>
      </c>
      <c r="AT259" s="56" t="s">
        <v>1229</v>
      </c>
      <c r="AU259" s="56" t="s">
        <v>643</v>
      </c>
      <c r="AV259" s="56" t="s">
        <v>1227</v>
      </c>
      <c r="AW259" s="56">
        <v>114</v>
      </c>
      <c r="AX259" s="56" t="s">
        <v>1396</v>
      </c>
      <c r="AY259" s="56">
        <v>27</v>
      </c>
      <c r="AZ259" s="56" t="s">
        <v>33</v>
      </c>
      <c r="BA259" s="56" t="s">
        <v>1397</v>
      </c>
      <c r="BB259" s="56" t="s">
        <v>770</v>
      </c>
      <c r="BC259" s="56">
        <v>38</v>
      </c>
      <c r="BD259" s="56" t="s">
        <v>289</v>
      </c>
      <c r="BE259" s="56" t="s">
        <v>771</v>
      </c>
      <c r="BF259" s="56">
        <v>2</v>
      </c>
      <c r="BG259" s="56" t="s">
        <v>289</v>
      </c>
      <c r="BH259" s="56" t="s">
        <v>772</v>
      </c>
      <c r="BI259" s="56">
        <v>25.51</v>
      </c>
      <c r="BJ259" s="56">
        <v>61337.77</v>
      </c>
      <c r="BK259" s="56">
        <v>25.51</v>
      </c>
      <c r="BL259" s="56" t="s">
        <v>897</v>
      </c>
      <c r="BM259" s="56">
        <v>3102</v>
      </c>
      <c r="BN259" s="56" t="s">
        <v>786</v>
      </c>
      <c r="BO259" s="56" t="s">
        <v>883</v>
      </c>
      <c r="BP259" s="56">
        <v>4591.8</v>
      </c>
      <c r="BQ259" s="56">
        <v>3943.58</v>
      </c>
      <c r="BR259" s="56">
        <v>0</v>
      </c>
      <c r="BS259" s="56">
        <v>0</v>
      </c>
      <c r="BT259" s="56">
        <v>0</v>
      </c>
      <c r="BU259" s="56">
        <v>5881</v>
      </c>
      <c r="BV259" s="56">
        <v>52</v>
      </c>
      <c r="BW259" s="56" t="s">
        <v>1228</v>
      </c>
      <c r="BX259" s="56" t="s">
        <v>2085</v>
      </c>
      <c r="BY259" s="56" t="s">
        <v>663</v>
      </c>
      <c r="BZ259" s="56">
        <v>0.5</v>
      </c>
      <c r="CA259" s="56" t="s">
        <v>1587</v>
      </c>
      <c r="CB259" s="56" t="s">
        <v>1782</v>
      </c>
      <c r="CD259" s="56" t="s">
        <v>667</v>
      </c>
      <c r="CG259" s="56">
        <v>0</v>
      </c>
      <c r="CH259" s="56">
        <v>180</v>
      </c>
      <c r="CJ259" s="56">
        <v>100</v>
      </c>
      <c r="CK259" s="56">
        <v>3943.58</v>
      </c>
      <c r="CL259" s="56">
        <v>0</v>
      </c>
      <c r="CN259" s="56">
        <v>551.02</v>
      </c>
      <c r="CO259" s="56">
        <v>551.02</v>
      </c>
      <c r="CP259" s="56">
        <v>97.2</v>
      </c>
      <c r="CQ259" s="56" t="s">
        <v>668</v>
      </c>
      <c r="CR259" s="56">
        <v>0</v>
      </c>
      <c r="CS259" s="56">
        <v>0</v>
      </c>
      <c r="CV259" s="56">
        <v>0</v>
      </c>
      <c r="CX259" s="56">
        <v>0</v>
      </c>
      <c r="CY259" s="56">
        <v>0</v>
      </c>
      <c r="CZ259" s="56">
        <v>364.78</v>
      </c>
      <c r="DA259" s="56">
        <v>364.78</v>
      </c>
      <c r="DB259" s="56">
        <v>0</v>
      </c>
      <c r="DC259" s="56">
        <v>3578.8</v>
      </c>
      <c r="DD259" s="56">
        <v>10.54</v>
      </c>
      <c r="DE259" s="56">
        <v>0</v>
      </c>
      <c r="DF259" s="56">
        <v>10.54</v>
      </c>
      <c r="DH259" s="56" t="s">
        <v>670</v>
      </c>
      <c r="DI259" s="56" t="s">
        <v>671</v>
      </c>
      <c r="DK259" s="56">
        <v>79.83</v>
      </c>
      <c r="DL259" s="56">
        <v>3665.46</v>
      </c>
      <c r="DM259" s="56">
        <v>60</v>
      </c>
      <c r="DN259" s="56">
        <v>4501411977</v>
      </c>
      <c r="DO259" s="56" t="s">
        <v>236</v>
      </c>
      <c r="DQ259" s="56" t="s">
        <v>674</v>
      </c>
      <c r="DR259" s="56">
        <v>3</v>
      </c>
      <c r="DW259" s="56">
        <v>380</v>
      </c>
      <c r="DX259" s="56" t="s">
        <v>678</v>
      </c>
      <c r="DY259" s="56" t="s">
        <v>679</v>
      </c>
      <c r="EL259" s="56">
        <v>25</v>
      </c>
      <c r="EM259" s="56">
        <v>15</v>
      </c>
      <c r="EN259" s="56">
        <v>5173</v>
      </c>
      <c r="EO259" s="56">
        <v>2420</v>
      </c>
      <c r="EP259" s="56" t="s">
        <v>1234</v>
      </c>
      <c r="EQ259" s="56" t="s">
        <v>1783</v>
      </c>
      <c r="ER259" s="56" t="s">
        <v>1764</v>
      </c>
      <c r="ES259" s="56">
        <v>2</v>
      </c>
      <c r="ET259" s="56" t="s">
        <v>682</v>
      </c>
      <c r="EU259" s="56" t="s">
        <v>683</v>
      </c>
      <c r="EV259" s="56" t="s">
        <v>683</v>
      </c>
      <c r="FD259" s="56" t="s">
        <v>2086</v>
      </c>
      <c r="FK259" s="56">
        <v>0</v>
      </c>
    </row>
    <row r="260" spans="1:167" x14ac:dyDescent="0.2">
      <c r="A260" s="56">
        <v>29206</v>
      </c>
      <c r="B260" s="56">
        <v>2</v>
      </c>
      <c r="C260" s="56">
        <v>6352</v>
      </c>
      <c r="D260" s="56" t="s">
        <v>634</v>
      </c>
      <c r="E260" s="56" t="s">
        <v>635</v>
      </c>
      <c r="K260" s="56" t="s">
        <v>2087</v>
      </c>
      <c r="L260" s="56" t="s">
        <v>637</v>
      </c>
      <c r="M260" s="56">
        <v>44953</v>
      </c>
      <c r="N260" s="56">
        <v>44955</v>
      </c>
      <c r="O260" s="56">
        <v>38</v>
      </c>
      <c r="P260" s="56" t="s">
        <v>638</v>
      </c>
      <c r="Q260" s="56">
        <v>2</v>
      </c>
      <c r="R260" s="56" t="s">
        <v>639</v>
      </c>
      <c r="S260" s="56" t="s">
        <v>893</v>
      </c>
      <c r="T260" s="56" t="s">
        <v>641</v>
      </c>
      <c r="U260" s="56" t="s">
        <v>735</v>
      </c>
      <c r="V260" s="56" t="s">
        <v>643</v>
      </c>
      <c r="W260" s="56">
        <v>48</v>
      </c>
      <c r="X260" s="56" t="s">
        <v>699</v>
      </c>
      <c r="Y260" s="56">
        <v>492</v>
      </c>
      <c r="Z260" s="56" t="s">
        <v>645</v>
      </c>
      <c r="AA260" s="56" t="s">
        <v>1987</v>
      </c>
      <c r="AB260" s="56" t="s">
        <v>1988</v>
      </c>
      <c r="AC260" s="56" t="s">
        <v>641</v>
      </c>
      <c r="AD260" s="56" t="s">
        <v>893</v>
      </c>
      <c r="AE260" s="56">
        <v>91</v>
      </c>
      <c r="AF260" s="56" t="s">
        <v>736</v>
      </c>
      <c r="AG260" s="56" t="s">
        <v>737</v>
      </c>
      <c r="AH260" s="56" t="s">
        <v>643</v>
      </c>
      <c r="AI260" s="56" t="s">
        <v>735</v>
      </c>
      <c r="AJ260" s="56">
        <v>492</v>
      </c>
      <c r="AK260" s="56" t="s">
        <v>645</v>
      </c>
      <c r="AL260" s="56">
        <v>98</v>
      </c>
      <c r="AM260" s="56" t="s">
        <v>645</v>
      </c>
      <c r="AN260" s="56" t="s">
        <v>646</v>
      </c>
      <c r="AO260" s="56" t="s">
        <v>647</v>
      </c>
      <c r="AP260" s="56" t="s">
        <v>643</v>
      </c>
      <c r="AQ260" s="56" t="s">
        <v>648</v>
      </c>
      <c r="AR260" s="56">
        <v>492</v>
      </c>
      <c r="AS260" s="56" t="s">
        <v>645</v>
      </c>
      <c r="AT260" s="56" t="s">
        <v>1987</v>
      </c>
      <c r="AU260" s="56" t="s">
        <v>641</v>
      </c>
      <c r="AV260" s="56" t="s">
        <v>893</v>
      </c>
      <c r="AW260" s="56">
        <v>236</v>
      </c>
      <c r="AX260" s="56" t="s">
        <v>2088</v>
      </c>
      <c r="AY260" s="56">
        <v>225</v>
      </c>
      <c r="AZ260" s="56" t="s">
        <v>1361</v>
      </c>
      <c r="BA260" s="56" t="s">
        <v>2089</v>
      </c>
      <c r="BB260" s="56" t="s">
        <v>1363</v>
      </c>
      <c r="BC260" s="56">
        <v>147</v>
      </c>
      <c r="BD260" s="56" t="s">
        <v>1364</v>
      </c>
      <c r="BE260" s="56" t="s">
        <v>1365</v>
      </c>
      <c r="BF260" s="56">
        <v>147</v>
      </c>
      <c r="BG260" s="56" t="s">
        <v>1364</v>
      </c>
      <c r="BH260" s="56" t="s">
        <v>1365</v>
      </c>
      <c r="BI260" s="56">
        <v>46.92</v>
      </c>
      <c r="BJ260" s="56">
        <v>137934.48000000001</v>
      </c>
      <c r="BK260" s="56">
        <v>46.92</v>
      </c>
      <c r="BL260" s="56" t="s">
        <v>1110</v>
      </c>
      <c r="BM260" s="56">
        <v>3105</v>
      </c>
      <c r="BN260" s="56" t="s">
        <v>1366</v>
      </c>
      <c r="BO260" s="56" t="s">
        <v>1367</v>
      </c>
      <c r="BP260" s="56">
        <v>6005.76</v>
      </c>
      <c r="BQ260" s="56">
        <v>5212.17</v>
      </c>
      <c r="BR260" s="56">
        <v>0</v>
      </c>
      <c r="BS260" s="56">
        <v>0</v>
      </c>
      <c r="BT260" s="56">
        <v>4244.21</v>
      </c>
      <c r="BU260" s="56">
        <v>166862</v>
      </c>
      <c r="BV260" s="56">
        <v>492</v>
      </c>
      <c r="BW260" s="56" t="s">
        <v>645</v>
      </c>
      <c r="BX260" s="56" t="s">
        <v>2090</v>
      </c>
      <c r="BY260" s="56" t="s">
        <v>663</v>
      </c>
      <c r="BZ260" s="56">
        <v>0.25</v>
      </c>
      <c r="CA260" s="56" t="s">
        <v>664</v>
      </c>
      <c r="CB260" s="56" t="s">
        <v>1996</v>
      </c>
      <c r="CC260" s="56" t="s">
        <v>1042</v>
      </c>
      <c r="CD260" s="56" t="s">
        <v>667</v>
      </c>
      <c r="CF260" s="56">
        <v>0</v>
      </c>
      <c r="CG260" s="56">
        <v>0</v>
      </c>
      <c r="CH260" s="56">
        <v>128</v>
      </c>
      <c r="CI260" s="56">
        <v>92.01</v>
      </c>
      <c r="CJ260" s="56">
        <v>18.57</v>
      </c>
      <c r="CK260" s="56">
        <v>5212.17</v>
      </c>
      <c r="CL260" s="56">
        <v>4244.21</v>
      </c>
      <c r="CM260" s="56">
        <v>66.08</v>
      </c>
      <c r="CN260" s="56">
        <v>720.69</v>
      </c>
      <c r="CO260" s="56">
        <v>720.69</v>
      </c>
      <c r="CP260" s="56">
        <v>72.900000000000006</v>
      </c>
      <c r="CQ260" s="56" t="s">
        <v>668</v>
      </c>
      <c r="CR260" s="56">
        <v>0</v>
      </c>
      <c r="CS260" s="56">
        <v>72.900000000000006</v>
      </c>
      <c r="CT260" s="56" t="s">
        <v>669</v>
      </c>
      <c r="CU260" s="56">
        <v>0</v>
      </c>
      <c r="CV260" s="56">
        <v>0</v>
      </c>
      <c r="CX260" s="56">
        <v>967.96</v>
      </c>
      <c r="CY260" s="56">
        <v>0</v>
      </c>
      <c r="CZ260" s="56">
        <v>89.53</v>
      </c>
      <c r="DA260" s="56">
        <v>482.12</v>
      </c>
      <c r="DB260" s="56">
        <v>392.59</v>
      </c>
      <c r="DC260" s="56">
        <v>5122.6400000000003</v>
      </c>
      <c r="DD260" s="56">
        <v>-45.27</v>
      </c>
      <c r="DE260" s="56">
        <v>0</v>
      </c>
      <c r="DF260" s="56">
        <v>23.7</v>
      </c>
      <c r="DG260" s="56">
        <v>68.97</v>
      </c>
      <c r="DH260" s="56" t="s">
        <v>670</v>
      </c>
      <c r="DI260" s="56" t="s">
        <v>671</v>
      </c>
      <c r="DK260" s="56">
        <v>15.38</v>
      </c>
      <c r="DL260" s="56">
        <v>923.7</v>
      </c>
      <c r="DM260" s="56">
        <v>103</v>
      </c>
      <c r="DN260" s="56">
        <v>4500923461</v>
      </c>
      <c r="DO260" s="56" t="s">
        <v>236</v>
      </c>
      <c r="DP260" s="56" t="s">
        <v>673</v>
      </c>
      <c r="DQ260" s="56" t="s">
        <v>674</v>
      </c>
      <c r="DR260" s="56">
        <v>3</v>
      </c>
      <c r="DW260" s="56">
        <v>280</v>
      </c>
      <c r="DX260" s="56" t="s">
        <v>678</v>
      </c>
      <c r="DY260" s="56" t="s">
        <v>679</v>
      </c>
      <c r="ED260" s="56">
        <v>2</v>
      </c>
      <c r="EE260" s="56" t="s">
        <v>639</v>
      </c>
      <c r="EF260" s="56">
        <v>2</v>
      </c>
      <c r="EG260" s="56" t="s">
        <v>639</v>
      </c>
      <c r="EH260" s="56">
        <v>2</v>
      </c>
      <c r="EI260" s="56" t="s">
        <v>639</v>
      </c>
      <c r="EJ260" s="56">
        <v>2</v>
      </c>
      <c r="EK260" s="56" t="s">
        <v>639</v>
      </c>
      <c r="EL260" s="56">
        <v>25</v>
      </c>
      <c r="EM260" s="56">
        <v>15</v>
      </c>
      <c r="EN260" s="56">
        <v>4779</v>
      </c>
      <c r="EO260" s="56">
        <v>1805</v>
      </c>
      <c r="EP260" s="56" t="s">
        <v>1234</v>
      </c>
      <c r="EQ260" s="56" t="s">
        <v>2000</v>
      </c>
      <c r="ER260" s="56" t="s">
        <v>902</v>
      </c>
      <c r="ES260" s="56">
        <v>2</v>
      </c>
      <c r="ET260" s="56" t="s">
        <v>682</v>
      </c>
      <c r="EU260" s="56" t="s">
        <v>683</v>
      </c>
      <c r="EV260" s="56" t="s">
        <v>683</v>
      </c>
      <c r="FD260" s="56" t="s">
        <v>2091</v>
      </c>
      <c r="FK260" s="56">
        <v>0</v>
      </c>
    </row>
    <row r="261" spans="1:167" x14ac:dyDescent="0.2">
      <c r="A261" s="56">
        <v>29207</v>
      </c>
      <c r="B261" s="56">
        <v>2</v>
      </c>
      <c r="C261" s="56">
        <v>6352</v>
      </c>
      <c r="D261" s="56" t="s">
        <v>634</v>
      </c>
      <c r="E261" s="56" t="s">
        <v>635</v>
      </c>
      <c r="K261" s="56" t="s">
        <v>2092</v>
      </c>
      <c r="L261" s="56" t="s">
        <v>637</v>
      </c>
      <c r="M261" s="56">
        <v>44953</v>
      </c>
      <c r="N261" s="56">
        <v>44955</v>
      </c>
      <c r="O261" s="56">
        <v>38</v>
      </c>
      <c r="P261" s="56" t="s">
        <v>638</v>
      </c>
      <c r="Q261" s="56">
        <v>2</v>
      </c>
      <c r="R261" s="56" t="s">
        <v>639</v>
      </c>
      <c r="S261" s="56" t="s">
        <v>893</v>
      </c>
      <c r="T261" s="56" t="s">
        <v>641</v>
      </c>
      <c r="U261" s="56" t="s">
        <v>735</v>
      </c>
      <c r="V261" s="56" t="s">
        <v>643</v>
      </c>
      <c r="W261" s="56">
        <v>48</v>
      </c>
      <c r="X261" s="56" t="s">
        <v>699</v>
      </c>
      <c r="Y261" s="56">
        <v>492</v>
      </c>
      <c r="Z261" s="56" t="s">
        <v>645</v>
      </c>
      <c r="AA261" s="56" t="s">
        <v>1987</v>
      </c>
      <c r="AB261" s="56" t="s">
        <v>1988</v>
      </c>
      <c r="AC261" s="56" t="s">
        <v>641</v>
      </c>
      <c r="AD261" s="56" t="s">
        <v>893</v>
      </c>
      <c r="AE261" s="56">
        <v>91</v>
      </c>
      <c r="AF261" s="56" t="s">
        <v>736</v>
      </c>
      <c r="AG261" s="56" t="s">
        <v>737</v>
      </c>
      <c r="AH261" s="56" t="s">
        <v>643</v>
      </c>
      <c r="AI261" s="56" t="s">
        <v>735</v>
      </c>
      <c r="AJ261" s="56">
        <v>492</v>
      </c>
      <c r="AK261" s="56" t="s">
        <v>645</v>
      </c>
      <c r="AL261" s="56">
        <v>98</v>
      </c>
      <c r="AM261" s="56" t="s">
        <v>645</v>
      </c>
      <c r="AN261" s="56" t="s">
        <v>646</v>
      </c>
      <c r="AO261" s="56" t="s">
        <v>647</v>
      </c>
      <c r="AP261" s="56" t="s">
        <v>643</v>
      </c>
      <c r="AQ261" s="56" t="s">
        <v>648</v>
      </c>
      <c r="AR261" s="56">
        <v>492</v>
      </c>
      <c r="AS261" s="56" t="s">
        <v>645</v>
      </c>
      <c r="AT261" s="56" t="s">
        <v>1987</v>
      </c>
      <c r="AU261" s="56" t="s">
        <v>641</v>
      </c>
      <c r="AV261" s="56" t="s">
        <v>893</v>
      </c>
      <c r="AW261" s="56">
        <v>240</v>
      </c>
      <c r="AX261" s="56" t="s">
        <v>1360</v>
      </c>
      <c r="AY261" s="56">
        <v>231</v>
      </c>
      <c r="AZ261" s="56" t="s">
        <v>2093</v>
      </c>
      <c r="BA261" s="56" t="s">
        <v>2094</v>
      </c>
      <c r="BB261" s="56" t="s">
        <v>1363</v>
      </c>
      <c r="BC261" s="56">
        <v>147</v>
      </c>
      <c r="BD261" s="56" t="s">
        <v>1364</v>
      </c>
      <c r="BE261" s="56" t="s">
        <v>1365</v>
      </c>
      <c r="BF261" s="56">
        <v>147</v>
      </c>
      <c r="BG261" s="56" t="s">
        <v>1364</v>
      </c>
      <c r="BH261" s="56" t="s">
        <v>1365</v>
      </c>
      <c r="BI261" s="56">
        <v>47.68</v>
      </c>
      <c r="BJ261" s="56">
        <v>140168.71</v>
      </c>
      <c r="BK261" s="56">
        <v>47.68</v>
      </c>
      <c r="BL261" s="56" t="s">
        <v>1110</v>
      </c>
      <c r="BM261" s="56">
        <v>3105</v>
      </c>
      <c r="BN261" s="56" t="s">
        <v>786</v>
      </c>
      <c r="BO261" s="56" t="s">
        <v>911</v>
      </c>
      <c r="BP261" s="56">
        <v>6103.04</v>
      </c>
      <c r="BQ261" s="56">
        <v>5297.78</v>
      </c>
      <c r="BR261" s="56">
        <v>0</v>
      </c>
      <c r="BS261" s="56">
        <v>0</v>
      </c>
      <c r="BT261" s="56">
        <v>4314.1400000000003</v>
      </c>
      <c r="BU261" s="56">
        <v>166865</v>
      </c>
      <c r="BV261" s="56">
        <v>492</v>
      </c>
      <c r="BW261" s="56" t="s">
        <v>645</v>
      </c>
      <c r="BX261" s="56" t="s">
        <v>2095</v>
      </c>
      <c r="BY261" s="56" t="s">
        <v>663</v>
      </c>
      <c r="BZ261" s="56">
        <v>0.25</v>
      </c>
      <c r="CA261" s="56" t="s">
        <v>664</v>
      </c>
      <c r="CB261" s="56" t="s">
        <v>1996</v>
      </c>
      <c r="CC261" s="56" t="s">
        <v>1042</v>
      </c>
      <c r="CD261" s="56" t="s">
        <v>667</v>
      </c>
      <c r="CF261" s="56">
        <v>0</v>
      </c>
      <c r="CG261" s="56">
        <v>0</v>
      </c>
      <c r="CH261" s="56">
        <v>128</v>
      </c>
      <c r="CI261" s="56">
        <v>92.01</v>
      </c>
      <c r="CJ261" s="56">
        <v>18.57</v>
      </c>
      <c r="CK261" s="56">
        <v>5297.78</v>
      </c>
      <c r="CL261" s="56">
        <v>4314.1400000000003</v>
      </c>
      <c r="CM261" s="56">
        <v>17.100000000000001</v>
      </c>
      <c r="CN261" s="56">
        <v>732.36</v>
      </c>
      <c r="CO261" s="56">
        <v>732.36</v>
      </c>
      <c r="CP261" s="56">
        <v>72.900000000000006</v>
      </c>
      <c r="CQ261" s="56" t="s">
        <v>668</v>
      </c>
      <c r="CR261" s="56">
        <v>0</v>
      </c>
      <c r="CS261" s="56">
        <v>72.900000000000006</v>
      </c>
      <c r="CT261" s="56" t="s">
        <v>669</v>
      </c>
      <c r="CU261" s="56">
        <v>0</v>
      </c>
      <c r="CV261" s="56">
        <v>0</v>
      </c>
      <c r="CX261" s="56">
        <v>983.64</v>
      </c>
      <c r="CY261" s="56">
        <v>0</v>
      </c>
      <c r="CZ261" s="56">
        <v>90.99</v>
      </c>
      <c r="DA261" s="56">
        <v>490.04</v>
      </c>
      <c r="DB261" s="56">
        <v>399.05</v>
      </c>
      <c r="DC261" s="56">
        <v>5206.79</v>
      </c>
      <c r="DD261" s="56">
        <v>-46</v>
      </c>
      <c r="DE261" s="56">
        <v>0</v>
      </c>
      <c r="DF261" s="56">
        <v>24.08</v>
      </c>
      <c r="DG261" s="56">
        <v>70.08</v>
      </c>
      <c r="DH261" s="56" t="s">
        <v>670</v>
      </c>
      <c r="DI261" s="56" t="s">
        <v>671</v>
      </c>
      <c r="DK261" s="56">
        <v>15.38</v>
      </c>
      <c r="DL261" s="56">
        <v>938.65</v>
      </c>
      <c r="DM261" s="56">
        <v>103</v>
      </c>
      <c r="DN261" s="56">
        <v>4500923461</v>
      </c>
      <c r="DO261" s="56" t="s">
        <v>236</v>
      </c>
      <c r="DP261" s="56" t="s">
        <v>673</v>
      </c>
      <c r="DQ261" s="56" t="s">
        <v>674</v>
      </c>
      <c r="DR261" s="56">
        <v>3</v>
      </c>
      <c r="DW261" s="56">
        <v>280</v>
      </c>
      <c r="DX261" s="56" t="s">
        <v>678</v>
      </c>
      <c r="DY261" s="56" t="s">
        <v>679</v>
      </c>
      <c r="ED261" s="56">
        <v>2</v>
      </c>
      <c r="EE261" s="56" t="s">
        <v>639</v>
      </c>
      <c r="EF261" s="56">
        <v>2</v>
      </c>
      <c r="EG261" s="56" t="s">
        <v>639</v>
      </c>
      <c r="EH261" s="56">
        <v>2</v>
      </c>
      <c r="EI261" s="56" t="s">
        <v>639</v>
      </c>
      <c r="EJ261" s="56">
        <v>2</v>
      </c>
      <c r="EK261" s="56" t="s">
        <v>639</v>
      </c>
      <c r="EL261" s="56">
        <v>25</v>
      </c>
      <c r="EM261" s="56">
        <v>15</v>
      </c>
      <c r="EN261" s="56">
        <v>4779</v>
      </c>
      <c r="EO261" s="56">
        <v>1805</v>
      </c>
      <c r="EP261" s="56" t="s">
        <v>1234</v>
      </c>
      <c r="EQ261" s="56" t="s">
        <v>2000</v>
      </c>
      <c r="ER261" s="56" t="s">
        <v>902</v>
      </c>
      <c r="ES261" s="56">
        <v>2</v>
      </c>
      <c r="ET261" s="56" t="s">
        <v>682</v>
      </c>
      <c r="EU261" s="56" t="s">
        <v>683</v>
      </c>
      <c r="EV261" s="56" t="s">
        <v>683</v>
      </c>
      <c r="FD261" s="56" t="s">
        <v>2096</v>
      </c>
      <c r="FJ261" s="56" t="s">
        <v>2097</v>
      </c>
      <c r="FK261" s="56">
        <v>0</v>
      </c>
    </row>
    <row r="262" spans="1:167" x14ac:dyDescent="0.2">
      <c r="A262" s="56">
        <v>29208</v>
      </c>
      <c r="B262" s="56">
        <v>2</v>
      </c>
      <c r="C262" s="56">
        <v>6352</v>
      </c>
      <c r="D262" s="56" t="s">
        <v>634</v>
      </c>
      <c r="E262" s="56" t="s">
        <v>635</v>
      </c>
      <c r="K262" s="56" t="s">
        <v>2098</v>
      </c>
      <c r="L262" s="56" t="s">
        <v>637</v>
      </c>
      <c r="M262" s="56">
        <v>44953</v>
      </c>
      <c r="N262" s="56">
        <v>44955</v>
      </c>
      <c r="O262" s="56">
        <v>38</v>
      </c>
      <c r="P262" s="56" t="s">
        <v>638</v>
      </c>
      <c r="Q262" s="56">
        <v>2</v>
      </c>
      <c r="R262" s="56" t="s">
        <v>639</v>
      </c>
      <c r="S262" s="56" t="s">
        <v>893</v>
      </c>
      <c r="T262" s="56" t="s">
        <v>641</v>
      </c>
      <c r="U262" s="56" t="s">
        <v>735</v>
      </c>
      <c r="V262" s="56" t="s">
        <v>643</v>
      </c>
      <c r="W262" s="56">
        <v>48</v>
      </c>
      <c r="X262" s="56" t="s">
        <v>699</v>
      </c>
      <c r="Y262" s="56">
        <v>492</v>
      </c>
      <c r="Z262" s="56" t="s">
        <v>645</v>
      </c>
      <c r="AA262" s="56" t="s">
        <v>1987</v>
      </c>
      <c r="AB262" s="56" t="s">
        <v>1988</v>
      </c>
      <c r="AC262" s="56" t="s">
        <v>641</v>
      </c>
      <c r="AD262" s="56" t="s">
        <v>893</v>
      </c>
      <c r="AE262" s="56">
        <v>91</v>
      </c>
      <c r="AF262" s="56" t="s">
        <v>736</v>
      </c>
      <c r="AG262" s="56" t="s">
        <v>737</v>
      </c>
      <c r="AH262" s="56" t="s">
        <v>643</v>
      </c>
      <c r="AI262" s="56" t="s">
        <v>735</v>
      </c>
      <c r="AJ262" s="56">
        <v>492</v>
      </c>
      <c r="AK262" s="56" t="s">
        <v>645</v>
      </c>
      <c r="AL262" s="56">
        <v>98</v>
      </c>
      <c r="AM262" s="56" t="s">
        <v>645</v>
      </c>
      <c r="AN262" s="56" t="s">
        <v>646</v>
      </c>
      <c r="AO262" s="56" t="s">
        <v>647</v>
      </c>
      <c r="AP262" s="56" t="s">
        <v>643</v>
      </c>
      <c r="AQ262" s="56" t="s">
        <v>648</v>
      </c>
      <c r="AR262" s="56">
        <v>492</v>
      </c>
      <c r="AS262" s="56" t="s">
        <v>645</v>
      </c>
      <c r="AT262" s="56" t="s">
        <v>1987</v>
      </c>
      <c r="AU262" s="56" t="s">
        <v>641</v>
      </c>
      <c r="AV262" s="56" t="s">
        <v>893</v>
      </c>
      <c r="AW262" s="56">
        <v>293</v>
      </c>
      <c r="AX262" s="56" t="s">
        <v>2099</v>
      </c>
      <c r="AY262" s="56">
        <v>301</v>
      </c>
      <c r="AZ262" s="56" t="s">
        <v>2100</v>
      </c>
      <c r="BA262" s="56" t="s">
        <v>2101</v>
      </c>
      <c r="BB262" s="56" t="s">
        <v>2102</v>
      </c>
      <c r="BC262" s="56">
        <v>290</v>
      </c>
      <c r="BD262" s="56" t="s">
        <v>2103</v>
      </c>
      <c r="BE262" s="56" t="s">
        <v>2104</v>
      </c>
      <c r="BF262" s="56">
        <v>290</v>
      </c>
      <c r="BG262" s="56" t="s">
        <v>2103</v>
      </c>
      <c r="BH262" s="56" t="s">
        <v>2104</v>
      </c>
      <c r="BI262" s="56">
        <v>47.6</v>
      </c>
      <c r="BJ262" s="56">
        <v>139933.53</v>
      </c>
      <c r="BK262" s="56">
        <v>47.6</v>
      </c>
      <c r="BL262" s="56" t="s">
        <v>1110</v>
      </c>
      <c r="BM262" s="56">
        <v>3105</v>
      </c>
      <c r="BN262" s="56" t="s">
        <v>660</v>
      </c>
      <c r="BO262" s="56" t="s">
        <v>706</v>
      </c>
      <c r="BP262" s="56">
        <v>6092.8</v>
      </c>
      <c r="BQ262" s="56">
        <v>5288.76</v>
      </c>
      <c r="BR262" s="56">
        <v>0</v>
      </c>
      <c r="BS262" s="56">
        <v>0</v>
      </c>
      <c r="BT262" s="56">
        <v>4306.78</v>
      </c>
      <c r="BU262" s="56">
        <v>166869</v>
      </c>
      <c r="BV262" s="56">
        <v>492</v>
      </c>
      <c r="BW262" s="56" t="s">
        <v>645</v>
      </c>
      <c r="BX262" s="56" t="s">
        <v>2105</v>
      </c>
      <c r="BY262" s="56" t="s">
        <v>663</v>
      </c>
      <c r="BZ262" s="56">
        <v>0.25</v>
      </c>
      <c r="CA262" s="56" t="s">
        <v>664</v>
      </c>
      <c r="CB262" s="56" t="s">
        <v>1996</v>
      </c>
      <c r="CC262" s="56" t="s">
        <v>1042</v>
      </c>
      <c r="CD262" s="56" t="s">
        <v>667</v>
      </c>
      <c r="CF262" s="56">
        <v>3445.42</v>
      </c>
      <c r="CG262" s="56">
        <v>80</v>
      </c>
      <c r="CH262" s="56">
        <v>128</v>
      </c>
      <c r="CI262" s="56">
        <v>92.01</v>
      </c>
      <c r="CJ262" s="56">
        <v>18.57</v>
      </c>
      <c r="CK262" s="56">
        <v>5288.76</v>
      </c>
      <c r="CL262" s="56">
        <v>4306.78</v>
      </c>
      <c r="CM262" s="56">
        <v>48.98</v>
      </c>
      <c r="CN262" s="56">
        <v>731.14</v>
      </c>
      <c r="CO262" s="56">
        <v>731.14</v>
      </c>
      <c r="CP262" s="56">
        <v>72.900000000000006</v>
      </c>
      <c r="CQ262" s="56" t="s">
        <v>668</v>
      </c>
      <c r="CR262" s="56">
        <v>0</v>
      </c>
      <c r="CS262" s="56">
        <v>72.900000000000006</v>
      </c>
      <c r="CT262" s="56" t="s">
        <v>669</v>
      </c>
      <c r="CU262" s="56">
        <v>0</v>
      </c>
      <c r="CV262" s="56">
        <v>0</v>
      </c>
      <c r="CX262" s="56">
        <v>961.04</v>
      </c>
      <c r="CY262" s="56">
        <v>0</v>
      </c>
      <c r="CZ262" s="56">
        <v>90.83</v>
      </c>
      <c r="DA262" s="56">
        <v>489.21</v>
      </c>
      <c r="DB262" s="56">
        <v>398.38</v>
      </c>
      <c r="DC262" s="56">
        <v>5197.93</v>
      </c>
      <c r="DD262" s="56">
        <v>-24.99</v>
      </c>
      <c r="DE262" s="56">
        <v>0</v>
      </c>
      <c r="DF262" s="56">
        <v>24.04</v>
      </c>
      <c r="DG262" s="56">
        <v>69.97</v>
      </c>
      <c r="DH262" s="56" t="s">
        <v>670</v>
      </c>
      <c r="DI262" s="56" t="s">
        <v>671</v>
      </c>
      <c r="DK262" s="56">
        <v>15.04</v>
      </c>
      <c r="DL262" s="56">
        <v>916.14</v>
      </c>
      <c r="DM262" s="56">
        <v>103</v>
      </c>
      <c r="DN262" s="56">
        <v>4500923461</v>
      </c>
      <c r="DO262" s="56" t="s">
        <v>2106</v>
      </c>
      <c r="DP262" s="56" t="s">
        <v>677</v>
      </c>
      <c r="DQ262" s="56" t="s">
        <v>674</v>
      </c>
      <c r="DR262" s="56">
        <v>3</v>
      </c>
      <c r="DS262" s="56" t="s">
        <v>2107</v>
      </c>
      <c r="DT262" s="56" t="s">
        <v>2108</v>
      </c>
      <c r="DU262" s="56">
        <v>36</v>
      </c>
      <c r="DV262" s="56" t="s">
        <v>677</v>
      </c>
      <c r="DW262" s="56">
        <v>280</v>
      </c>
      <c r="DX262" s="56" t="s">
        <v>678</v>
      </c>
      <c r="DY262" s="56" t="s">
        <v>679</v>
      </c>
      <c r="ED262" s="56">
        <v>2</v>
      </c>
      <c r="EE262" s="56" t="s">
        <v>639</v>
      </c>
      <c r="EF262" s="56">
        <v>2</v>
      </c>
      <c r="EG262" s="56" t="s">
        <v>639</v>
      </c>
      <c r="EH262" s="56">
        <v>2</v>
      </c>
      <c r="EI262" s="56" t="s">
        <v>639</v>
      </c>
      <c r="EJ262" s="56">
        <v>2</v>
      </c>
      <c r="EK262" s="56" t="s">
        <v>639</v>
      </c>
      <c r="EL262" s="56">
        <v>25</v>
      </c>
      <c r="EM262" s="56">
        <v>15</v>
      </c>
      <c r="EN262" s="56">
        <v>4779</v>
      </c>
      <c r="EO262" s="56">
        <v>1805</v>
      </c>
      <c r="EP262" s="56" t="s">
        <v>1234</v>
      </c>
      <c r="EQ262" s="56" t="s">
        <v>2109</v>
      </c>
      <c r="ER262" s="56" t="s">
        <v>902</v>
      </c>
      <c r="ES262" s="56">
        <v>2</v>
      </c>
      <c r="ET262" s="56" t="s">
        <v>682</v>
      </c>
      <c r="EU262" s="56" t="s">
        <v>683</v>
      </c>
      <c r="EV262" s="56" t="s">
        <v>683</v>
      </c>
      <c r="FD262" s="56" t="s">
        <v>2110</v>
      </c>
      <c r="FJ262" s="56" t="s">
        <v>2111</v>
      </c>
      <c r="FK262" s="56">
        <v>0</v>
      </c>
    </row>
    <row r="263" spans="1:167" x14ac:dyDescent="0.2">
      <c r="A263" s="56">
        <v>29209</v>
      </c>
      <c r="B263" s="56">
        <v>2</v>
      </c>
      <c r="C263" s="56">
        <v>6352</v>
      </c>
      <c r="D263" s="56" t="s">
        <v>634</v>
      </c>
      <c r="E263" s="56" t="s">
        <v>635</v>
      </c>
      <c r="K263" s="56" t="s">
        <v>2112</v>
      </c>
      <c r="L263" s="56" t="s">
        <v>637</v>
      </c>
      <c r="M263" s="56">
        <v>44953</v>
      </c>
      <c r="N263" s="56">
        <v>44955</v>
      </c>
      <c r="O263" s="56">
        <v>38</v>
      </c>
      <c r="P263" s="56" t="s">
        <v>638</v>
      </c>
      <c r="Q263" s="56">
        <v>2</v>
      </c>
      <c r="R263" s="56" t="s">
        <v>639</v>
      </c>
      <c r="S263" s="56" t="s">
        <v>893</v>
      </c>
      <c r="T263" s="56" t="s">
        <v>641</v>
      </c>
      <c r="U263" s="56" t="s">
        <v>735</v>
      </c>
      <c r="V263" s="56" t="s">
        <v>643</v>
      </c>
      <c r="W263" s="56">
        <v>48</v>
      </c>
      <c r="X263" s="56" t="s">
        <v>699</v>
      </c>
      <c r="Y263" s="56">
        <v>492</v>
      </c>
      <c r="Z263" s="56" t="s">
        <v>645</v>
      </c>
      <c r="AA263" s="56" t="s">
        <v>1987</v>
      </c>
      <c r="AB263" s="56" t="s">
        <v>1988</v>
      </c>
      <c r="AC263" s="56" t="s">
        <v>641</v>
      </c>
      <c r="AD263" s="56" t="s">
        <v>893</v>
      </c>
      <c r="AE263" s="56">
        <v>91</v>
      </c>
      <c r="AF263" s="56" t="s">
        <v>736</v>
      </c>
      <c r="AG263" s="56" t="s">
        <v>737</v>
      </c>
      <c r="AH263" s="56" t="s">
        <v>643</v>
      </c>
      <c r="AI263" s="56" t="s">
        <v>735</v>
      </c>
      <c r="AJ263" s="56">
        <v>492</v>
      </c>
      <c r="AK263" s="56" t="s">
        <v>645</v>
      </c>
      <c r="AL263" s="56">
        <v>98</v>
      </c>
      <c r="AM263" s="56" t="s">
        <v>645</v>
      </c>
      <c r="AN263" s="56" t="s">
        <v>646</v>
      </c>
      <c r="AO263" s="56" t="s">
        <v>647</v>
      </c>
      <c r="AP263" s="56" t="s">
        <v>643</v>
      </c>
      <c r="AQ263" s="56" t="s">
        <v>648</v>
      </c>
      <c r="AR263" s="56">
        <v>492</v>
      </c>
      <c r="AS263" s="56" t="s">
        <v>645</v>
      </c>
      <c r="AT263" s="56" t="s">
        <v>1987</v>
      </c>
      <c r="AU263" s="56" t="s">
        <v>641</v>
      </c>
      <c r="AV263" s="56" t="s">
        <v>893</v>
      </c>
      <c r="AW263" s="56">
        <v>1128</v>
      </c>
      <c r="AX263" s="56" t="s">
        <v>2113</v>
      </c>
      <c r="AY263" s="56">
        <v>1459</v>
      </c>
      <c r="AZ263" s="56" t="s">
        <v>2114</v>
      </c>
      <c r="BA263" s="56" t="s">
        <v>2115</v>
      </c>
      <c r="BB263" s="56" t="s">
        <v>2116</v>
      </c>
      <c r="BC263" s="56">
        <v>1245</v>
      </c>
      <c r="BD263" s="56" t="s">
        <v>2117</v>
      </c>
      <c r="BE263" s="56" t="s">
        <v>2118</v>
      </c>
      <c r="BF263" s="56">
        <v>1245</v>
      </c>
      <c r="BG263" s="56" t="s">
        <v>2117</v>
      </c>
      <c r="BH263" s="56" t="s">
        <v>2118</v>
      </c>
      <c r="BI263" s="56">
        <v>48.14</v>
      </c>
      <c r="BJ263" s="56">
        <v>141521.01</v>
      </c>
      <c r="BK263" s="56">
        <v>48.14</v>
      </c>
      <c r="BL263" s="56" t="s">
        <v>1110</v>
      </c>
      <c r="BM263" s="56">
        <v>3105</v>
      </c>
      <c r="BN263" s="56" t="s">
        <v>660</v>
      </c>
      <c r="BO263" s="56" t="s">
        <v>706</v>
      </c>
      <c r="BP263" s="56">
        <v>6161.92</v>
      </c>
      <c r="BQ263" s="56">
        <v>5349.59</v>
      </c>
      <c r="BR263" s="56">
        <v>0</v>
      </c>
      <c r="BS263" s="56">
        <v>0</v>
      </c>
      <c r="BT263" s="56">
        <v>4356.46</v>
      </c>
      <c r="BU263" s="56">
        <v>166876</v>
      </c>
      <c r="BV263" s="56">
        <v>492</v>
      </c>
      <c r="BW263" s="56" t="s">
        <v>645</v>
      </c>
      <c r="BX263" s="56" t="s">
        <v>2119</v>
      </c>
      <c r="BY263" s="56" t="s">
        <v>663</v>
      </c>
      <c r="BZ263" s="56">
        <v>0.25</v>
      </c>
      <c r="CA263" s="56" t="s">
        <v>664</v>
      </c>
      <c r="CB263" s="56" t="s">
        <v>1996</v>
      </c>
      <c r="CC263" s="56" t="s">
        <v>1042</v>
      </c>
      <c r="CD263" s="56" t="s">
        <v>667</v>
      </c>
      <c r="CF263" s="56">
        <v>3485.17</v>
      </c>
      <c r="CG263" s="56">
        <v>80</v>
      </c>
      <c r="CH263" s="56">
        <v>128</v>
      </c>
      <c r="CI263" s="56">
        <v>92.01</v>
      </c>
      <c r="CJ263" s="56">
        <v>18.559999999999999</v>
      </c>
      <c r="CK263" s="56">
        <v>5349.59</v>
      </c>
      <c r="CL263" s="56">
        <v>4356.46</v>
      </c>
      <c r="CM263" s="56">
        <v>17.100000000000001</v>
      </c>
      <c r="CN263" s="56">
        <v>739.43</v>
      </c>
      <c r="CO263" s="56">
        <v>739.43</v>
      </c>
      <c r="CP263" s="56">
        <v>72.900000000000006</v>
      </c>
      <c r="CQ263" s="56" t="s">
        <v>668</v>
      </c>
      <c r="CR263" s="56">
        <v>0</v>
      </c>
      <c r="CS263" s="56">
        <v>72.900000000000006</v>
      </c>
      <c r="CT263" s="56" t="s">
        <v>669</v>
      </c>
      <c r="CU263" s="56">
        <v>0</v>
      </c>
      <c r="CV263" s="56">
        <v>0</v>
      </c>
      <c r="CX263" s="56">
        <v>971.79</v>
      </c>
      <c r="CY263" s="56">
        <v>0</v>
      </c>
      <c r="CZ263" s="56">
        <v>192.61</v>
      </c>
      <c r="DA263" s="56">
        <v>494.84</v>
      </c>
      <c r="DB263" s="56">
        <v>302.23</v>
      </c>
      <c r="DC263" s="56">
        <v>5156.9799999999996</v>
      </c>
      <c r="DD263" s="56">
        <v>-25.11</v>
      </c>
      <c r="DE263" s="56">
        <v>0</v>
      </c>
      <c r="DF263" s="56">
        <v>24.31</v>
      </c>
      <c r="DG263" s="56">
        <v>70.760000000000005</v>
      </c>
      <c r="DH263" s="56" t="s">
        <v>670</v>
      </c>
      <c r="DI263" s="56" t="s">
        <v>671</v>
      </c>
      <c r="DK263" s="56">
        <v>13.75</v>
      </c>
      <c r="DL263" s="56">
        <v>846.97</v>
      </c>
      <c r="DM263" s="56">
        <v>103</v>
      </c>
      <c r="DN263" s="56">
        <v>4500923461</v>
      </c>
      <c r="DO263" s="56" t="s">
        <v>2120</v>
      </c>
      <c r="DP263" s="56" t="s">
        <v>677</v>
      </c>
      <c r="DQ263" s="56" t="s">
        <v>674</v>
      </c>
      <c r="DR263" s="56">
        <v>2</v>
      </c>
      <c r="DS263" s="56" t="s">
        <v>2121</v>
      </c>
      <c r="DT263" s="56" t="s">
        <v>2122</v>
      </c>
      <c r="DU263" s="56">
        <v>36</v>
      </c>
      <c r="DV263" s="56" t="s">
        <v>677</v>
      </c>
      <c r="DX263" s="56" t="s">
        <v>678</v>
      </c>
      <c r="DY263" s="56" t="s">
        <v>679</v>
      </c>
      <c r="ED263" s="56">
        <v>2</v>
      </c>
      <c r="EE263" s="56" t="s">
        <v>639</v>
      </c>
      <c r="EF263" s="56">
        <v>2</v>
      </c>
      <c r="EG263" s="56" t="s">
        <v>639</v>
      </c>
      <c r="EH263" s="56">
        <v>2</v>
      </c>
      <c r="EI263" s="56" t="s">
        <v>639</v>
      </c>
      <c r="EJ263" s="56">
        <v>2</v>
      </c>
      <c r="EK263" s="56" t="s">
        <v>639</v>
      </c>
      <c r="EL263" s="56">
        <v>25</v>
      </c>
      <c r="EM263" s="56">
        <v>15</v>
      </c>
      <c r="EN263" s="56">
        <v>4779</v>
      </c>
      <c r="EO263" s="56">
        <v>1805</v>
      </c>
      <c r="EP263" s="56" t="s">
        <v>1234</v>
      </c>
      <c r="EQ263" s="56" t="s">
        <v>2000</v>
      </c>
      <c r="ER263" s="56" t="s">
        <v>902</v>
      </c>
      <c r="ES263" s="56">
        <v>2</v>
      </c>
      <c r="ET263" s="56" t="s">
        <v>682</v>
      </c>
      <c r="EU263" s="56" t="s">
        <v>683</v>
      </c>
      <c r="EV263" s="56" t="s">
        <v>683</v>
      </c>
      <c r="FD263" s="56" t="s">
        <v>2123</v>
      </c>
      <c r="FJ263" s="56" t="s">
        <v>2124</v>
      </c>
      <c r="FK263" s="56">
        <v>0</v>
      </c>
    </row>
    <row r="264" spans="1:167" x14ac:dyDescent="0.2">
      <c r="A264" s="56">
        <v>29210</v>
      </c>
      <c r="B264" s="56">
        <v>2</v>
      </c>
      <c r="C264" s="56">
        <v>6352</v>
      </c>
      <c r="D264" s="56" t="s">
        <v>634</v>
      </c>
      <c r="E264" s="56" t="s">
        <v>635</v>
      </c>
      <c r="K264" s="56" t="s">
        <v>2125</v>
      </c>
      <c r="L264" s="56" t="s">
        <v>637</v>
      </c>
      <c r="M264" s="56">
        <v>44953</v>
      </c>
      <c r="N264" s="56">
        <v>44955</v>
      </c>
      <c r="O264" s="56">
        <v>38</v>
      </c>
      <c r="P264" s="56" t="s">
        <v>638</v>
      </c>
      <c r="Q264" s="56">
        <v>2</v>
      </c>
      <c r="R264" s="56" t="s">
        <v>639</v>
      </c>
      <c r="S264" s="56" t="s">
        <v>640</v>
      </c>
      <c r="T264" s="56" t="s">
        <v>641</v>
      </c>
      <c r="U264" s="56" t="s">
        <v>1058</v>
      </c>
      <c r="V264" s="56" t="s">
        <v>643</v>
      </c>
      <c r="W264" s="56">
        <v>49</v>
      </c>
      <c r="X264" s="56" t="s">
        <v>887</v>
      </c>
      <c r="Y264" s="56">
        <v>208</v>
      </c>
      <c r="Z264" s="56" t="s">
        <v>1062</v>
      </c>
      <c r="AA264" s="56" t="s">
        <v>1063</v>
      </c>
      <c r="AB264" s="56" t="s">
        <v>1064</v>
      </c>
      <c r="AC264" s="56" t="s">
        <v>643</v>
      </c>
      <c r="AD264" s="56" t="s">
        <v>1058</v>
      </c>
      <c r="AE264" s="56">
        <v>208</v>
      </c>
      <c r="AF264" s="56" t="s">
        <v>1062</v>
      </c>
      <c r="AG264" s="56" t="s">
        <v>1063</v>
      </c>
      <c r="AH264" s="56" t="s">
        <v>643</v>
      </c>
      <c r="AI264" s="56" t="s">
        <v>1058</v>
      </c>
      <c r="AJ264" s="56">
        <v>205</v>
      </c>
      <c r="AK264" s="56" t="s">
        <v>1810</v>
      </c>
      <c r="AL264" s="56">
        <v>208</v>
      </c>
      <c r="AM264" s="56" t="s">
        <v>1062</v>
      </c>
      <c r="AN264" s="56" t="s">
        <v>1063</v>
      </c>
      <c r="AO264" s="56" t="s">
        <v>1064</v>
      </c>
      <c r="AP264" s="56" t="s">
        <v>643</v>
      </c>
      <c r="AQ264" s="56" t="s">
        <v>1058</v>
      </c>
      <c r="AR264" s="56">
        <v>208</v>
      </c>
      <c r="AS264" s="56" t="s">
        <v>1062</v>
      </c>
      <c r="AT264" s="56" t="s">
        <v>1063</v>
      </c>
      <c r="AU264" s="56" t="s">
        <v>643</v>
      </c>
      <c r="AV264" s="56" t="s">
        <v>1058</v>
      </c>
      <c r="AW264" s="56">
        <v>172</v>
      </c>
      <c r="AX264" s="56" t="s">
        <v>739</v>
      </c>
      <c r="AY264" s="56">
        <v>153</v>
      </c>
      <c r="AZ264" s="56" t="s">
        <v>740</v>
      </c>
      <c r="BA264" s="56" t="s">
        <v>741</v>
      </c>
      <c r="BB264" s="56" t="s">
        <v>742</v>
      </c>
      <c r="BC264" s="56">
        <v>171</v>
      </c>
      <c r="BD264" s="56" t="s">
        <v>739</v>
      </c>
      <c r="BE264" s="56" t="s">
        <v>743</v>
      </c>
      <c r="BF264" s="56">
        <v>171</v>
      </c>
      <c r="BG264" s="56" t="s">
        <v>739</v>
      </c>
      <c r="BH264" s="56" t="s">
        <v>743</v>
      </c>
      <c r="BI264" s="56">
        <v>35.9</v>
      </c>
      <c r="BJ264" s="56">
        <v>90361.38</v>
      </c>
      <c r="BK264" s="56">
        <v>35.9</v>
      </c>
      <c r="BL264" s="56" t="s">
        <v>897</v>
      </c>
      <c r="BM264" s="56">
        <v>3102</v>
      </c>
      <c r="BN264" s="56" t="s">
        <v>744</v>
      </c>
      <c r="BO264" s="56" t="s">
        <v>745</v>
      </c>
      <c r="BP264" s="56">
        <v>6031.2</v>
      </c>
      <c r="BQ264" s="56">
        <v>5242.66</v>
      </c>
      <c r="BR264" s="56">
        <v>0</v>
      </c>
      <c r="BS264" s="56">
        <v>0</v>
      </c>
      <c r="BT264" s="56">
        <v>4243.2</v>
      </c>
      <c r="BU264" s="56">
        <v>20746</v>
      </c>
      <c r="BV264" s="56">
        <v>208</v>
      </c>
      <c r="BW264" s="56" t="s">
        <v>1062</v>
      </c>
      <c r="BX264" s="56" t="s">
        <v>2126</v>
      </c>
      <c r="BY264" s="56" t="s">
        <v>663</v>
      </c>
      <c r="BZ264" s="56">
        <v>0.5</v>
      </c>
      <c r="CA264" s="56" t="s">
        <v>664</v>
      </c>
      <c r="CB264" s="56" t="s">
        <v>1812</v>
      </c>
      <c r="CC264" s="56" t="s">
        <v>2011</v>
      </c>
      <c r="CD264" s="56" t="s">
        <v>667</v>
      </c>
      <c r="CF264" s="56">
        <v>3394.56</v>
      </c>
      <c r="CG264" s="56">
        <v>80</v>
      </c>
      <c r="CH264" s="56">
        <v>168</v>
      </c>
      <c r="CI264" s="56">
        <v>120</v>
      </c>
      <c r="CJ264" s="56">
        <v>19.059999999999999</v>
      </c>
      <c r="CK264" s="56">
        <v>5242.66</v>
      </c>
      <c r="CL264" s="56">
        <v>4243.2</v>
      </c>
      <c r="CM264" s="56">
        <v>36.69</v>
      </c>
      <c r="CN264" s="56">
        <v>723.74</v>
      </c>
      <c r="CO264" s="56">
        <v>723.74</v>
      </c>
      <c r="CP264" s="56">
        <v>64.8</v>
      </c>
      <c r="CQ264" s="56" t="s">
        <v>668</v>
      </c>
      <c r="CR264" s="56">
        <v>0</v>
      </c>
      <c r="CS264" s="56">
        <v>64.8</v>
      </c>
      <c r="CT264" s="56" t="s">
        <v>669</v>
      </c>
      <c r="CU264" s="56">
        <v>0</v>
      </c>
      <c r="CV264" s="56">
        <v>0</v>
      </c>
      <c r="CX264" s="56">
        <v>979.35</v>
      </c>
      <c r="CY264" s="56">
        <v>0</v>
      </c>
      <c r="CZ264" s="56">
        <v>190.57</v>
      </c>
      <c r="DA264" s="56">
        <v>484.94</v>
      </c>
      <c r="DB264" s="56">
        <v>294.37</v>
      </c>
      <c r="DC264" s="56">
        <v>5052.09</v>
      </c>
      <c r="DD264" s="56">
        <v>160.16999999999999</v>
      </c>
      <c r="DE264" s="56">
        <v>0</v>
      </c>
      <c r="DF264" s="56">
        <v>15.52</v>
      </c>
      <c r="DG264" s="56">
        <v>45.18</v>
      </c>
      <c r="DH264" s="56" t="s">
        <v>670</v>
      </c>
      <c r="DI264" s="56" t="s">
        <v>671</v>
      </c>
      <c r="DK264" s="56">
        <v>11.09</v>
      </c>
      <c r="DL264" s="56">
        <v>668.83</v>
      </c>
      <c r="DM264" s="56">
        <v>66</v>
      </c>
      <c r="DN264" s="56">
        <v>228623</v>
      </c>
      <c r="DO264" s="56" t="s">
        <v>236</v>
      </c>
      <c r="DP264" s="56" t="s">
        <v>673</v>
      </c>
      <c r="DQ264" s="56" t="s">
        <v>674</v>
      </c>
      <c r="DR264" s="56">
        <v>1</v>
      </c>
      <c r="DS264" s="56" t="s">
        <v>2127</v>
      </c>
      <c r="DT264" s="56" t="s">
        <v>2128</v>
      </c>
      <c r="DU264" s="56">
        <v>36</v>
      </c>
      <c r="DV264" s="56" t="s">
        <v>677</v>
      </c>
      <c r="DW264" s="56">
        <v>390</v>
      </c>
      <c r="DX264" s="56" t="s">
        <v>678</v>
      </c>
      <c r="DY264" s="56" t="s">
        <v>679</v>
      </c>
      <c r="ED264" s="56">
        <v>2</v>
      </c>
      <c r="EE264" s="56" t="s">
        <v>639</v>
      </c>
      <c r="EF264" s="56">
        <v>2</v>
      </c>
      <c r="EG264" s="56" t="s">
        <v>639</v>
      </c>
      <c r="EH264" s="56">
        <v>2</v>
      </c>
      <c r="EI264" s="56" t="s">
        <v>639</v>
      </c>
      <c r="EJ264" s="56">
        <v>2</v>
      </c>
      <c r="EK264" s="56" t="s">
        <v>639</v>
      </c>
      <c r="EL264" s="56">
        <v>25</v>
      </c>
      <c r="EM264" s="56">
        <v>15</v>
      </c>
      <c r="EN264" s="56">
        <v>5173</v>
      </c>
      <c r="EO264" s="56">
        <v>2441</v>
      </c>
      <c r="EP264" s="56" t="s">
        <v>1234</v>
      </c>
      <c r="EQ264" s="56" t="s">
        <v>1813</v>
      </c>
      <c r="ER264" s="56" t="s">
        <v>1814</v>
      </c>
      <c r="ES264" s="56">
        <v>2</v>
      </c>
      <c r="ET264" s="56" t="s">
        <v>682</v>
      </c>
      <c r="EU264" s="56" t="s">
        <v>683</v>
      </c>
      <c r="EV264" s="56" t="s">
        <v>683</v>
      </c>
      <c r="FD264" s="56" t="s">
        <v>2129</v>
      </c>
      <c r="FK264" s="56">
        <v>0</v>
      </c>
    </row>
    <row r="265" spans="1:167" x14ac:dyDescent="0.2">
      <c r="A265" s="56">
        <v>29745</v>
      </c>
      <c r="B265" s="56">
        <v>1</v>
      </c>
      <c r="C265" s="56">
        <v>5352</v>
      </c>
      <c r="D265" s="56" t="s">
        <v>634</v>
      </c>
      <c r="E265" s="56" t="s">
        <v>635</v>
      </c>
      <c r="K265" s="56" t="s">
        <v>2130</v>
      </c>
      <c r="L265" s="56" t="s">
        <v>637</v>
      </c>
      <c r="M265" s="56">
        <v>44953</v>
      </c>
      <c r="N265" s="56">
        <v>44955</v>
      </c>
      <c r="O265" s="56">
        <v>2</v>
      </c>
      <c r="P265" s="56" t="s">
        <v>682</v>
      </c>
      <c r="Q265" s="56">
        <v>1</v>
      </c>
      <c r="R265" s="56" t="s">
        <v>809</v>
      </c>
      <c r="S265" s="56" t="s">
        <v>735</v>
      </c>
      <c r="T265" s="56" t="s">
        <v>643</v>
      </c>
      <c r="U265" s="56" t="s">
        <v>642</v>
      </c>
      <c r="V265" s="56" t="s">
        <v>643</v>
      </c>
      <c r="W265" s="56">
        <v>46</v>
      </c>
      <c r="X265" s="56" t="s">
        <v>811</v>
      </c>
      <c r="Y265" s="56">
        <v>91</v>
      </c>
      <c r="Z265" s="56" t="s">
        <v>736</v>
      </c>
      <c r="AA265" s="56" t="s">
        <v>737</v>
      </c>
      <c r="AB265" s="56" t="s">
        <v>738</v>
      </c>
      <c r="AC265" s="56" t="s">
        <v>643</v>
      </c>
      <c r="AD265" s="56" t="s">
        <v>735</v>
      </c>
      <c r="AL265" s="56">
        <v>141</v>
      </c>
      <c r="AM265" s="56" t="s">
        <v>649</v>
      </c>
      <c r="AN265" s="56" t="s">
        <v>650</v>
      </c>
      <c r="AO265" s="56" t="s">
        <v>652</v>
      </c>
      <c r="AP265" s="56" t="s">
        <v>643</v>
      </c>
      <c r="AQ265" s="56" t="s">
        <v>642</v>
      </c>
      <c r="AR265" s="56">
        <v>98</v>
      </c>
      <c r="AS265" s="56" t="s">
        <v>645</v>
      </c>
      <c r="AT265" s="56" t="s">
        <v>646</v>
      </c>
      <c r="AU265" s="56" t="s">
        <v>643</v>
      </c>
      <c r="AV265" s="56" t="s">
        <v>648</v>
      </c>
      <c r="AW265" s="56">
        <v>291</v>
      </c>
      <c r="AX265" s="56" t="s">
        <v>1989</v>
      </c>
      <c r="AY265" s="56">
        <v>78</v>
      </c>
      <c r="AZ265" s="56" t="s">
        <v>1990</v>
      </c>
      <c r="BA265" s="56" t="s">
        <v>1991</v>
      </c>
      <c r="BB265" s="56" t="s">
        <v>1992</v>
      </c>
      <c r="BC265" s="56">
        <v>764</v>
      </c>
      <c r="BD265" s="56" t="s">
        <v>1993</v>
      </c>
      <c r="BE265" s="56" t="s">
        <v>1994</v>
      </c>
      <c r="BF265" s="56">
        <v>764</v>
      </c>
      <c r="BG265" s="56" t="s">
        <v>1993</v>
      </c>
      <c r="BH265" s="56" t="s">
        <v>1994</v>
      </c>
      <c r="BI265" s="56">
        <v>48.56</v>
      </c>
      <c r="BJ265" s="56">
        <v>116287.12</v>
      </c>
      <c r="BK265" s="56">
        <v>48.56</v>
      </c>
      <c r="BL265" s="56" t="s">
        <v>1930</v>
      </c>
      <c r="BM265" s="56">
        <v>3102</v>
      </c>
      <c r="BN265" s="56" t="s">
        <v>660</v>
      </c>
      <c r="BO265" s="56" t="s">
        <v>706</v>
      </c>
      <c r="BP265" s="56">
        <v>1748.16</v>
      </c>
      <c r="BQ265" s="56">
        <v>1748.16</v>
      </c>
      <c r="BR265" s="56">
        <v>0</v>
      </c>
      <c r="BS265" s="56">
        <v>0</v>
      </c>
      <c r="BT265" s="56">
        <v>1553.92</v>
      </c>
      <c r="BU265" s="56">
        <v>245647</v>
      </c>
      <c r="BV265" s="56">
        <v>98</v>
      </c>
      <c r="BW265" s="56" t="s">
        <v>645</v>
      </c>
      <c r="BX265" s="56" t="s">
        <v>2131</v>
      </c>
      <c r="BY265" s="56" t="s">
        <v>663</v>
      </c>
      <c r="BZ265" s="56">
        <v>0.25</v>
      </c>
      <c r="CA265" s="56" t="s">
        <v>664</v>
      </c>
      <c r="CB265" s="56" t="s">
        <v>1932</v>
      </c>
      <c r="CC265" s="56" t="s">
        <v>2132</v>
      </c>
      <c r="CD265" s="56" t="s">
        <v>667</v>
      </c>
      <c r="CF265" s="56">
        <v>1240</v>
      </c>
      <c r="CG265" s="56">
        <v>79.8</v>
      </c>
      <c r="CH265" s="56">
        <v>36</v>
      </c>
      <c r="CI265" s="56">
        <v>32</v>
      </c>
      <c r="CJ265" s="56">
        <v>11.11</v>
      </c>
      <c r="CK265" s="56">
        <v>1748.16</v>
      </c>
      <c r="CL265" s="56">
        <v>1553.92</v>
      </c>
      <c r="CM265" s="56">
        <v>27.2</v>
      </c>
      <c r="CN265" s="56">
        <v>0</v>
      </c>
      <c r="CO265" s="56">
        <v>0</v>
      </c>
      <c r="CP265" s="56">
        <v>0</v>
      </c>
      <c r="CQ265" s="56" t="s">
        <v>708</v>
      </c>
      <c r="CR265" s="56">
        <v>0</v>
      </c>
      <c r="CS265" s="56">
        <v>0</v>
      </c>
      <c r="CT265" s="56" t="s">
        <v>1224</v>
      </c>
      <c r="CU265" s="56">
        <v>0</v>
      </c>
      <c r="CV265" s="56">
        <v>0</v>
      </c>
      <c r="CX265" s="56">
        <v>186.9</v>
      </c>
      <c r="CY265" s="56">
        <v>0</v>
      </c>
      <c r="CZ265" s="56">
        <v>17.96</v>
      </c>
      <c r="DA265" s="56">
        <v>161.69999999999999</v>
      </c>
      <c r="DB265" s="56">
        <v>143.74</v>
      </c>
      <c r="DC265" s="56">
        <v>1730.2</v>
      </c>
      <c r="DD265" s="56">
        <v>-31.07</v>
      </c>
      <c r="DE265" s="56">
        <v>0</v>
      </c>
      <c r="DF265" s="56">
        <v>19.73</v>
      </c>
      <c r="DG265" s="56">
        <v>58.14</v>
      </c>
      <c r="DH265" s="56" t="s">
        <v>670</v>
      </c>
      <c r="DI265" s="56" t="s">
        <v>671</v>
      </c>
      <c r="DK265" s="56">
        <v>12.28</v>
      </c>
      <c r="DL265" s="56">
        <v>214.69</v>
      </c>
      <c r="DO265" s="56" t="s">
        <v>236</v>
      </c>
      <c r="DQ265" s="56" t="s">
        <v>674</v>
      </c>
      <c r="DR265" s="56">
        <v>3</v>
      </c>
      <c r="DS265" s="56" t="s">
        <v>2133</v>
      </c>
      <c r="DT265" s="56" t="s">
        <v>2134</v>
      </c>
      <c r="DU265" s="56">
        <v>36</v>
      </c>
      <c r="DV265" s="56" t="s">
        <v>677</v>
      </c>
      <c r="DX265" s="56" t="s">
        <v>678</v>
      </c>
      <c r="DY265" s="56" t="s">
        <v>679</v>
      </c>
      <c r="ED265" s="56">
        <v>1</v>
      </c>
      <c r="EE265" s="56" t="s">
        <v>809</v>
      </c>
      <c r="EF265" s="56">
        <v>1</v>
      </c>
      <c r="EG265" s="56" t="s">
        <v>809</v>
      </c>
      <c r="EH265" s="56">
        <v>1</v>
      </c>
      <c r="EI265" s="56" t="s">
        <v>809</v>
      </c>
      <c r="EJ265" s="56">
        <v>1</v>
      </c>
      <c r="EK265" s="56" t="s">
        <v>809</v>
      </c>
      <c r="EL265" s="56">
        <v>15</v>
      </c>
      <c r="EM265" s="56">
        <v>15</v>
      </c>
      <c r="EN265" s="56">
        <v>1805</v>
      </c>
      <c r="EO265" s="56">
        <v>1622</v>
      </c>
      <c r="EP265" s="56" t="s">
        <v>1234</v>
      </c>
      <c r="EQ265" s="56" t="s">
        <v>1434</v>
      </c>
      <c r="ER265" s="56" t="s">
        <v>1700</v>
      </c>
      <c r="ES265" s="56">
        <v>2</v>
      </c>
      <c r="ET265" s="56" t="s">
        <v>682</v>
      </c>
      <c r="EU265" s="56" t="s">
        <v>683</v>
      </c>
      <c r="EV265" s="56" t="s">
        <v>683</v>
      </c>
      <c r="FD265" s="56" t="s">
        <v>2135</v>
      </c>
      <c r="FK265" s="56">
        <v>0</v>
      </c>
    </row>
    <row r="266" spans="1:167" x14ac:dyDescent="0.2">
      <c r="A266" s="56">
        <v>29746</v>
      </c>
      <c r="B266" s="56">
        <v>1</v>
      </c>
      <c r="C266" s="56">
        <v>5352</v>
      </c>
      <c r="D266" s="56" t="s">
        <v>634</v>
      </c>
      <c r="E266" s="56" t="s">
        <v>635</v>
      </c>
      <c r="K266" s="56" t="s">
        <v>2136</v>
      </c>
      <c r="L266" s="56" t="s">
        <v>637</v>
      </c>
      <c r="M266" s="56">
        <v>44953</v>
      </c>
      <c r="N266" s="56">
        <v>44955</v>
      </c>
      <c r="O266" s="56">
        <v>2</v>
      </c>
      <c r="P266" s="56" t="s">
        <v>682</v>
      </c>
      <c r="Q266" s="56">
        <v>1</v>
      </c>
      <c r="R266" s="56" t="s">
        <v>809</v>
      </c>
      <c r="S266" s="56" t="s">
        <v>735</v>
      </c>
      <c r="T266" s="56" t="s">
        <v>643</v>
      </c>
      <c r="U266" s="56" t="s">
        <v>642</v>
      </c>
      <c r="V266" s="56" t="s">
        <v>643</v>
      </c>
      <c r="W266" s="56">
        <v>42</v>
      </c>
      <c r="X266" s="56" t="s">
        <v>1643</v>
      </c>
      <c r="Y266" s="56">
        <v>91</v>
      </c>
      <c r="Z266" s="56" t="s">
        <v>736</v>
      </c>
      <c r="AA266" s="56" t="s">
        <v>737</v>
      </c>
      <c r="AB266" s="56" t="s">
        <v>738</v>
      </c>
      <c r="AC266" s="56" t="s">
        <v>643</v>
      </c>
      <c r="AD266" s="56" t="s">
        <v>735</v>
      </c>
      <c r="AL266" s="56">
        <v>141</v>
      </c>
      <c r="AM266" s="56" t="s">
        <v>649</v>
      </c>
      <c r="AN266" s="56" t="s">
        <v>650</v>
      </c>
      <c r="AO266" s="56" t="s">
        <v>652</v>
      </c>
      <c r="AP266" s="56" t="s">
        <v>643</v>
      </c>
      <c r="AQ266" s="56" t="s">
        <v>642</v>
      </c>
      <c r="AR266" s="56">
        <v>98</v>
      </c>
      <c r="AS266" s="56" t="s">
        <v>645</v>
      </c>
      <c r="AT266" s="56" t="s">
        <v>646</v>
      </c>
      <c r="AU266" s="56" t="s">
        <v>643</v>
      </c>
      <c r="AV266" s="56" t="s">
        <v>648</v>
      </c>
      <c r="AW266" s="56">
        <v>251</v>
      </c>
      <c r="AX266" s="56" t="s">
        <v>1313</v>
      </c>
      <c r="AY266" s="56">
        <v>251</v>
      </c>
      <c r="AZ266" s="56" t="s">
        <v>1314</v>
      </c>
      <c r="BA266" s="56" t="s">
        <v>1315</v>
      </c>
      <c r="BB266" s="56" t="s">
        <v>1316</v>
      </c>
      <c r="BC266" s="56">
        <v>250</v>
      </c>
      <c r="BD266" s="56" t="s">
        <v>1317</v>
      </c>
      <c r="BE266" s="56" t="s">
        <v>1318</v>
      </c>
      <c r="BF266" s="56">
        <v>250</v>
      </c>
      <c r="BG266" s="56" t="s">
        <v>1317</v>
      </c>
      <c r="BH266" s="56" t="s">
        <v>1318</v>
      </c>
      <c r="BI266" s="56">
        <v>49.21</v>
      </c>
      <c r="BJ266" s="56">
        <v>117843.68</v>
      </c>
      <c r="BK266" s="56">
        <v>49.21</v>
      </c>
      <c r="BL266" s="56" t="s">
        <v>1930</v>
      </c>
      <c r="BM266" s="56">
        <v>3102</v>
      </c>
      <c r="BN266" s="56" t="s">
        <v>786</v>
      </c>
      <c r="BO266" s="56" t="s">
        <v>1319</v>
      </c>
      <c r="BP266" s="56">
        <v>1771.56</v>
      </c>
      <c r="BQ266" s="56">
        <v>1771.56</v>
      </c>
      <c r="BR266" s="56">
        <v>0</v>
      </c>
      <c r="BS266" s="56">
        <v>0</v>
      </c>
      <c r="BT266" s="56">
        <v>1574.72</v>
      </c>
      <c r="BU266" s="56">
        <v>245649</v>
      </c>
      <c r="BV266" s="56">
        <v>98</v>
      </c>
      <c r="BW266" s="56" t="s">
        <v>645</v>
      </c>
      <c r="BX266" s="56" t="s">
        <v>2137</v>
      </c>
      <c r="BY266" s="56" t="s">
        <v>663</v>
      </c>
      <c r="BZ266" s="56">
        <v>0.25</v>
      </c>
      <c r="CA266" s="56" t="s">
        <v>664</v>
      </c>
      <c r="CB266" s="56" t="s">
        <v>1932</v>
      </c>
      <c r="CC266" s="56" t="s">
        <v>2132</v>
      </c>
      <c r="CD266" s="56" t="s">
        <v>667</v>
      </c>
      <c r="CF266" s="56">
        <v>1259.78</v>
      </c>
      <c r="CG266" s="56">
        <v>80</v>
      </c>
      <c r="CH266" s="56">
        <v>36</v>
      </c>
      <c r="CI266" s="56">
        <v>32</v>
      </c>
      <c r="CJ266" s="56">
        <v>11.11</v>
      </c>
      <c r="CK266" s="56">
        <v>1771.56</v>
      </c>
      <c r="CL266" s="56">
        <v>1574.72</v>
      </c>
      <c r="CM266" s="56">
        <v>27.33</v>
      </c>
      <c r="CN266" s="56">
        <v>0</v>
      </c>
      <c r="CO266" s="56">
        <v>0</v>
      </c>
      <c r="CP266" s="56">
        <v>0</v>
      </c>
      <c r="CQ266" s="56" t="s">
        <v>708</v>
      </c>
      <c r="CR266" s="56">
        <v>0</v>
      </c>
      <c r="CS266" s="56">
        <v>0</v>
      </c>
      <c r="CT266" s="56" t="s">
        <v>1224</v>
      </c>
      <c r="CU266" s="56">
        <v>0</v>
      </c>
      <c r="CV266" s="56">
        <v>0</v>
      </c>
      <c r="CX266" s="56">
        <v>189.61</v>
      </c>
      <c r="CY266" s="56">
        <v>0</v>
      </c>
      <c r="CZ266" s="56">
        <v>54.62</v>
      </c>
      <c r="DA266" s="56">
        <v>163.87</v>
      </c>
      <c r="DB266" s="56">
        <v>109.25</v>
      </c>
      <c r="DC266" s="56">
        <v>1716.94</v>
      </c>
      <c r="DD266" s="56">
        <v>31.29</v>
      </c>
      <c r="DE266" s="56">
        <v>0</v>
      </c>
      <c r="DF266" s="56">
        <v>19.989999999999998</v>
      </c>
      <c r="DG266" s="56">
        <v>58.92</v>
      </c>
      <c r="DH266" s="56" t="s">
        <v>670</v>
      </c>
      <c r="DI266" s="56" t="s">
        <v>671</v>
      </c>
      <c r="DK266" s="56">
        <v>6.67</v>
      </c>
      <c r="DL266" s="56">
        <v>118.16</v>
      </c>
      <c r="DO266" s="56" t="s">
        <v>236</v>
      </c>
      <c r="DQ266" s="56" t="s">
        <v>674</v>
      </c>
      <c r="DR266" s="56">
        <v>1</v>
      </c>
      <c r="DS266" s="56" t="s">
        <v>2138</v>
      </c>
      <c r="DT266" s="56" t="s">
        <v>2139</v>
      </c>
      <c r="DU266" s="56">
        <v>36</v>
      </c>
      <c r="DV266" s="56" t="s">
        <v>677</v>
      </c>
      <c r="DX266" s="56" t="s">
        <v>678</v>
      </c>
      <c r="DY266" s="56" t="s">
        <v>679</v>
      </c>
      <c r="ED266" s="56">
        <v>1</v>
      </c>
      <c r="EE266" s="56" t="s">
        <v>809</v>
      </c>
      <c r="EF266" s="56">
        <v>1</v>
      </c>
      <c r="EG266" s="56" t="s">
        <v>809</v>
      </c>
      <c r="EH266" s="56">
        <v>1</v>
      </c>
      <c r="EI266" s="56" t="s">
        <v>809</v>
      </c>
      <c r="EJ266" s="56">
        <v>1</v>
      </c>
      <c r="EK266" s="56" t="s">
        <v>809</v>
      </c>
      <c r="EL266" s="56">
        <v>15</v>
      </c>
      <c r="EM266" s="56">
        <v>15</v>
      </c>
      <c r="EN266" s="56">
        <v>1805</v>
      </c>
      <c r="EO266" s="56">
        <v>1622</v>
      </c>
      <c r="EP266" s="56" t="s">
        <v>1234</v>
      </c>
      <c r="EQ266" s="56" t="s">
        <v>1434</v>
      </c>
      <c r="ER266" s="56" t="s">
        <v>1700</v>
      </c>
      <c r="ES266" s="56">
        <v>2</v>
      </c>
      <c r="ET266" s="56" t="s">
        <v>682</v>
      </c>
      <c r="EU266" s="56" t="s">
        <v>683</v>
      </c>
      <c r="EV266" s="56" t="s">
        <v>683</v>
      </c>
      <c r="FD266" s="56" t="s">
        <v>2140</v>
      </c>
      <c r="FK266" s="56">
        <v>0</v>
      </c>
    </row>
    <row r="267" spans="1:167" x14ac:dyDescent="0.2">
      <c r="A267" s="56">
        <v>29212</v>
      </c>
      <c r="B267" s="56">
        <v>2</v>
      </c>
      <c r="C267" s="56">
        <v>6352</v>
      </c>
      <c r="D267" s="56" t="s">
        <v>634</v>
      </c>
      <c r="E267" s="56" t="s">
        <v>635</v>
      </c>
      <c r="K267" s="56" t="s">
        <v>2141</v>
      </c>
      <c r="L267" s="56" t="s">
        <v>637</v>
      </c>
      <c r="M267" s="56">
        <v>44954</v>
      </c>
      <c r="N267" s="56">
        <v>44956</v>
      </c>
      <c r="O267" s="56">
        <v>38</v>
      </c>
      <c r="P267" s="56" t="s">
        <v>638</v>
      </c>
      <c r="Q267" s="56">
        <v>2</v>
      </c>
      <c r="R267" s="56" t="s">
        <v>639</v>
      </c>
      <c r="S267" s="56" t="s">
        <v>640</v>
      </c>
      <c r="T267" s="56" t="s">
        <v>641</v>
      </c>
      <c r="U267" s="56" t="s">
        <v>1058</v>
      </c>
      <c r="V267" s="56" t="s">
        <v>643</v>
      </c>
      <c r="W267" s="56">
        <v>49</v>
      </c>
      <c r="X267" s="56" t="s">
        <v>887</v>
      </c>
      <c r="Y267" s="56">
        <v>208</v>
      </c>
      <c r="Z267" s="56" t="s">
        <v>1062</v>
      </c>
      <c r="AA267" s="56" t="s">
        <v>1063</v>
      </c>
      <c r="AB267" s="56" t="s">
        <v>1064</v>
      </c>
      <c r="AC267" s="56" t="s">
        <v>643</v>
      </c>
      <c r="AD267" s="56" t="s">
        <v>1058</v>
      </c>
      <c r="AE267" s="56">
        <v>208</v>
      </c>
      <c r="AF267" s="56" t="s">
        <v>1062</v>
      </c>
      <c r="AG267" s="56" t="s">
        <v>1063</v>
      </c>
      <c r="AH267" s="56" t="s">
        <v>643</v>
      </c>
      <c r="AI267" s="56" t="s">
        <v>1058</v>
      </c>
      <c r="AJ267" s="56">
        <v>205</v>
      </c>
      <c r="AK267" s="56" t="s">
        <v>1810</v>
      </c>
      <c r="AL267" s="56">
        <v>208</v>
      </c>
      <c r="AM267" s="56" t="s">
        <v>1062</v>
      </c>
      <c r="AN267" s="56" t="s">
        <v>1063</v>
      </c>
      <c r="AO267" s="56" t="s">
        <v>1064</v>
      </c>
      <c r="AP267" s="56" t="s">
        <v>643</v>
      </c>
      <c r="AQ267" s="56" t="s">
        <v>1058</v>
      </c>
      <c r="AR267" s="56">
        <v>208</v>
      </c>
      <c r="AS267" s="56" t="s">
        <v>1062</v>
      </c>
      <c r="AT267" s="56" t="s">
        <v>1063</v>
      </c>
      <c r="AU267" s="56" t="s">
        <v>643</v>
      </c>
      <c r="AV267" s="56" t="s">
        <v>1058</v>
      </c>
      <c r="AW267" s="56">
        <v>1256</v>
      </c>
      <c r="AX267" s="56" t="s">
        <v>2142</v>
      </c>
      <c r="AY267" s="56">
        <v>1464</v>
      </c>
      <c r="AZ267" s="56" t="s">
        <v>2143</v>
      </c>
      <c r="BA267" s="56" t="s">
        <v>2144</v>
      </c>
      <c r="BB267" s="56" t="s">
        <v>2145</v>
      </c>
      <c r="BC267" s="56">
        <v>1255</v>
      </c>
      <c r="BD267" s="56" t="s">
        <v>2146</v>
      </c>
      <c r="BE267" s="56" t="s">
        <v>2147</v>
      </c>
      <c r="BF267" s="56">
        <v>1255</v>
      </c>
      <c r="BG267" s="56" t="s">
        <v>2146</v>
      </c>
      <c r="BH267" s="56" t="s">
        <v>2147</v>
      </c>
      <c r="BI267" s="56">
        <v>49.22</v>
      </c>
      <c r="BJ267" s="56">
        <v>123888.22</v>
      </c>
      <c r="BK267" s="56">
        <v>49.22</v>
      </c>
      <c r="BL267" s="56" t="s">
        <v>897</v>
      </c>
      <c r="BM267" s="56">
        <v>3102</v>
      </c>
      <c r="BN267" s="56" t="s">
        <v>660</v>
      </c>
      <c r="BO267" s="56" t="s">
        <v>706</v>
      </c>
      <c r="BP267" s="56">
        <v>8268.9599999999991</v>
      </c>
      <c r="BQ267" s="56">
        <v>7179.48</v>
      </c>
      <c r="BR267" s="56">
        <v>0</v>
      </c>
      <c r="BS267" s="56">
        <v>0</v>
      </c>
      <c r="BT267" s="56">
        <v>5809.2</v>
      </c>
      <c r="BU267" s="56">
        <v>20763</v>
      </c>
      <c r="BV267" s="56">
        <v>208</v>
      </c>
      <c r="BW267" s="56" t="s">
        <v>1062</v>
      </c>
      <c r="BX267" s="56" t="s">
        <v>2148</v>
      </c>
      <c r="BY267" s="56" t="s">
        <v>663</v>
      </c>
      <c r="BZ267" s="56">
        <v>0.5</v>
      </c>
      <c r="CA267" s="56" t="s">
        <v>664</v>
      </c>
      <c r="CB267" s="56" t="s">
        <v>1812</v>
      </c>
      <c r="CC267" s="56" t="s">
        <v>2011</v>
      </c>
      <c r="CD267" s="56" t="s">
        <v>667</v>
      </c>
      <c r="CF267" s="56">
        <v>4647.3599999999997</v>
      </c>
      <c r="CG267" s="56">
        <v>80</v>
      </c>
      <c r="CH267" s="56">
        <v>168</v>
      </c>
      <c r="CI267" s="56">
        <v>120</v>
      </c>
      <c r="CJ267" s="56">
        <v>19.09</v>
      </c>
      <c r="CK267" s="56">
        <v>7179.48</v>
      </c>
      <c r="CL267" s="56">
        <v>5809.2</v>
      </c>
      <c r="CM267" s="56">
        <v>112.38</v>
      </c>
      <c r="CN267" s="56">
        <v>992.28</v>
      </c>
      <c r="CO267" s="56">
        <v>992.28</v>
      </c>
      <c r="CP267" s="56">
        <v>97.2</v>
      </c>
      <c r="CQ267" s="56" t="s">
        <v>668</v>
      </c>
      <c r="CR267" s="56">
        <v>0</v>
      </c>
      <c r="CS267" s="56">
        <v>97.2</v>
      </c>
      <c r="CT267" s="56" t="s">
        <v>669</v>
      </c>
      <c r="CU267" s="56">
        <v>0</v>
      </c>
      <c r="CV267" s="56">
        <v>0</v>
      </c>
      <c r="CX267" s="56">
        <v>1342.11</v>
      </c>
      <c r="CY267" s="56">
        <v>0</v>
      </c>
      <c r="CZ267" s="56">
        <v>261.08999999999997</v>
      </c>
      <c r="DA267" s="56">
        <v>664.1</v>
      </c>
      <c r="DB267" s="56">
        <v>403.01</v>
      </c>
      <c r="DC267" s="56">
        <v>6918.39</v>
      </c>
      <c r="DD267" s="56">
        <v>-12.49</v>
      </c>
      <c r="DE267" s="56">
        <v>0</v>
      </c>
      <c r="DF267" s="56">
        <v>21.28</v>
      </c>
      <c r="DG267" s="56">
        <v>61.94</v>
      </c>
      <c r="DH267" s="56" t="s">
        <v>670</v>
      </c>
      <c r="DI267" s="56" t="s">
        <v>671</v>
      </c>
      <c r="DK267" s="56">
        <v>13.91</v>
      </c>
      <c r="DL267" s="56">
        <v>1149.8499999999999</v>
      </c>
      <c r="DM267" s="56">
        <v>66</v>
      </c>
      <c r="DN267" s="56">
        <v>228623</v>
      </c>
      <c r="DO267" s="56" t="s">
        <v>236</v>
      </c>
      <c r="DP267" s="56" t="s">
        <v>673</v>
      </c>
      <c r="DQ267" s="56" t="s">
        <v>674</v>
      </c>
      <c r="DR267" s="56">
        <v>2</v>
      </c>
      <c r="DS267" s="56" t="s">
        <v>2149</v>
      </c>
      <c r="DT267" s="56" t="s">
        <v>2150</v>
      </c>
      <c r="DU267" s="56">
        <v>36</v>
      </c>
      <c r="DV267" s="56" t="s">
        <v>677</v>
      </c>
      <c r="DW267" s="56">
        <v>390</v>
      </c>
      <c r="DX267" s="56" t="s">
        <v>678</v>
      </c>
      <c r="DY267" s="56" t="s">
        <v>679</v>
      </c>
      <c r="ED267" s="56">
        <v>2</v>
      </c>
      <c r="EE267" s="56" t="s">
        <v>639</v>
      </c>
      <c r="EF267" s="56">
        <v>2</v>
      </c>
      <c r="EG267" s="56" t="s">
        <v>639</v>
      </c>
      <c r="EH267" s="56">
        <v>2</v>
      </c>
      <c r="EI267" s="56" t="s">
        <v>639</v>
      </c>
      <c r="EJ267" s="56">
        <v>2</v>
      </c>
      <c r="EK267" s="56" t="s">
        <v>639</v>
      </c>
      <c r="EL267" s="56">
        <v>25</v>
      </c>
      <c r="EM267" s="56">
        <v>15</v>
      </c>
      <c r="EN267" s="56">
        <v>5173</v>
      </c>
      <c r="EO267" s="56">
        <v>2441</v>
      </c>
      <c r="EP267" s="56" t="s">
        <v>1234</v>
      </c>
      <c r="EQ267" s="56" t="s">
        <v>1813</v>
      </c>
      <c r="ER267" s="56" t="s">
        <v>1814</v>
      </c>
      <c r="ES267" s="56">
        <v>2</v>
      </c>
      <c r="ET267" s="56" t="s">
        <v>682</v>
      </c>
      <c r="EU267" s="56" t="s">
        <v>683</v>
      </c>
      <c r="EV267" s="56" t="s">
        <v>683</v>
      </c>
      <c r="FD267" s="56" t="s">
        <v>2151</v>
      </c>
      <c r="FK267" s="56">
        <v>0</v>
      </c>
    </row>
    <row r="268" spans="1:167" x14ac:dyDescent="0.2">
      <c r="A268" s="56">
        <v>29213</v>
      </c>
      <c r="B268" s="56">
        <v>2</v>
      </c>
      <c r="C268" s="56">
        <v>6352</v>
      </c>
      <c r="D268" s="56" t="s">
        <v>634</v>
      </c>
      <c r="E268" s="56" t="s">
        <v>635</v>
      </c>
      <c r="K268" s="56" t="s">
        <v>2152</v>
      </c>
      <c r="L268" s="56" t="s">
        <v>637</v>
      </c>
      <c r="M268" s="56">
        <v>44954</v>
      </c>
      <c r="N268" s="56">
        <v>44956</v>
      </c>
      <c r="O268" s="56">
        <v>38</v>
      </c>
      <c r="P268" s="56" t="s">
        <v>638</v>
      </c>
      <c r="Q268" s="56">
        <v>2</v>
      </c>
      <c r="R268" s="56" t="s">
        <v>639</v>
      </c>
      <c r="S268" s="56" t="s">
        <v>640</v>
      </c>
      <c r="T268" s="56" t="s">
        <v>641</v>
      </c>
      <c r="U268" s="56" t="s">
        <v>1058</v>
      </c>
      <c r="V268" s="56" t="s">
        <v>643</v>
      </c>
      <c r="W268" s="56">
        <v>49</v>
      </c>
      <c r="X268" s="56" t="s">
        <v>887</v>
      </c>
      <c r="Y268" s="56">
        <v>208</v>
      </c>
      <c r="Z268" s="56" t="s">
        <v>1062</v>
      </c>
      <c r="AA268" s="56" t="s">
        <v>1063</v>
      </c>
      <c r="AB268" s="56" t="s">
        <v>1064</v>
      </c>
      <c r="AC268" s="56" t="s">
        <v>643</v>
      </c>
      <c r="AD268" s="56" t="s">
        <v>1058</v>
      </c>
      <c r="AE268" s="56">
        <v>208</v>
      </c>
      <c r="AF268" s="56" t="s">
        <v>1062</v>
      </c>
      <c r="AG268" s="56" t="s">
        <v>1063</v>
      </c>
      <c r="AH268" s="56" t="s">
        <v>643</v>
      </c>
      <c r="AI268" s="56" t="s">
        <v>1058</v>
      </c>
      <c r="AJ268" s="56">
        <v>205</v>
      </c>
      <c r="AK268" s="56" t="s">
        <v>1810</v>
      </c>
      <c r="AL268" s="56">
        <v>208</v>
      </c>
      <c r="AM268" s="56" t="s">
        <v>1062</v>
      </c>
      <c r="AN268" s="56" t="s">
        <v>1063</v>
      </c>
      <c r="AO268" s="56" t="s">
        <v>1064</v>
      </c>
      <c r="AP268" s="56" t="s">
        <v>643</v>
      </c>
      <c r="AQ268" s="56" t="s">
        <v>1058</v>
      </c>
      <c r="AR268" s="56">
        <v>208</v>
      </c>
      <c r="AS268" s="56" t="s">
        <v>1062</v>
      </c>
      <c r="AT268" s="56" t="s">
        <v>1063</v>
      </c>
      <c r="AU268" s="56" t="s">
        <v>643</v>
      </c>
      <c r="AV268" s="56" t="s">
        <v>1058</v>
      </c>
      <c r="AW268" s="56">
        <v>120</v>
      </c>
      <c r="AX268" s="56" t="s">
        <v>836</v>
      </c>
      <c r="AY268" s="56">
        <v>7</v>
      </c>
      <c r="AZ268" s="56" t="s">
        <v>128</v>
      </c>
      <c r="BA268" s="56" t="s">
        <v>837</v>
      </c>
      <c r="BB268" s="56" t="s">
        <v>770</v>
      </c>
      <c r="BC268" s="56">
        <v>38</v>
      </c>
      <c r="BD268" s="56" t="s">
        <v>289</v>
      </c>
      <c r="BE268" s="56" t="s">
        <v>771</v>
      </c>
      <c r="BF268" s="56">
        <v>2</v>
      </c>
      <c r="BG268" s="56" t="s">
        <v>289</v>
      </c>
      <c r="BH268" s="56" t="s">
        <v>772</v>
      </c>
      <c r="BI268" s="56">
        <v>48.02</v>
      </c>
      <c r="BJ268" s="56">
        <v>120867.78</v>
      </c>
      <c r="BK268" s="56">
        <v>48.02</v>
      </c>
      <c r="BL268" s="56" t="s">
        <v>897</v>
      </c>
      <c r="BM268" s="56">
        <v>3102</v>
      </c>
      <c r="BN268" s="56" t="s">
        <v>724</v>
      </c>
      <c r="BO268" s="56" t="s">
        <v>725</v>
      </c>
      <c r="BP268" s="56">
        <v>8067.36</v>
      </c>
      <c r="BQ268" s="56">
        <v>7002.08</v>
      </c>
      <c r="BR268" s="56">
        <v>0</v>
      </c>
      <c r="BS268" s="56">
        <v>0</v>
      </c>
      <c r="BT268" s="56">
        <v>0</v>
      </c>
      <c r="BU268" s="56">
        <v>20769</v>
      </c>
      <c r="BV268" s="56">
        <v>208</v>
      </c>
      <c r="BW268" s="56" t="s">
        <v>1062</v>
      </c>
      <c r="BX268" s="56" t="s">
        <v>2153</v>
      </c>
      <c r="BY268" s="56" t="s">
        <v>663</v>
      </c>
      <c r="BZ268" s="56">
        <v>0.5</v>
      </c>
      <c r="CA268" s="56" t="s">
        <v>664</v>
      </c>
      <c r="CB268" s="56" t="s">
        <v>1812</v>
      </c>
      <c r="CD268" s="56" t="s">
        <v>667</v>
      </c>
      <c r="CG268" s="56">
        <v>0</v>
      </c>
      <c r="CH268" s="56">
        <v>168</v>
      </c>
      <c r="CJ268" s="56">
        <v>100</v>
      </c>
      <c r="CK268" s="56">
        <v>7002.08</v>
      </c>
      <c r="CL268" s="56">
        <v>0</v>
      </c>
      <c r="CN268" s="56">
        <v>968.08</v>
      </c>
      <c r="CO268" s="56">
        <v>968.08</v>
      </c>
      <c r="CP268" s="56">
        <v>97.2</v>
      </c>
      <c r="CQ268" s="56" t="s">
        <v>668</v>
      </c>
      <c r="CR268" s="56">
        <v>0</v>
      </c>
      <c r="CS268" s="56">
        <v>0</v>
      </c>
      <c r="CV268" s="56">
        <v>0</v>
      </c>
      <c r="CX268" s="56">
        <v>0</v>
      </c>
      <c r="CY268" s="56">
        <v>0</v>
      </c>
      <c r="CZ268" s="56">
        <v>647.69000000000005</v>
      </c>
      <c r="DA268" s="56">
        <v>647.69000000000005</v>
      </c>
      <c r="DB268" s="56">
        <v>0</v>
      </c>
      <c r="DC268" s="56">
        <v>6354.39</v>
      </c>
      <c r="DD268" s="56">
        <v>20.77</v>
      </c>
      <c r="DE268" s="56">
        <v>0</v>
      </c>
      <c r="DF268" s="56">
        <v>20.77</v>
      </c>
      <c r="DH268" s="56" t="s">
        <v>670</v>
      </c>
      <c r="DI268" s="56" t="s">
        <v>671</v>
      </c>
      <c r="DK268" s="56">
        <v>79.709999999999994</v>
      </c>
      <c r="DL268" s="56">
        <v>6430.82</v>
      </c>
      <c r="DM268" s="56">
        <v>66</v>
      </c>
      <c r="DN268" s="56">
        <v>228623</v>
      </c>
      <c r="DO268" s="56" t="s">
        <v>236</v>
      </c>
      <c r="DQ268" s="56" t="s">
        <v>674</v>
      </c>
      <c r="DR268" s="56">
        <v>3</v>
      </c>
      <c r="DW268" s="56">
        <v>390</v>
      </c>
      <c r="DX268" s="56" t="s">
        <v>678</v>
      </c>
      <c r="DY268" s="56" t="s">
        <v>679</v>
      </c>
      <c r="EL268" s="56">
        <v>25</v>
      </c>
      <c r="EM268" s="56">
        <v>15</v>
      </c>
      <c r="EN268" s="56">
        <v>5173</v>
      </c>
      <c r="EO268" s="56">
        <v>2441</v>
      </c>
      <c r="EP268" s="56">
        <v>6943</v>
      </c>
      <c r="EQ268" s="56" t="s">
        <v>1813</v>
      </c>
      <c r="ER268" s="56" t="s">
        <v>1814</v>
      </c>
      <c r="ES268" s="56">
        <v>2</v>
      </c>
      <c r="ET268" s="56" t="s">
        <v>682</v>
      </c>
      <c r="EU268" s="56" t="s">
        <v>683</v>
      </c>
      <c r="EV268" s="56" t="s">
        <v>683</v>
      </c>
      <c r="FD268" s="56" t="s">
        <v>2154</v>
      </c>
      <c r="FK268" s="56">
        <v>0</v>
      </c>
    </row>
    <row r="269" spans="1:167" x14ac:dyDescent="0.2">
      <c r="A269" s="56">
        <v>29214</v>
      </c>
      <c r="B269" s="56">
        <v>2</v>
      </c>
      <c r="C269" s="56">
        <v>6352</v>
      </c>
      <c r="D269" s="56" t="s">
        <v>634</v>
      </c>
      <c r="E269" s="56" t="s">
        <v>635</v>
      </c>
      <c r="K269" s="56" t="s">
        <v>2155</v>
      </c>
      <c r="L269" s="56" t="s">
        <v>637</v>
      </c>
      <c r="M269" s="56">
        <v>44954</v>
      </c>
      <c r="N269" s="56">
        <v>44956</v>
      </c>
      <c r="O269" s="56">
        <v>38</v>
      </c>
      <c r="P269" s="56" t="s">
        <v>638</v>
      </c>
      <c r="Q269" s="56">
        <v>2</v>
      </c>
      <c r="R269" s="56" t="s">
        <v>639</v>
      </c>
      <c r="S269" s="56" t="s">
        <v>640</v>
      </c>
      <c r="T269" s="56" t="s">
        <v>641</v>
      </c>
      <c r="U269" s="56" t="s">
        <v>1058</v>
      </c>
      <c r="V269" s="56" t="s">
        <v>643</v>
      </c>
      <c r="W269" s="56">
        <v>49</v>
      </c>
      <c r="X269" s="56" t="s">
        <v>887</v>
      </c>
      <c r="Y269" s="56">
        <v>208</v>
      </c>
      <c r="Z269" s="56" t="s">
        <v>1062</v>
      </c>
      <c r="AA269" s="56" t="s">
        <v>1063</v>
      </c>
      <c r="AB269" s="56" t="s">
        <v>1064</v>
      </c>
      <c r="AC269" s="56" t="s">
        <v>643</v>
      </c>
      <c r="AD269" s="56" t="s">
        <v>1058</v>
      </c>
      <c r="AE269" s="56">
        <v>208</v>
      </c>
      <c r="AF269" s="56" t="s">
        <v>1062</v>
      </c>
      <c r="AG269" s="56" t="s">
        <v>1063</v>
      </c>
      <c r="AH269" s="56" t="s">
        <v>643</v>
      </c>
      <c r="AI269" s="56" t="s">
        <v>1058</v>
      </c>
      <c r="AJ269" s="56">
        <v>205</v>
      </c>
      <c r="AK269" s="56" t="s">
        <v>1810</v>
      </c>
      <c r="AL269" s="56">
        <v>208</v>
      </c>
      <c r="AM269" s="56" t="s">
        <v>1062</v>
      </c>
      <c r="AN269" s="56" t="s">
        <v>1063</v>
      </c>
      <c r="AO269" s="56" t="s">
        <v>1064</v>
      </c>
      <c r="AP269" s="56" t="s">
        <v>643</v>
      </c>
      <c r="AQ269" s="56" t="s">
        <v>1058</v>
      </c>
      <c r="AR269" s="56">
        <v>208</v>
      </c>
      <c r="AS269" s="56" t="s">
        <v>1062</v>
      </c>
      <c r="AT269" s="56" t="s">
        <v>1063</v>
      </c>
      <c r="AU269" s="56" t="s">
        <v>643</v>
      </c>
      <c r="AV269" s="56" t="s">
        <v>1058</v>
      </c>
      <c r="AW269" s="56">
        <v>108</v>
      </c>
      <c r="AX269" s="56" t="s">
        <v>977</v>
      </c>
      <c r="AY269" s="56">
        <v>47</v>
      </c>
      <c r="AZ269" s="56" t="s">
        <v>32</v>
      </c>
      <c r="BA269" s="56" t="s">
        <v>978</v>
      </c>
      <c r="BB269" s="56" t="s">
        <v>770</v>
      </c>
      <c r="BC269" s="56">
        <v>38</v>
      </c>
      <c r="BD269" s="56" t="s">
        <v>289</v>
      </c>
      <c r="BE269" s="56" t="s">
        <v>771</v>
      </c>
      <c r="BF269" s="56">
        <v>2</v>
      </c>
      <c r="BG269" s="56" t="s">
        <v>289</v>
      </c>
      <c r="BH269" s="56" t="s">
        <v>772</v>
      </c>
      <c r="BI269" s="56">
        <v>48.19</v>
      </c>
      <c r="BJ269" s="56">
        <v>121295.67999999999</v>
      </c>
      <c r="BK269" s="56">
        <v>48.19</v>
      </c>
      <c r="BL269" s="56" t="s">
        <v>897</v>
      </c>
      <c r="BM269" s="56">
        <v>3102</v>
      </c>
      <c r="BN269" s="56" t="s">
        <v>724</v>
      </c>
      <c r="BO269" s="56" t="s">
        <v>725</v>
      </c>
      <c r="BP269" s="56">
        <v>8095.92</v>
      </c>
      <c r="BQ269" s="56">
        <v>7027.21</v>
      </c>
      <c r="BR269" s="56">
        <v>0</v>
      </c>
      <c r="BS269" s="56">
        <v>0</v>
      </c>
      <c r="BT269" s="56">
        <v>0</v>
      </c>
      <c r="BU269" s="56">
        <v>20777</v>
      </c>
      <c r="BV269" s="56">
        <v>208</v>
      </c>
      <c r="BW269" s="56" t="s">
        <v>1062</v>
      </c>
      <c r="BX269" s="56" t="s">
        <v>2156</v>
      </c>
      <c r="BY269" s="56" t="s">
        <v>663</v>
      </c>
      <c r="BZ269" s="56">
        <v>0.5</v>
      </c>
      <c r="CA269" s="56" t="s">
        <v>664</v>
      </c>
      <c r="CB269" s="56" t="s">
        <v>1812</v>
      </c>
      <c r="CD269" s="56" t="s">
        <v>667</v>
      </c>
      <c r="CG269" s="56">
        <v>0</v>
      </c>
      <c r="CH269" s="56">
        <v>168</v>
      </c>
      <c r="CJ269" s="56">
        <v>100</v>
      </c>
      <c r="CK269" s="56">
        <v>7027.21</v>
      </c>
      <c r="CL269" s="56">
        <v>0</v>
      </c>
      <c r="CN269" s="56">
        <v>971.51</v>
      </c>
      <c r="CO269" s="56">
        <v>971.51</v>
      </c>
      <c r="CP269" s="56">
        <v>97.2</v>
      </c>
      <c r="CQ269" s="56" t="s">
        <v>668</v>
      </c>
      <c r="CR269" s="56">
        <v>0</v>
      </c>
      <c r="CS269" s="56">
        <v>0</v>
      </c>
      <c r="CV269" s="56">
        <v>0</v>
      </c>
      <c r="CX269" s="56">
        <v>0</v>
      </c>
      <c r="CY269" s="56">
        <v>0</v>
      </c>
      <c r="CZ269" s="56">
        <v>650.02</v>
      </c>
      <c r="DA269" s="56">
        <v>650.02</v>
      </c>
      <c r="DB269" s="56">
        <v>0</v>
      </c>
      <c r="DC269" s="56">
        <v>6377.19</v>
      </c>
      <c r="DD269" s="56">
        <v>20.84</v>
      </c>
      <c r="DE269" s="56">
        <v>0</v>
      </c>
      <c r="DF269" s="56">
        <v>20.84</v>
      </c>
      <c r="DH269" s="56" t="s">
        <v>670</v>
      </c>
      <c r="DI269" s="56" t="s">
        <v>671</v>
      </c>
      <c r="DK269" s="56">
        <v>79.709999999999994</v>
      </c>
      <c r="DL269" s="56">
        <v>6453.55</v>
      </c>
      <c r="DM269" s="56">
        <v>66</v>
      </c>
      <c r="DN269" s="56">
        <v>228623</v>
      </c>
      <c r="DO269" s="56" t="s">
        <v>236</v>
      </c>
      <c r="DQ269" s="56" t="s">
        <v>674</v>
      </c>
      <c r="DR269" s="56">
        <v>3</v>
      </c>
      <c r="DW269" s="56">
        <v>390</v>
      </c>
      <c r="DX269" s="56" t="s">
        <v>678</v>
      </c>
      <c r="DY269" s="56" t="s">
        <v>679</v>
      </c>
      <c r="EL269" s="56">
        <v>25</v>
      </c>
      <c r="EM269" s="56">
        <v>15</v>
      </c>
      <c r="EN269" s="56">
        <v>5173</v>
      </c>
      <c r="EO269" s="56">
        <v>2441</v>
      </c>
      <c r="EP269" s="56">
        <v>6943</v>
      </c>
      <c r="EQ269" s="56" t="s">
        <v>1813</v>
      </c>
      <c r="ER269" s="56" t="s">
        <v>1814</v>
      </c>
      <c r="ES269" s="56">
        <v>2</v>
      </c>
      <c r="ET269" s="56" t="s">
        <v>682</v>
      </c>
      <c r="EU269" s="56" t="s">
        <v>683</v>
      </c>
      <c r="EV269" s="56" t="s">
        <v>683</v>
      </c>
      <c r="FD269" s="56" t="s">
        <v>2157</v>
      </c>
      <c r="FK269" s="56">
        <v>0</v>
      </c>
    </row>
    <row r="270" spans="1:167" x14ac:dyDescent="0.2">
      <c r="A270" s="56">
        <v>29215</v>
      </c>
      <c r="B270" s="56">
        <v>2</v>
      </c>
      <c r="C270" s="56">
        <v>6352</v>
      </c>
      <c r="D270" s="56" t="s">
        <v>634</v>
      </c>
      <c r="E270" s="56" t="s">
        <v>635</v>
      </c>
      <c r="K270" s="56" t="s">
        <v>2158</v>
      </c>
      <c r="L270" s="56" t="s">
        <v>637</v>
      </c>
      <c r="M270" s="56">
        <v>44954</v>
      </c>
      <c r="N270" s="56">
        <v>44956</v>
      </c>
      <c r="O270" s="56">
        <v>38</v>
      </c>
      <c r="P270" s="56" t="s">
        <v>638</v>
      </c>
      <c r="Q270" s="56">
        <v>2</v>
      </c>
      <c r="R270" s="56" t="s">
        <v>639</v>
      </c>
      <c r="S270" s="56" t="s">
        <v>640</v>
      </c>
      <c r="T270" s="56" t="s">
        <v>641</v>
      </c>
      <c r="U270" s="56" t="s">
        <v>1582</v>
      </c>
      <c r="V270" s="56" t="s">
        <v>643</v>
      </c>
      <c r="W270" s="56">
        <v>49</v>
      </c>
      <c r="X270" s="56" t="s">
        <v>887</v>
      </c>
      <c r="Y270" s="56">
        <v>1246</v>
      </c>
      <c r="Z270" s="56" t="s">
        <v>2019</v>
      </c>
      <c r="AB270" s="56" t="s">
        <v>2020</v>
      </c>
      <c r="AC270" s="56" t="s">
        <v>1757</v>
      </c>
      <c r="AD270" s="56" t="s">
        <v>1758</v>
      </c>
      <c r="AE270" s="56">
        <v>51</v>
      </c>
      <c r="AF270" s="56" t="s">
        <v>1228</v>
      </c>
      <c r="AG270" s="56" t="s">
        <v>1583</v>
      </c>
      <c r="AH270" s="56" t="s">
        <v>643</v>
      </c>
      <c r="AI270" s="56" t="s">
        <v>1582</v>
      </c>
      <c r="AJ270" s="56">
        <v>431</v>
      </c>
      <c r="AK270" s="56" t="s">
        <v>1759</v>
      </c>
      <c r="AL270" s="56">
        <v>51</v>
      </c>
      <c r="AM270" s="56" t="s">
        <v>1228</v>
      </c>
      <c r="AN270" s="56" t="s">
        <v>1583</v>
      </c>
      <c r="AO270" s="56" t="s">
        <v>1584</v>
      </c>
      <c r="AP270" s="56" t="s">
        <v>643</v>
      </c>
      <c r="AQ270" s="56" t="s">
        <v>1582</v>
      </c>
      <c r="AR270" s="56">
        <v>51</v>
      </c>
      <c r="AS270" s="56" t="s">
        <v>1228</v>
      </c>
      <c r="AT270" s="56" t="s">
        <v>1583</v>
      </c>
      <c r="AU270" s="56" t="s">
        <v>643</v>
      </c>
      <c r="AV270" s="56" t="s">
        <v>1582</v>
      </c>
      <c r="AW270" s="56">
        <v>281</v>
      </c>
      <c r="AX270" s="56" t="s">
        <v>2159</v>
      </c>
      <c r="AY270" s="56">
        <v>293</v>
      </c>
      <c r="AZ270" s="56" t="s">
        <v>2160</v>
      </c>
      <c r="BA270" s="56" t="s">
        <v>2161</v>
      </c>
      <c r="BB270" s="56" t="s">
        <v>2162</v>
      </c>
      <c r="BC270" s="56">
        <v>280</v>
      </c>
      <c r="BD270" s="56" t="s">
        <v>2163</v>
      </c>
      <c r="BE270" s="56" t="s">
        <v>2164</v>
      </c>
      <c r="BF270" s="56">
        <v>280</v>
      </c>
      <c r="BG270" s="56" t="s">
        <v>2163</v>
      </c>
      <c r="BH270" s="56" t="s">
        <v>2164</v>
      </c>
      <c r="BI270" s="56">
        <v>47.74</v>
      </c>
      <c r="BJ270" s="56">
        <v>65429.1</v>
      </c>
      <c r="BK270" s="56">
        <v>47.74</v>
      </c>
      <c r="BL270" s="56" t="s">
        <v>1274</v>
      </c>
      <c r="BM270" s="56">
        <v>3102</v>
      </c>
      <c r="BN270" s="56" t="s">
        <v>786</v>
      </c>
      <c r="BO270" s="56" t="s">
        <v>1319</v>
      </c>
      <c r="BP270" s="56">
        <v>10741.5</v>
      </c>
      <c r="BQ270" s="56">
        <v>9331.02</v>
      </c>
      <c r="BR270" s="56">
        <v>0</v>
      </c>
      <c r="BS270" s="56">
        <v>0</v>
      </c>
      <c r="BT270" s="56">
        <v>7278.2</v>
      </c>
      <c r="BU270" s="56">
        <v>1227</v>
      </c>
      <c r="BV270" s="56">
        <v>51</v>
      </c>
      <c r="BW270" s="56" t="s">
        <v>1228</v>
      </c>
      <c r="BX270" s="56" t="s">
        <v>2165</v>
      </c>
      <c r="BY270" s="56" t="s">
        <v>663</v>
      </c>
      <c r="BZ270" s="56">
        <v>0.5</v>
      </c>
      <c r="CA270" s="56" t="s">
        <v>1587</v>
      </c>
      <c r="CB270" s="56" t="s">
        <v>2030</v>
      </c>
      <c r="CC270" s="56" t="s">
        <v>2166</v>
      </c>
      <c r="CD270" s="56" t="s">
        <v>667</v>
      </c>
      <c r="CF270" s="56">
        <v>5822.56</v>
      </c>
      <c r="CG270" s="56">
        <v>80</v>
      </c>
      <c r="CH270" s="56">
        <v>225</v>
      </c>
      <c r="CI270" s="56">
        <v>155</v>
      </c>
      <c r="CJ270" s="56">
        <v>22</v>
      </c>
      <c r="CK270" s="56">
        <v>9331.02</v>
      </c>
      <c r="CL270" s="56">
        <v>7278.2</v>
      </c>
      <c r="CM270" s="56">
        <v>64.400000000000006</v>
      </c>
      <c r="CN270" s="56">
        <v>1288.98</v>
      </c>
      <c r="CO270" s="56">
        <v>1288.98</v>
      </c>
      <c r="CP270" s="56">
        <v>121.5</v>
      </c>
      <c r="CQ270" s="56" t="s">
        <v>668</v>
      </c>
      <c r="CR270" s="56">
        <v>0</v>
      </c>
      <c r="CS270" s="56">
        <v>121.5</v>
      </c>
      <c r="CT270" s="56" t="s">
        <v>669</v>
      </c>
      <c r="CU270" s="56">
        <v>0</v>
      </c>
      <c r="CV270" s="56">
        <v>0</v>
      </c>
      <c r="CX270" s="56">
        <v>2016.91</v>
      </c>
      <c r="CY270" s="56">
        <v>0</v>
      </c>
      <c r="CZ270" s="56">
        <v>358.19</v>
      </c>
      <c r="DA270" s="56">
        <v>863.12</v>
      </c>
      <c r="DB270" s="56">
        <v>504.93</v>
      </c>
      <c r="DC270" s="56">
        <v>8972.83</v>
      </c>
      <c r="DD270" s="56">
        <v>14.44</v>
      </c>
      <c r="DE270" s="56">
        <v>0</v>
      </c>
      <c r="DF270" s="56">
        <v>11.24</v>
      </c>
      <c r="DG270" s="56">
        <v>32.71</v>
      </c>
      <c r="DH270" s="56" t="s">
        <v>670</v>
      </c>
      <c r="DI270" s="56" t="s">
        <v>671</v>
      </c>
      <c r="DK270" s="56">
        <v>15.98</v>
      </c>
      <c r="DL270" s="56">
        <v>1716.1</v>
      </c>
      <c r="DM270" s="56">
        <v>105</v>
      </c>
      <c r="DN270" s="56">
        <v>4501406746</v>
      </c>
      <c r="DO270" s="56" t="s">
        <v>236</v>
      </c>
      <c r="DP270" s="56" t="s">
        <v>673</v>
      </c>
      <c r="DQ270" s="56" t="s">
        <v>674</v>
      </c>
      <c r="DR270" s="56">
        <v>2</v>
      </c>
      <c r="DS270" s="56" t="s">
        <v>2167</v>
      </c>
      <c r="DT270" s="56" t="s">
        <v>2168</v>
      </c>
      <c r="DU270" s="56">
        <v>36</v>
      </c>
      <c r="DV270" s="56" t="s">
        <v>677</v>
      </c>
      <c r="DW270" s="56">
        <v>580</v>
      </c>
      <c r="DX270" s="56" t="s">
        <v>678</v>
      </c>
      <c r="DY270" s="56" t="s">
        <v>679</v>
      </c>
      <c r="ED270" s="56">
        <v>2</v>
      </c>
      <c r="EE270" s="56" t="s">
        <v>639</v>
      </c>
      <c r="EF270" s="56">
        <v>2</v>
      </c>
      <c r="EG270" s="56" t="s">
        <v>639</v>
      </c>
      <c r="EH270" s="56">
        <v>2</v>
      </c>
      <c r="EI270" s="56" t="s">
        <v>639</v>
      </c>
      <c r="EJ270" s="56">
        <v>2</v>
      </c>
      <c r="EK270" s="56" t="s">
        <v>639</v>
      </c>
      <c r="EL270" s="56">
        <v>25</v>
      </c>
      <c r="EM270" s="56">
        <v>15</v>
      </c>
      <c r="EN270" s="56">
        <v>5173</v>
      </c>
      <c r="EO270" s="56">
        <v>1950</v>
      </c>
      <c r="EP270" s="56" t="s">
        <v>1234</v>
      </c>
      <c r="EQ270" s="56" t="s">
        <v>2035</v>
      </c>
      <c r="ER270" s="56" t="s">
        <v>1804</v>
      </c>
      <c r="ES270" s="56">
        <v>2</v>
      </c>
      <c r="ET270" s="56" t="s">
        <v>682</v>
      </c>
      <c r="EU270" s="56" t="s">
        <v>683</v>
      </c>
      <c r="EV270" s="56" t="s">
        <v>683</v>
      </c>
      <c r="FD270" s="56" t="s">
        <v>2169</v>
      </c>
      <c r="FK270" s="56">
        <v>0</v>
      </c>
    </row>
    <row r="271" spans="1:167" x14ac:dyDescent="0.2">
      <c r="A271" s="56">
        <v>29216</v>
      </c>
      <c r="B271" s="56">
        <v>2</v>
      </c>
      <c r="C271" s="56">
        <v>6352</v>
      </c>
      <c r="D271" s="56" t="s">
        <v>634</v>
      </c>
      <c r="E271" s="56" t="s">
        <v>635</v>
      </c>
      <c r="K271" s="56" t="s">
        <v>2170</v>
      </c>
      <c r="L271" s="56" t="s">
        <v>637</v>
      </c>
      <c r="M271" s="56">
        <v>44954</v>
      </c>
      <c r="N271" s="56">
        <v>44956</v>
      </c>
      <c r="O271" s="56">
        <v>38</v>
      </c>
      <c r="P271" s="56" t="s">
        <v>638</v>
      </c>
      <c r="Q271" s="56">
        <v>2</v>
      </c>
      <c r="R271" s="56" t="s">
        <v>639</v>
      </c>
      <c r="S271" s="56" t="s">
        <v>640</v>
      </c>
      <c r="T271" s="56" t="s">
        <v>641</v>
      </c>
      <c r="U271" s="56" t="s">
        <v>1582</v>
      </c>
      <c r="V271" s="56" t="s">
        <v>643</v>
      </c>
      <c r="W271" s="56">
        <v>49</v>
      </c>
      <c r="X271" s="56" t="s">
        <v>887</v>
      </c>
      <c r="Y271" s="56">
        <v>1246</v>
      </c>
      <c r="Z271" s="56" t="s">
        <v>2019</v>
      </c>
      <c r="AB271" s="56" t="s">
        <v>2020</v>
      </c>
      <c r="AC271" s="56" t="s">
        <v>1757</v>
      </c>
      <c r="AD271" s="56" t="s">
        <v>1758</v>
      </c>
      <c r="AE271" s="56">
        <v>51</v>
      </c>
      <c r="AF271" s="56" t="s">
        <v>1228</v>
      </c>
      <c r="AG271" s="56" t="s">
        <v>1583</v>
      </c>
      <c r="AH271" s="56" t="s">
        <v>643</v>
      </c>
      <c r="AI271" s="56" t="s">
        <v>1582</v>
      </c>
      <c r="AJ271" s="56">
        <v>431</v>
      </c>
      <c r="AK271" s="56" t="s">
        <v>1759</v>
      </c>
      <c r="AL271" s="56">
        <v>51</v>
      </c>
      <c r="AM271" s="56" t="s">
        <v>1228</v>
      </c>
      <c r="AN271" s="56" t="s">
        <v>1583</v>
      </c>
      <c r="AO271" s="56" t="s">
        <v>1584</v>
      </c>
      <c r="AP271" s="56" t="s">
        <v>643</v>
      </c>
      <c r="AQ271" s="56" t="s">
        <v>1582</v>
      </c>
      <c r="AR271" s="56">
        <v>51</v>
      </c>
      <c r="AS271" s="56" t="s">
        <v>1228</v>
      </c>
      <c r="AT271" s="56" t="s">
        <v>1583</v>
      </c>
      <c r="AU271" s="56" t="s">
        <v>643</v>
      </c>
      <c r="AV271" s="56" t="s">
        <v>1582</v>
      </c>
      <c r="AW271" s="56">
        <v>809</v>
      </c>
      <c r="AX271" s="56" t="s">
        <v>1390</v>
      </c>
      <c r="AY271" s="56">
        <v>953</v>
      </c>
      <c r="AZ271" s="56" t="s">
        <v>1391</v>
      </c>
      <c r="BA271" s="56" t="s">
        <v>1392</v>
      </c>
      <c r="BB271" s="56" t="s">
        <v>1291</v>
      </c>
      <c r="BC271" s="56">
        <v>765</v>
      </c>
      <c r="BD271" s="56" t="s">
        <v>1292</v>
      </c>
      <c r="BE271" s="56" t="s">
        <v>1293</v>
      </c>
      <c r="BF271" s="56">
        <v>765</v>
      </c>
      <c r="BG271" s="56" t="s">
        <v>1292</v>
      </c>
      <c r="BH271" s="56" t="s">
        <v>1293</v>
      </c>
      <c r="BI271" s="56">
        <v>48.24</v>
      </c>
      <c r="BJ271" s="56">
        <v>66114.37</v>
      </c>
      <c r="BK271" s="56">
        <v>48.24</v>
      </c>
      <c r="BL271" s="56" t="s">
        <v>1274</v>
      </c>
      <c r="BM271" s="56">
        <v>3102</v>
      </c>
      <c r="BN271" s="56" t="s">
        <v>660</v>
      </c>
      <c r="BO271" s="56" t="s">
        <v>1309</v>
      </c>
      <c r="BP271" s="56">
        <v>10854</v>
      </c>
      <c r="BQ271" s="56">
        <v>9430.02</v>
      </c>
      <c r="BR271" s="56">
        <v>0</v>
      </c>
      <c r="BS271" s="56">
        <v>0</v>
      </c>
      <c r="BT271" s="56">
        <v>7355.7</v>
      </c>
      <c r="BU271" s="56">
        <v>1228</v>
      </c>
      <c r="BV271" s="56">
        <v>51</v>
      </c>
      <c r="BW271" s="56" t="s">
        <v>1228</v>
      </c>
      <c r="BX271" s="56" t="s">
        <v>2171</v>
      </c>
      <c r="BY271" s="56" t="s">
        <v>663</v>
      </c>
      <c r="BZ271" s="56">
        <v>0.5</v>
      </c>
      <c r="CA271" s="56" t="s">
        <v>1587</v>
      </c>
      <c r="CB271" s="56" t="s">
        <v>2030</v>
      </c>
      <c r="CC271" s="56" t="s">
        <v>2166</v>
      </c>
      <c r="CD271" s="56" t="s">
        <v>667</v>
      </c>
      <c r="CF271" s="56">
        <v>0</v>
      </c>
      <c r="CG271" s="56">
        <v>0</v>
      </c>
      <c r="CH271" s="56">
        <v>225</v>
      </c>
      <c r="CI271" s="56">
        <v>155</v>
      </c>
      <c r="CJ271" s="56">
        <v>22</v>
      </c>
      <c r="CK271" s="56">
        <v>9430.02</v>
      </c>
      <c r="CL271" s="56">
        <v>7355.7</v>
      </c>
      <c r="CM271" s="56">
        <v>17.100000000000001</v>
      </c>
      <c r="CN271" s="56">
        <v>1302.48</v>
      </c>
      <c r="CO271" s="56">
        <v>1302.48</v>
      </c>
      <c r="CP271" s="56">
        <v>121.5</v>
      </c>
      <c r="CQ271" s="56" t="s">
        <v>668</v>
      </c>
      <c r="CR271" s="56">
        <v>0</v>
      </c>
      <c r="CS271" s="56">
        <v>121.5</v>
      </c>
      <c r="CT271" s="56" t="s">
        <v>669</v>
      </c>
      <c r="CU271" s="56">
        <v>0</v>
      </c>
      <c r="CV271" s="56">
        <v>0</v>
      </c>
      <c r="CX271" s="56">
        <v>2074.3200000000002</v>
      </c>
      <c r="CY271" s="56">
        <v>0</v>
      </c>
      <c r="CZ271" s="56">
        <v>361.98</v>
      </c>
      <c r="DA271" s="56">
        <v>872.28</v>
      </c>
      <c r="DB271" s="56">
        <v>510.3</v>
      </c>
      <c r="DC271" s="56">
        <v>9068.0400000000009</v>
      </c>
      <c r="DD271" s="56">
        <v>-21.7</v>
      </c>
      <c r="DE271" s="56">
        <v>0</v>
      </c>
      <c r="DF271" s="56">
        <v>11.36</v>
      </c>
      <c r="DG271" s="56">
        <v>33.06</v>
      </c>
      <c r="DH271" s="56" t="s">
        <v>670</v>
      </c>
      <c r="DI271" s="56" t="s">
        <v>671</v>
      </c>
      <c r="DK271" s="56">
        <v>15.98</v>
      </c>
      <c r="DL271" s="56">
        <v>1734.04</v>
      </c>
      <c r="DM271" s="56">
        <v>105</v>
      </c>
      <c r="DN271" s="56">
        <v>4501406746</v>
      </c>
      <c r="DO271" s="56" t="s">
        <v>236</v>
      </c>
      <c r="DP271" s="56" t="s">
        <v>673</v>
      </c>
      <c r="DQ271" s="56" t="s">
        <v>674</v>
      </c>
      <c r="DR271" s="56">
        <v>2</v>
      </c>
      <c r="DW271" s="56">
        <v>580</v>
      </c>
      <c r="DX271" s="56" t="s">
        <v>678</v>
      </c>
      <c r="DY271" s="56" t="s">
        <v>679</v>
      </c>
      <c r="ED271" s="56">
        <v>2</v>
      </c>
      <c r="EE271" s="56" t="s">
        <v>639</v>
      </c>
      <c r="EF271" s="56">
        <v>2</v>
      </c>
      <c r="EG271" s="56" t="s">
        <v>639</v>
      </c>
      <c r="EH271" s="56">
        <v>2</v>
      </c>
      <c r="EI271" s="56" t="s">
        <v>639</v>
      </c>
      <c r="EJ271" s="56">
        <v>2</v>
      </c>
      <c r="EK271" s="56" t="s">
        <v>639</v>
      </c>
      <c r="EL271" s="56">
        <v>25</v>
      </c>
      <c r="EM271" s="56">
        <v>15</v>
      </c>
      <c r="EN271" s="56">
        <v>5173</v>
      </c>
      <c r="EO271" s="56">
        <v>1950</v>
      </c>
      <c r="EP271" s="56" t="s">
        <v>1234</v>
      </c>
      <c r="EQ271" s="56" t="s">
        <v>2035</v>
      </c>
      <c r="ER271" s="56" t="s">
        <v>1804</v>
      </c>
      <c r="ES271" s="56">
        <v>2</v>
      </c>
      <c r="ET271" s="56" t="s">
        <v>682</v>
      </c>
      <c r="EU271" s="56" t="s">
        <v>683</v>
      </c>
      <c r="EV271" s="56" t="s">
        <v>683</v>
      </c>
      <c r="FD271" s="56" t="s">
        <v>2172</v>
      </c>
      <c r="FK271" s="56">
        <v>0</v>
      </c>
    </row>
    <row r="272" spans="1:167" x14ac:dyDescent="0.2">
      <c r="A272" s="56">
        <v>29217</v>
      </c>
      <c r="B272" s="56">
        <v>2</v>
      </c>
      <c r="C272" s="56">
        <v>6352</v>
      </c>
      <c r="D272" s="56" t="s">
        <v>634</v>
      </c>
      <c r="E272" s="56" t="s">
        <v>635</v>
      </c>
      <c r="K272" s="56" t="s">
        <v>2173</v>
      </c>
      <c r="L272" s="56" t="s">
        <v>637</v>
      </c>
      <c r="M272" s="56">
        <v>44954</v>
      </c>
      <c r="N272" s="56">
        <v>44956</v>
      </c>
      <c r="O272" s="56">
        <v>38</v>
      </c>
      <c r="P272" s="56" t="s">
        <v>638</v>
      </c>
      <c r="Q272" s="56">
        <v>2</v>
      </c>
      <c r="R272" s="56" t="s">
        <v>639</v>
      </c>
      <c r="S272" s="56" t="s">
        <v>640</v>
      </c>
      <c r="T272" s="56" t="s">
        <v>641</v>
      </c>
      <c r="U272" s="56" t="s">
        <v>1582</v>
      </c>
      <c r="V272" s="56" t="s">
        <v>643</v>
      </c>
      <c r="W272" s="56">
        <v>48</v>
      </c>
      <c r="X272" s="56" t="s">
        <v>699</v>
      </c>
      <c r="Y272" s="56">
        <v>1246</v>
      </c>
      <c r="Z272" s="56" t="s">
        <v>2019</v>
      </c>
      <c r="AB272" s="56" t="s">
        <v>2020</v>
      </c>
      <c r="AC272" s="56" t="s">
        <v>1757</v>
      </c>
      <c r="AD272" s="56" t="s">
        <v>1758</v>
      </c>
      <c r="AE272" s="56">
        <v>51</v>
      </c>
      <c r="AF272" s="56" t="s">
        <v>1228</v>
      </c>
      <c r="AG272" s="56" t="s">
        <v>1583</v>
      </c>
      <c r="AH272" s="56" t="s">
        <v>643</v>
      </c>
      <c r="AI272" s="56" t="s">
        <v>1582</v>
      </c>
      <c r="AJ272" s="56">
        <v>431</v>
      </c>
      <c r="AK272" s="56" t="s">
        <v>1759</v>
      </c>
      <c r="AL272" s="56">
        <v>51</v>
      </c>
      <c r="AM272" s="56" t="s">
        <v>1228</v>
      </c>
      <c r="AN272" s="56" t="s">
        <v>1583</v>
      </c>
      <c r="AO272" s="56" t="s">
        <v>1584</v>
      </c>
      <c r="AP272" s="56" t="s">
        <v>643</v>
      </c>
      <c r="AQ272" s="56" t="s">
        <v>1582</v>
      </c>
      <c r="AR272" s="56">
        <v>51</v>
      </c>
      <c r="AS272" s="56" t="s">
        <v>1228</v>
      </c>
      <c r="AT272" s="56" t="s">
        <v>1583</v>
      </c>
      <c r="AU272" s="56" t="s">
        <v>643</v>
      </c>
      <c r="AV272" s="56" t="s">
        <v>1582</v>
      </c>
      <c r="AW272" s="56">
        <v>837</v>
      </c>
      <c r="AX272" s="56" t="s">
        <v>2174</v>
      </c>
      <c r="AY272" s="56">
        <v>991</v>
      </c>
      <c r="AZ272" s="56" t="s">
        <v>2175</v>
      </c>
      <c r="BA272" s="56" t="s">
        <v>2176</v>
      </c>
      <c r="BB272" s="56" t="s">
        <v>1291</v>
      </c>
      <c r="BC272" s="56">
        <v>765</v>
      </c>
      <c r="BD272" s="56" t="s">
        <v>1292</v>
      </c>
      <c r="BE272" s="56" t="s">
        <v>1293</v>
      </c>
      <c r="BF272" s="56">
        <v>765</v>
      </c>
      <c r="BG272" s="56" t="s">
        <v>1292</v>
      </c>
      <c r="BH272" s="56" t="s">
        <v>1293</v>
      </c>
      <c r="BI272" s="56">
        <v>35.24</v>
      </c>
      <c r="BJ272" s="56">
        <v>48297.48</v>
      </c>
      <c r="BK272" s="56">
        <v>35.24</v>
      </c>
      <c r="BL272" s="56" t="s">
        <v>1274</v>
      </c>
      <c r="BM272" s="56">
        <v>3102</v>
      </c>
      <c r="BN272" s="56" t="s">
        <v>744</v>
      </c>
      <c r="BO272" s="56" t="s">
        <v>1182</v>
      </c>
      <c r="BP272" s="56">
        <v>7929</v>
      </c>
      <c r="BQ272" s="56">
        <v>6883.02</v>
      </c>
      <c r="BR272" s="56">
        <v>0</v>
      </c>
      <c r="BS272" s="56">
        <v>0</v>
      </c>
      <c r="BT272" s="56">
        <v>5438.18</v>
      </c>
      <c r="BU272" s="56">
        <v>1229</v>
      </c>
      <c r="BV272" s="56">
        <v>51</v>
      </c>
      <c r="BW272" s="56" t="s">
        <v>1228</v>
      </c>
      <c r="BX272" s="56" t="s">
        <v>2177</v>
      </c>
      <c r="BY272" s="56" t="s">
        <v>663</v>
      </c>
      <c r="BZ272" s="56">
        <v>0.5</v>
      </c>
      <c r="CA272" s="56" t="s">
        <v>1587</v>
      </c>
      <c r="CB272" s="56" t="s">
        <v>2030</v>
      </c>
      <c r="CC272" s="56" t="s">
        <v>2031</v>
      </c>
      <c r="CD272" s="56" t="s">
        <v>667</v>
      </c>
      <c r="CF272" s="56">
        <v>0</v>
      </c>
      <c r="CG272" s="56">
        <v>0</v>
      </c>
      <c r="CH272" s="56">
        <v>225</v>
      </c>
      <c r="CI272" s="56">
        <v>157</v>
      </c>
      <c r="CJ272" s="56">
        <v>20.99</v>
      </c>
      <c r="CK272" s="56">
        <v>6883.02</v>
      </c>
      <c r="CL272" s="56">
        <v>5438.18</v>
      </c>
      <c r="CM272" s="56">
        <v>17.100000000000001</v>
      </c>
      <c r="CN272" s="56">
        <v>951.48</v>
      </c>
      <c r="CO272" s="56">
        <v>951.48</v>
      </c>
      <c r="CP272" s="56">
        <v>94.5</v>
      </c>
      <c r="CQ272" s="56" t="s">
        <v>668</v>
      </c>
      <c r="CR272" s="56">
        <v>0</v>
      </c>
      <c r="CS272" s="56">
        <v>94.5</v>
      </c>
      <c r="CT272" s="56" t="s">
        <v>669</v>
      </c>
      <c r="CU272" s="56">
        <v>0</v>
      </c>
      <c r="CV272" s="56">
        <v>0</v>
      </c>
      <c r="CX272" s="56">
        <v>1444.84</v>
      </c>
      <c r="CY272" s="56">
        <v>0</v>
      </c>
      <c r="CZ272" s="56">
        <v>259.39999999999998</v>
      </c>
      <c r="DA272" s="56">
        <v>636.67999999999995</v>
      </c>
      <c r="DB272" s="56">
        <v>377.28</v>
      </c>
      <c r="DC272" s="56">
        <v>6623.62</v>
      </c>
      <c r="DD272" s="56">
        <v>-15.85</v>
      </c>
      <c r="DE272" s="56">
        <v>0</v>
      </c>
      <c r="DF272" s="56">
        <v>8.3000000000000007</v>
      </c>
      <c r="DG272" s="56">
        <v>24.15</v>
      </c>
      <c r="DH272" s="56" t="s">
        <v>670</v>
      </c>
      <c r="DI272" s="56" t="s">
        <v>671</v>
      </c>
      <c r="DK272" s="56">
        <v>15.15</v>
      </c>
      <c r="DL272" s="56">
        <v>1201.29</v>
      </c>
      <c r="DM272" s="56">
        <v>105</v>
      </c>
      <c r="DN272" s="56">
        <v>4501406746</v>
      </c>
      <c r="DO272" s="56" t="s">
        <v>236</v>
      </c>
      <c r="DP272" s="56" t="s">
        <v>673</v>
      </c>
      <c r="DQ272" s="56" t="s">
        <v>674</v>
      </c>
      <c r="DR272" s="56">
        <v>2</v>
      </c>
      <c r="DW272" s="56">
        <v>580</v>
      </c>
      <c r="DX272" s="56" t="s">
        <v>678</v>
      </c>
      <c r="DY272" s="56" t="s">
        <v>679</v>
      </c>
      <c r="ED272" s="56">
        <v>2</v>
      </c>
      <c r="EE272" s="56" t="s">
        <v>639</v>
      </c>
      <c r="EF272" s="56">
        <v>2</v>
      </c>
      <c r="EG272" s="56" t="s">
        <v>639</v>
      </c>
      <c r="EH272" s="56">
        <v>2</v>
      </c>
      <c r="EI272" s="56" t="s">
        <v>639</v>
      </c>
      <c r="EJ272" s="56">
        <v>2</v>
      </c>
      <c r="EK272" s="56" t="s">
        <v>639</v>
      </c>
      <c r="EL272" s="56">
        <v>25</v>
      </c>
      <c r="EM272" s="56">
        <v>15</v>
      </c>
      <c r="EN272" s="56">
        <v>5173</v>
      </c>
      <c r="EO272" s="56">
        <v>1950</v>
      </c>
      <c r="EP272" s="56" t="s">
        <v>1234</v>
      </c>
      <c r="EQ272" s="56" t="s">
        <v>2035</v>
      </c>
      <c r="ER272" s="56" t="s">
        <v>1804</v>
      </c>
      <c r="ES272" s="56">
        <v>2</v>
      </c>
      <c r="ET272" s="56" t="s">
        <v>682</v>
      </c>
      <c r="EU272" s="56" t="s">
        <v>683</v>
      </c>
      <c r="EV272" s="56" t="s">
        <v>683</v>
      </c>
      <c r="FD272" s="56" t="s">
        <v>2178</v>
      </c>
      <c r="FK272" s="56">
        <v>0</v>
      </c>
    </row>
    <row r="273" spans="1:167" x14ac:dyDescent="0.2">
      <c r="A273" s="56">
        <v>29218</v>
      </c>
      <c r="B273" s="56">
        <v>2</v>
      </c>
      <c r="C273" s="56">
        <v>6352</v>
      </c>
      <c r="D273" s="56" t="s">
        <v>634</v>
      </c>
      <c r="E273" s="56" t="s">
        <v>635</v>
      </c>
      <c r="K273" s="56" t="s">
        <v>2179</v>
      </c>
      <c r="L273" s="56" t="s">
        <v>637</v>
      </c>
      <c r="M273" s="56">
        <v>44954</v>
      </c>
      <c r="N273" s="56">
        <v>44956</v>
      </c>
      <c r="O273" s="56">
        <v>38</v>
      </c>
      <c r="P273" s="56" t="s">
        <v>638</v>
      </c>
      <c r="Q273" s="56">
        <v>2</v>
      </c>
      <c r="R273" s="56" t="s">
        <v>639</v>
      </c>
      <c r="S273" s="56" t="s">
        <v>640</v>
      </c>
      <c r="T273" s="56" t="s">
        <v>641</v>
      </c>
      <c r="U273" s="56" t="s">
        <v>1582</v>
      </c>
      <c r="V273" s="56" t="s">
        <v>643</v>
      </c>
      <c r="W273" s="56">
        <v>48</v>
      </c>
      <c r="X273" s="56" t="s">
        <v>699</v>
      </c>
      <c r="Y273" s="56">
        <v>756</v>
      </c>
      <c r="Z273" s="56" t="s">
        <v>1779</v>
      </c>
      <c r="AB273" s="56" t="s">
        <v>1780</v>
      </c>
      <c r="AC273" s="56" t="s">
        <v>1757</v>
      </c>
      <c r="AD273" s="56" t="s">
        <v>1758</v>
      </c>
      <c r="AE273" s="56">
        <v>51</v>
      </c>
      <c r="AF273" s="56" t="s">
        <v>1228</v>
      </c>
      <c r="AG273" s="56" t="s">
        <v>1583</v>
      </c>
      <c r="AH273" s="56" t="s">
        <v>643</v>
      </c>
      <c r="AI273" s="56" t="s">
        <v>1582</v>
      </c>
      <c r="AJ273" s="56">
        <v>139</v>
      </c>
      <c r="AK273" s="56" t="s">
        <v>651</v>
      </c>
      <c r="AL273" s="56">
        <v>51</v>
      </c>
      <c r="AM273" s="56" t="s">
        <v>1228</v>
      </c>
      <c r="AN273" s="56" t="s">
        <v>1583</v>
      </c>
      <c r="AO273" s="56" t="s">
        <v>1584</v>
      </c>
      <c r="AP273" s="56" t="s">
        <v>643</v>
      </c>
      <c r="AQ273" s="56" t="s">
        <v>1582</v>
      </c>
      <c r="AR273" s="56">
        <v>51</v>
      </c>
      <c r="AS273" s="56" t="s">
        <v>1228</v>
      </c>
      <c r="AT273" s="56" t="s">
        <v>1583</v>
      </c>
      <c r="AU273" s="56" t="s">
        <v>643</v>
      </c>
      <c r="AV273" s="56" t="s">
        <v>1582</v>
      </c>
      <c r="AW273" s="56">
        <v>113</v>
      </c>
      <c r="AX273" s="56" t="s">
        <v>1025</v>
      </c>
      <c r="AY273" s="56">
        <v>43</v>
      </c>
      <c r="AZ273" s="56" t="s">
        <v>126</v>
      </c>
      <c r="BA273" s="56" t="s">
        <v>1284</v>
      </c>
      <c r="BB273" s="56" t="s">
        <v>770</v>
      </c>
      <c r="BC273" s="56">
        <v>38</v>
      </c>
      <c r="BD273" s="56" t="s">
        <v>289</v>
      </c>
      <c r="BE273" s="56" t="s">
        <v>771</v>
      </c>
      <c r="BF273" s="56">
        <v>38</v>
      </c>
      <c r="BG273" s="56" t="s">
        <v>289</v>
      </c>
      <c r="BH273" s="56" t="s">
        <v>771</v>
      </c>
      <c r="BI273" s="56">
        <v>24.07</v>
      </c>
      <c r="BJ273" s="56">
        <v>57875.35</v>
      </c>
      <c r="BK273" s="56">
        <v>24.07</v>
      </c>
      <c r="BL273" s="56" t="s">
        <v>897</v>
      </c>
      <c r="BM273" s="56">
        <v>3102</v>
      </c>
      <c r="BN273" s="56" t="s">
        <v>786</v>
      </c>
      <c r="BO273" s="56" t="s">
        <v>911</v>
      </c>
      <c r="BP273" s="56">
        <v>5897.15</v>
      </c>
      <c r="BQ273" s="56">
        <v>5189.49</v>
      </c>
      <c r="BR273" s="56">
        <v>0</v>
      </c>
      <c r="BS273" s="56">
        <v>0</v>
      </c>
      <c r="BT273" s="56">
        <v>0</v>
      </c>
      <c r="BU273" s="56">
        <v>1239</v>
      </c>
      <c r="BV273" s="56">
        <v>51</v>
      </c>
      <c r="BW273" s="56" t="s">
        <v>1228</v>
      </c>
      <c r="BX273" s="56" t="s">
        <v>2180</v>
      </c>
      <c r="BY273" s="56" t="s">
        <v>663</v>
      </c>
      <c r="BZ273" s="56">
        <v>0.5</v>
      </c>
      <c r="CA273" s="56" t="s">
        <v>1587</v>
      </c>
      <c r="CB273" s="56" t="s">
        <v>1782</v>
      </c>
      <c r="CD273" s="56" t="s">
        <v>667</v>
      </c>
      <c r="CG273" s="56">
        <v>0</v>
      </c>
      <c r="CH273" s="56">
        <v>245</v>
      </c>
      <c r="CJ273" s="56">
        <v>100</v>
      </c>
      <c r="CK273" s="56">
        <v>5189.49</v>
      </c>
      <c r="CL273" s="56">
        <v>0</v>
      </c>
      <c r="CN273" s="56">
        <v>707.66</v>
      </c>
      <c r="CO273" s="56">
        <v>707.66</v>
      </c>
      <c r="CP273" s="56">
        <v>0</v>
      </c>
      <c r="CQ273" s="56" t="s">
        <v>708</v>
      </c>
      <c r="CR273" s="56">
        <v>0</v>
      </c>
      <c r="CS273" s="56">
        <v>0</v>
      </c>
      <c r="CV273" s="56">
        <v>0</v>
      </c>
      <c r="CX273" s="56">
        <v>0</v>
      </c>
      <c r="CY273" s="56">
        <v>0</v>
      </c>
      <c r="CZ273" s="56">
        <v>480.03</v>
      </c>
      <c r="DA273" s="56">
        <v>480.03</v>
      </c>
      <c r="DB273" s="56">
        <v>0</v>
      </c>
      <c r="DC273" s="56">
        <v>4709.46</v>
      </c>
      <c r="DD273" s="56">
        <v>9.94</v>
      </c>
      <c r="DE273" s="56">
        <v>0</v>
      </c>
      <c r="DF273" s="56">
        <v>9.94</v>
      </c>
      <c r="DH273" s="56" t="s">
        <v>670</v>
      </c>
      <c r="DI273" s="56" t="s">
        <v>671</v>
      </c>
      <c r="DK273" s="56">
        <v>79.69</v>
      </c>
      <c r="DL273" s="56">
        <v>4699.5200000000004</v>
      </c>
      <c r="DM273" s="56">
        <v>100</v>
      </c>
      <c r="DN273" s="56">
        <v>4501411978</v>
      </c>
      <c r="DO273" s="56" t="s">
        <v>236</v>
      </c>
      <c r="DQ273" s="56" t="s">
        <v>674</v>
      </c>
      <c r="DR273" s="56">
        <v>3</v>
      </c>
      <c r="DW273" s="56">
        <v>590</v>
      </c>
      <c r="DX273" s="56" t="s">
        <v>678</v>
      </c>
      <c r="DY273" s="56" t="s">
        <v>679</v>
      </c>
      <c r="EL273" s="56">
        <v>25</v>
      </c>
      <c r="EM273" s="56">
        <v>15</v>
      </c>
      <c r="EN273" s="56">
        <v>5173</v>
      </c>
      <c r="EO273" s="56">
        <v>1950</v>
      </c>
      <c r="EP273" s="56" t="s">
        <v>1234</v>
      </c>
      <c r="EQ273" s="56" t="s">
        <v>1803</v>
      </c>
      <c r="ER273" s="56" t="s">
        <v>1804</v>
      </c>
      <c r="ES273" s="56">
        <v>2</v>
      </c>
      <c r="ET273" s="56" t="s">
        <v>682</v>
      </c>
      <c r="EU273" s="56" t="s">
        <v>683</v>
      </c>
      <c r="EV273" s="56" t="s">
        <v>683</v>
      </c>
      <c r="FD273" s="56" t="s">
        <v>2181</v>
      </c>
      <c r="FK273" s="56">
        <v>0</v>
      </c>
    </row>
    <row r="274" spans="1:167" x14ac:dyDescent="0.2">
      <c r="A274" s="56">
        <v>29219</v>
      </c>
      <c r="B274" s="56">
        <v>2</v>
      </c>
      <c r="C274" s="56">
        <v>6352</v>
      </c>
      <c r="D274" s="56" t="s">
        <v>634</v>
      </c>
      <c r="E274" s="56" t="s">
        <v>635</v>
      </c>
      <c r="K274" s="56" t="s">
        <v>2182</v>
      </c>
      <c r="L274" s="56" t="s">
        <v>637</v>
      </c>
      <c r="M274" s="56">
        <v>44954</v>
      </c>
      <c r="N274" s="56">
        <v>44956</v>
      </c>
      <c r="O274" s="56">
        <v>38</v>
      </c>
      <c r="P274" s="56" t="s">
        <v>638</v>
      </c>
      <c r="Q274" s="56">
        <v>2</v>
      </c>
      <c r="R274" s="56" t="s">
        <v>639</v>
      </c>
      <c r="S274" s="56" t="s">
        <v>640</v>
      </c>
      <c r="T274" s="56" t="s">
        <v>641</v>
      </c>
      <c r="U274" s="56" t="s">
        <v>1582</v>
      </c>
      <c r="V274" s="56" t="s">
        <v>643</v>
      </c>
      <c r="W274" s="56">
        <v>48</v>
      </c>
      <c r="X274" s="56" t="s">
        <v>699</v>
      </c>
      <c r="Y274" s="56">
        <v>756</v>
      </c>
      <c r="Z274" s="56" t="s">
        <v>1779</v>
      </c>
      <c r="AB274" s="56" t="s">
        <v>1780</v>
      </c>
      <c r="AC274" s="56" t="s">
        <v>1757</v>
      </c>
      <c r="AD274" s="56" t="s">
        <v>1758</v>
      </c>
      <c r="AE274" s="56">
        <v>51</v>
      </c>
      <c r="AF274" s="56" t="s">
        <v>1228</v>
      </c>
      <c r="AG274" s="56" t="s">
        <v>1583</v>
      </c>
      <c r="AH274" s="56" t="s">
        <v>643</v>
      </c>
      <c r="AI274" s="56" t="s">
        <v>1582</v>
      </c>
      <c r="AJ274" s="56">
        <v>139</v>
      </c>
      <c r="AK274" s="56" t="s">
        <v>651</v>
      </c>
      <c r="AL274" s="56">
        <v>51</v>
      </c>
      <c r="AM274" s="56" t="s">
        <v>1228</v>
      </c>
      <c r="AN274" s="56" t="s">
        <v>1583</v>
      </c>
      <c r="AO274" s="56" t="s">
        <v>1584</v>
      </c>
      <c r="AP274" s="56" t="s">
        <v>643</v>
      </c>
      <c r="AQ274" s="56" t="s">
        <v>1582</v>
      </c>
      <c r="AR274" s="56">
        <v>51</v>
      </c>
      <c r="AS274" s="56" t="s">
        <v>1228</v>
      </c>
      <c r="AT274" s="56" t="s">
        <v>1583</v>
      </c>
      <c r="AU274" s="56" t="s">
        <v>643</v>
      </c>
      <c r="AV274" s="56" t="s">
        <v>1582</v>
      </c>
      <c r="AW274" s="56">
        <v>113</v>
      </c>
      <c r="AX274" s="56" t="s">
        <v>1025</v>
      </c>
      <c r="AY274" s="56">
        <v>43</v>
      </c>
      <c r="AZ274" s="56" t="s">
        <v>126</v>
      </c>
      <c r="BA274" s="56" t="s">
        <v>1284</v>
      </c>
      <c r="BB274" s="56" t="s">
        <v>770</v>
      </c>
      <c r="BC274" s="56">
        <v>38</v>
      </c>
      <c r="BD274" s="56" t="s">
        <v>289</v>
      </c>
      <c r="BE274" s="56" t="s">
        <v>771</v>
      </c>
      <c r="BF274" s="56">
        <v>38</v>
      </c>
      <c r="BG274" s="56" t="s">
        <v>289</v>
      </c>
      <c r="BH274" s="56" t="s">
        <v>771</v>
      </c>
      <c r="BI274" s="56">
        <v>25.45</v>
      </c>
      <c r="BJ274" s="56">
        <v>61193.51</v>
      </c>
      <c r="BK274" s="56">
        <v>25.45</v>
      </c>
      <c r="BL274" s="56" t="s">
        <v>897</v>
      </c>
      <c r="BM274" s="56">
        <v>3102</v>
      </c>
      <c r="BN274" s="56" t="s">
        <v>786</v>
      </c>
      <c r="BO274" s="56" t="s">
        <v>911</v>
      </c>
      <c r="BP274" s="56">
        <v>6235.25</v>
      </c>
      <c r="BQ274" s="56">
        <v>5365.52</v>
      </c>
      <c r="BR274" s="56">
        <v>0</v>
      </c>
      <c r="BS274" s="56">
        <v>0</v>
      </c>
      <c r="BT274" s="56">
        <v>0</v>
      </c>
      <c r="BU274" s="56">
        <v>1240</v>
      </c>
      <c r="BV274" s="56">
        <v>51</v>
      </c>
      <c r="BW274" s="56" t="s">
        <v>1228</v>
      </c>
      <c r="BX274" s="56" t="s">
        <v>2183</v>
      </c>
      <c r="BY274" s="56" t="s">
        <v>663</v>
      </c>
      <c r="BZ274" s="56">
        <v>0.5</v>
      </c>
      <c r="CA274" s="56" t="s">
        <v>1587</v>
      </c>
      <c r="CB274" s="56" t="s">
        <v>1782</v>
      </c>
      <c r="CD274" s="56" t="s">
        <v>667</v>
      </c>
      <c r="CG274" s="56">
        <v>0</v>
      </c>
      <c r="CH274" s="56">
        <v>245</v>
      </c>
      <c r="CJ274" s="56">
        <v>100</v>
      </c>
      <c r="CK274" s="56">
        <v>5365.52</v>
      </c>
      <c r="CL274" s="56">
        <v>0</v>
      </c>
      <c r="CN274" s="56">
        <v>748.23</v>
      </c>
      <c r="CO274" s="56">
        <v>748.23</v>
      </c>
      <c r="CP274" s="56">
        <v>121.5</v>
      </c>
      <c r="CQ274" s="56" t="s">
        <v>668</v>
      </c>
      <c r="CR274" s="56">
        <v>0</v>
      </c>
      <c r="CS274" s="56">
        <v>0</v>
      </c>
      <c r="CV274" s="56">
        <v>0</v>
      </c>
      <c r="CX274" s="56">
        <v>0</v>
      </c>
      <c r="CY274" s="56">
        <v>0</v>
      </c>
      <c r="CZ274" s="56">
        <v>496.31</v>
      </c>
      <c r="DA274" s="56">
        <v>496.31</v>
      </c>
      <c r="DB274" s="56">
        <v>0</v>
      </c>
      <c r="DC274" s="56">
        <v>4869.21</v>
      </c>
      <c r="DD274" s="56">
        <v>10.51</v>
      </c>
      <c r="DE274" s="56">
        <v>0</v>
      </c>
      <c r="DF274" s="56">
        <v>10.51</v>
      </c>
      <c r="DH274" s="56" t="s">
        <v>670</v>
      </c>
      <c r="DI274" s="56" t="s">
        <v>671</v>
      </c>
      <c r="DK274" s="56">
        <v>79.87</v>
      </c>
      <c r="DL274" s="56">
        <v>4980.2</v>
      </c>
      <c r="DM274" s="56">
        <v>100</v>
      </c>
      <c r="DN274" s="56">
        <v>4501411978</v>
      </c>
      <c r="DO274" s="56" t="s">
        <v>236</v>
      </c>
      <c r="DQ274" s="56" t="s">
        <v>674</v>
      </c>
      <c r="DR274" s="56">
        <v>3</v>
      </c>
      <c r="DW274" s="56">
        <v>590</v>
      </c>
      <c r="DX274" s="56" t="s">
        <v>678</v>
      </c>
      <c r="DY274" s="56" t="s">
        <v>679</v>
      </c>
      <c r="EL274" s="56">
        <v>25</v>
      </c>
      <c r="EM274" s="56">
        <v>15</v>
      </c>
      <c r="EN274" s="56">
        <v>5173</v>
      </c>
      <c r="EO274" s="56">
        <v>1950</v>
      </c>
      <c r="EP274" s="56" t="s">
        <v>1234</v>
      </c>
      <c r="EQ274" s="56" t="s">
        <v>1803</v>
      </c>
      <c r="ER274" s="56" t="s">
        <v>1804</v>
      </c>
      <c r="ES274" s="56">
        <v>2</v>
      </c>
      <c r="ET274" s="56" t="s">
        <v>682</v>
      </c>
      <c r="EU274" s="56" t="s">
        <v>683</v>
      </c>
      <c r="EV274" s="56" t="s">
        <v>683</v>
      </c>
      <c r="FD274" s="56" t="s">
        <v>2184</v>
      </c>
      <c r="FK274" s="56">
        <v>0</v>
      </c>
    </row>
    <row r="275" spans="1:167" x14ac:dyDescent="0.2">
      <c r="A275" s="56">
        <v>29220</v>
      </c>
      <c r="B275" s="56">
        <v>2</v>
      </c>
      <c r="C275" s="56">
        <v>6352</v>
      </c>
      <c r="D275" s="56" t="s">
        <v>634</v>
      </c>
      <c r="E275" s="56" t="s">
        <v>635</v>
      </c>
      <c r="K275" s="56" t="s">
        <v>2185</v>
      </c>
      <c r="L275" s="56" t="s">
        <v>637</v>
      </c>
      <c r="M275" s="56">
        <v>44954</v>
      </c>
      <c r="N275" s="56">
        <v>44956</v>
      </c>
      <c r="O275" s="56">
        <v>38</v>
      </c>
      <c r="P275" s="56" t="s">
        <v>638</v>
      </c>
      <c r="Q275" s="56">
        <v>2</v>
      </c>
      <c r="R275" s="56" t="s">
        <v>639</v>
      </c>
      <c r="S275" s="56" t="s">
        <v>640</v>
      </c>
      <c r="T275" s="56" t="s">
        <v>641</v>
      </c>
      <c r="U275" s="56" t="s">
        <v>1582</v>
      </c>
      <c r="V275" s="56" t="s">
        <v>643</v>
      </c>
      <c r="W275" s="56">
        <v>48</v>
      </c>
      <c r="X275" s="56" t="s">
        <v>699</v>
      </c>
      <c r="Y275" s="56">
        <v>756</v>
      </c>
      <c r="Z275" s="56" t="s">
        <v>1779</v>
      </c>
      <c r="AB275" s="56" t="s">
        <v>1780</v>
      </c>
      <c r="AC275" s="56" t="s">
        <v>1757</v>
      </c>
      <c r="AD275" s="56" t="s">
        <v>1758</v>
      </c>
      <c r="AE275" s="56">
        <v>51</v>
      </c>
      <c r="AF275" s="56" t="s">
        <v>1228</v>
      </c>
      <c r="AG275" s="56" t="s">
        <v>1583</v>
      </c>
      <c r="AH275" s="56" t="s">
        <v>643</v>
      </c>
      <c r="AI275" s="56" t="s">
        <v>1582</v>
      </c>
      <c r="AJ275" s="56">
        <v>139</v>
      </c>
      <c r="AK275" s="56" t="s">
        <v>651</v>
      </c>
      <c r="AL275" s="56">
        <v>51</v>
      </c>
      <c r="AM275" s="56" t="s">
        <v>1228</v>
      </c>
      <c r="AN275" s="56" t="s">
        <v>1583</v>
      </c>
      <c r="AO275" s="56" t="s">
        <v>1584</v>
      </c>
      <c r="AP275" s="56" t="s">
        <v>643</v>
      </c>
      <c r="AQ275" s="56" t="s">
        <v>1582</v>
      </c>
      <c r="AR275" s="56">
        <v>51</v>
      </c>
      <c r="AS275" s="56" t="s">
        <v>1228</v>
      </c>
      <c r="AT275" s="56" t="s">
        <v>1583</v>
      </c>
      <c r="AU275" s="56" t="s">
        <v>643</v>
      </c>
      <c r="AV275" s="56" t="s">
        <v>1582</v>
      </c>
      <c r="AW275" s="56">
        <v>115</v>
      </c>
      <c r="AX275" s="56" t="s">
        <v>853</v>
      </c>
      <c r="AY275" s="56">
        <v>55</v>
      </c>
      <c r="AZ275" s="56" t="s">
        <v>23</v>
      </c>
      <c r="BA275" s="56" t="s">
        <v>854</v>
      </c>
      <c r="BB275" s="56" t="s">
        <v>844</v>
      </c>
      <c r="BC275" s="56">
        <v>2</v>
      </c>
      <c r="BD275" s="56" t="s">
        <v>289</v>
      </c>
      <c r="BE275" s="56" t="s">
        <v>772</v>
      </c>
      <c r="BF275" s="56">
        <v>2</v>
      </c>
      <c r="BG275" s="56" t="s">
        <v>289</v>
      </c>
      <c r="BH275" s="56" t="s">
        <v>772</v>
      </c>
      <c r="BI275" s="56">
        <v>23.54</v>
      </c>
      <c r="BJ275" s="56">
        <v>56600.99</v>
      </c>
      <c r="BK275" s="56">
        <v>23.54</v>
      </c>
      <c r="BL275" s="56" t="s">
        <v>897</v>
      </c>
      <c r="BM275" s="56">
        <v>3102</v>
      </c>
      <c r="BN275" s="56" t="s">
        <v>660</v>
      </c>
      <c r="BO275" s="56" t="s">
        <v>855</v>
      </c>
      <c r="BP275" s="56">
        <v>5767.3</v>
      </c>
      <c r="BQ275" s="56">
        <v>5075.22</v>
      </c>
      <c r="BR275" s="56">
        <v>0</v>
      </c>
      <c r="BS275" s="56">
        <v>0</v>
      </c>
      <c r="BT275" s="56">
        <v>0</v>
      </c>
      <c r="BU275" s="56">
        <v>1241</v>
      </c>
      <c r="BV275" s="56">
        <v>51</v>
      </c>
      <c r="BW275" s="56" t="s">
        <v>1228</v>
      </c>
      <c r="BX275" s="56" t="s">
        <v>2186</v>
      </c>
      <c r="BY275" s="56" t="s">
        <v>663</v>
      </c>
      <c r="BZ275" s="56">
        <v>0.5</v>
      </c>
      <c r="CA275" s="56" t="s">
        <v>1587</v>
      </c>
      <c r="CB275" s="56" t="s">
        <v>1782</v>
      </c>
      <c r="CD275" s="56" t="s">
        <v>667</v>
      </c>
      <c r="CG275" s="56">
        <v>0</v>
      </c>
      <c r="CH275" s="56">
        <v>245</v>
      </c>
      <c r="CJ275" s="56">
        <v>100</v>
      </c>
      <c r="CK275" s="56">
        <v>5075.22</v>
      </c>
      <c r="CL275" s="56">
        <v>0</v>
      </c>
      <c r="CN275" s="56">
        <v>692.08</v>
      </c>
      <c r="CO275" s="56">
        <v>692.08</v>
      </c>
      <c r="CP275" s="56">
        <v>0</v>
      </c>
      <c r="CQ275" s="56" t="s">
        <v>708</v>
      </c>
      <c r="CR275" s="56">
        <v>0</v>
      </c>
      <c r="CS275" s="56">
        <v>0</v>
      </c>
      <c r="CV275" s="56">
        <v>0</v>
      </c>
      <c r="CX275" s="56">
        <v>0</v>
      </c>
      <c r="CY275" s="56">
        <v>0</v>
      </c>
      <c r="CZ275" s="56">
        <v>469.46</v>
      </c>
      <c r="DA275" s="56">
        <v>469.46</v>
      </c>
      <c r="DB275" s="56">
        <v>0</v>
      </c>
      <c r="DC275" s="56">
        <v>4605.76</v>
      </c>
      <c r="DD275" s="56">
        <v>9.7200000000000006</v>
      </c>
      <c r="DE275" s="56">
        <v>0</v>
      </c>
      <c r="DF275" s="56">
        <v>9.7200000000000006</v>
      </c>
      <c r="DH275" s="56" t="s">
        <v>670</v>
      </c>
      <c r="DI275" s="56" t="s">
        <v>671</v>
      </c>
      <c r="DK275" s="56">
        <v>79.69</v>
      </c>
      <c r="DL275" s="56">
        <v>4596.04</v>
      </c>
      <c r="DM275" s="56">
        <v>100</v>
      </c>
      <c r="DN275" s="56">
        <v>4501411978</v>
      </c>
      <c r="DO275" s="56" t="s">
        <v>236</v>
      </c>
      <c r="DQ275" s="56" t="s">
        <v>674</v>
      </c>
      <c r="DR275" s="56">
        <v>3</v>
      </c>
      <c r="DW275" s="56">
        <v>590</v>
      </c>
      <c r="DX275" s="56" t="s">
        <v>678</v>
      </c>
      <c r="DY275" s="56" t="s">
        <v>679</v>
      </c>
      <c r="EL275" s="56">
        <v>25</v>
      </c>
      <c r="EM275" s="56">
        <v>15</v>
      </c>
      <c r="EN275" s="56">
        <v>5173</v>
      </c>
      <c r="EO275" s="56">
        <v>1950</v>
      </c>
      <c r="EP275" s="56" t="s">
        <v>1234</v>
      </c>
      <c r="EQ275" s="56" t="s">
        <v>1803</v>
      </c>
      <c r="ER275" s="56" t="s">
        <v>1804</v>
      </c>
      <c r="ES275" s="56">
        <v>2</v>
      </c>
      <c r="ET275" s="56" t="s">
        <v>682</v>
      </c>
      <c r="EU275" s="56" t="s">
        <v>683</v>
      </c>
      <c r="EV275" s="56" t="s">
        <v>683</v>
      </c>
      <c r="FD275" s="56" t="s">
        <v>2187</v>
      </c>
      <c r="FK275" s="56">
        <v>0</v>
      </c>
    </row>
    <row r="276" spans="1:167" x14ac:dyDescent="0.2">
      <c r="A276" s="56">
        <v>29221</v>
      </c>
      <c r="B276" s="56">
        <v>2</v>
      </c>
      <c r="C276" s="56">
        <v>6352</v>
      </c>
      <c r="D276" s="56" t="s">
        <v>634</v>
      </c>
      <c r="E276" s="56" t="s">
        <v>635</v>
      </c>
      <c r="K276" s="56" t="s">
        <v>2188</v>
      </c>
      <c r="L276" s="56" t="s">
        <v>637</v>
      </c>
      <c r="M276" s="56">
        <v>44954</v>
      </c>
      <c r="N276" s="56">
        <v>44956</v>
      </c>
      <c r="O276" s="56">
        <v>38</v>
      </c>
      <c r="P276" s="56" t="s">
        <v>638</v>
      </c>
      <c r="Q276" s="56">
        <v>2</v>
      </c>
      <c r="R276" s="56" t="s">
        <v>639</v>
      </c>
      <c r="S276" s="56" t="s">
        <v>640</v>
      </c>
      <c r="T276" s="56" t="s">
        <v>641</v>
      </c>
      <c r="U276" s="56" t="s">
        <v>1582</v>
      </c>
      <c r="V276" s="56" t="s">
        <v>643</v>
      </c>
      <c r="W276" s="56">
        <v>48</v>
      </c>
      <c r="X276" s="56" t="s">
        <v>699</v>
      </c>
      <c r="Y276" s="56">
        <v>756</v>
      </c>
      <c r="Z276" s="56" t="s">
        <v>1779</v>
      </c>
      <c r="AB276" s="56" t="s">
        <v>1780</v>
      </c>
      <c r="AC276" s="56" t="s">
        <v>1757</v>
      </c>
      <c r="AD276" s="56" t="s">
        <v>1758</v>
      </c>
      <c r="AE276" s="56">
        <v>51</v>
      </c>
      <c r="AF276" s="56" t="s">
        <v>1228</v>
      </c>
      <c r="AG276" s="56" t="s">
        <v>1583</v>
      </c>
      <c r="AH276" s="56" t="s">
        <v>643</v>
      </c>
      <c r="AI276" s="56" t="s">
        <v>1582</v>
      </c>
      <c r="AJ276" s="56">
        <v>139</v>
      </c>
      <c r="AK276" s="56" t="s">
        <v>651</v>
      </c>
      <c r="AL276" s="56">
        <v>51</v>
      </c>
      <c r="AM276" s="56" t="s">
        <v>1228</v>
      </c>
      <c r="AN276" s="56" t="s">
        <v>1583</v>
      </c>
      <c r="AO276" s="56" t="s">
        <v>1584</v>
      </c>
      <c r="AP276" s="56" t="s">
        <v>643</v>
      </c>
      <c r="AQ276" s="56" t="s">
        <v>1582</v>
      </c>
      <c r="AR276" s="56">
        <v>51</v>
      </c>
      <c r="AS276" s="56" t="s">
        <v>1228</v>
      </c>
      <c r="AT276" s="56" t="s">
        <v>1583</v>
      </c>
      <c r="AU276" s="56" t="s">
        <v>643</v>
      </c>
      <c r="AV276" s="56" t="s">
        <v>1582</v>
      </c>
      <c r="AW276" s="56">
        <v>115</v>
      </c>
      <c r="AX276" s="56" t="s">
        <v>853</v>
      </c>
      <c r="AY276" s="56">
        <v>55</v>
      </c>
      <c r="AZ276" s="56" t="s">
        <v>23</v>
      </c>
      <c r="BA276" s="56" t="s">
        <v>854</v>
      </c>
      <c r="BB276" s="56" t="s">
        <v>844</v>
      </c>
      <c r="BC276" s="56">
        <v>2</v>
      </c>
      <c r="BD276" s="56" t="s">
        <v>289</v>
      </c>
      <c r="BE276" s="56" t="s">
        <v>772</v>
      </c>
      <c r="BF276" s="56">
        <v>2</v>
      </c>
      <c r="BG276" s="56" t="s">
        <v>289</v>
      </c>
      <c r="BH276" s="56" t="s">
        <v>772</v>
      </c>
      <c r="BI276" s="56">
        <v>26.2</v>
      </c>
      <c r="BJ276" s="56">
        <v>62996.85</v>
      </c>
      <c r="BK276" s="56">
        <v>26.2</v>
      </c>
      <c r="BL276" s="56" t="s">
        <v>897</v>
      </c>
      <c r="BM276" s="56">
        <v>3102</v>
      </c>
      <c r="BN276" s="56" t="s">
        <v>660</v>
      </c>
      <c r="BO276" s="56" t="s">
        <v>855</v>
      </c>
      <c r="BP276" s="56">
        <v>6419</v>
      </c>
      <c r="BQ276" s="56">
        <v>5527.22</v>
      </c>
      <c r="BR276" s="56">
        <v>0</v>
      </c>
      <c r="BS276" s="56">
        <v>0</v>
      </c>
      <c r="BT276" s="56">
        <v>0</v>
      </c>
      <c r="BU276" s="56">
        <v>1242</v>
      </c>
      <c r="BV276" s="56">
        <v>51</v>
      </c>
      <c r="BW276" s="56" t="s">
        <v>1228</v>
      </c>
      <c r="BX276" s="56" t="s">
        <v>2189</v>
      </c>
      <c r="BY276" s="56" t="s">
        <v>663</v>
      </c>
      <c r="BZ276" s="56">
        <v>0.5</v>
      </c>
      <c r="CA276" s="56" t="s">
        <v>1587</v>
      </c>
      <c r="CB276" s="56" t="s">
        <v>1782</v>
      </c>
      <c r="CD276" s="56" t="s">
        <v>667</v>
      </c>
      <c r="CG276" s="56">
        <v>0</v>
      </c>
      <c r="CH276" s="56">
        <v>245</v>
      </c>
      <c r="CJ276" s="56">
        <v>100</v>
      </c>
      <c r="CK276" s="56">
        <v>5527.22</v>
      </c>
      <c r="CL276" s="56">
        <v>0</v>
      </c>
      <c r="CN276" s="56">
        <v>770.28</v>
      </c>
      <c r="CO276" s="56">
        <v>770.28</v>
      </c>
      <c r="CP276" s="56">
        <v>121.5</v>
      </c>
      <c r="CQ276" s="56" t="s">
        <v>668</v>
      </c>
      <c r="CR276" s="56">
        <v>0</v>
      </c>
      <c r="CS276" s="56">
        <v>0</v>
      </c>
      <c r="CV276" s="56">
        <v>0</v>
      </c>
      <c r="CX276" s="56">
        <v>0</v>
      </c>
      <c r="CY276" s="56">
        <v>0</v>
      </c>
      <c r="CZ276" s="56">
        <v>511.27</v>
      </c>
      <c r="DA276" s="56">
        <v>511.27</v>
      </c>
      <c r="DB276" s="56">
        <v>0</v>
      </c>
      <c r="DC276" s="56">
        <v>5015.95</v>
      </c>
      <c r="DD276" s="56">
        <v>10.82</v>
      </c>
      <c r="DE276" s="56">
        <v>0</v>
      </c>
      <c r="DF276" s="56">
        <v>10.82</v>
      </c>
      <c r="DH276" s="56" t="s">
        <v>670</v>
      </c>
      <c r="DI276" s="56" t="s">
        <v>671</v>
      </c>
      <c r="DK276" s="56">
        <v>79.87</v>
      </c>
      <c r="DL276" s="56">
        <v>5126.63</v>
      </c>
      <c r="DM276" s="56">
        <v>100</v>
      </c>
      <c r="DN276" s="56">
        <v>4501411978</v>
      </c>
      <c r="DO276" s="56" t="s">
        <v>236</v>
      </c>
      <c r="DQ276" s="56" t="s">
        <v>674</v>
      </c>
      <c r="DR276" s="56">
        <v>3</v>
      </c>
      <c r="DW276" s="56">
        <v>590</v>
      </c>
      <c r="DX276" s="56" t="s">
        <v>678</v>
      </c>
      <c r="DY276" s="56" t="s">
        <v>679</v>
      </c>
      <c r="EL276" s="56">
        <v>25</v>
      </c>
      <c r="EM276" s="56">
        <v>15</v>
      </c>
      <c r="EN276" s="56">
        <v>5173</v>
      </c>
      <c r="EO276" s="56">
        <v>1950</v>
      </c>
      <c r="EP276" s="56" t="s">
        <v>1234</v>
      </c>
      <c r="EQ276" s="56" t="s">
        <v>1803</v>
      </c>
      <c r="ER276" s="56" t="s">
        <v>1804</v>
      </c>
      <c r="ES276" s="56">
        <v>2</v>
      </c>
      <c r="ET276" s="56" t="s">
        <v>682</v>
      </c>
      <c r="EU276" s="56" t="s">
        <v>683</v>
      </c>
      <c r="EV276" s="56" t="s">
        <v>683</v>
      </c>
      <c r="FD276" s="56" t="s">
        <v>2190</v>
      </c>
      <c r="FK276" s="56">
        <v>0</v>
      </c>
    </row>
    <row r="277" spans="1:167" x14ac:dyDescent="0.2">
      <c r="A277" s="56">
        <v>29222</v>
      </c>
      <c r="B277" s="56">
        <v>2</v>
      </c>
      <c r="C277" s="56">
        <v>6352</v>
      </c>
      <c r="D277" s="56" t="s">
        <v>634</v>
      </c>
      <c r="E277" s="56" t="s">
        <v>635</v>
      </c>
      <c r="K277" s="56" t="s">
        <v>2191</v>
      </c>
      <c r="L277" s="56" t="s">
        <v>637</v>
      </c>
      <c r="M277" s="56">
        <v>44954</v>
      </c>
      <c r="N277" s="56">
        <v>44956</v>
      </c>
      <c r="O277" s="56">
        <v>38</v>
      </c>
      <c r="P277" s="56" t="s">
        <v>638</v>
      </c>
      <c r="Q277" s="56">
        <v>2</v>
      </c>
      <c r="R277" s="56" t="s">
        <v>639</v>
      </c>
      <c r="S277" s="56" t="s">
        <v>640</v>
      </c>
      <c r="T277" s="56" t="s">
        <v>641</v>
      </c>
      <c r="U277" s="56" t="s">
        <v>1582</v>
      </c>
      <c r="V277" s="56" t="s">
        <v>643</v>
      </c>
      <c r="W277" s="56">
        <v>48</v>
      </c>
      <c r="X277" s="56" t="s">
        <v>699</v>
      </c>
      <c r="Y277" s="56">
        <v>756</v>
      </c>
      <c r="Z277" s="56" t="s">
        <v>1779</v>
      </c>
      <c r="AB277" s="56" t="s">
        <v>1780</v>
      </c>
      <c r="AC277" s="56" t="s">
        <v>1757</v>
      </c>
      <c r="AD277" s="56" t="s">
        <v>1758</v>
      </c>
      <c r="AE277" s="56">
        <v>51</v>
      </c>
      <c r="AF277" s="56" t="s">
        <v>1228</v>
      </c>
      <c r="AG277" s="56" t="s">
        <v>1583</v>
      </c>
      <c r="AH277" s="56" t="s">
        <v>643</v>
      </c>
      <c r="AI277" s="56" t="s">
        <v>1582</v>
      </c>
      <c r="AJ277" s="56">
        <v>139</v>
      </c>
      <c r="AK277" s="56" t="s">
        <v>651</v>
      </c>
      <c r="AL277" s="56">
        <v>51</v>
      </c>
      <c r="AM277" s="56" t="s">
        <v>1228</v>
      </c>
      <c r="AN277" s="56" t="s">
        <v>1583</v>
      </c>
      <c r="AO277" s="56" t="s">
        <v>1584</v>
      </c>
      <c r="AP277" s="56" t="s">
        <v>643</v>
      </c>
      <c r="AQ277" s="56" t="s">
        <v>1582</v>
      </c>
      <c r="AR277" s="56">
        <v>51</v>
      </c>
      <c r="AS277" s="56" t="s">
        <v>1228</v>
      </c>
      <c r="AT277" s="56" t="s">
        <v>1583</v>
      </c>
      <c r="AU277" s="56" t="s">
        <v>643</v>
      </c>
      <c r="AV277" s="56" t="s">
        <v>1582</v>
      </c>
      <c r="AW277" s="56">
        <v>122</v>
      </c>
      <c r="AX277" s="56" t="s">
        <v>768</v>
      </c>
      <c r="AY277" s="56">
        <v>69</v>
      </c>
      <c r="AZ277" s="56" t="s">
        <v>26</v>
      </c>
      <c r="BA277" s="56" t="s">
        <v>769</v>
      </c>
      <c r="BB277" s="56" t="s">
        <v>770</v>
      </c>
      <c r="BC277" s="56">
        <v>38</v>
      </c>
      <c r="BD277" s="56" t="s">
        <v>289</v>
      </c>
      <c r="BE277" s="56" t="s">
        <v>771</v>
      </c>
      <c r="BF277" s="56">
        <v>2</v>
      </c>
      <c r="BG277" s="56" t="s">
        <v>289</v>
      </c>
      <c r="BH277" s="56" t="s">
        <v>772</v>
      </c>
      <c r="BI277" s="56">
        <v>25.17</v>
      </c>
      <c r="BJ277" s="56">
        <v>60520.26</v>
      </c>
      <c r="BK277" s="56">
        <v>25.17</v>
      </c>
      <c r="BL277" s="56" t="s">
        <v>897</v>
      </c>
      <c r="BM277" s="56">
        <v>3102</v>
      </c>
      <c r="BN277" s="56" t="s">
        <v>724</v>
      </c>
      <c r="BO277" s="56" t="s">
        <v>773</v>
      </c>
      <c r="BP277" s="56">
        <v>6166.65</v>
      </c>
      <c r="BQ277" s="56">
        <v>5426.65</v>
      </c>
      <c r="BR277" s="56">
        <v>0</v>
      </c>
      <c r="BS277" s="56">
        <v>0</v>
      </c>
      <c r="BT277" s="56">
        <v>0</v>
      </c>
      <c r="BU277" s="56">
        <v>1243</v>
      </c>
      <c r="BV277" s="56">
        <v>51</v>
      </c>
      <c r="BW277" s="56" t="s">
        <v>1228</v>
      </c>
      <c r="BX277" s="56" t="s">
        <v>2192</v>
      </c>
      <c r="BY277" s="56" t="s">
        <v>663</v>
      </c>
      <c r="BZ277" s="56">
        <v>0.5</v>
      </c>
      <c r="CA277" s="56" t="s">
        <v>1587</v>
      </c>
      <c r="CB277" s="56" t="s">
        <v>1782</v>
      </c>
      <c r="CD277" s="56" t="s">
        <v>667</v>
      </c>
      <c r="CG277" s="56">
        <v>0</v>
      </c>
      <c r="CH277" s="56">
        <v>245</v>
      </c>
      <c r="CJ277" s="56">
        <v>100</v>
      </c>
      <c r="CK277" s="56">
        <v>5426.65</v>
      </c>
      <c r="CL277" s="56">
        <v>0</v>
      </c>
      <c r="CN277" s="56">
        <v>740</v>
      </c>
      <c r="CO277" s="56">
        <v>740</v>
      </c>
      <c r="CP277" s="56">
        <v>0</v>
      </c>
      <c r="CQ277" s="56" t="s">
        <v>708</v>
      </c>
      <c r="CR277" s="56">
        <v>0</v>
      </c>
      <c r="CS277" s="56">
        <v>0</v>
      </c>
      <c r="CV277" s="56">
        <v>0</v>
      </c>
      <c r="CX277" s="56">
        <v>0</v>
      </c>
      <c r="CY277" s="56">
        <v>0</v>
      </c>
      <c r="CZ277" s="56">
        <v>501.97</v>
      </c>
      <c r="DA277" s="56">
        <v>501.97</v>
      </c>
      <c r="DB277" s="56">
        <v>0</v>
      </c>
      <c r="DC277" s="56">
        <v>4924.68</v>
      </c>
      <c r="DD277" s="56">
        <v>10.4</v>
      </c>
      <c r="DE277" s="56">
        <v>0</v>
      </c>
      <c r="DF277" s="56">
        <v>10.4</v>
      </c>
      <c r="DH277" s="56" t="s">
        <v>670</v>
      </c>
      <c r="DI277" s="56" t="s">
        <v>671</v>
      </c>
      <c r="DK277" s="56">
        <v>79.69</v>
      </c>
      <c r="DL277" s="56">
        <v>4914.28</v>
      </c>
      <c r="DM277" s="56">
        <v>100</v>
      </c>
      <c r="DN277" s="56">
        <v>4501411978</v>
      </c>
      <c r="DO277" s="56" t="s">
        <v>236</v>
      </c>
      <c r="DQ277" s="56" t="s">
        <v>674</v>
      </c>
      <c r="DR277" s="56">
        <v>3</v>
      </c>
      <c r="DW277" s="56">
        <v>590</v>
      </c>
      <c r="DX277" s="56" t="s">
        <v>678</v>
      </c>
      <c r="DY277" s="56" t="s">
        <v>679</v>
      </c>
      <c r="EL277" s="56">
        <v>25</v>
      </c>
      <c r="EM277" s="56">
        <v>15</v>
      </c>
      <c r="EN277" s="56">
        <v>5173</v>
      </c>
      <c r="EO277" s="56">
        <v>1950</v>
      </c>
      <c r="EP277" s="56" t="s">
        <v>1234</v>
      </c>
      <c r="EQ277" s="56" t="s">
        <v>1803</v>
      </c>
      <c r="ER277" s="56" t="s">
        <v>1804</v>
      </c>
      <c r="ES277" s="56">
        <v>2</v>
      </c>
      <c r="ET277" s="56" t="s">
        <v>682</v>
      </c>
      <c r="EU277" s="56" t="s">
        <v>683</v>
      </c>
      <c r="EV277" s="56" t="s">
        <v>683</v>
      </c>
      <c r="FD277" s="56" t="s">
        <v>2193</v>
      </c>
      <c r="FK277" s="56">
        <v>0</v>
      </c>
    </row>
    <row r="278" spans="1:167" x14ac:dyDescent="0.2">
      <c r="A278" s="56">
        <v>29223</v>
      </c>
      <c r="B278" s="56">
        <v>2</v>
      </c>
      <c r="C278" s="56">
        <v>6352</v>
      </c>
      <c r="D278" s="56" t="s">
        <v>634</v>
      </c>
      <c r="E278" s="56" t="s">
        <v>635</v>
      </c>
      <c r="K278" s="56" t="s">
        <v>2194</v>
      </c>
      <c r="L278" s="56" t="s">
        <v>637</v>
      </c>
      <c r="M278" s="56">
        <v>44954</v>
      </c>
      <c r="N278" s="56">
        <v>44956</v>
      </c>
      <c r="O278" s="56">
        <v>38</v>
      </c>
      <c r="P278" s="56" t="s">
        <v>638</v>
      </c>
      <c r="Q278" s="56">
        <v>2</v>
      </c>
      <c r="R278" s="56" t="s">
        <v>639</v>
      </c>
      <c r="S278" s="56" t="s">
        <v>640</v>
      </c>
      <c r="T278" s="56" t="s">
        <v>641</v>
      </c>
      <c r="U278" s="56" t="s">
        <v>1582</v>
      </c>
      <c r="V278" s="56" t="s">
        <v>643</v>
      </c>
      <c r="W278" s="56">
        <v>48</v>
      </c>
      <c r="X278" s="56" t="s">
        <v>699</v>
      </c>
      <c r="Y278" s="56">
        <v>756</v>
      </c>
      <c r="Z278" s="56" t="s">
        <v>1779</v>
      </c>
      <c r="AB278" s="56" t="s">
        <v>1780</v>
      </c>
      <c r="AC278" s="56" t="s">
        <v>1757</v>
      </c>
      <c r="AD278" s="56" t="s">
        <v>1758</v>
      </c>
      <c r="AE278" s="56">
        <v>51</v>
      </c>
      <c r="AF278" s="56" t="s">
        <v>1228</v>
      </c>
      <c r="AG278" s="56" t="s">
        <v>1583</v>
      </c>
      <c r="AH278" s="56" t="s">
        <v>643</v>
      </c>
      <c r="AI278" s="56" t="s">
        <v>1582</v>
      </c>
      <c r="AJ278" s="56">
        <v>139</v>
      </c>
      <c r="AK278" s="56" t="s">
        <v>651</v>
      </c>
      <c r="AL278" s="56">
        <v>51</v>
      </c>
      <c r="AM278" s="56" t="s">
        <v>1228</v>
      </c>
      <c r="AN278" s="56" t="s">
        <v>1583</v>
      </c>
      <c r="AO278" s="56" t="s">
        <v>1584</v>
      </c>
      <c r="AP278" s="56" t="s">
        <v>643</v>
      </c>
      <c r="AQ278" s="56" t="s">
        <v>1582</v>
      </c>
      <c r="AR278" s="56">
        <v>51</v>
      </c>
      <c r="AS278" s="56" t="s">
        <v>1228</v>
      </c>
      <c r="AT278" s="56" t="s">
        <v>1583</v>
      </c>
      <c r="AU278" s="56" t="s">
        <v>643</v>
      </c>
      <c r="AV278" s="56" t="s">
        <v>1582</v>
      </c>
      <c r="AW278" s="56">
        <v>122</v>
      </c>
      <c r="AX278" s="56" t="s">
        <v>768</v>
      </c>
      <c r="AY278" s="56">
        <v>69</v>
      </c>
      <c r="AZ278" s="56" t="s">
        <v>26</v>
      </c>
      <c r="BA278" s="56" t="s">
        <v>769</v>
      </c>
      <c r="BB278" s="56" t="s">
        <v>770</v>
      </c>
      <c r="BC278" s="56">
        <v>38</v>
      </c>
      <c r="BD278" s="56" t="s">
        <v>289</v>
      </c>
      <c r="BE278" s="56" t="s">
        <v>771</v>
      </c>
      <c r="BF278" s="56">
        <v>2</v>
      </c>
      <c r="BG278" s="56" t="s">
        <v>289</v>
      </c>
      <c r="BH278" s="56" t="s">
        <v>772</v>
      </c>
      <c r="BI278" s="56">
        <v>27.2</v>
      </c>
      <c r="BJ278" s="56">
        <v>65401.31</v>
      </c>
      <c r="BK278" s="56">
        <v>27.2</v>
      </c>
      <c r="BL278" s="56" t="s">
        <v>897</v>
      </c>
      <c r="BM278" s="56">
        <v>3102</v>
      </c>
      <c r="BN278" s="56" t="s">
        <v>724</v>
      </c>
      <c r="BO278" s="56" t="s">
        <v>773</v>
      </c>
      <c r="BP278" s="56">
        <v>6664</v>
      </c>
      <c r="BQ278" s="56">
        <v>5742.82</v>
      </c>
      <c r="BR278" s="56">
        <v>0</v>
      </c>
      <c r="BS278" s="56">
        <v>0</v>
      </c>
      <c r="BT278" s="56">
        <v>0</v>
      </c>
      <c r="BU278" s="56">
        <v>1244</v>
      </c>
      <c r="BV278" s="56">
        <v>51</v>
      </c>
      <c r="BW278" s="56" t="s">
        <v>1228</v>
      </c>
      <c r="BX278" s="56" t="s">
        <v>2195</v>
      </c>
      <c r="BY278" s="56" t="s">
        <v>663</v>
      </c>
      <c r="BZ278" s="56">
        <v>0.5</v>
      </c>
      <c r="CA278" s="56" t="s">
        <v>1587</v>
      </c>
      <c r="CB278" s="56" t="s">
        <v>1782</v>
      </c>
      <c r="CD278" s="56" t="s">
        <v>667</v>
      </c>
      <c r="CG278" s="56">
        <v>0</v>
      </c>
      <c r="CH278" s="56">
        <v>245</v>
      </c>
      <c r="CJ278" s="56">
        <v>100</v>
      </c>
      <c r="CK278" s="56">
        <v>5742.82</v>
      </c>
      <c r="CL278" s="56">
        <v>0</v>
      </c>
      <c r="CN278" s="56">
        <v>799.68</v>
      </c>
      <c r="CO278" s="56">
        <v>799.68</v>
      </c>
      <c r="CP278" s="56">
        <v>121.5</v>
      </c>
      <c r="CQ278" s="56" t="s">
        <v>668</v>
      </c>
      <c r="CR278" s="56">
        <v>0</v>
      </c>
      <c r="CS278" s="56">
        <v>0</v>
      </c>
      <c r="CV278" s="56">
        <v>0</v>
      </c>
      <c r="CX278" s="56">
        <v>0</v>
      </c>
      <c r="CY278" s="56">
        <v>0</v>
      </c>
      <c r="CZ278" s="56">
        <v>531.21</v>
      </c>
      <c r="DA278" s="56">
        <v>531.21</v>
      </c>
      <c r="DB278" s="56">
        <v>0</v>
      </c>
      <c r="DC278" s="56">
        <v>5211.6099999999997</v>
      </c>
      <c r="DD278" s="56">
        <v>11.24</v>
      </c>
      <c r="DE278" s="56">
        <v>0</v>
      </c>
      <c r="DF278" s="56">
        <v>11.24</v>
      </c>
      <c r="DH278" s="56" t="s">
        <v>670</v>
      </c>
      <c r="DI278" s="56" t="s">
        <v>671</v>
      </c>
      <c r="DK278" s="56">
        <v>79.86</v>
      </c>
      <c r="DL278" s="56">
        <v>5321.87</v>
      </c>
      <c r="DM278" s="56">
        <v>100</v>
      </c>
      <c r="DN278" s="56">
        <v>4501411978</v>
      </c>
      <c r="DO278" s="56" t="s">
        <v>236</v>
      </c>
      <c r="DQ278" s="56" t="s">
        <v>674</v>
      </c>
      <c r="DR278" s="56">
        <v>3</v>
      </c>
      <c r="DW278" s="56">
        <v>590</v>
      </c>
      <c r="DX278" s="56" t="s">
        <v>678</v>
      </c>
      <c r="DY278" s="56" t="s">
        <v>679</v>
      </c>
      <c r="EL278" s="56">
        <v>25</v>
      </c>
      <c r="EM278" s="56">
        <v>15</v>
      </c>
      <c r="EN278" s="56">
        <v>5173</v>
      </c>
      <c r="EO278" s="56">
        <v>1950</v>
      </c>
      <c r="EP278" s="56" t="s">
        <v>1234</v>
      </c>
      <c r="EQ278" s="56" t="s">
        <v>1803</v>
      </c>
      <c r="ER278" s="56" t="s">
        <v>1804</v>
      </c>
      <c r="ES278" s="56">
        <v>2</v>
      </c>
      <c r="ET278" s="56" t="s">
        <v>682</v>
      </c>
      <c r="EU278" s="56" t="s">
        <v>683</v>
      </c>
      <c r="EV278" s="56" t="s">
        <v>683</v>
      </c>
      <c r="FD278" s="56" t="s">
        <v>2196</v>
      </c>
      <c r="FK278" s="56">
        <v>0</v>
      </c>
    </row>
    <row r="279" spans="1:167" x14ac:dyDescent="0.2">
      <c r="A279" s="56">
        <v>29224</v>
      </c>
      <c r="B279" s="56">
        <v>2</v>
      </c>
      <c r="C279" s="56">
        <v>6352</v>
      </c>
      <c r="D279" s="56" t="s">
        <v>634</v>
      </c>
      <c r="E279" s="56" t="s">
        <v>635</v>
      </c>
      <c r="K279" s="56" t="s">
        <v>2197</v>
      </c>
      <c r="L279" s="56" t="s">
        <v>637</v>
      </c>
      <c r="M279" s="56">
        <v>44954</v>
      </c>
      <c r="N279" s="56">
        <v>44956</v>
      </c>
      <c r="O279" s="56">
        <v>38</v>
      </c>
      <c r="P279" s="56" t="s">
        <v>638</v>
      </c>
      <c r="Q279" s="56">
        <v>2</v>
      </c>
      <c r="R279" s="56" t="s">
        <v>639</v>
      </c>
      <c r="S279" s="56" t="s">
        <v>640</v>
      </c>
      <c r="T279" s="56" t="s">
        <v>641</v>
      </c>
      <c r="U279" s="56" t="s">
        <v>1227</v>
      </c>
      <c r="V279" s="56" t="s">
        <v>643</v>
      </c>
      <c r="W279" s="56">
        <v>48</v>
      </c>
      <c r="X279" s="56" t="s">
        <v>699</v>
      </c>
      <c r="Y279" s="56">
        <v>51</v>
      </c>
      <c r="Z279" s="56" t="s">
        <v>1228</v>
      </c>
      <c r="AA279" s="56" t="s">
        <v>1583</v>
      </c>
      <c r="AB279" s="56" t="s">
        <v>1584</v>
      </c>
      <c r="AC279" s="56" t="s">
        <v>643</v>
      </c>
      <c r="AD279" s="56" t="s">
        <v>1582</v>
      </c>
      <c r="AE279" s="56">
        <v>52</v>
      </c>
      <c r="AF279" s="56" t="s">
        <v>1228</v>
      </c>
      <c r="AG279" s="56" t="s">
        <v>1229</v>
      </c>
      <c r="AH279" s="56" t="s">
        <v>643</v>
      </c>
      <c r="AI279" s="56" t="s">
        <v>1227</v>
      </c>
      <c r="AJ279" s="56">
        <v>431</v>
      </c>
      <c r="AK279" s="56" t="s">
        <v>1759</v>
      </c>
      <c r="AL279" s="56">
        <v>52</v>
      </c>
      <c r="AM279" s="56" t="s">
        <v>1228</v>
      </c>
      <c r="AN279" s="56" t="s">
        <v>1229</v>
      </c>
      <c r="AO279" s="56" t="s">
        <v>1230</v>
      </c>
      <c r="AP279" s="56" t="s">
        <v>643</v>
      </c>
      <c r="AQ279" s="56" t="s">
        <v>1227</v>
      </c>
      <c r="AR279" s="56">
        <v>52</v>
      </c>
      <c r="AS279" s="56" t="s">
        <v>1228</v>
      </c>
      <c r="AT279" s="56" t="s">
        <v>1229</v>
      </c>
      <c r="AU279" s="56" t="s">
        <v>643</v>
      </c>
      <c r="AV279" s="56" t="s">
        <v>1227</v>
      </c>
      <c r="AW279" s="56">
        <v>151</v>
      </c>
      <c r="AX279" s="56" t="s">
        <v>2198</v>
      </c>
      <c r="AY279" s="56">
        <v>95</v>
      </c>
      <c r="AZ279" s="56" t="s">
        <v>2199</v>
      </c>
      <c r="BA279" s="56" t="s">
        <v>2200</v>
      </c>
      <c r="BB279" s="56" t="s">
        <v>1363</v>
      </c>
      <c r="BC279" s="56">
        <v>147</v>
      </c>
      <c r="BD279" s="56" t="s">
        <v>1364</v>
      </c>
      <c r="BE279" s="56" t="s">
        <v>1365</v>
      </c>
      <c r="BF279" s="56">
        <v>147</v>
      </c>
      <c r="BG279" s="56" t="s">
        <v>1364</v>
      </c>
      <c r="BH279" s="56" t="s">
        <v>1365</v>
      </c>
      <c r="BI279" s="56">
        <v>50.4</v>
      </c>
      <c r="BJ279" s="56">
        <v>69074.710000000006</v>
      </c>
      <c r="BK279" s="56">
        <v>50.4</v>
      </c>
      <c r="BL279" s="56" t="s">
        <v>1274</v>
      </c>
      <c r="BM279" s="56">
        <v>3102</v>
      </c>
      <c r="BN279" s="56" t="s">
        <v>1366</v>
      </c>
      <c r="BO279" s="56" t="s">
        <v>2201</v>
      </c>
      <c r="BP279" s="56">
        <v>8316</v>
      </c>
      <c r="BQ279" s="56">
        <v>7220.88</v>
      </c>
      <c r="BR279" s="56">
        <v>0</v>
      </c>
      <c r="BS279" s="56">
        <v>0</v>
      </c>
      <c r="BT279" s="56">
        <v>5799.6</v>
      </c>
      <c r="BU279" s="56">
        <v>1236</v>
      </c>
      <c r="BV279" s="56">
        <v>52</v>
      </c>
      <c r="BW279" s="56" t="s">
        <v>1228</v>
      </c>
      <c r="BX279" s="56" t="s">
        <v>2202</v>
      </c>
      <c r="BY279" s="56" t="s">
        <v>663</v>
      </c>
      <c r="BZ279" s="56">
        <v>0.5</v>
      </c>
      <c r="CA279" s="56" t="s">
        <v>1587</v>
      </c>
      <c r="CB279" s="56" t="s">
        <v>2030</v>
      </c>
      <c r="CC279" s="56" t="s">
        <v>2203</v>
      </c>
      <c r="CD279" s="56" t="s">
        <v>667</v>
      </c>
      <c r="CF279" s="56">
        <v>0</v>
      </c>
      <c r="CG279" s="56">
        <v>0</v>
      </c>
      <c r="CH279" s="56">
        <v>165</v>
      </c>
      <c r="CI279" s="56">
        <v>117</v>
      </c>
      <c r="CJ279" s="56">
        <v>19.68</v>
      </c>
      <c r="CK279" s="56">
        <v>7220.88</v>
      </c>
      <c r="CL279" s="56">
        <v>5799.6</v>
      </c>
      <c r="CM279" s="56">
        <v>25.65</v>
      </c>
      <c r="CN279" s="56">
        <v>997.92</v>
      </c>
      <c r="CO279" s="56">
        <v>997.92</v>
      </c>
      <c r="CP279" s="56">
        <v>97.2</v>
      </c>
      <c r="CQ279" s="56" t="s">
        <v>668</v>
      </c>
      <c r="CR279" s="56">
        <v>0</v>
      </c>
      <c r="CS279" s="56">
        <v>97.2</v>
      </c>
      <c r="CT279" s="56" t="s">
        <v>669</v>
      </c>
      <c r="CU279" s="56">
        <v>0</v>
      </c>
      <c r="CV279" s="56">
        <v>0</v>
      </c>
      <c r="CX279" s="56">
        <v>1421.28</v>
      </c>
      <c r="CY279" s="56">
        <v>0</v>
      </c>
      <c r="CZ279" s="56">
        <v>131.47</v>
      </c>
      <c r="DA279" s="56">
        <v>667.93</v>
      </c>
      <c r="DB279" s="56">
        <v>536.46</v>
      </c>
      <c r="DC279" s="56">
        <v>7089.41</v>
      </c>
      <c r="DD279" s="56">
        <v>-22.67</v>
      </c>
      <c r="DE279" s="56">
        <v>0</v>
      </c>
      <c r="DF279" s="56">
        <v>11.87</v>
      </c>
      <c r="DG279" s="56">
        <v>34.54</v>
      </c>
      <c r="DH279" s="56" t="s">
        <v>670</v>
      </c>
      <c r="DI279" s="56" t="s">
        <v>671</v>
      </c>
      <c r="DK279" s="56">
        <v>15.78</v>
      </c>
      <c r="DL279" s="56">
        <v>1312.48</v>
      </c>
      <c r="DM279" s="56">
        <v>106</v>
      </c>
      <c r="DN279" s="56">
        <v>4501413837</v>
      </c>
      <c r="DO279" s="56" t="s">
        <v>236</v>
      </c>
      <c r="DP279" s="56" t="s">
        <v>673</v>
      </c>
      <c r="DQ279" s="56" t="s">
        <v>674</v>
      </c>
      <c r="DR279" s="56">
        <v>3</v>
      </c>
      <c r="DW279" s="56">
        <v>380</v>
      </c>
      <c r="DX279" s="56" t="s">
        <v>678</v>
      </c>
      <c r="DY279" s="56" t="s">
        <v>679</v>
      </c>
      <c r="ED279" s="56">
        <v>2</v>
      </c>
      <c r="EE279" s="56" t="s">
        <v>639</v>
      </c>
      <c r="EF279" s="56">
        <v>2</v>
      </c>
      <c r="EG279" s="56" t="s">
        <v>639</v>
      </c>
      <c r="EH279" s="56">
        <v>2</v>
      </c>
      <c r="EI279" s="56" t="s">
        <v>639</v>
      </c>
      <c r="EJ279" s="56">
        <v>2</v>
      </c>
      <c r="EK279" s="56" t="s">
        <v>639</v>
      </c>
      <c r="EL279" s="56">
        <v>25</v>
      </c>
      <c r="EM279" s="56">
        <v>15</v>
      </c>
      <c r="EN279" s="56">
        <v>5173</v>
      </c>
      <c r="EO279" s="56">
        <v>2420</v>
      </c>
      <c r="EP279" s="56" t="s">
        <v>1234</v>
      </c>
      <c r="EQ279" s="56" t="s">
        <v>2204</v>
      </c>
      <c r="ER279" s="56" t="s">
        <v>1764</v>
      </c>
      <c r="ES279" s="56">
        <v>2</v>
      </c>
      <c r="ET279" s="56" t="s">
        <v>682</v>
      </c>
      <c r="EU279" s="56" t="s">
        <v>683</v>
      </c>
      <c r="EV279" s="56" t="s">
        <v>683</v>
      </c>
      <c r="FD279" s="56" t="s">
        <v>2205</v>
      </c>
      <c r="FK279" s="56">
        <v>0</v>
      </c>
    </row>
    <row r="280" spans="1:167" x14ac:dyDescent="0.2">
      <c r="A280" s="56">
        <v>29225</v>
      </c>
      <c r="B280" s="56">
        <v>2</v>
      </c>
      <c r="C280" s="56">
        <v>6352</v>
      </c>
      <c r="D280" s="56" t="s">
        <v>634</v>
      </c>
      <c r="E280" s="56" t="s">
        <v>635</v>
      </c>
      <c r="K280" s="56" t="s">
        <v>2206</v>
      </c>
      <c r="L280" s="56" t="s">
        <v>637</v>
      </c>
      <c r="M280" s="56">
        <v>44954</v>
      </c>
      <c r="N280" s="56">
        <v>44956</v>
      </c>
      <c r="O280" s="56">
        <v>38</v>
      </c>
      <c r="P280" s="56" t="s">
        <v>638</v>
      </c>
      <c r="Q280" s="56">
        <v>2</v>
      </c>
      <c r="R280" s="56" t="s">
        <v>639</v>
      </c>
      <c r="S280" s="56" t="s">
        <v>640</v>
      </c>
      <c r="T280" s="56" t="s">
        <v>641</v>
      </c>
      <c r="U280" s="56" t="s">
        <v>1227</v>
      </c>
      <c r="V280" s="56" t="s">
        <v>643</v>
      </c>
      <c r="W280" s="56">
        <v>48</v>
      </c>
      <c r="X280" s="56" t="s">
        <v>699</v>
      </c>
      <c r="Y280" s="56">
        <v>51</v>
      </c>
      <c r="Z280" s="56" t="s">
        <v>1228</v>
      </c>
      <c r="AA280" s="56" t="s">
        <v>1583</v>
      </c>
      <c r="AB280" s="56" t="s">
        <v>1584</v>
      </c>
      <c r="AC280" s="56" t="s">
        <v>643</v>
      </c>
      <c r="AD280" s="56" t="s">
        <v>1582</v>
      </c>
      <c r="AE280" s="56">
        <v>52</v>
      </c>
      <c r="AF280" s="56" t="s">
        <v>1228</v>
      </c>
      <c r="AG280" s="56" t="s">
        <v>1229</v>
      </c>
      <c r="AH280" s="56" t="s">
        <v>643</v>
      </c>
      <c r="AI280" s="56" t="s">
        <v>1227</v>
      </c>
      <c r="AJ280" s="56">
        <v>431</v>
      </c>
      <c r="AK280" s="56" t="s">
        <v>1759</v>
      </c>
      <c r="AL280" s="56">
        <v>52</v>
      </c>
      <c r="AM280" s="56" t="s">
        <v>1228</v>
      </c>
      <c r="AN280" s="56" t="s">
        <v>1229</v>
      </c>
      <c r="AO280" s="56" t="s">
        <v>1230</v>
      </c>
      <c r="AP280" s="56" t="s">
        <v>643</v>
      </c>
      <c r="AQ280" s="56" t="s">
        <v>1227</v>
      </c>
      <c r="AR280" s="56">
        <v>52</v>
      </c>
      <c r="AS280" s="56" t="s">
        <v>1228</v>
      </c>
      <c r="AT280" s="56" t="s">
        <v>1229</v>
      </c>
      <c r="AU280" s="56" t="s">
        <v>643</v>
      </c>
      <c r="AV280" s="56" t="s">
        <v>1227</v>
      </c>
      <c r="AW280" s="56">
        <v>1254</v>
      </c>
      <c r="AX280" s="56" t="s">
        <v>2207</v>
      </c>
      <c r="AY280" s="56">
        <v>961</v>
      </c>
      <c r="AZ280" s="56" t="s">
        <v>2208</v>
      </c>
      <c r="BA280" s="56" t="s">
        <v>2209</v>
      </c>
      <c r="BB280" s="56" t="s">
        <v>1291</v>
      </c>
      <c r="BC280" s="56">
        <v>765</v>
      </c>
      <c r="BD280" s="56" t="s">
        <v>1292</v>
      </c>
      <c r="BE280" s="56" t="s">
        <v>1293</v>
      </c>
      <c r="BF280" s="56">
        <v>765</v>
      </c>
      <c r="BG280" s="56" t="s">
        <v>1292</v>
      </c>
      <c r="BH280" s="56" t="s">
        <v>1293</v>
      </c>
      <c r="BI280" s="56">
        <v>37.979999999999997</v>
      </c>
      <c r="BJ280" s="56">
        <v>52052.73</v>
      </c>
      <c r="BK280" s="56">
        <v>37.979999999999997</v>
      </c>
      <c r="BL280" s="56" t="s">
        <v>1274</v>
      </c>
      <c r="BM280" s="56">
        <v>3102</v>
      </c>
      <c r="BN280" s="56" t="s">
        <v>744</v>
      </c>
      <c r="BO280" s="56" t="s">
        <v>2210</v>
      </c>
      <c r="BP280" s="56">
        <v>6266.7</v>
      </c>
      <c r="BQ280" s="56">
        <v>5439.1</v>
      </c>
      <c r="BR280" s="56">
        <v>0</v>
      </c>
      <c r="BS280" s="56">
        <v>0</v>
      </c>
      <c r="BT280" s="56">
        <v>4292.1000000000004</v>
      </c>
      <c r="BU280" s="56">
        <v>1237</v>
      </c>
      <c r="BV280" s="56">
        <v>52</v>
      </c>
      <c r="BW280" s="56" t="s">
        <v>1228</v>
      </c>
      <c r="BX280" s="56" t="s">
        <v>2211</v>
      </c>
      <c r="BY280" s="56" t="s">
        <v>663</v>
      </c>
      <c r="BZ280" s="56">
        <v>0.5</v>
      </c>
      <c r="CA280" s="56" t="s">
        <v>1587</v>
      </c>
      <c r="CB280" s="56" t="s">
        <v>2030</v>
      </c>
      <c r="CC280" s="56" t="s">
        <v>2212</v>
      </c>
      <c r="CD280" s="56" t="s">
        <v>667</v>
      </c>
      <c r="CF280" s="56">
        <v>0</v>
      </c>
      <c r="CG280" s="56">
        <v>0</v>
      </c>
      <c r="CH280" s="56">
        <v>165</v>
      </c>
      <c r="CI280" s="56">
        <v>115</v>
      </c>
      <c r="CJ280" s="56">
        <v>21.09</v>
      </c>
      <c r="CK280" s="56">
        <v>5439.1</v>
      </c>
      <c r="CL280" s="56">
        <v>4292.1000000000004</v>
      </c>
      <c r="CM280" s="56">
        <v>57.53</v>
      </c>
      <c r="CN280" s="56">
        <v>752</v>
      </c>
      <c r="CO280" s="56">
        <v>752</v>
      </c>
      <c r="CP280" s="56">
        <v>75.599999999999994</v>
      </c>
      <c r="CQ280" s="56" t="s">
        <v>668</v>
      </c>
      <c r="CR280" s="56">
        <v>0</v>
      </c>
      <c r="CS280" s="56">
        <v>75.599999999999994</v>
      </c>
      <c r="CT280" s="56" t="s">
        <v>669</v>
      </c>
      <c r="CU280" s="56">
        <v>0</v>
      </c>
      <c r="CV280" s="56">
        <v>0</v>
      </c>
      <c r="CX280" s="56">
        <v>1147</v>
      </c>
      <c r="CY280" s="56">
        <v>0</v>
      </c>
      <c r="CZ280" s="56">
        <v>205.36</v>
      </c>
      <c r="DA280" s="56">
        <v>503.12</v>
      </c>
      <c r="DB280" s="56">
        <v>297.76</v>
      </c>
      <c r="DC280" s="56">
        <v>5233.74</v>
      </c>
      <c r="DD280" s="56">
        <v>-17.09</v>
      </c>
      <c r="DE280" s="56">
        <v>0</v>
      </c>
      <c r="DF280" s="56">
        <v>8.94</v>
      </c>
      <c r="DG280" s="56">
        <v>26.03</v>
      </c>
      <c r="DH280" s="56" t="s">
        <v>670</v>
      </c>
      <c r="DI280" s="56" t="s">
        <v>671</v>
      </c>
      <c r="DK280" s="56">
        <v>15.3</v>
      </c>
      <c r="DL280" s="56">
        <v>958.73</v>
      </c>
      <c r="DM280" s="56">
        <v>106</v>
      </c>
      <c r="DN280" s="56">
        <v>4501413837</v>
      </c>
      <c r="DO280" s="56" t="s">
        <v>236</v>
      </c>
      <c r="DP280" s="56" t="s">
        <v>673</v>
      </c>
      <c r="DQ280" s="56" t="s">
        <v>674</v>
      </c>
      <c r="DR280" s="56">
        <v>2</v>
      </c>
      <c r="DW280" s="56">
        <v>380</v>
      </c>
      <c r="DX280" s="56" t="s">
        <v>678</v>
      </c>
      <c r="DY280" s="56" t="s">
        <v>679</v>
      </c>
      <c r="ED280" s="56">
        <v>2</v>
      </c>
      <c r="EE280" s="56" t="s">
        <v>639</v>
      </c>
      <c r="EF280" s="56">
        <v>2</v>
      </c>
      <c r="EG280" s="56" t="s">
        <v>639</v>
      </c>
      <c r="EH280" s="56">
        <v>2</v>
      </c>
      <c r="EI280" s="56" t="s">
        <v>639</v>
      </c>
      <c r="EJ280" s="56">
        <v>2</v>
      </c>
      <c r="EK280" s="56" t="s">
        <v>639</v>
      </c>
      <c r="EL280" s="56">
        <v>25</v>
      </c>
      <c r="EM280" s="56">
        <v>15</v>
      </c>
      <c r="EN280" s="56">
        <v>5173</v>
      </c>
      <c r="EO280" s="56">
        <v>2420</v>
      </c>
      <c r="EP280" s="56" t="s">
        <v>1234</v>
      </c>
      <c r="EQ280" s="56" t="s">
        <v>2204</v>
      </c>
      <c r="ER280" s="56" t="s">
        <v>1764</v>
      </c>
      <c r="ES280" s="56">
        <v>2</v>
      </c>
      <c r="ET280" s="56" t="s">
        <v>682</v>
      </c>
      <c r="EU280" s="56" t="s">
        <v>683</v>
      </c>
      <c r="EV280" s="56" t="s">
        <v>683</v>
      </c>
      <c r="FD280" s="56" t="s">
        <v>2213</v>
      </c>
      <c r="FK280" s="56">
        <v>0</v>
      </c>
    </row>
    <row r="281" spans="1:167" x14ac:dyDescent="0.2">
      <c r="A281" s="56">
        <v>29226</v>
      </c>
      <c r="B281" s="56">
        <v>2</v>
      </c>
      <c r="C281" s="56">
        <v>6352</v>
      </c>
      <c r="D281" s="56" t="s">
        <v>634</v>
      </c>
      <c r="E281" s="56" t="s">
        <v>635</v>
      </c>
      <c r="K281" s="56" t="s">
        <v>2214</v>
      </c>
      <c r="L281" s="56" t="s">
        <v>637</v>
      </c>
      <c r="M281" s="56">
        <v>44955</v>
      </c>
      <c r="N281" s="56">
        <v>44957</v>
      </c>
      <c r="O281" s="56">
        <v>38</v>
      </c>
      <c r="P281" s="56" t="s">
        <v>638</v>
      </c>
      <c r="Q281" s="56">
        <v>2</v>
      </c>
      <c r="R281" s="56" t="s">
        <v>639</v>
      </c>
      <c r="S281" s="56" t="s">
        <v>640</v>
      </c>
      <c r="T281" s="56" t="s">
        <v>641</v>
      </c>
      <c r="U281" s="56" t="s">
        <v>1227</v>
      </c>
      <c r="V281" s="56" t="s">
        <v>643</v>
      </c>
      <c r="W281" s="56">
        <v>48</v>
      </c>
      <c r="X281" s="56" t="s">
        <v>699</v>
      </c>
      <c r="Y281" s="56">
        <v>51</v>
      </c>
      <c r="Z281" s="56" t="s">
        <v>1228</v>
      </c>
      <c r="AA281" s="56" t="s">
        <v>1583</v>
      </c>
      <c r="AB281" s="56" t="s">
        <v>1584</v>
      </c>
      <c r="AC281" s="56" t="s">
        <v>643</v>
      </c>
      <c r="AD281" s="56" t="s">
        <v>1582</v>
      </c>
      <c r="AE281" s="56">
        <v>52</v>
      </c>
      <c r="AF281" s="56" t="s">
        <v>1228</v>
      </c>
      <c r="AG281" s="56" t="s">
        <v>1229</v>
      </c>
      <c r="AH281" s="56" t="s">
        <v>643</v>
      </c>
      <c r="AI281" s="56" t="s">
        <v>1227</v>
      </c>
      <c r="AJ281" s="56">
        <v>431</v>
      </c>
      <c r="AK281" s="56" t="s">
        <v>1759</v>
      </c>
      <c r="AL281" s="56">
        <v>52</v>
      </c>
      <c r="AM281" s="56" t="s">
        <v>1228</v>
      </c>
      <c r="AN281" s="56" t="s">
        <v>1229</v>
      </c>
      <c r="AO281" s="56" t="s">
        <v>1230</v>
      </c>
      <c r="AP281" s="56" t="s">
        <v>643</v>
      </c>
      <c r="AQ281" s="56" t="s">
        <v>1227</v>
      </c>
      <c r="AR281" s="56">
        <v>52</v>
      </c>
      <c r="AS281" s="56" t="s">
        <v>1228</v>
      </c>
      <c r="AT281" s="56" t="s">
        <v>1229</v>
      </c>
      <c r="AU281" s="56" t="s">
        <v>643</v>
      </c>
      <c r="AV281" s="56" t="s">
        <v>1227</v>
      </c>
      <c r="AW281" s="56">
        <v>274</v>
      </c>
      <c r="AX281" s="56" t="s">
        <v>2215</v>
      </c>
      <c r="AY281" s="56">
        <v>285</v>
      </c>
      <c r="AZ281" s="56" t="s">
        <v>2216</v>
      </c>
      <c r="BA281" s="56" t="s">
        <v>2217</v>
      </c>
      <c r="BB281" s="56" t="s">
        <v>1340</v>
      </c>
      <c r="BC281" s="56">
        <v>179</v>
      </c>
      <c r="BD281" s="56" t="s">
        <v>1341</v>
      </c>
      <c r="BE281" s="56" t="s">
        <v>1342</v>
      </c>
      <c r="BF281" s="56">
        <v>179</v>
      </c>
      <c r="BG281" s="56" t="s">
        <v>1341</v>
      </c>
      <c r="BH281" s="56" t="s">
        <v>1342</v>
      </c>
      <c r="BI281" s="56">
        <v>47.76</v>
      </c>
      <c r="BJ281" s="56">
        <v>65456.51</v>
      </c>
      <c r="BK281" s="56">
        <v>47.76</v>
      </c>
      <c r="BL281" s="56" t="s">
        <v>1274</v>
      </c>
      <c r="BM281" s="56">
        <v>3102</v>
      </c>
      <c r="BN281" s="56" t="s">
        <v>660</v>
      </c>
      <c r="BO281" s="56" t="s">
        <v>706</v>
      </c>
      <c r="BP281" s="56">
        <v>7880.4</v>
      </c>
      <c r="BQ281" s="56">
        <v>6837.55</v>
      </c>
      <c r="BR281" s="56">
        <v>0</v>
      </c>
      <c r="BS281" s="56">
        <v>0</v>
      </c>
      <c r="BT281" s="56">
        <v>5395.2</v>
      </c>
      <c r="BU281" s="56">
        <v>1239</v>
      </c>
      <c r="BV281" s="56">
        <v>52</v>
      </c>
      <c r="BW281" s="56" t="s">
        <v>1228</v>
      </c>
      <c r="BX281" s="56" t="s">
        <v>2218</v>
      </c>
      <c r="BY281" s="56" t="s">
        <v>663</v>
      </c>
      <c r="BZ281" s="56">
        <v>0.5</v>
      </c>
      <c r="CA281" s="56" t="s">
        <v>1587</v>
      </c>
      <c r="CB281" s="56" t="s">
        <v>2030</v>
      </c>
      <c r="CC281" s="56" t="s">
        <v>2212</v>
      </c>
      <c r="CD281" s="56" t="s">
        <v>667</v>
      </c>
      <c r="CF281" s="56">
        <v>4316.16</v>
      </c>
      <c r="CG281" s="56">
        <v>80</v>
      </c>
      <c r="CH281" s="56">
        <v>165</v>
      </c>
      <c r="CI281" s="56">
        <v>115</v>
      </c>
      <c r="CJ281" s="56">
        <v>21.09</v>
      </c>
      <c r="CK281" s="56">
        <v>6837.55</v>
      </c>
      <c r="CL281" s="56">
        <v>5395.2</v>
      </c>
      <c r="CM281" s="56">
        <v>60.71</v>
      </c>
      <c r="CN281" s="56">
        <v>945.65</v>
      </c>
      <c r="CO281" s="56">
        <v>945.65</v>
      </c>
      <c r="CP281" s="56">
        <v>97.2</v>
      </c>
      <c r="CQ281" s="56" t="s">
        <v>668</v>
      </c>
      <c r="CR281" s="56">
        <v>0</v>
      </c>
      <c r="CS281" s="56">
        <v>97.2</v>
      </c>
      <c r="CT281" s="56" t="s">
        <v>669</v>
      </c>
      <c r="CU281" s="56">
        <v>0</v>
      </c>
      <c r="CV281" s="56">
        <v>0</v>
      </c>
      <c r="CX281" s="56">
        <v>1416.57</v>
      </c>
      <c r="CY281" s="56">
        <v>0</v>
      </c>
      <c r="CZ281" s="56">
        <v>258.17</v>
      </c>
      <c r="DA281" s="56">
        <v>632.47</v>
      </c>
      <c r="DB281" s="56">
        <v>374.3</v>
      </c>
      <c r="DC281" s="56">
        <v>6579.38</v>
      </c>
      <c r="DD281" s="56">
        <v>220.11</v>
      </c>
      <c r="DE281" s="56">
        <v>0</v>
      </c>
      <c r="DF281" s="56">
        <v>11.25</v>
      </c>
      <c r="DG281" s="56">
        <v>32.729999999999997</v>
      </c>
      <c r="DH281" s="56" t="s">
        <v>670</v>
      </c>
      <c r="DI281" s="56" t="s">
        <v>671</v>
      </c>
      <c r="DK281" s="56">
        <v>12.56</v>
      </c>
      <c r="DL281" s="56">
        <v>989.85</v>
      </c>
      <c r="DM281" s="56">
        <v>106</v>
      </c>
      <c r="DN281" s="56">
        <v>4501413837</v>
      </c>
      <c r="DO281" s="56" t="s">
        <v>2219</v>
      </c>
      <c r="DP281" s="56" t="s">
        <v>677</v>
      </c>
      <c r="DQ281" s="56" t="s">
        <v>674</v>
      </c>
      <c r="DR281" s="56">
        <v>1</v>
      </c>
      <c r="DS281" s="56" t="s">
        <v>2220</v>
      </c>
      <c r="DT281" s="56" t="s">
        <v>2221</v>
      </c>
      <c r="DU281" s="56">
        <v>36</v>
      </c>
      <c r="DV281" s="56" t="s">
        <v>677</v>
      </c>
      <c r="DW281" s="56">
        <v>380</v>
      </c>
      <c r="DX281" s="56" t="s">
        <v>678</v>
      </c>
      <c r="DY281" s="56" t="s">
        <v>679</v>
      </c>
      <c r="ED281" s="56">
        <v>2</v>
      </c>
      <c r="EE281" s="56" t="s">
        <v>639</v>
      </c>
      <c r="EF281" s="56">
        <v>2</v>
      </c>
      <c r="EG281" s="56" t="s">
        <v>639</v>
      </c>
      <c r="EH281" s="56">
        <v>2</v>
      </c>
      <c r="EI281" s="56" t="s">
        <v>639</v>
      </c>
      <c r="EJ281" s="56">
        <v>2</v>
      </c>
      <c r="EK281" s="56" t="s">
        <v>639</v>
      </c>
      <c r="EL281" s="56">
        <v>25</v>
      </c>
      <c r="EM281" s="56">
        <v>15</v>
      </c>
      <c r="EN281" s="56">
        <v>5173</v>
      </c>
      <c r="EO281" s="56">
        <v>2420</v>
      </c>
      <c r="EP281" s="56" t="s">
        <v>1234</v>
      </c>
      <c r="EQ281" s="56" t="s">
        <v>2204</v>
      </c>
      <c r="ER281" s="56" t="s">
        <v>1764</v>
      </c>
      <c r="ES281" s="56">
        <v>2</v>
      </c>
      <c r="ET281" s="56" t="s">
        <v>682</v>
      </c>
      <c r="EU281" s="56" t="s">
        <v>683</v>
      </c>
      <c r="EV281" s="56" t="s">
        <v>683</v>
      </c>
      <c r="FD281" s="56" t="s">
        <v>2222</v>
      </c>
      <c r="FK281" s="56">
        <v>0</v>
      </c>
    </row>
    <row r="282" spans="1:167" x14ac:dyDescent="0.2">
      <c r="A282" s="56">
        <v>29230</v>
      </c>
      <c r="B282" s="56">
        <v>2</v>
      </c>
      <c r="C282" s="56">
        <v>6352</v>
      </c>
      <c r="D282" s="56" t="s">
        <v>634</v>
      </c>
      <c r="E282" s="56" t="s">
        <v>635</v>
      </c>
      <c r="K282" s="56" t="s">
        <v>2223</v>
      </c>
      <c r="L282" s="56" t="s">
        <v>637</v>
      </c>
      <c r="M282" s="56">
        <v>44956</v>
      </c>
      <c r="N282" s="56">
        <v>44958</v>
      </c>
      <c r="O282" s="56">
        <v>38</v>
      </c>
      <c r="P282" s="56" t="s">
        <v>638</v>
      </c>
      <c r="Q282" s="56">
        <v>2</v>
      </c>
      <c r="R282" s="56" t="s">
        <v>639</v>
      </c>
      <c r="S282" s="56" t="s">
        <v>640</v>
      </c>
      <c r="T282" s="56" t="s">
        <v>641</v>
      </c>
      <c r="U282" s="56" t="s">
        <v>1582</v>
      </c>
      <c r="V282" s="56" t="s">
        <v>643</v>
      </c>
      <c r="W282" s="56">
        <v>48</v>
      </c>
      <c r="X282" s="56" t="s">
        <v>699</v>
      </c>
      <c r="Y282" s="56">
        <v>1246</v>
      </c>
      <c r="Z282" s="56" t="s">
        <v>2019</v>
      </c>
      <c r="AB282" s="56" t="s">
        <v>2020</v>
      </c>
      <c r="AC282" s="56" t="s">
        <v>1757</v>
      </c>
      <c r="AD282" s="56" t="s">
        <v>1758</v>
      </c>
      <c r="AE282" s="56">
        <v>51</v>
      </c>
      <c r="AF282" s="56" t="s">
        <v>1228</v>
      </c>
      <c r="AG282" s="56" t="s">
        <v>1583</v>
      </c>
      <c r="AH282" s="56" t="s">
        <v>643</v>
      </c>
      <c r="AI282" s="56" t="s">
        <v>1582</v>
      </c>
      <c r="AJ282" s="56">
        <v>431</v>
      </c>
      <c r="AK282" s="56" t="s">
        <v>1759</v>
      </c>
      <c r="AL282" s="56">
        <v>51</v>
      </c>
      <c r="AM282" s="56" t="s">
        <v>1228</v>
      </c>
      <c r="AN282" s="56" t="s">
        <v>1583</v>
      </c>
      <c r="AO282" s="56" t="s">
        <v>1584</v>
      </c>
      <c r="AP282" s="56" t="s">
        <v>643</v>
      </c>
      <c r="AQ282" s="56" t="s">
        <v>1582</v>
      </c>
      <c r="AR282" s="56">
        <v>51</v>
      </c>
      <c r="AS282" s="56" t="s">
        <v>1228</v>
      </c>
      <c r="AT282" s="56" t="s">
        <v>1583</v>
      </c>
      <c r="AU282" s="56" t="s">
        <v>643</v>
      </c>
      <c r="AV282" s="56" t="s">
        <v>1582</v>
      </c>
      <c r="AW282" s="56">
        <v>1199</v>
      </c>
      <c r="AX282" s="56" t="s">
        <v>2224</v>
      </c>
      <c r="AY282" s="56">
        <v>458</v>
      </c>
      <c r="AZ282" s="56" t="s">
        <v>2225</v>
      </c>
      <c r="BA282" s="56" t="s">
        <v>2226</v>
      </c>
      <c r="BB282" s="56" t="s">
        <v>2024</v>
      </c>
      <c r="BC282" s="56">
        <v>96</v>
      </c>
      <c r="BD282" s="56" t="s">
        <v>2021</v>
      </c>
      <c r="BE282" s="56" t="s">
        <v>2025</v>
      </c>
      <c r="BF282" s="56">
        <v>96</v>
      </c>
      <c r="BG282" s="56" t="s">
        <v>2021</v>
      </c>
      <c r="BH282" s="56" t="s">
        <v>2025</v>
      </c>
      <c r="BI282" s="56">
        <v>36.28</v>
      </c>
      <c r="BJ282" s="56">
        <v>49722.83</v>
      </c>
      <c r="BK282" s="56">
        <v>36.28</v>
      </c>
      <c r="BL282" s="56" t="s">
        <v>1274</v>
      </c>
      <c r="BM282" s="56">
        <v>3102</v>
      </c>
      <c r="BN282" s="56" t="s">
        <v>786</v>
      </c>
      <c r="BO282" s="56" t="s">
        <v>1203</v>
      </c>
      <c r="BP282" s="56">
        <v>8163</v>
      </c>
      <c r="BQ282" s="56">
        <v>7088.94</v>
      </c>
      <c r="BR282" s="56">
        <v>0</v>
      </c>
      <c r="BS282" s="56">
        <v>0</v>
      </c>
      <c r="BT282" s="56">
        <v>5601.46</v>
      </c>
      <c r="BU282" s="56">
        <v>1213</v>
      </c>
      <c r="BV282" s="56">
        <v>51</v>
      </c>
      <c r="BW282" s="56" t="s">
        <v>1228</v>
      </c>
      <c r="BX282" s="56" t="s">
        <v>2227</v>
      </c>
      <c r="BY282" s="56" t="s">
        <v>663</v>
      </c>
      <c r="BZ282" s="56">
        <v>0.5</v>
      </c>
      <c r="CA282" s="56" t="s">
        <v>1587</v>
      </c>
      <c r="CB282" s="56" t="s">
        <v>2030</v>
      </c>
      <c r="CC282" s="56" t="s">
        <v>2031</v>
      </c>
      <c r="CD282" s="56" t="s">
        <v>667</v>
      </c>
      <c r="CF282" s="56">
        <v>4481.17</v>
      </c>
      <c r="CG282" s="56">
        <v>80</v>
      </c>
      <c r="CH282" s="56">
        <v>225</v>
      </c>
      <c r="CI282" s="56">
        <v>157</v>
      </c>
      <c r="CJ282" s="56">
        <v>20.98</v>
      </c>
      <c r="CK282" s="56">
        <v>7088.94</v>
      </c>
      <c r="CL282" s="56">
        <v>5601.46</v>
      </c>
      <c r="CM282" s="56">
        <v>8.5500000000000007</v>
      </c>
      <c r="CN282" s="56">
        <v>979.56</v>
      </c>
      <c r="CO282" s="56">
        <v>979.56</v>
      </c>
      <c r="CP282" s="56">
        <v>94.5</v>
      </c>
      <c r="CQ282" s="56" t="s">
        <v>668</v>
      </c>
      <c r="CR282" s="56">
        <v>0</v>
      </c>
      <c r="CS282" s="56">
        <v>94.5</v>
      </c>
      <c r="CT282" s="56" t="s">
        <v>669</v>
      </c>
      <c r="CU282" s="56">
        <v>0</v>
      </c>
      <c r="CV282" s="56">
        <v>0</v>
      </c>
      <c r="CX282" s="56">
        <v>1460.4</v>
      </c>
      <c r="CY282" s="56">
        <v>0</v>
      </c>
      <c r="CZ282" s="56">
        <v>267.13</v>
      </c>
      <c r="DA282" s="56">
        <v>655.73</v>
      </c>
      <c r="DB282" s="56">
        <v>388.6</v>
      </c>
      <c r="DC282" s="56">
        <v>6821.81</v>
      </c>
      <c r="DD282" s="56">
        <v>234.82</v>
      </c>
      <c r="DE282" s="56">
        <v>0</v>
      </c>
      <c r="DF282" s="56">
        <v>8.5399999999999991</v>
      </c>
      <c r="DG282" s="56">
        <v>24.86</v>
      </c>
      <c r="DH282" s="56" t="s">
        <v>670</v>
      </c>
      <c r="DI282" s="56" t="s">
        <v>671</v>
      </c>
      <c r="DK282" s="56">
        <v>12.4</v>
      </c>
      <c r="DL282" s="56">
        <v>1012.61</v>
      </c>
      <c r="DM282" s="56">
        <v>105</v>
      </c>
      <c r="DN282" s="56">
        <v>4501406746</v>
      </c>
      <c r="DO282" s="56" t="s">
        <v>2228</v>
      </c>
      <c r="DP282" s="56" t="s">
        <v>677</v>
      </c>
      <c r="DQ282" s="56" t="s">
        <v>674</v>
      </c>
      <c r="DR282" s="56">
        <v>1</v>
      </c>
      <c r="DS282" s="56" t="s">
        <v>2229</v>
      </c>
      <c r="DT282" s="56" t="s">
        <v>2230</v>
      </c>
      <c r="DU282" s="56">
        <v>36</v>
      </c>
      <c r="DV282" s="56" t="s">
        <v>677</v>
      </c>
      <c r="DW282" s="56">
        <v>580</v>
      </c>
      <c r="DX282" s="56" t="s">
        <v>678</v>
      </c>
      <c r="DY282" s="56" t="s">
        <v>679</v>
      </c>
      <c r="ED282" s="56">
        <v>2</v>
      </c>
      <c r="EE282" s="56" t="s">
        <v>639</v>
      </c>
      <c r="EF282" s="56">
        <v>2</v>
      </c>
      <c r="EG282" s="56" t="s">
        <v>639</v>
      </c>
      <c r="EH282" s="56">
        <v>2</v>
      </c>
      <c r="EI282" s="56" t="s">
        <v>639</v>
      </c>
      <c r="EJ282" s="56">
        <v>2</v>
      </c>
      <c r="EK282" s="56" t="s">
        <v>639</v>
      </c>
      <c r="EL282" s="56">
        <v>25</v>
      </c>
      <c r="EM282" s="56">
        <v>15</v>
      </c>
      <c r="EN282" s="56">
        <v>5173</v>
      </c>
      <c r="EO282" s="56">
        <v>1950</v>
      </c>
      <c r="EP282" s="56" t="s">
        <v>1234</v>
      </c>
      <c r="EQ282" s="56" t="s">
        <v>2035</v>
      </c>
      <c r="ER282" s="56" t="s">
        <v>1804</v>
      </c>
      <c r="ES282" s="56">
        <v>2</v>
      </c>
      <c r="ET282" s="56" t="s">
        <v>682</v>
      </c>
      <c r="EU282" s="56" t="s">
        <v>683</v>
      </c>
      <c r="EV282" s="56" t="s">
        <v>683</v>
      </c>
      <c r="FD282" s="56" t="s">
        <v>2231</v>
      </c>
      <c r="FK282" s="56">
        <v>0</v>
      </c>
    </row>
    <row r="283" spans="1:167" x14ac:dyDescent="0.2">
      <c r="A283" s="56">
        <v>29231</v>
      </c>
      <c r="B283" s="56">
        <v>2</v>
      </c>
      <c r="C283" s="56">
        <v>6352</v>
      </c>
      <c r="D283" s="56" t="s">
        <v>634</v>
      </c>
      <c r="E283" s="56" t="s">
        <v>635</v>
      </c>
      <c r="K283" s="56" t="s">
        <v>2232</v>
      </c>
      <c r="L283" s="56" t="s">
        <v>637</v>
      </c>
      <c r="M283" s="56">
        <v>44956</v>
      </c>
      <c r="N283" s="56">
        <v>44958</v>
      </c>
      <c r="O283" s="56">
        <v>38</v>
      </c>
      <c r="P283" s="56" t="s">
        <v>638</v>
      </c>
      <c r="Q283" s="56">
        <v>2</v>
      </c>
      <c r="R283" s="56" t="s">
        <v>639</v>
      </c>
      <c r="S283" s="56" t="s">
        <v>893</v>
      </c>
      <c r="T283" s="56" t="s">
        <v>641</v>
      </c>
      <c r="U283" s="56" t="s">
        <v>735</v>
      </c>
      <c r="V283" s="56" t="s">
        <v>643</v>
      </c>
      <c r="W283" s="56">
        <v>48</v>
      </c>
      <c r="X283" s="56" t="s">
        <v>699</v>
      </c>
      <c r="Y283" s="56">
        <v>492</v>
      </c>
      <c r="Z283" s="56" t="s">
        <v>645</v>
      </c>
      <c r="AA283" s="56" t="s">
        <v>1987</v>
      </c>
      <c r="AB283" s="56" t="s">
        <v>1988</v>
      </c>
      <c r="AC283" s="56" t="s">
        <v>641</v>
      </c>
      <c r="AD283" s="56" t="s">
        <v>893</v>
      </c>
      <c r="AE283" s="56">
        <v>91</v>
      </c>
      <c r="AF283" s="56" t="s">
        <v>736</v>
      </c>
      <c r="AG283" s="56" t="s">
        <v>737</v>
      </c>
      <c r="AH283" s="56" t="s">
        <v>643</v>
      </c>
      <c r="AI283" s="56" t="s">
        <v>735</v>
      </c>
      <c r="AJ283" s="56">
        <v>492</v>
      </c>
      <c r="AK283" s="56" t="s">
        <v>645</v>
      </c>
      <c r="AL283" s="56">
        <v>98</v>
      </c>
      <c r="AM283" s="56" t="s">
        <v>645</v>
      </c>
      <c r="AN283" s="56" t="s">
        <v>646</v>
      </c>
      <c r="AO283" s="56" t="s">
        <v>647</v>
      </c>
      <c r="AP283" s="56" t="s">
        <v>643</v>
      </c>
      <c r="AQ283" s="56" t="s">
        <v>648</v>
      </c>
      <c r="AR283" s="56">
        <v>492</v>
      </c>
      <c r="AS283" s="56" t="s">
        <v>645</v>
      </c>
      <c r="AT283" s="56" t="s">
        <v>1987</v>
      </c>
      <c r="AU283" s="56" t="s">
        <v>641</v>
      </c>
      <c r="AV283" s="56" t="s">
        <v>893</v>
      </c>
      <c r="AW283" s="56">
        <v>236</v>
      </c>
      <c r="AX283" s="56" t="s">
        <v>2088</v>
      </c>
      <c r="AY283" s="56">
        <v>225</v>
      </c>
      <c r="AZ283" s="56" t="s">
        <v>1361</v>
      </c>
      <c r="BA283" s="56" t="s">
        <v>2089</v>
      </c>
      <c r="BB283" s="56" t="s">
        <v>1363</v>
      </c>
      <c r="BC283" s="56">
        <v>147</v>
      </c>
      <c r="BD283" s="56" t="s">
        <v>1364</v>
      </c>
      <c r="BE283" s="56" t="s">
        <v>1365</v>
      </c>
      <c r="BF283" s="56">
        <v>147</v>
      </c>
      <c r="BG283" s="56" t="s">
        <v>1364</v>
      </c>
      <c r="BH283" s="56" t="s">
        <v>1365</v>
      </c>
      <c r="BI283" s="56">
        <v>48.12</v>
      </c>
      <c r="BJ283" s="56">
        <v>141462.21</v>
      </c>
      <c r="BK283" s="56">
        <v>48.12</v>
      </c>
      <c r="BL283" s="56" t="s">
        <v>1110</v>
      </c>
      <c r="BM283" s="56">
        <v>3105</v>
      </c>
      <c r="BN283" s="56" t="s">
        <v>1366</v>
      </c>
      <c r="BO283" s="56" t="s">
        <v>1367</v>
      </c>
      <c r="BP283" s="56">
        <v>6159.36</v>
      </c>
      <c r="BQ283" s="56">
        <v>5347.34</v>
      </c>
      <c r="BR283" s="56">
        <v>0</v>
      </c>
      <c r="BS283" s="56">
        <v>0</v>
      </c>
      <c r="BT283" s="56">
        <v>4354.62</v>
      </c>
      <c r="BU283" s="56">
        <v>166965</v>
      </c>
      <c r="BV283" s="56">
        <v>492</v>
      </c>
      <c r="BW283" s="56" t="s">
        <v>645</v>
      </c>
      <c r="BX283" s="56" t="s">
        <v>2233</v>
      </c>
      <c r="BY283" s="56" t="s">
        <v>663</v>
      </c>
      <c r="BZ283" s="56">
        <v>0.25</v>
      </c>
      <c r="CA283" s="56" t="s">
        <v>664</v>
      </c>
      <c r="CB283" s="56" t="s">
        <v>1996</v>
      </c>
      <c r="CC283" s="56" t="s">
        <v>1042</v>
      </c>
      <c r="CD283" s="56" t="s">
        <v>667</v>
      </c>
      <c r="CF283" s="56">
        <v>0</v>
      </c>
      <c r="CG283" s="56">
        <v>0</v>
      </c>
      <c r="CH283" s="56">
        <v>128</v>
      </c>
      <c r="CI283" s="56">
        <v>92.01</v>
      </c>
      <c r="CJ283" s="56">
        <v>18.559999999999999</v>
      </c>
      <c r="CK283" s="56">
        <v>5347.34</v>
      </c>
      <c r="CL283" s="56">
        <v>4354.62</v>
      </c>
      <c r="CM283" s="56">
        <v>17.100000000000001</v>
      </c>
      <c r="CN283" s="56">
        <v>739.12</v>
      </c>
      <c r="CO283" s="56">
        <v>739.12</v>
      </c>
      <c r="CP283" s="56">
        <v>72.900000000000006</v>
      </c>
      <c r="CQ283" s="56" t="s">
        <v>668</v>
      </c>
      <c r="CR283" s="56">
        <v>0</v>
      </c>
      <c r="CS283" s="56">
        <v>72.900000000000006</v>
      </c>
      <c r="CT283" s="56" t="s">
        <v>669</v>
      </c>
      <c r="CU283" s="56">
        <v>0</v>
      </c>
      <c r="CV283" s="56">
        <v>0</v>
      </c>
      <c r="CX283" s="56">
        <v>992.72</v>
      </c>
      <c r="CY283" s="56">
        <v>0</v>
      </c>
      <c r="CZ283" s="56">
        <v>91.83</v>
      </c>
      <c r="DA283" s="56">
        <v>494.63</v>
      </c>
      <c r="DB283" s="56">
        <v>402.8</v>
      </c>
      <c r="DC283" s="56">
        <v>5255.51</v>
      </c>
      <c r="DD283" s="56">
        <v>-46.43</v>
      </c>
      <c r="DE283" s="56">
        <v>0</v>
      </c>
      <c r="DF283" s="56">
        <v>24.3</v>
      </c>
      <c r="DG283" s="56">
        <v>70.73</v>
      </c>
      <c r="DH283" s="56" t="s">
        <v>670</v>
      </c>
      <c r="DI283" s="56" t="s">
        <v>671</v>
      </c>
      <c r="DK283" s="56">
        <v>15.38</v>
      </c>
      <c r="DL283" s="56">
        <v>947.32</v>
      </c>
      <c r="DM283" s="56">
        <v>103</v>
      </c>
      <c r="DN283" s="56">
        <v>4500923461</v>
      </c>
      <c r="DO283" s="56" t="s">
        <v>236</v>
      </c>
      <c r="DP283" s="56" t="s">
        <v>673</v>
      </c>
      <c r="DQ283" s="56" t="s">
        <v>674</v>
      </c>
      <c r="DR283" s="56">
        <v>3</v>
      </c>
      <c r="DW283" s="56">
        <v>280</v>
      </c>
      <c r="DX283" s="56" t="s">
        <v>678</v>
      </c>
      <c r="DY283" s="56" t="s">
        <v>679</v>
      </c>
      <c r="ED283" s="56">
        <v>2</v>
      </c>
      <c r="EE283" s="56" t="s">
        <v>639</v>
      </c>
      <c r="EF283" s="56">
        <v>2</v>
      </c>
      <c r="EG283" s="56" t="s">
        <v>639</v>
      </c>
      <c r="EH283" s="56">
        <v>2</v>
      </c>
      <c r="EI283" s="56" t="s">
        <v>639</v>
      </c>
      <c r="EJ283" s="56">
        <v>2</v>
      </c>
      <c r="EK283" s="56" t="s">
        <v>639</v>
      </c>
      <c r="EL283" s="56">
        <v>25</v>
      </c>
      <c r="EM283" s="56">
        <v>15</v>
      </c>
      <c r="EN283" s="56">
        <v>4779</v>
      </c>
      <c r="EO283" s="56">
        <v>1805</v>
      </c>
      <c r="EP283" s="56" t="s">
        <v>1234</v>
      </c>
      <c r="EQ283" s="56" t="s">
        <v>2000</v>
      </c>
      <c r="ER283" s="56" t="s">
        <v>902</v>
      </c>
      <c r="ES283" s="56">
        <v>2</v>
      </c>
      <c r="ET283" s="56" t="s">
        <v>682</v>
      </c>
      <c r="EU283" s="56" t="s">
        <v>683</v>
      </c>
      <c r="EV283" s="56" t="s">
        <v>683</v>
      </c>
      <c r="FD283" s="56" t="s">
        <v>2234</v>
      </c>
      <c r="FJ283" s="56" t="s">
        <v>2235</v>
      </c>
      <c r="FK283" s="56">
        <v>0</v>
      </c>
    </row>
    <row r="284" spans="1:167" x14ac:dyDescent="0.2">
      <c r="A284" s="56">
        <v>29232</v>
      </c>
      <c r="B284" s="56">
        <v>2</v>
      </c>
      <c r="C284" s="56">
        <v>6352</v>
      </c>
      <c r="D284" s="56" t="s">
        <v>634</v>
      </c>
      <c r="E284" s="56" t="s">
        <v>635</v>
      </c>
      <c r="K284" s="56" t="s">
        <v>2236</v>
      </c>
      <c r="L284" s="56" t="s">
        <v>637</v>
      </c>
      <c r="M284" s="56">
        <v>44956</v>
      </c>
      <c r="N284" s="56">
        <v>44958</v>
      </c>
      <c r="O284" s="56">
        <v>38</v>
      </c>
      <c r="P284" s="56" t="s">
        <v>638</v>
      </c>
      <c r="Q284" s="56">
        <v>2</v>
      </c>
      <c r="R284" s="56" t="s">
        <v>639</v>
      </c>
      <c r="S284" s="56" t="s">
        <v>893</v>
      </c>
      <c r="T284" s="56" t="s">
        <v>641</v>
      </c>
      <c r="U284" s="56" t="s">
        <v>735</v>
      </c>
      <c r="V284" s="56" t="s">
        <v>643</v>
      </c>
      <c r="W284" s="56">
        <v>48</v>
      </c>
      <c r="X284" s="56" t="s">
        <v>699</v>
      </c>
      <c r="Y284" s="56">
        <v>492</v>
      </c>
      <c r="Z284" s="56" t="s">
        <v>645</v>
      </c>
      <c r="AA284" s="56" t="s">
        <v>1987</v>
      </c>
      <c r="AB284" s="56" t="s">
        <v>1988</v>
      </c>
      <c r="AC284" s="56" t="s">
        <v>641</v>
      </c>
      <c r="AD284" s="56" t="s">
        <v>893</v>
      </c>
      <c r="AE284" s="56">
        <v>91</v>
      </c>
      <c r="AF284" s="56" t="s">
        <v>736</v>
      </c>
      <c r="AG284" s="56" t="s">
        <v>737</v>
      </c>
      <c r="AH284" s="56" t="s">
        <v>643</v>
      </c>
      <c r="AI284" s="56" t="s">
        <v>735</v>
      </c>
      <c r="AJ284" s="56">
        <v>492</v>
      </c>
      <c r="AK284" s="56" t="s">
        <v>645</v>
      </c>
      <c r="AL284" s="56">
        <v>98</v>
      </c>
      <c r="AM284" s="56" t="s">
        <v>645</v>
      </c>
      <c r="AN284" s="56" t="s">
        <v>646</v>
      </c>
      <c r="AO284" s="56" t="s">
        <v>647</v>
      </c>
      <c r="AP284" s="56" t="s">
        <v>643</v>
      </c>
      <c r="AQ284" s="56" t="s">
        <v>648</v>
      </c>
      <c r="AR284" s="56">
        <v>492</v>
      </c>
      <c r="AS284" s="56" t="s">
        <v>645</v>
      </c>
      <c r="AT284" s="56" t="s">
        <v>1987</v>
      </c>
      <c r="AU284" s="56" t="s">
        <v>641</v>
      </c>
      <c r="AV284" s="56" t="s">
        <v>893</v>
      </c>
      <c r="AW284" s="56">
        <v>240</v>
      </c>
      <c r="AX284" s="56" t="s">
        <v>1360</v>
      </c>
      <c r="AY284" s="56">
        <v>231</v>
      </c>
      <c r="AZ284" s="56" t="s">
        <v>2093</v>
      </c>
      <c r="BA284" s="56" t="s">
        <v>2094</v>
      </c>
      <c r="BB284" s="56" t="s">
        <v>1363</v>
      </c>
      <c r="BC284" s="56">
        <v>147</v>
      </c>
      <c r="BD284" s="56" t="s">
        <v>1364</v>
      </c>
      <c r="BE284" s="56" t="s">
        <v>1365</v>
      </c>
      <c r="BF284" s="56">
        <v>147</v>
      </c>
      <c r="BG284" s="56" t="s">
        <v>1364</v>
      </c>
      <c r="BH284" s="56" t="s">
        <v>1365</v>
      </c>
      <c r="BI284" s="56">
        <v>47.66</v>
      </c>
      <c r="BJ284" s="56">
        <v>140109.92000000001</v>
      </c>
      <c r="BK284" s="56">
        <v>47.66</v>
      </c>
      <c r="BL284" s="56" t="s">
        <v>1110</v>
      </c>
      <c r="BM284" s="56">
        <v>3105</v>
      </c>
      <c r="BN284" s="56" t="s">
        <v>786</v>
      </c>
      <c r="BO284" s="56" t="s">
        <v>911</v>
      </c>
      <c r="BP284" s="56">
        <v>6100.48</v>
      </c>
      <c r="BQ284" s="56">
        <v>5295.52</v>
      </c>
      <c r="BR284" s="56">
        <v>0</v>
      </c>
      <c r="BS284" s="56">
        <v>0</v>
      </c>
      <c r="BT284" s="56">
        <v>4312.3</v>
      </c>
      <c r="BU284" s="56">
        <v>166966</v>
      </c>
      <c r="BV284" s="56">
        <v>492</v>
      </c>
      <c r="BW284" s="56" t="s">
        <v>645</v>
      </c>
      <c r="BX284" s="56" t="s">
        <v>2237</v>
      </c>
      <c r="BY284" s="56" t="s">
        <v>663</v>
      </c>
      <c r="BZ284" s="56">
        <v>0.25</v>
      </c>
      <c r="CA284" s="56" t="s">
        <v>664</v>
      </c>
      <c r="CB284" s="56" t="s">
        <v>1996</v>
      </c>
      <c r="CC284" s="56" t="s">
        <v>1042</v>
      </c>
      <c r="CD284" s="56" t="s">
        <v>667</v>
      </c>
      <c r="CF284" s="56">
        <v>0</v>
      </c>
      <c r="CG284" s="56">
        <v>0</v>
      </c>
      <c r="CH284" s="56">
        <v>128</v>
      </c>
      <c r="CI284" s="56">
        <v>92.01</v>
      </c>
      <c r="CJ284" s="56">
        <v>18.57</v>
      </c>
      <c r="CK284" s="56">
        <v>5295.52</v>
      </c>
      <c r="CL284" s="56">
        <v>4312.3</v>
      </c>
      <c r="CM284" s="56">
        <v>48.98</v>
      </c>
      <c r="CN284" s="56">
        <v>732.06</v>
      </c>
      <c r="CO284" s="56">
        <v>732.06</v>
      </c>
      <c r="CP284" s="56">
        <v>72.900000000000006</v>
      </c>
      <c r="CQ284" s="56" t="s">
        <v>668</v>
      </c>
      <c r="CR284" s="56">
        <v>0</v>
      </c>
      <c r="CS284" s="56">
        <v>72.900000000000006</v>
      </c>
      <c r="CT284" s="56" t="s">
        <v>669</v>
      </c>
      <c r="CU284" s="56">
        <v>0</v>
      </c>
      <c r="CV284" s="56">
        <v>0</v>
      </c>
      <c r="CX284" s="56">
        <v>983.22</v>
      </c>
      <c r="CY284" s="56">
        <v>0</v>
      </c>
      <c r="CZ284" s="56">
        <v>90.96</v>
      </c>
      <c r="DA284" s="56">
        <v>489.84</v>
      </c>
      <c r="DB284" s="56">
        <v>398.88</v>
      </c>
      <c r="DC284" s="56">
        <v>5204.5600000000004</v>
      </c>
      <c r="DD284" s="56">
        <v>-45.98</v>
      </c>
      <c r="DE284" s="56">
        <v>0</v>
      </c>
      <c r="DF284" s="56">
        <v>24.07</v>
      </c>
      <c r="DG284" s="56">
        <v>70.05</v>
      </c>
      <c r="DH284" s="56" t="s">
        <v>670</v>
      </c>
      <c r="DI284" s="56" t="s">
        <v>671</v>
      </c>
      <c r="DK284" s="56">
        <v>15.38</v>
      </c>
      <c r="DL284" s="56">
        <v>938.24</v>
      </c>
      <c r="DM284" s="56">
        <v>103</v>
      </c>
      <c r="DN284" s="56">
        <v>4500923461</v>
      </c>
      <c r="DO284" s="56" t="s">
        <v>236</v>
      </c>
      <c r="DP284" s="56" t="s">
        <v>673</v>
      </c>
      <c r="DQ284" s="56" t="s">
        <v>674</v>
      </c>
      <c r="DR284" s="56">
        <v>3</v>
      </c>
      <c r="DX284" s="56" t="s">
        <v>678</v>
      </c>
      <c r="DY284" s="56" t="s">
        <v>679</v>
      </c>
      <c r="ED284" s="56">
        <v>2</v>
      </c>
      <c r="EE284" s="56" t="s">
        <v>639</v>
      </c>
      <c r="EF284" s="56">
        <v>2</v>
      </c>
      <c r="EG284" s="56" t="s">
        <v>639</v>
      </c>
      <c r="EH284" s="56">
        <v>2</v>
      </c>
      <c r="EI284" s="56" t="s">
        <v>639</v>
      </c>
      <c r="EJ284" s="56">
        <v>2</v>
      </c>
      <c r="EK284" s="56" t="s">
        <v>639</v>
      </c>
      <c r="EL284" s="56">
        <v>25</v>
      </c>
      <c r="EM284" s="56">
        <v>15</v>
      </c>
      <c r="EN284" s="56">
        <v>4779</v>
      </c>
      <c r="EO284" s="56">
        <v>1805</v>
      </c>
      <c r="EP284" s="56" t="s">
        <v>1234</v>
      </c>
      <c r="EQ284" s="56" t="s">
        <v>2000</v>
      </c>
      <c r="ER284" s="56" t="s">
        <v>902</v>
      </c>
      <c r="ES284" s="56">
        <v>2</v>
      </c>
      <c r="ET284" s="56" t="s">
        <v>682</v>
      </c>
      <c r="EU284" s="56" t="s">
        <v>683</v>
      </c>
      <c r="EV284" s="56" t="s">
        <v>683</v>
      </c>
      <c r="FD284" s="56" t="s">
        <v>2238</v>
      </c>
      <c r="FJ284" s="56" t="s">
        <v>2239</v>
      </c>
      <c r="FK284" s="56">
        <v>0</v>
      </c>
    </row>
    <row r="285" spans="1:167" x14ac:dyDescent="0.2">
      <c r="A285" s="56">
        <v>29233</v>
      </c>
      <c r="B285" s="56">
        <v>2</v>
      </c>
      <c r="C285" s="56">
        <v>6352</v>
      </c>
      <c r="D285" s="56" t="s">
        <v>634</v>
      </c>
      <c r="E285" s="56" t="s">
        <v>635</v>
      </c>
      <c r="K285" s="56" t="s">
        <v>2240</v>
      </c>
      <c r="L285" s="56" t="s">
        <v>637</v>
      </c>
      <c r="M285" s="56">
        <v>44956</v>
      </c>
      <c r="N285" s="56">
        <v>44958</v>
      </c>
      <c r="O285" s="56">
        <v>38</v>
      </c>
      <c r="P285" s="56" t="s">
        <v>638</v>
      </c>
      <c r="Q285" s="56">
        <v>2</v>
      </c>
      <c r="R285" s="56" t="s">
        <v>639</v>
      </c>
      <c r="S285" s="56" t="s">
        <v>893</v>
      </c>
      <c r="T285" s="56" t="s">
        <v>641</v>
      </c>
      <c r="U285" s="56" t="s">
        <v>735</v>
      </c>
      <c r="V285" s="56" t="s">
        <v>643</v>
      </c>
      <c r="W285" s="56">
        <v>48</v>
      </c>
      <c r="X285" s="56" t="s">
        <v>699</v>
      </c>
      <c r="Y285" s="56">
        <v>90</v>
      </c>
      <c r="Z285" s="56" t="s">
        <v>894</v>
      </c>
      <c r="AA285" s="56" t="s">
        <v>895</v>
      </c>
      <c r="AB285" s="56" t="s">
        <v>896</v>
      </c>
      <c r="AC285" s="56" t="s">
        <v>641</v>
      </c>
      <c r="AD285" s="56" t="s">
        <v>893</v>
      </c>
      <c r="AE285" s="56">
        <v>91</v>
      </c>
      <c r="AF285" s="56" t="s">
        <v>736</v>
      </c>
      <c r="AG285" s="56" t="s">
        <v>737</v>
      </c>
      <c r="AH285" s="56" t="s">
        <v>643</v>
      </c>
      <c r="AI285" s="56" t="s">
        <v>735</v>
      </c>
      <c r="AJ285" s="56">
        <v>90</v>
      </c>
      <c r="AK285" s="56" t="s">
        <v>894</v>
      </c>
      <c r="AL285" s="56">
        <v>91</v>
      </c>
      <c r="AM285" s="56" t="s">
        <v>736</v>
      </c>
      <c r="AN285" s="56" t="s">
        <v>737</v>
      </c>
      <c r="AO285" s="56" t="s">
        <v>738</v>
      </c>
      <c r="AP285" s="56" t="s">
        <v>643</v>
      </c>
      <c r="AQ285" s="56" t="s">
        <v>735</v>
      </c>
      <c r="AR285" s="56">
        <v>98</v>
      </c>
      <c r="AS285" s="56" t="s">
        <v>645</v>
      </c>
      <c r="AT285" s="56" t="s">
        <v>646</v>
      </c>
      <c r="AU285" s="56" t="s">
        <v>643</v>
      </c>
      <c r="AV285" s="56" t="s">
        <v>648</v>
      </c>
      <c r="AW285" s="56">
        <v>121</v>
      </c>
      <c r="AX285" s="56" t="s">
        <v>859</v>
      </c>
      <c r="AY285" s="56">
        <v>51</v>
      </c>
      <c r="AZ285" s="56" t="s">
        <v>29</v>
      </c>
      <c r="BA285" s="56" t="s">
        <v>860</v>
      </c>
      <c r="BB285" s="56" t="s">
        <v>770</v>
      </c>
      <c r="BC285" s="56">
        <v>38</v>
      </c>
      <c r="BD285" s="56" t="s">
        <v>289</v>
      </c>
      <c r="BE285" s="56" t="s">
        <v>771</v>
      </c>
      <c r="BF285" s="56">
        <v>2</v>
      </c>
      <c r="BG285" s="56" t="s">
        <v>289</v>
      </c>
      <c r="BH285" s="56" t="s">
        <v>772</v>
      </c>
      <c r="BI285" s="56">
        <v>46.57</v>
      </c>
      <c r="BJ285" s="56">
        <v>120005.3</v>
      </c>
      <c r="BK285" s="56">
        <v>46570</v>
      </c>
      <c r="BL285" s="56" t="s">
        <v>897</v>
      </c>
      <c r="BM285" s="56">
        <v>3102</v>
      </c>
      <c r="BN285" s="56" t="s">
        <v>724</v>
      </c>
      <c r="BO285" s="56" t="s">
        <v>725</v>
      </c>
      <c r="BP285" s="56">
        <v>6752.65</v>
      </c>
      <c r="BQ285" s="56">
        <v>5869.43</v>
      </c>
      <c r="BR285" s="56">
        <v>0</v>
      </c>
      <c r="BS285" s="56">
        <v>0</v>
      </c>
      <c r="BT285" s="56">
        <v>0</v>
      </c>
      <c r="BU285" s="56">
        <v>725265</v>
      </c>
      <c r="BV285" s="56">
        <v>98</v>
      </c>
      <c r="BW285" s="56" t="s">
        <v>645</v>
      </c>
      <c r="BX285" s="56" t="s">
        <v>2241</v>
      </c>
      <c r="BY285" s="56" t="s">
        <v>663</v>
      </c>
      <c r="BZ285" s="56">
        <v>0.25</v>
      </c>
      <c r="CA285" s="56" t="s">
        <v>664</v>
      </c>
      <c r="CB285" s="56" t="s">
        <v>899</v>
      </c>
      <c r="CD285" s="56" t="s">
        <v>667</v>
      </c>
      <c r="CG285" s="56">
        <v>0</v>
      </c>
      <c r="CH285" s="56">
        <v>145</v>
      </c>
      <c r="CJ285" s="56">
        <v>100</v>
      </c>
      <c r="CK285" s="56">
        <v>5869.43</v>
      </c>
      <c r="CL285" s="56">
        <v>0</v>
      </c>
      <c r="CN285" s="56">
        <v>810.32</v>
      </c>
      <c r="CO285" s="56">
        <v>810.32</v>
      </c>
      <c r="CP285" s="56">
        <v>72.900000000000006</v>
      </c>
      <c r="CQ285" s="56" t="s">
        <v>668</v>
      </c>
      <c r="CR285" s="56">
        <v>0</v>
      </c>
      <c r="CS285" s="56">
        <v>0</v>
      </c>
      <c r="CV285" s="56">
        <v>0</v>
      </c>
      <c r="CX285" s="56">
        <v>0</v>
      </c>
      <c r="CY285" s="56">
        <v>0</v>
      </c>
      <c r="CZ285" s="56">
        <v>542.92999999999995</v>
      </c>
      <c r="DA285" s="56">
        <v>542.92999999999995</v>
      </c>
      <c r="DB285" s="56">
        <v>0</v>
      </c>
      <c r="DC285" s="56">
        <v>5326.5</v>
      </c>
      <c r="DD285" s="56">
        <v>20.62</v>
      </c>
      <c r="DE285" s="56">
        <v>0</v>
      </c>
      <c r="DF285" s="56">
        <v>20.62</v>
      </c>
      <c r="DH285" s="56" t="s">
        <v>670</v>
      </c>
      <c r="DI285" s="56" t="s">
        <v>671</v>
      </c>
      <c r="DK285" s="56">
        <v>79.650000000000006</v>
      </c>
      <c r="DL285" s="56">
        <v>5378.78</v>
      </c>
      <c r="DM285" s="56">
        <v>67</v>
      </c>
      <c r="DN285" s="56" t="s">
        <v>900</v>
      </c>
      <c r="DO285" s="56" t="s">
        <v>236</v>
      </c>
      <c r="DQ285" s="56" t="s">
        <v>674</v>
      </c>
      <c r="DR285" s="56">
        <v>3</v>
      </c>
      <c r="DW285" s="56">
        <v>280</v>
      </c>
      <c r="DX285" s="56" t="s">
        <v>678</v>
      </c>
      <c r="DY285" s="56" t="s">
        <v>679</v>
      </c>
      <c r="EL285" s="56">
        <v>25</v>
      </c>
      <c r="EM285" s="56">
        <v>15</v>
      </c>
      <c r="EN285" s="56">
        <v>4779</v>
      </c>
      <c r="EO285" s="56">
        <v>1805</v>
      </c>
      <c r="EP285" s="56" t="s">
        <v>1234</v>
      </c>
      <c r="EQ285" s="56" t="s">
        <v>901</v>
      </c>
      <c r="ER285" s="56" t="s">
        <v>902</v>
      </c>
      <c r="ES285" s="56">
        <v>2</v>
      </c>
      <c r="ET285" s="56" t="s">
        <v>682</v>
      </c>
      <c r="EU285" s="56" t="s">
        <v>683</v>
      </c>
      <c r="EV285" s="56" t="s">
        <v>683</v>
      </c>
      <c r="FD285" s="56" t="s">
        <v>2242</v>
      </c>
      <c r="FK285" s="56">
        <v>0</v>
      </c>
    </row>
    <row r="286" spans="1:167" x14ac:dyDescent="0.2">
      <c r="A286" s="56">
        <v>29234</v>
      </c>
      <c r="B286" s="56">
        <v>2</v>
      </c>
      <c r="C286" s="56">
        <v>6352</v>
      </c>
      <c r="D286" s="56" t="s">
        <v>634</v>
      </c>
      <c r="E286" s="56" t="s">
        <v>635</v>
      </c>
      <c r="K286" s="56" t="s">
        <v>2243</v>
      </c>
      <c r="L286" s="56" t="s">
        <v>637</v>
      </c>
      <c r="M286" s="56">
        <v>44956</v>
      </c>
      <c r="N286" s="56">
        <v>44958</v>
      </c>
      <c r="O286" s="56">
        <v>38</v>
      </c>
      <c r="P286" s="56" t="s">
        <v>638</v>
      </c>
      <c r="Q286" s="56">
        <v>2</v>
      </c>
      <c r="R286" s="56" t="s">
        <v>639</v>
      </c>
      <c r="S286" s="56" t="s">
        <v>893</v>
      </c>
      <c r="T286" s="56" t="s">
        <v>641</v>
      </c>
      <c r="U286" s="56" t="s">
        <v>735</v>
      </c>
      <c r="V286" s="56" t="s">
        <v>643</v>
      </c>
      <c r="W286" s="56">
        <v>48</v>
      </c>
      <c r="X286" s="56" t="s">
        <v>699</v>
      </c>
      <c r="Y286" s="56">
        <v>90</v>
      </c>
      <c r="Z286" s="56" t="s">
        <v>894</v>
      </c>
      <c r="AA286" s="56" t="s">
        <v>895</v>
      </c>
      <c r="AB286" s="56" t="s">
        <v>896</v>
      </c>
      <c r="AC286" s="56" t="s">
        <v>641</v>
      </c>
      <c r="AD286" s="56" t="s">
        <v>893</v>
      </c>
      <c r="AE286" s="56">
        <v>91</v>
      </c>
      <c r="AF286" s="56" t="s">
        <v>736</v>
      </c>
      <c r="AG286" s="56" t="s">
        <v>737</v>
      </c>
      <c r="AH286" s="56" t="s">
        <v>643</v>
      </c>
      <c r="AI286" s="56" t="s">
        <v>735</v>
      </c>
      <c r="AJ286" s="56">
        <v>90</v>
      </c>
      <c r="AK286" s="56" t="s">
        <v>894</v>
      </c>
      <c r="AL286" s="56">
        <v>91</v>
      </c>
      <c r="AM286" s="56" t="s">
        <v>736</v>
      </c>
      <c r="AN286" s="56" t="s">
        <v>737</v>
      </c>
      <c r="AO286" s="56" t="s">
        <v>738</v>
      </c>
      <c r="AP286" s="56" t="s">
        <v>643</v>
      </c>
      <c r="AQ286" s="56" t="s">
        <v>735</v>
      </c>
      <c r="AR286" s="56">
        <v>98</v>
      </c>
      <c r="AS286" s="56" t="s">
        <v>645</v>
      </c>
      <c r="AT286" s="56" t="s">
        <v>646</v>
      </c>
      <c r="AU286" s="56" t="s">
        <v>643</v>
      </c>
      <c r="AV286" s="56" t="s">
        <v>648</v>
      </c>
      <c r="AW286" s="56">
        <v>116</v>
      </c>
      <c r="AX286" s="56" t="s">
        <v>876</v>
      </c>
      <c r="AY286" s="56">
        <v>35</v>
      </c>
      <c r="AZ286" s="56" t="s">
        <v>124</v>
      </c>
      <c r="BA286" s="56" t="s">
        <v>877</v>
      </c>
      <c r="BB286" s="56" t="s">
        <v>770</v>
      </c>
      <c r="BC286" s="56">
        <v>38</v>
      </c>
      <c r="BD286" s="56" t="s">
        <v>289</v>
      </c>
      <c r="BE286" s="56" t="s">
        <v>771</v>
      </c>
      <c r="BF286" s="56">
        <v>2</v>
      </c>
      <c r="BG286" s="56" t="s">
        <v>289</v>
      </c>
      <c r="BH286" s="56" t="s">
        <v>772</v>
      </c>
      <c r="BI286" s="56">
        <v>46.71</v>
      </c>
      <c r="BJ286" s="56">
        <v>120366.06</v>
      </c>
      <c r="BK286" s="56">
        <v>46710</v>
      </c>
      <c r="BL286" s="56" t="s">
        <v>897</v>
      </c>
      <c r="BM286" s="56">
        <v>3102</v>
      </c>
      <c r="BN286" s="56" t="s">
        <v>724</v>
      </c>
      <c r="BO286" s="56" t="s">
        <v>725</v>
      </c>
      <c r="BP286" s="56">
        <v>6772.95</v>
      </c>
      <c r="BQ286" s="56">
        <v>5887.3</v>
      </c>
      <c r="BR286" s="56">
        <v>0</v>
      </c>
      <c r="BS286" s="56">
        <v>0</v>
      </c>
      <c r="BT286" s="56">
        <v>0</v>
      </c>
      <c r="BU286" s="56">
        <v>725275</v>
      </c>
      <c r="BV286" s="56">
        <v>98</v>
      </c>
      <c r="BW286" s="56" t="s">
        <v>645</v>
      </c>
      <c r="BX286" s="56" t="s">
        <v>2244</v>
      </c>
      <c r="BY286" s="56" t="s">
        <v>663</v>
      </c>
      <c r="BZ286" s="56">
        <v>0.25</v>
      </c>
      <c r="CA286" s="56" t="s">
        <v>664</v>
      </c>
      <c r="CB286" s="56" t="s">
        <v>899</v>
      </c>
      <c r="CD286" s="56" t="s">
        <v>667</v>
      </c>
      <c r="CG286" s="56">
        <v>0</v>
      </c>
      <c r="CH286" s="56">
        <v>145</v>
      </c>
      <c r="CJ286" s="56">
        <v>100</v>
      </c>
      <c r="CK286" s="56">
        <v>5887.3</v>
      </c>
      <c r="CL286" s="56">
        <v>0</v>
      </c>
      <c r="CN286" s="56">
        <v>812.75</v>
      </c>
      <c r="CO286" s="56">
        <v>812.75</v>
      </c>
      <c r="CP286" s="56">
        <v>72.900000000000006</v>
      </c>
      <c r="CQ286" s="56" t="s">
        <v>668</v>
      </c>
      <c r="CR286" s="56">
        <v>0</v>
      </c>
      <c r="CS286" s="56">
        <v>0</v>
      </c>
      <c r="CV286" s="56">
        <v>0</v>
      </c>
      <c r="CX286" s="56">
        <v>0</v>
      </c>
      <c r="CY286" s="56">
        <v>0</v>
      </c>
      <c r="CZ286" s="56">
        <v>544.57000000000005</v>
      </c>
      <c r="DA286" s="56">
        <v>544.57000000000005</v>
      </c>
      <c r="DB286" s="56">
        <v>0</v>
      </c>
      <c r="DC286" s="56">
        <v>5342.73</v>
      </c>
      <c r="DD286" s="56">
        <v>20.68</v>
      </c>
      <c r="DE286" s="56">
        <v>0</v>
      </c>
      <c r="DF286" s="56">
        <v>20.68</v>
      </c>
      <c r="DH286" s="56" t="s">
        <v>670</v>
      </c>
      <c r="DI286" s="56" t="s">
        <v>671</v>
      </c>
      <c r="DK286" s="56">
        <v>79.650000000000006</v>
      </c>
      <c r="DL286" s="56">
        <v>5394.95</v>
      </c>
      <c r="DM286" s="56">
        <v>67</v>
      </c>
      <c r="DN286" s="56" t="s">
        <v>900</v>
      </c>
      <c r="DO286" s="56" t="s">
        <v>236</v>
      </c>
      <c r="DQ286" s="56" t="s">
        <v>674</v>
      </c>
      <c r="DR286" s="56">
        <v>3</v>
      </c>
      <c r="DW286" s="56">
        <v>280</v>
      </c>
      <c r="DX286" s="56" t="s">
        <v>678</v>
      </c>
      <c r="DY286" s="56" t="s">
        <v>679</v>
      </c>
      <c r="EL286" s="56">
        <v>25</v>
      </c>
      <c r="EM286" s="56">
        <v>15</v>
      </c>
      <c r="EN286" s="56">
        <v>4779</v>
      </c>
      <c r="EO286" s="56">
        <v>1805</v>
      </c>
      <c r="EP286" s="56" t="s">
        <v>1234</v>
      </c>
      <c r="EQ286" s="56" t="s">
        <v>901</v>
      </c>
      <c r="ER286" s="56" t="s">
        <v>902</v>
      </c>
      <c r="ES286" s="56">
        <v>2</v>
      </c>
      <c r="ET286" s="56" t="s">
        <v>682</v>
      </c>
      <c r="EU286" s="56" t="s">
        <v>683</v>
      </c>
      <c r="EV286" s="56" t="s">
        <v>683</v>
      </c>
      <c r="FD286" s="56" t="s">
        <v>2245</v>
      </c>
      <c r="FK286" s="56">
        <v>0</v>
      </c>
    </row>
    <row r="287" spans="1:167" x14ac:dyDescent="0.2">
      <c r="A287" s="56">
        <v>29235</v>
      </c>
      <c r="B287" s="56">
        <v>2</v>
      </c>
      <c r="C287" s="56">
        <v>6352</v>
      </c>
      <c r="D287" s="56" t="s">
        <v>634</v>
      </c>
      <c r="E287" s="56" t="s">
        <v>635</v>
      </c>
      <c r="K287" s="56" t="s">
        <v>2246</v>
      </c>
      <c r="L287" s="56" t="s">
        <v>637</v>
      </c>
      <c r="M287" s="56">
        <v>44956</v>
      </c>
      <c r="N287" s="56">
        <v>44958</v>
      </c>
      <c r="O287" s="56">
        <v>38</v>
      </c>
      <c r="P287" s="56" t="s">
        <v>638</v>
      </c>
      <c r="Q287" s="56">
        <v>2</v>
      </c>
      <c r="R287" s="56" t="s">
        <v>639</v>
      </c>
      <c r="S287" s="56" t="s">
        <v>640</v>
      </c>
      <c r="T287" s="56" t="s">
        <v>641</v>
      </c>
      <c r="U287" s="56" t="s">
        <v>1227</v>
      </c>
      <c r="V287" s="56" t="s">
        <v>643</v>
      </c>
      <c r="W287" s="56">
        <v>48</v>
      </c>
      <c r="X287" s="56" t="s">
        <v>699</v>
      </c>
      <c r="Y287" s="56">
        <v>51</v>
      </c>
      <c r="Z287" s="56" t="s">
        <v>1228</v>
      </c>
      <c r="AA287" s="56" t="s">
        <v>1583</v>
      </c>
      <c r="AB287" s="56" t="s">
        <v>1584</v>
      </c>
      <c r="AC287" s="56" t="s">
        <v>643</v>
      </c>
      <c r="AD287" s="56" t="s">
        <v>1582</v>
      </c>
      <c r="AE287" s="56">
        <v>52</v>
      </c>
      <c r="AF287" s="56" t="s">
        <v>1228</v>
      </c>
      <c r="AG287" s="56" t="s">
        <v>1229</v>
      </c>
      <c r="AH287" s="56" t="s">
        <v>643</v>
      </c>
      <c r="AI287" s="56" t="s">
        <v>1227</v>
      </c>
      <c r="AJ287" s="56">
        <v>431</v>
      </c>
      <c r="AK287" s="56" t="s">
        <v>1759</v>
      </c>
      <c r="AL287" s="56">
        <v>52</v>
      </c>
      <c r="AM287" s="56" t="s">
        <v>1228</v>
      </c>
      <c r="AN287" s="56" t="s">
        <v>1229</v>
      </c>
      <c r="AO287" s="56" t="s">
        <v>1230</v>
      </c>
      <c r="AP287" s="56" t="s">
        <v>643</v>
      </c>
      <c r="AQ287" s="56" t="s">
        <v>1227</v>
      </c>
      <c r="AR287" s="56">
        <v>52</v>
      </c>
      <c r="AS287" s="56" t="s">
        <v>1228</v>
      </c>
      <c r="AT287" s="56" t="s">
        <v>1229</v>
      </c>
      <c r="AU287" s="56" t="s">
        <v>643</v>
      </c>
      <c r="AV287" s="56" t="s">
        <v>1227</v>
      </c>
      <c r="AW287" s="56">
        <v>253</v>
      </c>
      <c r="AX287" s="56" t="s">
        <v>2247</v>
      </c>
      <c r="AY287" s="56">
        <v>259</v>
      </c>
      <c r="AZ287" s="56" t="s">
        <v>2248</v>
      </c>
      <c r="BA287" s="56" t="s">
        <v>2249</v>
      </c>
      <c r="BB287" s="56" t="s">
        <v>1363</v>
      </c>
      <c r="BC287" s="56">
        <v>147</v>
      </c>
      <c r="BD287" s="56" t="s">
        <v>1364</v>
      </c>
      <c r="BE287" s="56" t="s">
        <v>1365</v>
      </c>
      <c r="BF287" s="56">
        <v>147</v>
      </c>
      <c r="BG287" s="56" t="s">
        <v>1364</v>
      </c>
      <c r="BH287" s="56" t="s">
        <v>1365</v>
      </c>
      <c r="BI287" s="56">
        <v>47.76</v>
      </c>
      <c r="BJ287" s="56">
        <v>65456.51</v>
      </c>
      <c r="BK287" s="56">
        <v>47.76</v>
      </c>
      <c r="BL287" s="56" t="s">
        <v>1274</v>
      </c>
      <c r="BM287" s="56">
        <v>3102</v>
      </c>
      <c r="BN287" s="56" t="s">
        <v>786</v>
      </c>
      <c r="BO287" s="56" t="s">
        <v>1319</v>
      </c>
      <c r="BP287" s="56">
        <v>7880.4</v>
      </c>
      <c r="BQ287" s="56">
        <v>6837.55</v>
      </c>
      <c r="BR287" s="56">
        <v>0</v>
      </c>
      <c r="BS287" s="56">
        <v>0</v>
      </c>
      <c r="BT287" s="56">
        <v>5490.72</v>
      </c>
      <c r="BU287" s="56">
        <v>1243</v>
      </c>
      <c r="BV287" s="56">
        <v>52</v>
      </c>
      <c r="BW287" s="56" t="s">
        <v>1228</v>
      </c>
      <c r="BX287" s="56" t="s">
        <v>2250</v>
      </c>
      <c r="BY287" s="56" t="s">
        <v>663</v>
      </c>
      <c r="BZ287" s="56">
        <v>0.5</v>
      </c>
      <c r="CA287" s="56" t="s">
        <v>1587</v>
      </c>
      <c r="CB287" s="56" t="s">
        <v>2030</v>
      </c>
      <c r="CC287" s="56" t="s">
        <v>2203</v>
      </c>
      <c r="CD287" s="56" t="s">
        <v>667</v>
      </c>
      <c r="CF287" s="56">
        <v>0</v>
      </c>
      <c r="CG287" s="56">
        <v>0</v>
      </c>
      <c r="CH287" s="56">
        <v>165</v>
      </c>
      <c r="CI287" s="56">
        <v>117</v>
      </c>
      <c r="CJ287" s="56">
        <v>19.7</v>
      </c>
      <c r="CK287" s="56">
        <v>6837.55</v>
      </c>
      <c r="CL287" s="56">
        <v>5490.72</v>
      </c>
      <c r="CM287" s="56">
        <v>17.100000000000001</v>
      </c>
      <c r="CN287" s="56">
        <v>945.65</v>
      </c>
      <c r="CO287" s="56">
        <v>945.65</v>
      </c>
      <c r="CP287" s="56">
        <v>97.2</v>
      </c>
      <c r="CQ287" s="56" t="s">
        <v>668</v>
      </c>
      <c r="CR287" s="56">
        <v>0</v>
      </c>
      <c r="CS287" s="56">
        <v>97.2</v>
      </c>
      <c r="CT287" s="56" t="s">
        <v>669</v>
      </c>
      <c r="CU287" s="56">
        <v>0</v>
      </c>
      <c r="CV287" s="56">
        <v>0</v>
      </c>
      <c r="CX287" s="56">
        <v>1346.83</v>
      </c>
      <c r="CY287" s="56">
        <v>0</v>
      </c>
      <c r="CZ287" s="56">
        <v>124.58</v>
      </c>
      <c r="DA287" s="56">
        <v>632.47</v>
      </c>
      <c r="DB287" s="56">
        <v>507.89</v>
      </c>
      <c r="DC287" s="56">
        <v>6712.97</v>
      </c>
      <c r="DD287" s="56">
        <v>-19.64</v>
      </c>
      <c r="DE287" s="56">
        <v>0</v>
      </c>
      <c r="DF287" s="56">
        <v>11.25</v>
      </c>
      <c r="DG287" s="56">
        <v>30.89</v>
      </c>
      <c r="DH287" s="56" t="s">
        <v>670</v>
      </c>
      <c r="DI287" s="56" t="s">
        <v>671</v>
      </c>
      <c r="DK287" s="56">
        <v>15.76</v>
      </c>
      <c r="DL287" s="56">
        <v>1241.8900000000001</v>
      </c>
      <c r="DM287" s="56">
        <v>106</v>
      </c>
      <c r="DN287" s="56">
        <v>4501413837</v>
      </c>
      <c r="DO287" s="56" t="s">
        <v>236</v>
      </c>
      <c r="DP287" s="56" t="s">
        <v>673</v>
      </c>
      <c r="DQ287" s="56" t="s">
        <v>674</v>
      </c>
      <c r="DR287" s="56">
        <v>3</v>
      </c>
      <c r="DW287" s="56">
        <v>380</v>
      </c>
      <c r="DX287" s="56" t="s">
        <v>678</v>
      </c>
      <c r="DY287" s="56" t="s">
        <v>679</v>
      </c>
      <c r="ED287" s="56">
        <v>2</v>
      </c>
      <c r="EE287" s="56" t="s">
        <v>639</v>
      </c>
      <c r="EF287" s="56">
        <v>2</v>
      </c>
      <c r="EG287" s="56" t="s">
        <v>639</v>
      </c>
      <c r="EH287" s="56">
        <v>2</v>
      </c>
      <c r="EI287" s="56" t="s">
        <v>639</v>
      </c>
      <c r="EJ287" s="56">
        <v>2</v>
      </c>
      <c r="EK287" s="56" t="s">
        <v>639</v>
      </c>
      <c r="EL287" s="56">
        <v>25</v>
      </c>
      <c r="EM287" s="56">
        <v>15</v>
      </c>
      <c r="EN287" s="56">
        <v>5173</v>
      </c>
      <c r="EO287" s="56">
        <v>2420</v>
      </c>
      <c r="EP287" s="56" t="s">
        <v>1234</v>
      </c>
      <c r="EQ287" s="56" t="s">
        <v>2204</v>
      </c>
      <c r="ER287" s="56" t="s">
        <v>1764</v>
      </c>
      <c r="ES287" s="56">
        <v>2</v>
      </c>
      <c r="ET287" s="56" t="s">
        <v>682</v>
      </c>
      <c r="EU287" s="56" t="s">
        <v>683</v>
      </c>
      <c r="EV287" s="56" t="s">
        <v>683</v>
      </c>
      <c r="FD287" s="56" t="s">
        <v>2251</v>
      </c>
      <c r="FK287" s="56">
        <v>0</v>
      </c>
    </row>
    <row r="288" spans="1:167" x14ac:dyDescent="0.2">
      <c r="A288" s="56">
        <v>29236</v>
      </c>
      <c r="B288" s="56">
        <v>2</v>
      </c>
      <c r="C288" s="56">
        <v>6352</v>
      </c>
      <c r="D288" s="56" t="s">
        <v>634</v>
      </c>
      <c r="E288" s="56" t="s">
        <v>635</v>
      </c>
      <c r="K288" s="56" t="s">
        <v>2252</v>
      </c>
      <c r="L288" s="56" t="s">
        <v>637</v>
      </c>
      <c r="M288" s="56">
        <v>44956</v>
      </c>
      <c r="N288" s="56">
        <v>44958</v>
      </c>
      <c r="O288" s="56">
        <v>38</v>
      </c>
      <c r="P288" s="56" t="s">
        <v>638</v>
      </c>
      <c r="Q288" s="56">
        <v>2</v>
      </c>
      <c r="R288" s="56" t="s">
        <v>639</v>
      </c>
      <c r="S288" s="56" t="s">
        <v>640</v>
      </c>
      <c r="T288" s="56" t="s">
        <v>641</v>
      </c>
      <c r="U288" s="56" t="s">
        <v>1227</v>
      </c>
      <c r="V288" s="56" t="s">
        <v>643</v>
      </c>
      <c r="W288" s="56">
        <v>48</v>
      </c>
      <c r="X288" s="56" t="s">
        <v>699</v>
      </c>
      <c r="Y288" s="56">
        <v>51</v>
      </c>
      <c r="Z288" s="56" t="s">
        <v>1228</v>
      </c>
      <c r="AA288" s="56" t="s">
        <v>1583</v>
      </c>
      <c r="AB288" s="56" t="s">
        <v>1584</v>
      </c>
      <c r="AC288" s="56" t="s">
        <v>643</v>
      </c>
      <c r="AD288" s="56" t="s">
        <v>1582</v>
      </c>
      <c r="AE288" s="56">
        <v>52</v>
      </c>
      <c r="AF288" s="56" t="s">
        <v>1228</v>
      </c>
      <c r="AG288" s="56" t="s">
        <v>1229</v>
      </c>
      <c r="AH288" s="56" t="s">
        <v>643</v>
      </c>
      <c r="AI288" s="56" t="s">
        <v>1227</v>
      </c>
      <c r="AJ288" s="56">
        <v>431</v>
      </c>
      <c r="AK288" s="56" t="s">
        <v>1759</v>
      </c>
      <c r="AL288" s="56">
        <v>52</v>
      </c>
      <c r="AM288" s="56" t="s">
        <v>1228</v>
      </c>
      <c r="AN288" s="56" t="s">
        <v>1229</v>
      </c>
      <c r="AO288" s="56" t="s">
        <v>1230</v>
      </c>
      <c r="AP288" s="56" t="s">
        <v>643</v>
      </c>
      <c r="AQ288" s="56" t="s">
        <v>1227</v>
      </c>
      <c r="AR288" s="56">
        <v>52</v>
      </c>
      <c r="AS288" s="56" t="s">
        <v>1228</v>
      </c>
      <c r="AT288" s="56" t="s">
        <v>1229</v>
      </c>
      <c r="AU288" s="56" t="s">
        <v>643</v>
      </c>
      <c r="AV288" s="56" t="s">
        <v>1227</v>
      </c>
      <c r="AW288" s="56">
        <v>251</v>
      </c>
      <c r="AX288" s="56" t="s">
        <v>1313</v>
      </c>
      <c r="AY288" s="56">
        <v>251</v>
      </c>
      <c r="AZ288" s="56" t="s">
        <v>1314</v>
      </c>
      <c r="BA288" s="56" t="s">
        <v>1315</v>
      </c>
      <c r="BB288" s="56" t="s">
        <v>1316</v>
      </c>
      <c r="BC288" s="56">
        <v>250</v>
      </c>
      <c r="BD288" s="56" t="s">
        <v>1317</v>
      </c>
      <c r="BE288" s="56" t="s">
        <v>1318</v>
      </c>
      <c r="BF288" s="56">
        <v>250</v>
      </c>
      <c r="BG288" s="56" t="s">
        <v>1317</v>
      </c>
      <c r="BH288" s="56" t="s">
        <v>1318</v>
      </c>
      <c r="BI288" s="56">
        <v>48.52</v>
      </c>
      <c r="BJ288" s="56">
        <v>66498.12</v>
      </c>
      <c r="BK288" s="56">
        <v>48.52</v>
      </c>
      <c r="BL288" s="56" t="s">
        <v>1274</v>
      </c>
      <c r="BM288" s="56">
        <v>3102</v>
      </c>
      <c r="BN288" s="56" t="s">
        <v>786</v>
      </c>
      <c r="BO288" s="56" t="s">
        <v>1319</v>
      </c>
      <c r="BP288" s="56">
        <v>8005.8</v>
      </c>
      <c r="BQ288" s="56">
        <v>6947.9</v>
      </c>
      <c r="BR288" s="56">
        <v>0</v>
      </c>
      <c r="BS288" s="56">
        <v>0</v>
      </c>
      <c r="BT288" s="56">
        <v>5579.64</v>
      </c>
      <c r="BU288" s="56">
        <v>1244</v>
      </c>
      <c r="BV288" s="56">
        <v>52</v>
      </c>
      <c r="BW288" s="56" t="s">
        <v>1228</v>
      </c>
      <c r="BX288" s="56" t="s">
        <v>2253</v>
      </c>
      <c r="BY288" s="56" t="s">
        <v>663</v>
      </c>
      <c r="BZ288" s="56">
        <v>0.5</v>
      </c>
      <c r="CA288" s="56" t="s">
        <v>1587</v>
      </c>
      <c r="CB288" s="56" t="s">
        <v>2030</v>
      </c>
      <c r="CC288" s="56" t="s">
        <v>2203</v>
      </c>
      <c r="CD288" s="56" t="s">
        <v>667</v>
      </c>
      <c r="CF288" s="56">
        <v>4463.71</v>
      </c>
      <c r="CG288" s="56">
        <v>80</v>
      </c>
      <c r="CH288" s="56">
        <v>165</v>
      </c>
      <c r="CI288" s="56">
        <v>117</v>
      </c>
      <c r="CJ288" s="56">
        <v>19.690000000000001</v>
      </c>
      <c r="CK288" s="56">
        <v>6947.9</v>
      </c>
      <c r="CL288" s="56">
        <v>5579.64</v>
      </c>
      <c r="CM288" s="56">
        <v>53.36</v>
      </c>
      <c r="CN288" s="56">
        <v>960.7</v>
      </c>
      <c r="CO288" s="56">
        <v>960.7</v>
      </c>
      <c r="CP288" s="56">
        <v>97.2</v>
      </c>
      <c r="CQ288" s="56" t="s">
        <v>668</v>
      </c>
      <c r="CR288" s="56">
        <v>0</v>
      </c>
      <c r="CS288" s="56">
        <v>97.2</v>
      </c>
      <c r="CT288" s="56" t="s">
        <v>669</v>
      </c>
      <c r="CU288" s="56">
        <v>0</v>
      </c>
      <c r="CV288" s="56">
        <v>0</v>
      </c>
      <c r="CX288" s="56">
        <v>1341.54</v>
      </c>
      <c r="CY288" s="56">
        <v>0</v>
      </c>
      <c r="CZ288" s="56">
        <v>255.59</v>
      </c>
      <c r="DA288" s="56">
        <v>642.67999999999995</v>
      </c>
      <c r="DB288" s="56">
        <v>387.09</v>
      </c>
      <c r="DC288" s="56">
        <v>6692.31</v>
      </c>
      <c r="DD288" s="56">
        <v>229.93</v>
      </c>
      <c r="DE288" s="56">
        <v>0</v>
      </c>
      <c r="DF288" s="56">
        <v>11.42</v>
      </c>
      <c r="DG288" s="56">
        <v>31.39</v>
      </c>
      <c r="DH288" s="56" t="s">
        <v>670</v>
      </c>
      <c r="DI288" s="56" t="s">
        <v>671</v>
      </c>
      <c r="DK288" s="56">
        <v>11.03</v>
      </c>
      <c r="DL288" s="56">
        <v>882.74</v>
      </c>
      <c r="DM288" s="56">
        <v>106</v>
      </c>
      <c r="DN288" s="56">
        <v>4501413837</v>
      </c>
      <c r="DO288" s="56" t="s">
        <v>236</v>
      </c>
      <c r="DP288" s="56" t="s">
        <v>673</v>
      </c>
      <c r="DQ288" s="56" t="s">
        <v>674</v>
      </c>
      <c r="DR288" s="56">
        <v>1</v>
      </c>
      <c r="DS288" s="56" t="s">
        <v>2254</v>
      </c>
      <c r="DT288" s="56" t="s">
        <v>2255</v>
      </c>
      <c r="DU288" s="56">
        <v>36</v>
      </c>
      <c r="DV288" s="56" t="s">
        <v>677</v>
      </c>
      <c r="DW288" s="56">
        <v>380</v>
      </c>
      <c r="DX288" s="56" t="s">
        <v>678</v>
      </c>
      <c r="DY288" s="56" t="s">
        <v>679</v>
      </c>
      <c r="ED288" s="56">
        <v>2</v>
      </c>
      <c r="EE288" s="56" t="s">
        <v>639</v>
      </c>
      <c r="EF288" s="56">
        <v>2</v>
      </c>
      <c r="EG288" s="56" t="s">
        <v>639</v>
      </c>
      <c r="EH288" s="56">
        <v>2</v>
      </c>
      <c r="EI288" s="56" t="s">
        <v>639</v>
      </c>
      <c r="EJ288" s="56">
        <v>2</v>
      </c>
      <c r="EK288" s="56" t="s">
        <v>639</v>
      </c>
      <c r="EL288" s="56">
        <v>25</v>
      </c>
      <c r="EM288" s="56">
        <v>15</v>
      </c>
      <c r="EN288" s="56">
        <v>5173</v>
      </c>
      <c r="EO288" s="56">
        <v>2420</v>
      </c>
      <c r="EP288" s="56" t="s">
        <v>1234</v>
      </c>
      <c r="EQ288" s="56" t="s">
        <v>2204</v>
      </c>
      <c r="ER288" s="56" t="s">
        <v>1764</v>
      </c>
      <c r="ES288" s="56">
        <v>2</v>
      </c>
      <c r="ET288" s="56" t="s">
        <v>682</v>
      </c>
      <c r="EU288" s="56" t="s">
        <v>683</v>
      </c>
      <c r="EV288" s="56" t="s">
        <v>683</v>
      </c>
      <c r="FD288" s="56" t="s">
        <v>2256</v>
      </c>
      <c r="FK288" s="56">
        <v>0</v>
      </c>
    </row>
    <row r="289" spans="1:167" x14ac:dyDescent="0.2">
      <c r="A289" s="56">
        <v>29237</v>
      </c>
      <c r="B289" s="56">
        <v>2</v>
      </c>
      <c r="C289" s="56">
        <v>6352</v>
      </c>
      <c r="D289" s="56" t="s">
        <v>634</v>
      </c>
      <c r="E289" s="56" t="s">
        <v>635</v>
      </c>
      <c r="K289" s="56" t="s">
        <v>2257</v>
      </c>
      <c r="L289" s="56" t="s">
        <v>637</v>
      </c>
      <c r="M289" s="56">
        <v>44956</v>
      </c>
      <c r="N289" s="56">
        <v>44958</v>
      </c>
      <c r="O289" s="56">
        <v>38</v>
      </c>
      <c r="P289" s="56" t="s">
        <v>638</v>
      </c>
      <c r="Q289" s="56">
        <v>2</v>
      </c>
      <c r="R289" s="56" t="s">
        <v>639</v>
      </c>
      <c r="S289" s="56" t="s">
        <v>640</v>
      </c>
      <c r="T289" s="56" t="s">
        <v>641</v>
      </c>
      <c r="U289" s="56" t="s">
        <v>1227</v>
      </c>
      <c r="V289" s="56" t="s">
        <v>643</v>
      </c>
      <c r="W289" s="56">
        <v>48</v>
      </c>
      <c r="X289" s="56" t="s">
        <v>699</v>
      </c>
      <c r="Y289" s="56">
        <v>51</v>
      </c>
      <c r="Z289" s="56" t="s">
        <v>1228</v>
      </c>
      <c r="AA289" s="56" t="s">
        <v>1583</v>
      </c>
      <c r="AB289" s="56" t="s">
        <v>1584</v>
      </c>
      <c r="AC289" s="56" t="s">
        <v>643</v>
      </c>
      <c r="AD289" s="56" t="s">
        <v>1582</v>
      </c>
      <c r="AE289" s="56">
        <v>52</v>
      </c>
      <c r="AF289" s="56" t="s">
        <v>1228</v>
      </c>
      <c r="AG289" s="56" t="s">
        <v>1229</v>
      </c>
      <c r="AH289" s="56" t="s">
        <v>643</v>
      </c>
      <c r="AI289" s="56" t="s">
        <v>1227</v>
      </c>
      <c r="AJ289" s="56">
        <v>431</v>
      </c>
      <c r="AK289" s="56" t="s">
        <v>1759</v>
      </c>
      <c r="AL289" s="56">
        <v>52</v>
      </c>
      <c r="AM289" s="56" t="s">
        <v>1228</v>
      </c>
      <c r="AN289" s="56" t="s">
        <v>1229</v>
      </c>
      <c r="AO289" s="56" t="s">
        <v>1230</v>
      </c>
      <c r="AP289" s="56" t="s">
        <v>643</v>
      </c>
      <c r="AQ289" s="56" t="s">
        <v>1227</v>
      </c>
      <c r="AR289" s="56">
        <v>52</v>
      </c>
      <c r="AS289" s="56" t="s">
        <v>1228</v>
      </c>
      <c r="AT289" s="56" t="s">
        <v>1229</v>
      </c>
      <c r="AU289" s="56" t="s">
        <v>643</v>
      </c>
      <c r="AV289" s="56" t="s">
        <v>1227</v>
      </c>
      <c r="AW289" s="56">
        <v>307</v>
      </c>
      <c r="AX289" s="56" t="s">
        <v>2258</v>
      </c>
      <c r="AY289" s="56">
        <v>1468</v>
      </c>
      <c r="AZ289" s="56" t="s">
        <v>2259</v>
      </c>
      <c r="BA289" s="56" t="s">
        <v>2260</v>
      </c>
      <c r="BB289" s="56" t="s">
        <v>2261</v>
      </c>
      <c r="BC289" s="56">
        <v>307</v>
      </c>
      <c r="BD289" s="56" t="s">
        <v>2258</v>
      </c>
      <c r="BE289" s="56" t="s">
        <v>2262</v>
      </c>
      <c r="BF289" s="56">
        <v>307</v>
      </c>
      <c r="BG289" s="56" t="s">
        <v>2258</v>
      </c>
      <c r="BH289" s="56" t="s">
        <v>2262</v>
      </c>
      <c r="BI289" s="56">
        <v>36.92</v>
      </c>
      <c r="BJ289" s="56">
        <v>50599.97</v>
      </c>
      <c r="BK289" s="56">
        <v>36.92</v>
      </c>
      <c r="BL289" s="56" t="s">
        <v>1274</v>
      </c>
      <c r="BM289" s="56">
        <v>3102</v>
      </c>
      <c r="BN289" s="56" t="s">
        <v>660</v>
      </c>
      <c r="BO289" s="56" t="s">
        <v>1832</v>
      </c>
      <c r="BP289" s="56">
        <v>6091.8</v>
      </c>
      <c r="BQ289" s="56">
        <v>5285.18</v>
      </c>
      <c r="BR289" s="56">
        <v>0</v>
      </c>
      <c r="BS289" s="56">
        <v>0</v>
      </c>
      <c r="BT289" s="56">
        <v>4170.2</v>
      </c>
      <c r="BU289" s="56">
        <v>1245</v>
      </c>
      <c r="BV289" s="56">
        <v>52</v>
      </c>
      <c r="BW289" s="56" t="s">
        <v>1228</v>
      </c>
      <c r="BX289" s="56" t="s">
        <v>2263</v>
      </c>
      <c r="BY289" s="56" t="s">
        <v>663</v>
      </c>
      <c r="BZ289" s="56">
        <v>0.5</v>
      </c>
      <c r="CA289" s="56" t="s">
        <v>1587</v>
      </c>
      <c r="CB289" s="56" t="s">
        <v>2030</v>
      </c>
      <c r="CC289" s="56" t="s">
        <v>2212</v>
      </c>
      <c r="CD289" s="56" t="s">
        <v>667</v>
      </c>
      <c r="CF289" s="56">
        <v>3336.16</v>
      </c>
      <c r="CG289" s="56">
        <v>80</v>
      </c>
      <c r="CH289" s="56">
        <v>165</v>
      </c>
      <c r="CI289" s="56">
        <v>115</v>
      </c>
      <c r="CJ289" s="56">
        <v>21.1</v>
      </c>
      <c r="CK289" s="56">
        <v>5285.18</v>
      </c>
      <c r="CL289" s="56">
        <v>4170.2</v>
      </c>
      <c r="CM289" s="56">
        <v>84.63</v>
      </c>
      <c r="CN289" s="56">
        <v>731.02</v>
      </c>
      <c r="CO289" s="56">
        <v>731.02</v>
      </c>
      <c r="CP289" s="56">
        <v>75.599999999999994</v>
      </c>
      <c r="CQ289" s="56" t="s">
        <v>668</v>
      </c>
      <c r="CR289" s="56">
        <v>0</v>
      </c>
      <c r="CS289" s="56">
        <v>75.599999999999994</v>
      </c>
      <c r="CT289" s="56" t="s">
        <v>669</v>
      </c>
      <c r="CU289" s="56">
        <v>0</v>
      </c>
      <c r="CV289" s="56">
        <v>0</v>
      </c>
      <c r="CX289" s="56">
        <v>1095.23</v>
      </c>
      <c r="CY289" s="56">
        <v>0</v>
      </c>
      <c r="CZ289" s="56">
        <v>199.57</v>
      </c>
      <c r="DA289" s="56">
        <v>488.88</v>
      </c>
      <c r="DB289" s="56">
        <v>289.31</v>
      </c>
      <c r="DC289" s="56">
        <v>5085.6099999999997</v>
      </c>
      <c r="DD289" s="56">
        <v>171.37</v>
      </c>
      <c r="DE289" s="56">
        <v>0</v>
      </c>
      <c r="DF289" s="56">
        <v>8.69</v>
      </c>
      <c r="DG289" s="56">
        <v>23.88</v>
      </c>
      <c r="DH289" s="56" t="s">
        <v>670</v>
      </c>
      <c r="DI289" s="56" t="s">
        <v>671</v>
      </c>
      <c r="DK289" s="56">
        <v>12.21</v>
      </c>
      <c r="DL289" s="56">
        <v>744.04</v>
      </c>
      <c r="DM289" s="56">
        <v>106</v>
      </c>
      <c r="DN289" s="56">
        <v>4501413837</v>
      </c>
      <c r="DO289" s="56" t="s">
        <v>236</v>
      </c>
      <c r="DP289" s="56" t="s">
        <v>673</v>
      </c>
      <c r="DQ289" s="56" t="s">
        <v>674</v>
      </c>
      <c r="DR289" s="56">
        <v>1</v>
      </c>
      <c r="DS289" s="56" t="s">
        <v>2264</v>
      </c>
      <c r="DT289" s="56" t="s">
        <v>2265</v>
      </c>
      <c r="DU289" s="56">
        <v>36</v>
      </c>
      <c r="DV289" s="56" t="s">
        <v>677</v>
      </c>
      <c r="DW289" s="56">
        <v>380</v>
      </c>
      <c r="DX289" s="56" t="s">
        <v>678</v>
      </c>
      <c r="DY289" s="56" t="s">
        <v>679</v>
      </c>
      <c r="ED289" s="56">
        <v>2</v>
      </c>
      <c r="EE289" s="56" t="s">
        <v>639</v>
      </c>
      <c r="EF289" s="56">
        <v>2</v>
      </c>
      <c r="EG289" s="56" t="s">
        <v>639</v>
      </c>
      <c r="EH289" s="56">
        <v>2</v>
      </c>
      <c r="EI289" s="56" t="s">
        <v>639</v>
      </c>
      <c r="EJ289" s="56">
        <v>2</v>
      </c>
      <c r="EK289" s="56" t="s">
        <v>639</v>
      </c>
      <c r="EL289" s="56">
        <v>25</v>
      </c>
      <c r="EM289" s="56">
        <v>15</v>
      </c>
      <c r="EN289" s="56">
        <v>5173</v>
      </c>
      <c r="EO289" s="56">
        <v>2420</v>
      </c>
      <c r="EP289" s="56" t="s">
        <v>1234</v>
      </c>
      <c r="EQ289" s="56" t="s">
        <v>2204</v>
      </c>
      <c r="ER289" s="56" t="s">
        <v>1764</v>
      </c>
      <c r="ES289" s="56">
        <v>2</v>
      </c>
      <c r="ET289" s="56" t="s">
        <v>682</v>
      </c>
      <c r="EU289" s="56" t="s">
        <v>683</v>
      </c>
      <c r="EV289" s="56" t="s">
        <v>683</v>
      </c>
      <c r="FD289" s="56" t="s">
        <v>2266</v>
      </c>
      <c r="FK289" s="56">
        <v>0</v>
      </c>
    </row>
    <row r="290" spans="1:167" x14ac:dyDescent="0.2">
      <c r="A290" s="56">
        <v>29238</v>
      </c>
      <c r="B290" s="56">
        <v>2</v>
      </c>
      <c r="C290" s="56">
        <v>6352</v>
      </c>
      <c r="D290" s="56" t="s">
        <v>634</v>
      </c>
      <c r="E290" s="56" t="s">
        <v>635</v>
      </c>
      <c r="K290" s="56" t="s">
        <v>2267</v>
      </c>
      <c r="L290" s="56" t="s">
        <v>637</v>
      </c>
      <c r="M290" s="56">
        <v>44956</v>
      </c>
      <c r="N290" s="56">
        <v>44958</v>
      </c>
      <c r="O290" s="56">
        <v>38</v>
      </c>
      <c r="P290" s="56" t="s">
        <v>638</v>
      </c>
      <c r="Q290" s="56">
        <v>2</v>
      </c>
      <c r="R290" s="56" t="s">
        <v>639</v>
      </c>
      <c r="S290" s="56" t="s">
        <v>640</v>
      </c>
      <c r="T290" s="56" t="s">
        <v>641</v>
      </c>
      <c r="U290" s="56" t="s">
        <v>1582</v>
      </c>
      <c r="V290" s="56" t="s">
        <v>643</v>
      </c>
      <c r="W290" s="56">
        <v>49</v>
      </c>
      <c r="X290" s="56" t="s">
        <v>887</v>
      </c>
      <c r="Y290" s="56">
        <v>52</v>
      </c>
      <c r="Z290" s="56" t="s">
        <v>1228</v>
      </c>
      <c r="AA290" s="56" t="s">
        <v>1229</v>
      </c>
      <c r="AB290" s="56" t="s">
        <v>1230</v>
      </c>
      <c r="AC290" s="56" t="s">
        <v>643</v>
      </c>
      <c r="AD290" s="56" t="s">
        <v>1227</v>
      </c>
      <c r="AE290" s="56">
        <v>51</v>
      </c>
      <c r="AF290" s="56" t="s">
        <v>1228</v>
      </c>
      <c r="AG290" s="56" t="s">
        <v>1583</v>
      </c>
      <c r="AH290" s="56" t="s">
        <v>643</v>
      </c>
      <c r="AI290" s="56" t="s">
        <v>1582</v>
      </c>
      <c r="AJ290" s="56">
        <v>431</v>
      </c>
      <c r="AK290" s="56" t="s">
        <v>1759</v>
      </c>
      <c r="AL290" s="56">
        <v>51</v>
      </c>
      <c r="AM290" s="56" t="s">
        <v>1228</v>
      </c>
      <c r="AN290" s="56" t="s">
        <v>1583</v>
      </c>
      <c r="AO290" s="56" t="s">
        <v>1584</v>
      </c>
      <c r="AP290" s="56" t="s">
        <v>643</v>
      </c>
      <c r="AQ290" s="56" t="s">
        <v>1582</v>
      </c>
      <c r="AR290" s="56">
        <v>51</v>
      </c>
      <c r="AS290" s="56" t="s">
        <v>1228</v>
      </c>
      <c r="AT290" s="56" t="s">
        <v>1583</v>
      </c>
      <c r="AU290" s="56" t="s">
        <v>643</v>
      </c>
      <c r="AV290" s="56" t="s">
        <v>1582</v>
      </c>
      <c r="AW290" s="56">
        <v>1258</v>
      </c>
      <c r="AX290" s="56" t="s">
        <v>2268</v>
      </c>
      <c r="AY290" s="56">
        <v>1474</v>
      </c>
      <c r="AZ290" s="56" t="s">
        <v>2269</v>
      </c>
      <c r="BA290" s="56" t="s">
        <v>2270</v>
      </c>
      <c r="BB290" s="56" t="s">
        <v>2271</v>
      </c>
      <c r="BC290" s="56">
        <v>1257</v>
      </c>
      <c r="BD290" s="56" t="s">
        <v>2272</v>
      </c>
      <c r="BE290" s="56" t="s">
        <v>2273</v>
      </c>
      <c r="BF290" s="56">
        <v>1257</v>
      </c>
      <c r="BG290" s="56" t="s">
        <v>2272</v>
      </c>
      <c r="BH290" s="56" t="s">
        <v>2273</v>
      </c>
      <c r="BI290" s="56">
        <v>47.82</v>
      </c>
      <c r="BJ290" s="56">
        <v>61865.21</v>
      </c>
      <c r="BK290" s="56">
        <v>47.82</v>
      </c>
      <c r="BL290" s="56" t="s">
        <v>2274</v>
      </c>
      <c r="BM290" s="56">
        <v>3102</v>
      </c>
      <c r="BN290" s="56" t="s">
        <v>744</v>
      </c>
      <c r="BO290" s="56" t="s">
        <v>2275</v>
      </c>
      <c r="BP290" s="56">
        <v>10759.5</v>
      </c>
      <c r="BQ290" s="56">
        <v>9346.86</v>
      </c>
      <c r="BR290" s="56">
        <v>0</v>
      </c>
      <c r="BS290" s="56">
        <v>0</v>
      </c>
      <c r="BT290" s="56">
        <v>7290.6</v>
      </c>
      <c r="BU290" s="56">
        <v>4223</v>
      </c>
      <c r="BV290" s="56">
        <v>51</v>
      </c>
      <c r="BW290" s="56" t="s">
        <v>1228</v>
      </c>
      <c r="BX290" s="56" t="s">
        <v>2276</v>
      </c>
      <c r="BY290" s="56" t="s">
        <v>663</v>
      </c>
      <c r="BZ290" s="56">
        <v>0.25</v>
      </c>
      <c r="CA290" s="56" t="s">
        <v>664</v>
      </c>
      <c r="CB290" s="56" t="s">
        <v>2277</v>
      </c>
      <c r="CC290" s="56" t="s">
        <v>2166</v>
      </c>
      <c r="CD290" s="56" t="s">
        <v>667</v>
      </c>
      <c r="CF290" s="56">
        <v>5832.48</v>
      </c>
      <c r="CG290" s="56">
        <v>80</v>
      </c>
      <c r="CH290" s="56">
        <v>225</v>
      </c>
      <c r="CI290" s="56">
        <v>155</v>
      </c>
      <c r="CJ290" s="56">
        <v>22</v>
      </c>
      <c r="CK290" s="56">
        <v>9346.86</v>
      </c>
      <c r="CL290" s="56">
        <v>7290.6</v>
      </c>
      <c r="CM290" s="56">
        <v>96.36</v>
      </c>
      <c r="CN290" s="56">
        <v>1291.1400000000001</v>
      </c>
      <c r="CO290" s="56">
        <v>1291.1400000000001</v>
      </c>
      <c r="CP290" s="56">
        <v>121.5</v>
      </c>
      <c r="CQ290" s="56" t="s">
        <v>668</v>
      </c>
      <c r="CR290" s="56">
        <v>0</v>
      </c>
      <c r="CS290" s="56">
        <v>121.5</v>
      </c>
      <c r="CT290" s="56" t="s">
        <v>669</v>
      </c>
      <c r="CU290" s="56">
        <v>0</v>
      </c>
      <c r="CV290" s="56">
        <v>0</v>
      </c>
      <c r="CX290" s="56">
        <v>2020.44</v>
      </c>
      <c r="CY290" s="56">
        <v>0</v>
      </c>
      <c r="CZ290" s="56">
        <v>358.8</v>
      </c>
      <c r="DA290" s="56">
        <v>864.58</v>
      </c>
      <c r="DB290" s="56">
        <v>505.78</v>
      </c>
      <c r="DC290" s="56">
        <v>8988.06</v>
      </c>
      <c r="DD290" s="56">
        <v>15.52</v>
      </c>
      <c r="DE290" s="56">
        <v>0</v>
      </c>
      <c r="DF290" s="56">
        <v>10.63</v>
      </c>
      <c r="DG290" s="56">
        <v>30.93</v>
      </c>
      <c r="DH290" s="56" t="s">
        <v>670</v>
      </c>
      <c r="DI290" s="56" t="s">
        <v>671</v>
      </c>
      <c r="DK290" s="56">
        <v>15.97</v>
      </c>
      <c r="DL290" s="56">
        <v>1717.76</v>
      </c>
      <c r="DM290" s="56">
        <v>108</v>
      </c>
      <c r="DN290" s="56">
        <v>4501413835</v>
      </c>
      <c r="DO290" s="56" t="s">
        <v>236</v>
      </c>
      <c r="DP290" s="56" t="s">
        <v>673</v>
      </c>
      <c r="DQ290" s="56" t="s">
        <v>674</v>
      </c>
      <c r="DR290" s="56">
        <v>2</v>
      </c>
      <c r="DS290" s="56" t="s">
        <v>2278</v>
      </c>
      <c r="DT290" s="56" t="s">
        <v>2279</v>
      </c>
      <c r="DU290" s="56">
        <v>36</v>
      </c>
      <c r="DV290" s="56" t="s">
        <v>677</v>
      </c>
      <c r="DW290" s="56">
        <v>580</v>
      </c>
      <c r="DX290" s="56" t="s">
        <v>678</v>
      </c>
      <c r="DY290" s="56" t="s">
        <v>679</v>
      </c>
      <c r="ED290" s="56">
        <v>2</v>
      </c>
      <c r="EE290" s="56" t="s">
        <v>639</v>
      </c>
      <c r="EF290" s="56">
        <v>2</v>
      </c>
      <c r="EG290" s="56" t="s">
        <v>639</v>
      </c>
      <c r="EH290" s="56">
        <v>2</v>
      </c>
      <c r="EI290" s="56" t="s">
        <v>639</v>
      </c>
      <c r="EJ290" s="56">
        <v>2</v>
      </c>
      <c r="EK290" s="56" t="s">
        <v>639</v>
      </c>
      <c r="EL290" s="56">
        <v>25</v>
      </c>
      <c r="EM290" s="56">
        <v>15</v>
      </c>
      <c r="EN290" s="56">
        <v>5173</v>
      </c>
      <c r="EO290" s="56">
        <v>1950</v>
      </c>
      <c r="EP290" s="56" t="s">
        <v>1234</v>
      </c>
      <c r="EQ290" s="56" t="s">
        <v>2280</v>
      </c>
      <c r="ER290" s="56" t="s">
        <v>1804</v>
      </c>
      <c r="ES290" s="56">
        <v>2</v>
      </c>
      <c r="ET290" s="56" t="s">
        <v>682</v>
      </c>
      <c r="EU290" s="56" t="s">
        <v>683</v>
      </c>
      <c r="EV290" s="56" t="s">
        <v>683</v>
      </c>
      <c r="FD290" s="56" t="s">
        <v>2281</v>
      </c>
      <c r="FK290" s="56">
        <v>0</v>
      </c>
    </row>
    <row r="291" spans="1:167" x14ac:dyDescent="0.2">
      <c r="A291" s="56">
        <v>29239</v>
      </c>
      <c r="B291" s="56">
        <v>2</v>
      </c>
      <c r="C291" s="56">
        <v>6352</v>
      </c>
      <c r="D291" s="56" t="s">
        <v>634</v>
      </c>
      <c r="E291" s="56" t="s">
        <v>635</v>
      </c>
      <c r="K291" s="56" t="s">
        <v>2282</v>
      </c>
      <c r="L291" s="56" t="s">
        <v>637</v>
      </c>
      <c r="M291" s="56">
        <v>44956</v>
      </c>
      <c r="N291" s="56">
        <v>44958</v>
      </c>
      <c r="O291" s="56">
        <v>38</v>
      </c>
      <c r="P291" s="56" t="s">
        <v>638</v>
      </c>
      <c r="Q291" s="56">
        <v>2</v>
      </c>
      <c r="R291" s="56" t="s">
        <v>639</v>
      </c>
      <c r="S291" s="56" t="s">
        <v>640</v>
      </c>
      <c r="T291" s="56" t="s">
        <v>641</v>
      </c>
      <c r="U291" s="56" t="s">
        <v>1582</v>
      </c>
      <c r="V291" s="56" t="s">
        <v>643</v>
      </c>
      <c r="W291" s="56">
        <v>49</v>
      </c>
      <c r="X291" s="56" t="s">
        <v>887</v>
      </c>
      <c r="Y291" s="56">
        <v>52</v>
      </c>
      <c r="Z291" s="56" t="s">
        <v>1228</v>
      </c>
      <c r="AA291" s="56" t="s">
        <v>1229</v>
      </c>
      <c r="AB291" s="56" t="s">
        <v>1230</v>
      </c>
      <c r="AC291" s="56" t="s">
        <v>643</v>
      </c>
      <c r="AD291" s="56" t="s">
        <v>1227</v>
      </c>
      <c r="AE291" s="56">
        <v>51</v>
      </c>
      <c r="AF291" s="56" t="s">
        <v>1228</v>
      </c>
      <c r="AG291" s="56" t="s">
        <v>1583</v>
      </c>
      <c r="AH291" s="56" t="s">
        <v>643</v>
      </c>
      <c r="AI291" s="56" t="s">
        <v>1582</v>
      </c>
      <c r="AJ291" s="56">
        <v>431</v>
      </c>
      <c r="AK291" s="56" t="s">
        <v>1759</v>
      </c>
      <c r="AL291" s="56">
        <v>51</v>
      </c>
      <c r="AM291" s="56" t="s">
        <v>1228</v>
      </c>
      <c r="AN291" s="56" t="s">
        <v>1583</v>
      </c>
      <c r="AO291" s="56" t="s">
        <v>1584</v>
      </c>
      <c r="AP291" s="56" t="s">
        <v>643</v>
      </c>
      <c r="AQ291" s="56" t="s">
        <v>1582</v>
      </c>
      <c r="AR291" s="56">
        <v>51</v>
      </c>
      <c r="AS291" s="56" t="s">
        <v>1228</v>
      </c>
      <c r="AT291" s="56" t="s">
        <v>1583</v>
      </c>
      <c r="AU291" s="56" t="s">
        <v>643</v>
      </c>
      <c r="AV291" s="56" t="s">
        <v>1582</v>
      </c>
      <c r="AW291" s="56">
        <v>999</v>
      </c>
      <c r="AX291" s="56" t="s">
        <v>2283</v>
      </c>
      <c r="AY291" s="56">
        <v>1173</v>
      </c>
      <c r="AZ291" s="56" t="s">
        <v>2284</v>
      </c>
      <c r="BA291" s="56" t="s">
        <v>2285</v>
      </c>
      <c r="BB291" s="56" t="s">
        <v>2286</v>
      </c>
      <c r="BC291" s="56">
        <v>1000</v>
      </c>
      <c r="BD291" s="56" t="s">
        <v>2287</v>
      </c>
      <c r="BE291" s="56" t="s">
        <v>2288</v>
      </c>
      <c r="BF291" s="56">
        <v>1000</v>
      </c>
      <c r="BG291" s="56" t="s">
        <v>2287</v>
      </c>
      <c r="BH291" s="56" t="s">
        <v>2288</v>
      </c>
      <c r="BI291" s="56">
        <v>47.52</v>
      </c>
      <c r="BJ291" s="56">
        <v>61477.1</v>
      </c>
      <c r="BK291" s="56">
        <v>47.52</v>
      </c>
      <c r="BL291" s="56" t="s">
        <v>2274</v>
      </c>
      <c r="BM291" s="56">
        <v>3102</v>
      </c>
      <c r="BN291" s="56" t="s">
        <v>660</v>
      </c>
      <c r="BO291" s="56" t="s">
        <v>706</v>
      </c>
      <c r="BP291" s="56">
        <v>10692</v>
      </c>
      <c r="BQ291" s="56">
        <v>9287.4599999999991</v>
      </c>
      <c r="BR291" s="56">
        <v>0</v>
      </c>
      <c r="BS291" s="56">
        <v>0</v>
      </c>
      <c r="BT291" s="56">
        <v>7244.1</v>
      </c>
      <c r="BU291" s="56">
        <v>4224</v>
      </c>
      <c r="BV291" s="56">
        <v>51</v>
      </c>
      <c r="BW291" s="56" t="s">
        <v>1228</v>
      </c>
      <c r="BX291" s="56" t="s">
        <v>2289</v>
      </c>
      <c r="BY291" s="56" t="s">
        <v>663</v>
      </c>
      <c r="BZ291" s="56">
        <v>0.25</v>
      </c>
      <c r="CA291" s="56" t="s">
        <v>664</v>
      </c>
      <c r="CB291" s="56" t="s">
        <v>2277</v>
      </c>
      <c r="CC291" s="56" t="s">
        <v>2166</v>
      </c>
      <c r="CD291" s="56" t="s">
        <v>667</v>
      </c>
      <c r="CF291" s="56">
        <v>5795.28</v>
      </c>
      <c r="CG291" s="56">
        <v>80</v>
      </c>
      <c r="CH291" s="56">
        <v>225</v>
      </c>
      <c r="CI291" s="56">
        <v>155</v>
      </c>
      <c r="CJ291" s="56">
        <v>22</v>
      </c>
      <c r="CK291" s="56">
        <v>9287.4599999999991</v>
      </c>
      <c r="CL291" s="56">
        <v>7244.1</v>
      </c>
      <c r="CM291" s="56">
        <v>64.180000000000007</v>
      </c>
      <c r="CN291" s="56">
        <v>1283.04</v>
      </c>
      <c r="CO291" s="56">
        <v>1283.04</v>
      </c>
      <c r="CP291" s="56">
        <v>121.5</v>
      </c>
      <c r="CQ291" s="56" t="s">
        <v>668</v>
      </c>
      <c r="CR291" s="56">
        <v>0</v>
      </c>
      <c r="CS291" s="56">
        <v>121.5</v>
      </c>
      <c r="CT291" s="56" t="s">
        <v>669</v>
      </c>
      <c r="CU291" s="56">
        <v>0</v>
      </c>
      <c r="CV291" s="56">
        <v>0</v>
      </c>
      <c r="CX291" s="56">
        <v>2007.61</v>
      </c>
      <c r="CY291" s="56">
        <v>0</v>
      </c>
      <c r="CZ291" s="56">
        <v>356.53</v>
      </c>
      <c r="DA291" s="56">
        <v>859.09</v>
      </c>
      <c r="DB291" s="56">
        <v>502.56</v>
      </c>
      <c r="DC291" s="56">
        <v>8930.93</v>
      </c>
      <c r="DD291" s="56">
        <v>15.57</v>
      </c>
      <c r="DE291" s="56">
        <v>0</v>
      </c>
      <c r="DF291" s="56">
        <v>10.56</v>
      </c>
      <c r="DG291" s="56">
        <v>30.74</v>
      </c>
      <c r="DH291" s="56" t="s">
        <v>670</v>
      </c>
      <c r="DI291" s="56" t="s">
        <v>671</v>
      </c>
      <c r="DK291" s="56">
        <v>15.97</v>
      </c>
      <c r="DL291" s="56">
        <v>1707.01</v>
      </c>
      <c r="DM291" s="56">
        <v>108</v>
      </c>
      <c r="DN291" s="56">
        <v>4501413835</v>
      </c>
      <c r="DO291" s="56" t="s">
        <v>236</v>
      </c>
      <c r="DP291" s="56" t="s">
        <v>673</v>
      </c>
      <c r="DQ291" s="56" t="s">
        <v>674</v>
      </c>
      <c r="DR291" s="56">
        <v>2</v>
      </c>
      <c r="DS291" s="56" t="s">
        <v>2290</v>
      </c>
      <c r="DT291" s="56" t="s">
        <v>2291</v>
      </c>
      <c r="DU291" s="56">
        <v>36</v>
      </c>
      <c r="DV291" s="56" t="s">
        <v>677</v>
      </c>
      <c r="DW291" s="56">
        <v>580</v>
      </c>
      <c r="DX291" s="56" t="s">
        <v>678</v>
      </c>
      <c r="DY291" s="56" t="s">
        <v>679</v>
      </c>
      <c r="ED291" s="56">
        <v>2</v>
      </c>
      <c r="EE291" s="56" t="s">
        <v>639</v>
      </c>
      <c r="EF291" s="56">
        <v>2</v>
      </c>
      <c r="EG291" s="56" t="s">
        <v>639</v>
      </c>
      <c r="EH291" s="56">
        <v>2</v>
      </c>
      <c r="EI291" s="56" t="s">
        <v>639</v>
      </c>
      <c r="EJ291" s="56">
        <v>2</v>
      </c>
      <c r="EK291" s="56" t="s">
        <v>639</v>
      </c>
      <c r="EL291" s="56">
        <v>25</v>
      </c>
      <c r="EM291" s="56">
        <v>15</v>
      </c>
      <c r="EN291" s="56">
        <v>5173</v>
      </c>
      <c r="EO291" s="56">
        <v>1950</v>
      </c>
      <c r="EP291" s="56" t="s">
        <v>1234</v>
      </c>
      <c r="EQ291" s="56" t="s">
        <v>2280</v>
      </c>
      <c r="ER291" s="56" t="s">
        <v>1804</v>
      </c>
      <c r="ES291" s="56">
        <v>2</v>
      </c>
      <c r="ET291" s="56" t="s">
        <v>682</v>
      </c>
      <c r="EU291" s="56" t="s">
        <v>683</v>
      </c>
      <c r="EV291" s="56" t="s">
        <v>683</v>
      </c>
      <c r="FD291" s="56" t="s">
        <v>2292</v>
      </c>
      <c r="FK291" s="56">
        <v>0</v>
      </c>
    </row>
    <row r="292" spans="1:167" x14ac:dyDescent="0.2">
      <c r="A292" s="56">
        <v>29240</v>
      </c>
      <c r="B292" s="56">
        <v>2</v>
      </c>
      <c r="C292" s="56">
        <v>6352</v>
      </c>
      <c r="D292" s="56" t="s">
        <v>634</v>
      </c>
      <c r="E292" s="56" t="s">
        <v>635</v>
      </c>
      <c r="K292" s="56" t="s">
        <v>2293</v>
      </c>
      <c r="L292" s="56" t="s">
        <v>637</v>
      </c>
      <c r="M292" s="56">
        <v>44957</v>
      </c>
      <c r="N292" s="56">
        <v>44959</v>
      </c>
      <c r="O292" s="56">
        <v>38</v>
      </c>
      <c r="P292" s="56" t="s">
        <v>638</v>
      </c>
      <c r="Q292" s="56">
        <v>2</v>
      </c>
      <c r="R292" s="56" t="s">
        <v>639</v>
      </c>
      <c r="S292" s="56" t="s">
        <v>640</v>
      </c>
      <c r="T292" s="56" t="s">
        <v>641</v>
      </c>
      <c r="U292" s="56" t="s">
        <v>1582</v>
      </c>
      <c r="V292" s="56" t="s">
        <v>643</v>
      </c>
      <c r="W292" s="56">
        <v>49</v>
      </c>
      <c r="X292" s="56" t="s">
        <v>887</v>
      </c>
      <c r="Y292" s="56">
        <v>52</v>
      </c>
      <c r="Z292" s="56" t="s">
        <v>1228</v>
      </c>
      <c r="AA292" s="56" t="s">
        <v>1229</v>
      </c>
      <c r="AB292" s="56" t="s">
        <v>1230</v>
      </c>
      <c r="AC292" s="56" t="s">
        <v>643</v>
      </c>
      <c r="AD292" s="56" t="s">
        <v>1227</v>
      </c>
      <c r="AE292" s="56">
        <v>51</v>
      </c>
      <c r="AF292" s="56" t="s">
        <v>1228</v>
      </c>
      <c r="AG292" s="56" t="s">
        <v>1583</v>
      </c>
      <c r="AH292" s="56" t="s">
        <v>643</v>
      </c>
      <c r="AI292" s="56" t="s">
        <v>1582</v>
      </c>
      <c r="AJ292" s="56">
        <v>431</v>
      </c>
      <c r="AK292" s="56" t="s">
        <v>1759</v>
      </c>
      <c r="AL292" s="56">
        <v>51</v>
      </c>
      <c r="AM292" s="56" t="s">
        <v>1228</v>
      </c>
      <c r="AN292" s="56" t="s">
        <v>1583</v>
      </c>
      <c r="AO292" s="56" t="s">
        <v>1584</v>
      </c>
      <c r="AP292" s="56" t="s">
        <v>643</v>
      </c>
      <c r="AQ292" s="56" t="s">
        <v>1582</v>
      </c>
      <c r="AR292" s="56">
        <v>51</v>
      </c>
      <c r="AS292" s="56" t="s">
        <v>1228</v>
      </c>
      <c r="AT292" s="56" t="s">
        <v>1583</v>
      </c>
      <c r="AU292" s="56" t="s">
        <v>643</v>
      </c>
      <c r="AV292" s="56" t="s">
        <v>1582</v>
      </c>
      <c r="AW292" s="56">
        <v>846</v>
      </c>
      <c r="AX292" s="56" t="s">
        <v>2294</v>
      </c>
      <c r="AY292" s="56">
        <v>1008</v>
      </c>
      <c r="AZ292" s="56" t="s">
        <v>2295</v>
      </c>
      <c r="BA292" s="56" t="s">
        <v>2296</v>
      </c>
      <c r="BB292" s="56" t="s">
        <v>2297</v>
      </c>
      <c r="BC292" s="56">
        <v>769</v>
      </c>
      <c r="BD292" s="56" t="s">
        <v>2298</v>
      </c>
      <c r="BE292" s="56" t="s">
        <v>2299</v>
      </c>
      <c r="BF292" s="56">
        <v>779</v>
      </c>
      <c r="BG292" s="56" t="s">
        <v>2300</v>
      </c>
      <c r="BH292" s="56" t="s">
        <v>2301</v>
      </c>
      <c r="BI292" s="56">
        <v>46.8</v>
      </c>
      <c r="BJ292" s="56">
        <v>60545.63</v>
      </c>
      <c r="BK292" s="56">
        <v>46.8</v>
      </c>
      <c r="BL292" s="56" t="s">
        <v>2274</v>
      </c>
      <c r="BM292" s="56">
        <v>3102</v>
      </c>
      <c r="BN292" s="56" t="s">
        <v>786</v>
      </c>
      <c r="BO292" s="56" t="s">
        <v>923</v>
      </c>
      <c r="BP292" s="56">
        <v>10530</v>
      </c>
      <c r="BQ292" s="56">
        <v>9144.9</v>
      </c>
      <c r="BR292" s="56">
        <v>0</v>
      </c>
      <c r="BS292" s="56">
        <v>0</v>
      </c>
      <c r="BT292" s="56">
        <v>7132.5</v>
      </c>
      <c r="BU292" s="56">
        <v>4226</v>
      </c>
      <c r="BV292" s="56">
        <v>51</v>
      </c>
      <c r="BW292" s="56" t="s">
        <v>1228</v>
      </c>
      <c r="BX292" s="56" t="s">
        <v>2302</v>
      </c>
      <c r="BY292" s="56" t="s">
        <v>663</v>
      </c>
      <c r="BZ292" s="56">
        <v>0.25</v>
      </c>
      <c r="CA292" s="56" t="s">
        <v>664</v>
      </c>
      <c r="CB292" s="56" t="s">
        <v>2277</v>
      </c>
      <c r="CC292" s="56" t="s">
        <v>2166</v>
      </c>
      <c r="CD292" s="56" t="s">
        <v>667</v>
      </c>
      <c r="CF292" s="56">
        <v>0</v>
      </c>
      <c r="CG292" s="56">
        <v>0</v>
      </c>
      <c r="CH292" s="56">
        <v>225</v>
      </c>
      <c r="CI292" s="56">
        <v>155</v>
      </c>
      <c r="CJ292" s="56">
        <v>22.01</v>
      </c>
      <c r="CK292" s="56">
        <v>9144.9</v>
      </c>
      <c r="CL292" s="56">
        <v>7132.5</v>
      </c>
      <c r="CM292" s="56">
        <v>40.43</v>
      </c>
      <c r="CN292" s="56">
        <v>1263.5999999999999</v>
      </c>
      <c r="CO292" s="56">
        <v>1263.5999999999999</v>
      </c>
      <c r="CP292" s="56">
        <v>121.5</v>
      </c>
      <c r="CQ292" s="56" t="s">
        <v>668</v>
      </c>
      <c r="CR292" s="56">
        <v>0</v>
      </c>
      <c r="CS292" s="56">
        <v>121.5</v>
      </c>
      <c r="CT292" s="56" t="s">
        <v>669</v>
      </c>
      <c r="CU292" s="56">
        <v>0</v>
      </c>
      <c r="CV292" s="56">
        <v>0</v>
      </c>
      <c r="CX292" s="56">
        <v>2012.4</v>
      </c>
      <c r="CY292" s="56">
        <v>0</v>
      </c>
      <c r="CZ292" s="56">
        <v>186.14</v>
      </c>
      <c r="DA292" s="56">
        <v>845.9</v>
      </c>
      <c r="DB292" s="56">
        <v>659.76</v>
      </c>
      <c r="DC292" s="56">
        <v>8958.76</v>
      </c>
      <c r="DD292" s="56">
        <v>-19.87</v>
      </c>
      <c r="DE292" s="56">
        <v>0</v>
      </c>
      <c r="DF292" s="56">
        <v>10.4</v>
      </c>
      <c r="DG292" s="56">
        <v>30.27</v>
      </c>
      <c r="DH292" s="56" t="s">
        <v>670</v>
      </c>
      <c r="DI292" s="56" t="s">
        <v>671</v>
      </c>
      <c r="DK292" s="56">
        <v>17.53</v>
      </c>
      <c r="DL292" s="56">
        <v>1846.13</v>
      </c>
      <c r="DM292" s="56">
        <v>108</v>
      </c>
      <c r="DN292" s="56">
        <v>4501413835</v>
      </c>
      <c r="DO292" s="56" t="s">
        <v>236</v>
      </c>
      <c r="DP292" s="56" t="s">
        <v>673</v>
      </c>
      <c r="DQ292" s="56" t="s">
        <v>674</v>
      </c>
      <c r="DR292" s="56">
        <v>3</v>
      </c>
      <c r="DW292" s="56">
        <v>580</v>
      </c>
      <c r="DX292" s="56" t="s">
        <v>678</v>
      </c>
      <c r="DY292" s="56" t="s">
        <v>679</v>
      </c>
      <c r="ED292" s="56">
        <v>2</v>
      </c>
      <c r="EE292" s="56" t="s">
        <v>639</v>
      </c>
      <c r="EF292" s="56">
        <v>2</v>
      </c>
      <c r="EG292" s="56" t="s">
        <v>639</v>
      </c>
      <c r="EH292" s="56">
        <v>2</v>
      </c>
      <c r="EI292" s="56" t="s">
        <v>639</v>
      </c>
      <c r="EJ292" s="56">
        <v>2</v>
      </c>
      <c r="EK292" s="56" t="s">
        <v>639</v>
      </c>
      <c r="EL292" s="56">
        <v>25</v>
      </c>
      <c r="EM292" s="56">
        <v>15</v>
      </c>
      <c r="EN292" s="56">
        <v>5173</v>
      </c>
      <c r="EO292" s="56">
        <v>1950</v>
      </c>
      <c r="EP292" s="56" t="s">
        <v>1234</v>
      </c>
      <c r="EQ292" s="56" t="s">
        <v>2280</v>
      </c>
      <c r="ER292" s="56" t="s">
        <v>1804</v>
      </c>
      <c r="ES292" s="56">
        <v>2</v>
      </c>
      <c r="ET292" s="56" t="s">
        <v>682</v>
      </c>
      <c r="EU292" s="56" t="s">
        <v>683</v>
      </c>
      <c r="EV292" s="56" t="s">
        <v>683</v>
      </c>
      <c r="FD292" s="56" t="s">
        <v>2303</v>
      </c>
      <c r="FK292" s="56">
        <v>0</v>
      </c>
    </row>
    <row r="293" spans="1:167" x14ac:dyDescent="0.2">
      <c r="A293" s="56">
        <v>29241</v>
      </c>
      <c r="B293" s="56">
        <v>2</v>
      </c>
      <c r="C293" s="56">
        <v>6352</v>
      </c>
      <c r="D293" s="56" t="s">
        <v>634</v>
      </c>
      <c r="E293" s="56" t="s">
        <v>635</v>
      </c>
      <c r="K293" s="56" t="s">
        <v>2304</v>
      </c>
      <c r="L293" s="56" t="s">
        <v>637</v>
      </c>
      <c r="M293" s="56">
        <v>44957</v>
      </c>
      <c r="N293" s="56">
        <v>44959</v>
      </c>
      <c r="O293" s="56">
        <v>38</v>
      </c>
      <c r="P293" s="56" t="s">
        <v>638</v>
      </c>
      <c r="Q293" s="56">
        <v>2</v>
      </c>
      <c r="R293" s="56" t="s">
        <v>639</v>
      </c>
      <c r="S293" s="56" t="s">
        <v>893</v>
      </c>
      <c r="T293" s="56" t="s">
        <v>641</v>
      </c>
      <c r="U293" s="56" t="s">
        <v>735</v>
      </c>
      <c r="V293" s="56" t="s">
        <v>643</v>
      </c>
      <c r="W293" s="56">
        <v>49</v>
      </c>
      <c r="X293" s="56" t="s">
        <v>887</v>
      </c>
      <c r="Y293" s="56">
        <v>90</v>
      </c>
      <c r="Z293" s="56" t="s">
        <v>894</v>
      </c>
      <c r="AA293" s="56" t="s">
        <v>895</v>
      </c>
      <c r="AB293" s="56" t="s">
        <v>896</v>
      </c>
      <c r="AC293" s="56" t="s">
        <v>641</v>
      </c>
      <c r="AD293" s="56" t="s">
        <v>893</v>
      </c>
      <c r="AE293" s="56">
        <v>91</v>
      </c>
      <c r="AF293" s="56" t="s">
        <v>736</v>
      </c>
      <c r="AG293" s="56" t="s">
        <v>737</v>
      </c>
      <c r="AH293" s="56" t="s">
        <v>643</v>
      </c>
      <c r="AI293" s="56" t="s">
        <v>735</v>
      </c>
      <c r="AJ293" s="56">
        <v>90</v>
      </c>
      <c r="AK293" s="56" t="s">
        <v>894</v>
      </c>
      <c r="AL293" s="56">
        <v>91</v>
      </c>
      <c r="AM293" s="56" t="s">
        <v>736</v>
      </c>
      <c r="AN293" s="56" t="s">
        <v>737</v>
      </c>
      <c r="AO293" s="56" t="s">
        <v>738</v>
      </c>
      <c r="AP293" s="56" t="s">
        <v>643</v>
      </c>
      <c r="AQ293" s="56" t="s">
        <v>735</v>
      </c>
      <c r="AR293" s="56">
        <v>98</v>
      </c>
      <c r="AS293" s="56" t="s">
        <v>645</v>
      </c>
      <c r="AT293" s="56" t="s">
        <v>646</v>
      </c>
      <c r="AU293" s="56" t="s">
        <v>643</v>
      </c>
      <c r="AV293" s="56" t="s">
        <v>648</v>
      </c>
      <c r="AW293" s="56">
        <v>109</v>
      </c>
      <c r="AX293" s="56" t="s">
        <v>826</v>
      </c>
      <c r="AY293" s="56">
        <v>20</v>
      </c>
      <c r="AZ293" s="56" t="s">
        <v>30</v>
      </c>
      <c r="BA293" s="56" t="s">
        <v>827</v>
      </c>
      <c r="BB293" s="56" t="s">
        <v>770</v>
      </c>
      <c r="BC293" s="56">
        <v>38</v>
      </c>
      <c r="BD293" s="56" t="s">
        <v>289</v>
      </c>
      <c r="BE293" s="56" t="s">
        <v>771</v>
      </c>
      <c r="BF293" s="56">
        <v>2</v>
      </c>
      <c r="BG293" s="56" t="s">
        <v>289</v>
      </c>
      <c r="BH293" s="56" t="s">
        <v>772</v>
      </c>
      <c r="BI293" s="56">
        <v>46.43</v>
      </c>
      <c r="BJ293" s="56">
        <v>119644.54</v>
      </c>
      <c r="BK293" s="56">
        <v>46430</v>
      </c>
      <c r="BL293" s="56" t="s">
        <v>897</v>
      </c>
      <c r="BM293" s="56">
        <v>3102</v>
      </c>
      <c r="BN293" s="56" t="s">
        <v>724</v>
      </c>
      <c r="BO293" s="56" t="s">
        <v>725</v>
      </c>
      <c r="BP293" s="56">
        <v>6732.35</v>
      </c>
      <c r="BQ293" s="56">
        <v>5851.57</v>
      </c>
      <c r="BR293" s="56">
        <v>0</v>
      </c>
      <c r="BS293" s="56">
        <v>0</v>
      </c>
      <c r="BT293" s="56">
        <v>0</v>
      </c>
      <c r="BU293" s="56">
        <v>725513</v>
      </c>
      <c r="BV293" s="56">
        <v>98</v>
      </c>
      <c r="BW293" s="56" t="s">
        <v>645</v>
      </c>
      <c r="BX293" s="56" t="s">
        <v>2305</v>
      </c>
      <c r="BY293" s="56" t="s">
        <v>663</v>
      </c>
      <c r="BZ293" s="56">
        <v>0.25</v>
      </c>
      <c r="CA293" s="56" t="s">
        <v>664</v>
      </c>
      <c r="CB293" s="56" t="s">
        <v>899</v>
      </c>
      <c r="CD293" s="56" t="s">
        <v>667</v>
      </c>
      <c r="CG293" s="56">
        <v>0</v>
      </c>
      <c r="CH293" s="56">
        <v>145</v>
      </c>
      <c r="CJ293" s="56">
        <v>100</v>
      </c>
      <c r="CK293" s="56">
        <v>5851.57</v>
      </c>
      <c r="CL293" s="56">
        <v>0</v>
      </c>
      <c r="CN293" s="56">
        <v>807.88</v>
      </c>
      <c r="CO293" s="56">
        <v>807.88</v>
      </c>
      <c r="CP293" s="56">
        <v>72.900000000000006</v>
      </c>
      <c r="CQ293" s="56" t="s">
        <v>668</v>
      </c>
      <c r="CR293" s="56">
        <v>0</v>
      </c>
      <c r="CS293" s="56">
        <v>0</v>
      </c>
      <c r="CV293" s="56">
        <v>0</v>
      </c>
      <c r="CX293" s="56">
        <v>0</v>
      </c>
      <c r="CY293" s="56">
        <v>0</v>
      </c>
      <c r="CZ293" s="56">
        <v>541.27</v>
      </c>
      <c r="DA293" s="56">
        <v>541.27</v>
      </c>
      <c r="DB293" s="56">
        <v>0</v>
      </c>
      <c r="DC293" s="56">
        <v>5310.3</v>
      </c>
      <c r="DD293" s="56">
        <v>20.56</v>
      </c>
      <c r="DE293" s="56">
        <v>0</v>
      </c>
      <c r="DF293" s="56">
        <v>20.56</v>
      </c>
      <c r="DH293" s="56" t="s">
        <v>670</v>
      </c>
      <c r="DI293" s="56" t="s">
        <v>671</v>
      </c>
      <c r="DK293" s="56">
        <v>79.650000000000006</v>
      </c>
      <c r="DL293" s="56">
        <v>5362.64</v>
      </c>
      <c r="DM293" s="56">
        <v>67</v>
      </c>
      <c r="DN293" s="56" t="s">
        <v>900</v>
      </c>
      <c r="DO293" s="56" t="s">
        <v>236</v>
      </c>
      <c r="DQ293" s="56" t="s">
        <v>674</v>
      </c>
      <c r="DR293" s="56">
        <v>3</v>
      </c>
      <c r="DW293" s="56">
        <v>280</v>
      </c>
      <c r="DX293" s="56" t="s">
        <v>678</v>
      </c>
      <c r="DY293" s="56" t="s">
        <v>679</v>
      </c>
      <c r="EL293" s="56">
        <v>25</v>
      </c>
      <c r="EM293" s="56">
        <v>15</v>
      </c>
      <c r="EN293" s="56">
        <v>4779</v>
      </c>
      <c r="EO293" s="56">
        <v>1805</v>
      </c>
      <c r="EP293" s="56" t="s">
        <v>1234</v>
      </c>
      <c r="EQ293" s="56" t="s">
        <v>901</v>
      </c>
      <c r="ER293" s="56" t="s">
        <v>902</v>
      </c>
      <c r="ES293" s="56">
        <v>2</v>
      </c>
      <c r="ET293" s="56" t="s">
        <v>682</v>
      </c>
      <c r="EU293" s="56" t="s">
        <v>683</v>
      </c>
      <c r="EV293" s="56" t="s">
        <v>683</v>
      </c>
      <c r="FD293" s="56" t="s">
        <v>2306</v>
      </c>
      <c r="FK293" s="56">
        <v>0</v>
      </c>
    </row>
    <row r="294" spans="1:167" x14ac:dyDescent="0.2">
      <c r="A294" s="56">
        <v>29242</v>
      </c>
      <c r="B294" s="56">
        <v>2</v>
      </c>
      <c r="C294" s="56">
        <v>6352</v>
      </c>
      <c r="D294" s="56" t="s">
        <v>634</v>
      </c>
      <c r="E294" s="56" t="s">
        <v>635</v>
      </c>
      <c r="K294" s="56" t="s">
        <v>2307</v>
      </c>
      <c r="L294" s="56" t="s">
        <v>637</v>
      </c>
      <c r="M294" s="56">
        <v>44957</v>
      </c>
      <c r="N294" s="56">
        <v>44959</v>
      </c>
      <c r="O294" s="56">
        <v>38</v>
      </c>
      <c r="P294" s="56" t="s">
        <v>638</v>
      </c>
      <c r="Q294" s="56">
        <v>2</v>
      </c>
      <c r="R294" s="56" t="s">
        <v>639</v>
      </c>
      <c r="S294" s="56" t="s">
        <v>640</v>
      </c>
      <c r="T294" s="56" t="s">
        <v>641</v>
      </c>
      <c r="U294" s="56" t="s">
        <v>1227</v>
      </c>
      <c r="V294" s="56" t="s">
        <v>643</v>
      </c>
      <c r="W294" s="56">
        <v>49</v>
      </c>
      <c r="X294" s="56" t="s">
        <v>887</v>
      </c>
      <c r="Y294" s="56">
        <v>756</v>
      </c>
      <c r="Z294" s="56" t="s">
        <v>1779</v>
      </c>
      <c r="AB294" s="56" t="s">
        <v>1780</v>
      </c>
      <c r="AC294" s="56" t="s">
        <v>1757</v>
      </c>
      <c r="AD294" s="56" t="s">
        <v>1758</v>
      </c>
      <c r="AE294" s="56">
        <v>52</v>
      </c>
      <c r="AF294" s="56" t="s">
        <v>1228</v>
      </c>
      <c r="AG294" s="56" t="s">
        <v>1229</v>
      </c>
      <c r="AH294" s="56" t="s">
        <v>643</v>
      </c>
      <c r="AI294" s="56" t="s">
        <v>1227</v>
      </c>
      <c r="AJ294" s="56">
        <v>139</v>
      </c>
      <c r="AK294" s="56" t="s">
        <v>651</v>
      </c>
      <c r="AL294" s="56">
        <v>52</v>
      </c>
      <c r="AM294" s="56" t="s">
        <v>1228</v>
      </c>
      <c r="AN294" s="56" t="s">
        <v>1229</v>
      </c>
      <c r="AO294" s="56" t="s">
        <v>1230</v>
      </c>
      <c r="AP294" s="56" t="s">
        <v>643</v>
      </c>
      <c r="AQ294" s="56" t="s">
        <v>1227</v>
      </c>
      <c r="AR294" s="56">
        <v>52</v>
      </c>
      <c r="AS294" s="56" t="s">
        <v>1228</v>
      </c>
      <c r="AT294" s="56" t="s">
        <v>1229</v>
      </c>
      <c r="AU294" s="56" t="s">
        <v>643</v>
      </c>
      <c r="AV294" s="56" t="s">
        <v>1227</v>
      </c>
      <c r="AW294" s="56">
        <v>120</v>
      </c>
      <c r="AX294" s="56" t="s">
        <v>836</v>
      </c>
      <c r="AY294" s="56">
        <v>7</v>
      </c>
      <c r="AZ294" s="56" t="s">
        <v>128</v>
      </c>
      <c r="BA294" s="56" t="s">
        <v>837</v>
      </c>
      <c r="BB294" s="56" t="s">
        <v>770</v>
      </c>
      <c r="BC294" s="56">
        <v>38</v>
      </c>
      <c r="BD294" s="56" t="s">
        <v>289</v>
      </c>
      <c r="BE294" s="56" t="s">
        <v>771</v>
      </c>
      <c r="BF294" s="56">
        <v>2</v>
      </c>
      <c r="BG294" s="56" t="s">
        <v>289</v>
      </c>
      <c r="BH294" s="56" t="s">
        <v>772</v>
      </c>
      <c r="BI294" s="56">
        <v>22.05</v>
      </c>
      <c r="BJ294" s="56">
        <v>53018.34</v>
      </c>
      <c r="BK294" s="56">
        <v>22.05</v>
      </c>
      <c r="BL294" s="56" t="s">
        <v>897</v>
      </c>
      <c r="BM294" s="56">
        <v>3102</v>
      </c>
      <c r="BN294" s="56" t="s">
        <v>724</v>
      </c>
      <c r="BO294" s="56" t="s">
        <v>725</v>
      </c>
      <c r="BP294" s="56">
        <v>3969</v>
      </c>
      <c r="BQ294" s="56">
        <v>3492.72</v>
      </c>
      <c r="BR294" s="56">
        <v>0</v>
      </c>
      <c r="BS294" s="56">
        <v>0</v>
      </c>
      <c r="BT294" s="56">
        <v>0</v>
      </c>
      <c r="BU294" s="56">
        <v>5929</v>
      </c>
      <c r="BV294" s="56">
        <v>52</v>
      </c>
      <c r="BW294" s="56" t="s">
        <v>1228</v>
      </c>
      <c r="BX294" s="56" t="s">
        <v>2308</v>
      </c>
      <c r="BY294" s="56" t="s">
        <v>663</v>
      </c>
      <c r="BZ294" s="56">
        <v>0.5</v>
      </c>
      <c r="CA294" s="56" t="s">
        <v>1587</v>
      </c>
      <c r="CB294" s="56" t="s">
        <v>1782</v>
      </c>
      <c r="CD294" s="56" t="s">
        <v>667</v>
      </c>
      <c r="CG294" s="56">
        <v>0</v>
      </c>
      <c r="CH294" s="56">
        <v>180</v>
      </c>
      <c r="CJ294" s="56">
        <v>100</v>
      </c>
      <c r="CK294" s="56">
        <v>3492.72</v>
      </c>
      <c r="CL294" s="56">
        <v>0</v>
      </c>
      <c r="CN294" s="56">
        <v>476.28</v>
      </c>
      <c r="CO294" s="56">
        <v>476.28</v>
      </c>
      <c r="CP294" s="56">
        <v>0</v>
      </c>
      <c r="CQ294" s="56" t="s">
        <v>708</v>
      </c>
      <c r="CR294" s="56">
        <v>0</v>
      </c>
      <c r="CS294" s="56">
        <v>0</v>
      </c>
      <c r="CV294" s="56">
        <v>0</v>
      </c>
      <c r="CX294" s="56">
        <v>0</v>
      </c>
      <c r="CY294" s="56">
        <v>0</v>
      </c>
      <c r="CZ294" s="56">
        <v>323.08</v>
      </c>
      <c r="DA294" s="56">
        <v>323.08</v>
      </c>
      <c r="DB294" s="56">
        <v>0</v>
      </c>
      <c r="DC294" s="56">
        <v>3169.64</v>
      </c>
      <c r="DD294" s="56">
        <v>9.11</v>
      </c>
      <c r="DE294" s="56">
        <v>0</v>
      </c>
      <c r="DF294" s="56">
        <v>9.11</v>
      </c>
      <c r="DH294" s="56" t="s">
        <v>670</v>
      </c>
      <c r="DI294" s="56" t="s">
        <v>671</v>
      </c>
      <c r="DK294" s="56">
        <v>79.63</v>
      </c>
      <c r="DL294" s="56">
        <v>3160.53</v>
      </c>
      <c r="DM294" s="56">
        <v>60</v>
      </c>
      <c r="DN294" s="56">
        <v>4501411977</v>
      </c>
      <c r="DO294" s="56" t="s">
        <v>236</v>
      </c>
      <c r="DQ294" s="56" t="s">
        <v>674</v>
      </c>
      <c r="DR294" s="56">
        <v>3</v>
      </c>
      <c r="DW294" s="56">
        <v>380</v>
      </c>
      <c r="DX294" s="56" t="s">
        <v>678</v>
      </c>
      <c r="DY294" s="56" t="s">
        <v>679</v>
      </c>
      <c r="EL294" s="56">
        <v>25</v>
      </c>
      <c r="EM294" s="56">
        <v>15</v>
      </c>
      <c r="EN294" s="56">
        <v>5173</v>
      </c>
      <c r="EO294" s="56">
        <v>2420</v>
      </c>
      <c r="EP294" s="56" t="s">
        <v>1234</v>
      </c>
      <c r="EQ294" s="56" t="s">
        <v>1783</v>
      </c>
      <c r="ER294" s="56" t="s">
        <v>1764</v>
      </c>
      <c r="ES294" s="56">
        <v>2</v>
      </c>
      <c r="ET294" s="56" t="s">
        <v>682</v>
      </c>
      <c r="EU294" s="56" t="s">
        <v>683</v>
      </c>
      <c r="EV294" s="56" t="s">
        <v>683</v>
      </c>
      <c r="FD294" s="56" t="s">
        <v>2309</v>
      </c>
      <c r="FK294" s="56">
        <v>0</v>
      </c>
    </row>
    <row r="295" spans="1:167" x14ac:dyDescent="0.2">
      <c r="A295" s="56">
        <v>29243</v>
      </c>
      <c r="B295" s="56">
        <v>2</v>
      </c>
      <c r="C295" s="56">
        <v>6352</v>
      </c>
      <c r="D295" s="56" t="s">
        <v>634</v>
      </c>
      <c r="E295" s="56" t="s">
        <v>635</v>
      </c>
      <c r="K295" s="56" t="s">
        <v>2310</v>
      </c>
      <c r="L295" s="56" t="s">
        <v>637</v>
      </c>
      <c r="M295" s="56">
        <v>44957</v>
      </c>
      <c r="N295" s="56">
        <v>44959</v>
      </c>
      <c r="O295" s="56">
        <v>38</v>
      </c>
      <c r="P295" s="56" t="s">
        <v>638</v>
      </c>
      <c r="Q295" s="56">
        <v>2</v>
      </c>
      <c r="R295" s="56" t="s">
        <v>639</v>
      </c>
      <c r="S295" s="56" t="s">
        <v>640</v>
      </c>
      <c r="T295" s="56" t="s">
        <v>641</v>
      </c>
      <c r="U295" s="56" t="s">
        <v>1227</v>
      </c>
      <c r="V295" s="56" t="s">
        <v>643</v>
      </c>
      <c r="W295" s="56">
        <v>49</v>
      </c>
      <c r="X295" s="56" t="s">
        <v>887</v>
      </c>
      <c r="Y295" s="56">
        <v>756</v>
      </c>
      <c r="Z295" s="56" t="s">
        <v>1779</v>
      </c>
      <c r="AB295" s="56" t="s">
        <v>1780</v>
      </c>
      <c r="AC295" s="56" t="s">
        <v>1757</v>
      </c>
      <c r="AD295" s="56" t="s">
        <v>1758</v>
      </c>
      <c r="AE295" s="56">
        <v>52</v>
      </c>
      <c r="AF295" s="56" t="s">
        <v>1228</v>
      </c>
      <c r="AG295" s="56" t="s">
        <v>1229</v>
      </c>
      <c r="AH295" s="56" t="s">
        <v>643</v>
      </c>
      <c r="AI295" s="56" t="s">
        <v>1227</v>
      </c>
      <c r="AJ295" s="56">
        <v>139</v>
      </c>
      <c r="AK295" s="56" t="s">
        <v>651</v>
      </c>
      <c r="AL295" s="56">
        <v>52</v>
      </c>
      <c r="AM295" s="56" t="s">
        <v>1228</v>
      </c>
      <c r="AN295" s="56" t="s">
        <v>1229</v>
      </c>
      <c r="AO295" s="56" t="s">
        <v>1230</v>
      </c>
      <c r="AP295" s="56" t="s">
        <v>643</v>
      </c>
      <c r="AQ295" s="56" t="s">
        <v>1227</v>
      </c>
      <c r="AR295" s="56">
        <v>52</v>
      </c>
      <c r="AS295" s="56" t="s">
        <v>1228</v>
      </c>
      <c r="AT295" s="56" t="s">
        <v>1229</v>
      </c>
      <c r="AU295" s="56" t="s">
        <v>643</v>
      </c>
      <c r="AV295" s="56" t="s">
        <v>1227</v>
      </c>
      <c r="AW295" s="56">
        <v>120</v>
      </c>
      <c r="AX295" s="56" t="s">
        <v>836</v>
      </c>
      <c r="AY295" s="56">
        <v>7</v>
      </c>
      <c r="AZ295" s="56" t="s">
        <v>128</v>
      </c>
      <c r="BA295" s="56" t="s">
        <v>837</v>
      </c>
      <c r="BB295" s="56" t="s">
        <v>770</v>
      </c>
      <c r="BC295" s="56">
        <v>38</v>
      </c>
      <c r="BD295" s="56" t="s">
        <v>289</v>
      </c>
      <c r="BE295" s="56" t="s">
        <v>771</v>
      </c>
      <c r="BF295" s="56">
        <v>2</v>
      </c>
      <c r="BG295" s="56" t="s">
        <v>289</v>
      </c>
      <c r="BH295" s="56" t="s">
        <v>772</v>
      </c>
      <c r="BI295" s="56">
        <v>25.96</v>
      </c>
      <c r="BJ295" s="56">
        <v>62419.78</v>
      </c>
      <c r="BK295" s="56">
        <v>25.96</v>
      </c>
      <c r="BL295" s="56" t="s">
        <v>897</v>
      </c>
      <c r="BM295" s="56">
        <v>3102</v>
      </c>
      <c r="BN295" s="56" t="s">
        <v>724</v>
      </c>
      <c r="BO295" s="56" t="s">
        <v>725</v>
      </c>
      <c r="BP295" s="56">
        <v>4672.8</v>
      </c>
      <c r="BQ295" s="56">
        <v>4014.86</v>
      </c>
      <c r="BR295" s="56">
        <v>0</v>
      </c>
      <c r="BS295" s="56">
        <v>0</v>
      </c>
      <c r="BT295" s="56">
        <v>0</v>
      </c>
      <c r="BU295" s="56">
        <v>5928</v>
      </c>
      <c r="BV295" s="56">
        <v>52</v>
      </c>
      <c r="BW295" s="56" t="s">
        <v>1228</v>
      </c>
      <c r="BX295" s="56" t="s">
        <v>2311</v>
      </c>
      <c r="BY295" s="56" t="s">
        <v>663</v>
      </c>
      <c r="BZ295" s="56">
        <v>0.5</v>
      </c>
      <c r="CA295" s="56" t="s">
        <v>1587</v>
      </c>
      <c r="CB295" s="56" t="s">
        <v>1782</v>
      </c>
      <c r="CD295" s="56" t="s">
        <v>667</v>
      </c>
      <c r="CG295" s="56">
        <v>0</v>
      </c>
      <c r="CH295" s="56">
        <v>180</v>
      </c>
      <c r="CJ295" s="56">
        <v>100</v>
      </c>
      <c r="CK295" s="56">
        <v>4014.86</v>
      </c>
      <c r="CL295" s="56">
        <v>0</v>
      </c>
      <c r="CN295" s="56">
        <v>560.74</v>
      </c>
      <c r="CO295" s="56">
        <v>560.74</v>
      </c>
      <c r="CP295" s="56">
        <v>97.2</v>
      </c>
      <c r="CQ295" s="56" t="s">
        <v>668</v>
      </c>
      <c r="CR295" s="56">
        <v>0</v>
      </c>
      <c r="CS295" s="56">
        <v>0</v>
      </c>
      <c r="CV295" s="56">
        <v>0</v>
      </c>
      <c r="CX295" s="56">
        <v>0</v>
      </c>
      <c r="CY295" s="56">
        <v>0</v>
      </c>
      <c r="CZ295" s="56">
        <v>371.38</v>
      </c>
      <c r="DA295" s="56">
        <v>371.38</v>
      </c>
      <c r="DB295" s="56">
        <v>0</v>
      </c>
      <c r="DC295" s="56">
        <v>3643.48</v>
      </c>
      <c r="DD295" s="56">
        <v>10.72</v>
      </c>
      <c r="DE295" s="56">
        <v>0</v>
      </c>
      <c r="DF295" s="56">
        <v>10.72</v>
      </c>
      <c r="DH295" s="56" t="s">
        <v>670</v>
      </c>
      <c r="DI295" s="56" t="s">
        <v>671</v>
      </c>
      <c r="DK295" s="56">
        <v>79.819999999999993</v>
      </c>
      <c r="DL295" s="56">
        <v>3729.96</v>
      </c>
      <c r="DM295" s="56">
        <v>60</v>
      </c>
      <c r="DN295" s="56">
        <v>4501411977</v>
      </c>
      <c r="DO295" s="56" t="s">
        <v>236</v>
      </c>
      <c r="DQ295" s="56" t="s">
        <v>674</v>
      </c>
      <c r="DR295" s="56">
        <v>3</v>
      </c>
      <c r="DW295" s="56">
        <v>380</v>
      </c>
      <c r="DX295" s="56" t="s">
        <v>678</v>
      </c>
      <c r="DY295" s="56" t="s">
        <v>679</v>
      </c>
      <c r="EL295" s="56">
        <v>25</v>
      </c>
      <c r="EM295" s="56">
        <v>15</v>
      </c>
      <c r="EN295" s="56">
        <v>5173</v>
      </c>
      <c r="EO295" s="56">
        <v>2420</v>
      </c>
      <c r="EP295" s="56" t="s">
        <v>1234</v>
      </c>
      <c r="EQ295" s="56" t="s">
        <v>1783</v>
      </c>
      <c r="ER295" s="56" t="s">
        <v>1764</v>
      </c>
      <c r="ES295" s="56">
        <v>2</v>
      </c>
      <c r="ET295" s="56" t="s">
        <v>682</v>
      </c>
      <c r="EU295" s="56" t="s">
        <v>683</v>
      </c>
      <c r="EV295" s="56" t="s">
        <v>683</v>
      </c>
      <c r="FD295" s="56" t="s">
        <v>2312</v>
      </c>
      <c r="FK295" s="56">
        <v>0</v>
      </c>
    </row>
    <row r="296" spans="1:167" x14ac:dyDescent="0.2">
      <c r="A296" s="56">
        <v>29244</v>
      </c>
      <c r="B296" s="56">
        <v>2</v>
      </c>
      <c r="C296" s="56">
        <v>6352</v>
      </c>
      <c r="D296" s="56" t="s">
        <v>634</v>
      </c>
      <c r="E296" s="56" t="s">
        <v>635</v>
      </c>
      <c r="K296" s="56" t="s">
        <v>2313</v>
      </c>
      <c r="L296" s="56" t="s">
        <v>637</v>
      </c>
      <c r="M296" s="56">
        <v>44957</v>
      </c>
      <c r="N296" s="56">
        <v>44959</v>
      </c>
      <c r="O296" s="56">
        <v>38</v>
      </c>
      <c r="P296" s="56" t="s">
        <v>638</v>
      </c>
      <c r="Q296" s="56">
        <v>2</v>
      </c>
      <c r="R296" s="56" t="s">
        <v>639</v>
      </c>
      <c r="S296" s="56" t="s">
        <v>893</v>
      </c>
      <c r="T296" s="56" t="s">
        <v>641</v>
      </c>
      <c r="U296" s="56" t="s">
        <v>735</v>
      </c>
      <c r="V296" s="56" t="s">
        <v>643</v>
      </c>
      <c r="W296" s="56">
        <v>49</v>
      </c>
      <c r="X296" s="56" t="s">
        <v>887</v>
      </c>
      <c r="Y296" s="56">
        <v>90</v>
      </c>
      <c r="Z296" s="56" t="s">
        <v>894</v>
      </c>
      <c r="AA296" s="56" t="s">
        <v>895</v>
      </c>
      <c r="AB296" s="56" t="s">
        <v>896</v>
      </c>
      <c r="AC296" s="56" t="s">
        <v>641</v>
      </c>
      <c r="AD296" s="56" t="s">
        <v>893</v>
      </c>
      <c r="AE296" s="56">
        <v>91</v>
      </c>
      <c r="AF296" s="56" t="s">
        <v>736</v>
      </c>
      <c r="AG296" s="56" t="s">
        <v>737</v>
      </c>
      <c r="AH296" s="56" t="s">
        <v>643</v>
      </c>
      <c r="AI296" s="56" t="s">
        <v>735</v>
      </c>
      <c r="AJ296" s="56">
        <v>90</v>
      </c>
      <c r="AK296" s="56" t="s">
        <v>894</v>
      </c>
      <c r="AL296" s="56">
        <v>91</v>
      </c>
      <c r="AM296" s="56" t="s">
        <v>736</v>
      </c>
      <c r="AN296" s="56" t="s">
        <v>737</v>
      </c>
      <c r="AO296" s="56" t="s">
        <v>738</v>
      </c>
      <c r="AP296" s="56" t="s">
        <v>643</v>
      </c>
      <c r="AQ296" s="56" t="s">
        <v>735</v>
      </c>
      <c r="AR296" s="56">
        <v>98</v>
      </c>
      <c r="AS296" s="56" t="s">
        <v>645</v>
      </c>
      <c r="AT296" s="56" t="s">
        <v>646</v>
      </c>
      <c r="AU296" s="56" t="s">
        <v>643</v>
      </c>
      <c r="AV296" s="56" t="s">
        <v>648</v>
      </c>
      <c r="AW296" s="56">
        <v>108</v>
      </c>
      <c r="AX296" s="56" t="s">
        <v>977</v>
      </c>
      <c r="AY296" s="56">
        <v>47</v>
      </c>
      <c r="AZ296" s="56" t="s">
        <v>32</v>
      </c>
      <c r="BA296" s="56" t="s">
        <v>978</v>
      </c>
      <c r="BB296" s="56" t="s">
        <v>770</v>
      </c>
      <c r="BC296" s="56">
        <v>38</v>
      </c>
      <c r="BD296" s="56" t="s">
        <v>289</v>
      </c>
      <c r="BE296" s="56" t="s">
        <v>771</v>
      </c>
      <c r="BF296" s="56">
        <v>2</v>
      </c>
      <c r="BG296" s="56" t="s">
        <v>289</v>
      </c>
      <c r="BH296" s="56" t="s">
        <v>772</v>
      </c>
      <c r="BI296" s="56">
        <v>46.29</v>
      </c>
      <c r="BJ296" s="56">
        <v>119283.78</v>
      </c>
      <c r="BK296" s="56">
        <v>46290</v>
      </c>
      <c r="BL296" s="56" t="s">
        <v>897</v>
      </c>
      <c r="BM296" s="56">
        <v>3102</v>
      </c>
      <c r="BN296" s="56" t="s">
        <v>724</v>
      </c>
      <c r="BO296" s="56" t="s">
        <v>725</v>
      </c>
      <c r="BP296" s="56">
        <v>6712.05</v>
      </c>
      <c r="BQ296" s="56">
        <v>5833.7</v>
      </c>
      <c r="BR296" s="56">
        <v>0</v>
      </c>
      <c r="BS296" s="56">
        <v>0</v>
      </c>
      <c r="BT296" s="56">
        <v>0</v>
      </c>
      <c r="BU296" s="56">
        <v>725515</v>
      </c>
      <c r="BV296" s="56">
        <v>98</v>
      </c>
      <c r="BW296" s="56" t="s">
        <v>645</v>
      </c>
      <c r="BX296" s="56" t="s">
        <v>2314</v>
      </c>
      <c r="BY296" s="56" t="s">
        <v>663</v>
      </c>
      <c r="BZ296" s="56">
        <v>0.25</v>
      </c>
      <c r="CA296" s="56" t="s">
        <v>664</v>
      </c>
      <c r="CB296" s="56" t="s">
        <v>899</v>
      </c>
      <c r="CD296" s="56" t="s">
        <v>667</v>
      </c>
      <c r="CG296" s="56">
        <v>0</v>
      </c>
      <c r="CH296" s="56">
        <v>145</v>
      </c>
      <c r="CJ296" s="56">
        <v>100</v>
      </c>
      <c r="CK296" s="56">
        <v>5833.7</v>
      </c>
      <c r="CL296" s="56">
        <v>0</v>
      </c>
      <c r="CN296" s="56">
        <v>805.45</v>
      </c>
      <c r="CO296" s="56">
        <v>805.45</v>
      </c>
      <c r="CP296" s="56">
        <v>72.900000000000006</v>
      </c>
      <c r="CQ296" s="56" t="s">
        <v>668</v>
      </c>
      <c r="CR296" s="56">
        <v>0</v>
      </c>
      <c r="CS296" s="56">
        <v>0</v>
      </c>
      <c r="CV296" s="56">
        <v>0</v>
      </c>
      <c r="CX296" s="56">
        <v>0</v>
      </c>
      <c r="CY296" s="56">
        <v>0</v>
      </c>
      <c r="CZ296" s="56">
        <v>539.62</v>
      </c>
      <c r="DA296" s="56">
        <v>539.62</v>
      </c>
      <c r="DB296" s="56">
        <v>0</v>
      </c>
      <c r="DC296" s="56">
        <v>5294.08</v>
      </c>
      <c r="DD296" s="56">
        <v>20.49</v>
      </c>
      <c r="DE296" s="56">
        <v>0</v>
      </c>
      <c r="DF296" s="56">
        <v>20.49</v>
      </c>
      <c r="DH296" s="56" t="s">
        <v>670</v>
      </c>
      <c r="DI296" s="56" t="s">
        <v>671</v>
      </c>
      <c r="DK296" s="56">
        <v>79.66</v>
      </c>
      <c r="DL296" s="56">
        <v>5346.49</v>
      </c>
      <c r="DM296" s="56">
        <v>67</v>
      </c>
      <c r="DN296" s="56" t="s">
        <v>900</v>
      </c>
      <c r="DO296" s="56" t="s">
        <v>236</v>
      </c>
      <c r="DQ296" s="56" t="s">
        <v>674</v>
      </c>
      <c r="DR296" s="56">
        <v>3</v>
      </c>
      <c r="DW296" s="56">
        <v>280</v>
      </c>
      <c r="DX296" s="56" t="s">
        <v>678</v>
      </c>
      <c r="DY296" s="56" t="s">
        <v>679</v>
      </c>
      <c r="EL296" s="56">
        <v>25</v>
      </c>
      <c r="EM296" s="56">
        <v>15</v>
      </c>
      <c r="EN296" s="56">
        <v>4779</v>
      </c>
      <c r="EO296" s="56">
        <v>1805</v>
      </c>
      <c r="EP296" s="56" t="s">
        <v>1234</v>
      </c>
      <c r="EQ296" s="56" t="s">
        <v>901</v>
      </c>
      <c r="ER296" s="56" t="s">
        <v>902</v>
      </c>
      <c r="ES296" s="56">
        <v>2</v>
      </c>
      <c r="ET296" s="56" t="s">
        <v>682</v>
      </c>
      <c r="EU296" s="56" t="s">
        <v>683</v>
      </c>
      <c r="EV296" s="56" t="s">
        <v>683</v>
      </c>
      <c r="FD296" s="56" t="s">
        <v>2315</v>
      </c>
      <c r="FK296" s="56">
        <v>0</v>
      </c>
    </row>
    <row r="297" spans="1:167" x14ac:dyDescent="0.2">
      <c r="A297" s="56">
        <v>29245</v>
      </c>
      <c r="B297" s="56">
        <v>2</v>
      </c>
      <c r="C297" s="56">
        <v>6352</v>
      </c>
      <c r="D297" s="56" t="s">
        <v>634</v>
      </c>
      <c r="E297" s="56" t="s">
        <v>635</v>
      </c>
      <c r="K297" s="56" t="s">
        <v>2316</v>
      </c>
      <c r="L297" s="56" t="s">
        <v>637</v>
      </c>
      <c r="M297" s="56">
        <v>44957</v>
      </c>
      <c r="N297" s="56">
        <v>44959</v>
      </c>
      <c r="O297" s="56">
        <v>38</v>
      </c>
      <c r="P297" s="56" t="s">
        <v>638</v>
      </c>
      <c r="Q297" s="56">
        <v>2</v>
      </c>
      <c r="R297" s="56" t="s">
        <v>639</v>
      </c>
      <c r="S297" s="56" t="s">
        <v>640</v>
      </c>
      <c r="T297" s="56" t="s">
        <v>641</v>
      </c>
      <c r="U297" s="56" t="s">
        <v>1582</v>
      </c>
      <c r="V297" s="56" t="s">
        <v>643</v>
      </c>
      <c r="W297" s="56">
        <v>48</v>
      </c>
      <c r="X297" s="56" t="s">
        <v>699</v>
      </c>
      <c r="Y297" s="56">
        <v>52</v>
      </c>
      <c r="Z297" s="56" t="s">
        <v>1228</v>
      </c>
      <c r="AA297" s="56" t="s">
        <v>1229</v>
      </c>
      <c r="AB297" s="56" t="s">
        <v>1230</v>
      </c>
      <c r="AC297" s="56" t="s">
        <v>643</v>
      </c>
      <c r="AD297" s="56" t="s">
        <v>1227</v>
      </c>
      <c r="AE297" s="56">
        <v>51</v>
      </c>
      <c r="AF297" s="56" t="s">
        <v>1228</v>
      </c>
      <c r="AG297" s="56" t="s">
        <v>1583</v>
      </c>
      <c r="AH297" s="56" t="s">
        <v>643</v>
      </c>
      <c r="AI297" s="56" t="s">
        <v>1582</v>
      </c>
      <c r="AJ297" s="56">
        <v>431</v>
      </c>
      <c r="AK297" s="56" t="s">
        <v>1759</v>
      </c>
      <c r="AL297" s="56">
        <v>51</v>
      </c>
      <c r="AM297" s="56" t="s">
        <v>1228</v>
      </c>
      <c r="AN297" s="56" t="s">
        <v>1583</v>
      </c>
      <c r="AO297" s="56" t="s">
        <v>1584</v>
      </c>
      <c r="AP297" s="56" t="s">
        <v>643</v>
      </c>
      <c r="AQ297" s="56" t="s">
        <v>1582</v>
      </c>
      <c r="AR297" s="56">
        <v>51</v>
      </c>
      <c r="AS297" s="56" t="s">
        <v>1228</v>
      </c>
      <c r="AT297" s="56" t="s">
        <v>1583</v>
      </c>
      <c r="AU297" s="56" t="s">
        <v>643</v>
      </c>
      <c r="AV297" s="56" t="s">
        <v>1582</v>
      </c>
      <c r="AW297" s="56">
        <v>167</v>
      </c>
      <c r="AX297" s="56" t="s">
        <v>1872</v>
      </c>
      <c r="AY297" s="56">
        <v>142</v>
      </c>
      <c r="AZ297" s="56" t="s">
        <v>1873</v>
      </c>
      <c r="BA297" s="56" t="s">
        <v>1874</v>
      </c>
      <c r="BB297" s="56" t="s">
        <v>1875</v>
      </c>
      <c r="BC297" s="56">
        <v>166</v>
      </c>
      <c r="BD297" s="56" t="s">
        <v>1876</v>
      </c>
      <c r="BE297" s="56" t="s">
        <v>1877</v>
      </c>
      <c r="BF297" s="56">
        <v>166</v>
      </c>
      <c r="BG297" s="56" t="s">
        <v>1876</v>
      </c>
      <c r="BH297" s="56" t="s">
        <v>1877</v>
      </c>
      <c r="BI297" s="56">
        <v>48.32</v>
      </c>
      <c r="BJ297" s="56">
        <v>62512.07</v>
      </c>
      <c r="BK297" s="56">
        <v>48.32</v>
      </c>
      <c r="BL297" s="56" t="s">
        <v>2274</v>
      </c>
      <c r="BM297" s="56">
        <v>3102</v>
      </c>
      <c r="BN297" s="56" t="s">
        <v>660</v>
      </c>
      <c r="BO297" s="56" t="s">
        <v>706</v>
      </c>
      <c r="BP297" s="56">
        <v>10872</v>
      </c>
      <c r="BQ297" s="56">
        <v>9445.86</v>
      </c>
      <c r="BR297" s="56">
        <v>0</v>
      </c>
      <c r="BS297" s="56">
        <v>0</v>
      </c>
      <c r="BT297" s="56">
        <v>7368.1</v>
      </c>
      <c r="BU297" s="56">
        <v>4227</v>
      </c>
      <c r="BV297" s="56">
        <v>51</v>
      </c>
      <c r="BW297" s="56" t="s">
        <v>1228</v>
      </c>
      <c r="BX297" s="56" t="s">
        <v>2317</v>
      </c>
      <c r="BY297" s="56" t="s">
        <v>663</v>
      </c>
      <c r="BZ297" s="56">
        <v>0.25</v>
      </c>
      <c r="CA297" s="56" t="s">
        <v>664</v>
      </c>
      <c r="CB297" s="56" t="s">
        <v>2277</v>
      </c>
      <c r="CC297" s="56" t="s">
        <v>2166</v>
      </c>
      <c r="CD297" s="56" t="s">
        <v>667</v>
      </c>
      <c r="CF297" s="56">
        <v>5894.48</v>
      </c>
      <c r="CG297" s="56">
        <v>80</v>
      </c>
      <c r="CH297" s="56">
        <v>225</v>
      </c>
      <c r="CI297" s="56">
        <v>155</v>
      </c>
      <c r="CJ297" s="56">
        <v>22</v>
      </c>
      <c r="CK297" s="56">
        <v>9445.86</v>
      </c>
      <c r="CL297" s="56">
        <v>7368.1</v>
      </c>
      <c r="CM297" s="56">
        <v>17.100000000000001</v>
      </c>
      <c r="CN297" s="56">
        <v>1304.6400000000001</v>
      </c>
      <c r="CO297" s="56">
        <v>1304.6400000000001</v>
      </c>
      <c r="CP297" s="56">
        <v>121.5</v>
      </c>
      <c r="CQ297" s="56" t="s">
        <v>668</v>
      </c>
      <c r="CR297" s="56">
        <v>0</v>
      </c>
      <c r="CS297" s="56">
        <v>121.5</v>
      </c>
      <c r="CT297" s="56" t="s">
        <v>669</v>
      </c>
      <c r="CU297" s="56">
        <v>0</v>
      </c>
      <c r="CV297" s="56">
        <v>0</v>
      </c>
      <c r="CX297" s="56">
        <v>2041.16</v>
      </c>
      <c r="CY297" s="56">
        <v>0</v>
      </c>
      <c r="CZ297" s="56">
        <v>362.59</v>
      </c>
      <c r="DA297" s="56">
        <v>873.75</v>
      </c>
      <c r="DB297" s="56">
        <v>511.16</v>
      </c>
      <c r="DC297" s="56">
        <v>9083.27</v>
      </c>
      <c r="DD297" s="56">
        <v>16.079999999999998</v>
      </c>
      <c r="DE297" s="56">
        <v>0</v>
      </c>
      <c r="DF297" s="56">
        <v>10.74</v>
      </c>
      <c r="DG297" s="56">
        <v>31.26</v>
      </c>
      <c r="DH297" s="56" t="s">
        <v>670</v>
      </c>
      <c r="DI297" s="56" t="s">
        <v>671</v>
      </c>
      <c r="DK297" s="56">
        <v>15.96</v>
      </c>
      <c r="DL297" s="56">
        <v>1735.69</v>
      </c>
      <c r="DM297" s="56">
        <v>108</v>
      </c>
      <c r="DN297" s="56">
        <v>4501413835</v>
      </c>
      <c r="DO297" s="56" t="s">
        <v>236</v>
      </c>
      <c r="DP297" s="56" t="s">
        <v>673</v>
      </c>
      <c r="DQ297" s="56" t="s">
        <v>674</v>
      </c>
      <c r="DR297" s="56">
        <v>2</v>
      </c>
      <c r="DS297" s="56" t="s">
        <v>2318</v>
      </c>
      <c r="DT297" s="56" t="s">
        <v>2319</v>
      </c>
      <c r="DU297" s="56">
        <v>36</v>
      </c>
      <c r="DV297" s="56" t="s">
        <v>677</v>
      </c>
      <c r="DW297" s="56">
        <v>580</v>
      </c>
      <c r="DX297" s="56" t="s">
        <v>678</v>
      </c>
      <c r="DY297" s="56" t="s">
        <v>679</v>
      </c>
      <c r="ED297" s="56">
        <v>2</v>
      </c>
      <c r="EE297" s="56" t="s">
        <v>639</v>
      </c>
      <c r="EF297" s="56">
        <v>2</v>
      </c>
      <c r="EG297" s="56" t="s">
        <v>639</v>
      </c>
      <c r="EH297" s="56">
        <v>2</v>
      </c>
      <c r="EI297" s="56" t="s">
        <v>639</v>
      </c>
      <c r="EJ297" s="56">
        <v>2</v>
      </c>
      <c r="EK297" s="56" t="s">
        <v>639</v>
      </c>
      <c r="EL297" s="56">
        <v>25</v>
      </c>
      <c r="EM297" s="56">
        <v>15</v>
      </c>
      <c r="EN297" s="56">
        <v>5173</v>
      </c>
      <c r="EO297" s="56">
        <v>1950</v>
      </c>
      <c r="EP297" s="56" t="s">
        <v>1234</v>
      </c>
      <c r="EQ297" s="56" t="s">
        <v>2280</v>
      </c>
      <c r="ER297" s="56" t="s">
        <v>1804</v>
      </c>
      <c r="ES297" s="56">
        <v>2</v>
      </c>
      <c r="ET297" s="56" t="s">
        <v>682</v>
      </c>
      <c r="EU297" s="56" t="s">
        <v>683</v>
      </c>
      <c r="EV297" s="56" t="s">
        <v>683</v>
      </c>
      <c r="FD297" s="56" t="s">
        <v>2320</v>
      </c>
      <c r="FK297" s="56">
        <v>0</v>
      </c>
    </row>
    <row r="298" spans="1:167" x14ac:dyDescent="0.2">
      <c r="A298" s="56">
        <v>29246</v>
      </c>
      <c r="B298" s="56">
        <v>2</v>
      </c>
      <c r="C298" s="56">
        <v>6352</v>
      </c>
      <c r="D298" s="56" t="s">
        <v>634</v>
      </c>
      <c r="E298" s="56" t="s">
        <v>635</v>
      </c>
      <c r="K298" s="56" t="s">
        <v>2321</v>
      </c>
      <c r="L298" s="56" t="s">
        <v>637</v>
      </c>
      <c r="M298" s="56">
        <v>44957</v>
      </c>
      <c r="N298" s="56">
        <v>44959</v>
      </c>
      <c r="O298" s="56">
        <v>38</v>
      </c>
      <c r="P298" s="56" t="s">
        <v>638</v>
      </c>
      <c r="Q298" s="56">
        <v>2</v>
      </c>
      <c r="R298" s="56" t="s">
        <v>639</v>
      </c>
      <c r="S298" s="56" t="s">
        <v>640</v>
      </c>
      <c r="T298" s="56" t="s">
        <v>641</v>
      </c>
      <c r="U298" s="56" t="s">
        <v>1227</v>
      </c>
      <c r="V298" s="56" t="s">
        <v>643</v>
      </c>
      <c r="W298" s="56">
        <v>48</v>
      </c>
      <c r="X298" s="56" t="s">
        <v>699</v>
      </c>
      <c r="Y298" s="56">
        <v>756</v>
      </c>
      <c r="Z298" s="56" t="s">
        <v>1779</v>
      </c>
      <c r="AB298" s="56" t="s">
        <v>1780</v>
      </c>
      <c r="AC298" s="56" t="s">
        <v>1757</v>
      </c>
      <c r="AD298" s="56" t="s">
        <v>1758</v>
      </c>
      <c r="AE298" s="56">
        <v>52</v>
      </c>
      <c r="AF298" s="56" t="s">
        <v>1228</v>
      </c>
      <c r="AG298" s="56" t="s">
        <v>1229</v>
      </c>
      <c r="AH298" s="56" t="s">
        <v>643</v>
      </c>
      <c r="AI298" s="56" t="s">
        <v>1227</v>
      </c>
      <c r="AJ298" s="56">
        <v>139</v>
      </c>
      <c r="AK298" s="56" t="s">
        <v>651</v>
      </c>
      <c r="AL298" s="56">
        <v>52</v>
      </c>
      <c r="AM298" s="56" t="s">
        <v>1228</v>
      </c>
      <c r="AN298" s="56" t="s">
        <v>1229</v>
      </c>
      <c r="AO298" s="56" t="s">
        <v>1230</v>
      </c>
      <c r="AP298" s="56" t="s">
        <v>643</v>
      </c>
      <c r="AQ298" s="56" t="s">
        <v>1227</v>
      </c>
      <c r="AR298" s="56">
        <v>52</v>
      </c>
      <c r="AS298" s="56" t="s">
        <v>1228</v>
      </c>
      <c r="AT298" s="56" t="s">
        <v>1229</v>
      </c>
      <c r="AU298" s="56" t="s">
        <v>643</v>
      </c>
      <c r="AV298" s="56" t="s">
        <v>1227</v>
      </c>
      <c r="AW298" s="56">
        <v>50</v>
      </c>
      <c r="AX298" s="56" t="s">
        <v>881</v>
      </c>
      <c r="AY298" s="56">
        <v>77</v>
      </c>
      <c r="AZ298" s="56" t="s">
        <v>131</v>
      </c>
      <c r="BA298" s="56" t="s">
        <v>882</v>
      </c>
      <c r="BB298" s="56" t="s">
        <v>770</v>
      </c>
      <c r="BC298" s="56">
        <v>38</v>
      </c>
      <c r="BD298" s="56" t="s">
        <v>289</v>
      </c>
      <c r="BE298" s="56" t="s">
        <v>771</v>
      </c>
      <c r="BF298" s="56">
        <v>2</v>
      </c>
      <c r="BG298" s="56" t="s">
        <v>289</v>
      </c>
      <c r="BH298" s="56" t="s">
        <v>772</v>
      </c>
      <c r="BI298" s="56">
        <v>23.79</v>
      </c>
      <c r="BJ298" s="56">
        <v>57202.1</v>
      </c>
      <c r="BK298" s="56">
        <v>23.79</v>
      </c>
      <c r="BL298" s="56" t="s">
        <v>897</v>
      </c>
      <c r="BM298" s="56">
        <v>3102</v>
      </c>
      <c r="BN298" s="56" t="s">
        <v>786</v>
      </c>
      <c r="BO298" s="56" t="s">
        <v>883</v>
      </c>
      <c r="BP298" s="56">
        <v>4282.2</v>
      </c>
      <c r="BQ298" s="56">
        <v>3768.34</v>
      </c>
      <c r="BR298" s="56">
        <v>0</v>
      </c>
      <c r="BS298" s="56">
        <v>0</v>
      </c>
      <c r="BT298" s="56">
        <v>0</v>
      </c>
      <c r="BU298" s="56">
        <v>5942</v>
      </c>
      <c r="BV298" s="56">
        <v>52</v>
      </c>
      <c r="BW298" s="56" t="s">
        <v>1228</v>
      </c>
      <c r="BX298" s="56" t="s">
        <v>2322</v>
      </c>
      <c r="BY298" s="56" t="s">
        <v>663</v>
      </c>
      <c r="BZ298" s="56">
        <v>0.5</v>
      </c>
      <c r="CA298" s="56" t="s">
        <v>1587</v>
      </c>
      <c r="CB298" s="56" t="s">
        <v>1782</v>
      </c>
      <c r="CD298" s="56" t="s">
        <v>667</v>
      </c>
      <c r="CG298" s="56">
        <v>0</v>
      </c>
      <c r="CH298" s="56">
        <v>180</v>
      </c>
      <c r="CJ298" s="56">
        <v>100</v>
      </c>
      <c r="CK298" s="56">
        <v>3768.34</v>
      </c>
      <c r="CL298" s="56">
        <v>0</v>
      </c>
      <c r="CN298" s="56">
        <v>513.86</v>
      </c>
      <c r="CO298" s="56">
        <v>513.86</v>
      </c>
      <c r="CP298" s="56">
        <v>0</v>
      </c>
      <c r="CQ298" s="56" t="s">
        <v>708</v>
      </c>
      <c r="CR298" s="56">
        <v>0</v>
      </c>
      <c r="CS298" s="56">
        <v>0</v>
      </c>
      <c r="CV298" s="56">
        <v>0</v>
      </c>
      <c r="CX298" s="56">
        <v>0</v>
      </c>
      <c r="CY298" s="56">
        <v>0</v>
      </c>
      <c r="CZ298" s="56">
        <v>348.57</v>
      </c>
      <c r="DA298" s="56">
        <v>348.57</v>
      </c>
      <c r="DB298" s="56">
        <v>0</v>
      </c>
      <c r="DC298" s="56">
        <v>3419.77</v>
      </c>
      <c r="DD298" s="56">
        <v>9.83</v>
      </c>
      <c r="DE298" s="56">
        <v>0</v>
      </c>
      <c r="DF298" s="56">
        <v>9.83</v>
      </c>
      <c r="DH298" s="56" t="s">
        <v>670</v>
      </c>
      <c r="DI298" s="56" t="s">
        <v>671</v>
      </c>
      <c r="DK298" s="56">
        <v>79.63</v>
      </c>
      <c r="DL298" s="56">
        <v>3409.94</v>
      </c>
      <c r="DM298" s="56">
        <v>60</v>
      </c>
      <c r="DN298" s="56">
        <v>4501411977</v>
      </c>
      <c r="DO298" s="56" t="s">
        <v>236</v>
      </c>
      <c r="DQ298" s="56" t="s">
        <v>674</v>
      </c>
      <c r="DR298" s="56">
        <v>3</v>
      </c>
      <c r="DW298" s="56">
        <v>380</v>
      </c>
      <c r="DX298" s="56" t="s">
        <v>678</v>
      </c>
      <c r="DY298" s="56" t="s">
        <v>679</v>
      </c>
      <c r="EL298" s="56">
        <v>25</v>
      </c>
      <c r="EM298" s="56">
        <v>15</v>
      </c>
      <c r="EN298" s="56">
        <v>5173</v>
      </c>
      <c r="EO298" s="56">
        <v>2420</v>
      </c>
      <c r="EP298" s="56" t="s">
        <v>1234</v>
      </c>
      <c r="EQ298" s="56" t="s">
        <v>1783</v>
      </c>
      <c r="ER298" s="56" t="s">
        <v>1764</v>
      </c>
      <c r="ES298" s="56">
        <v>2</v>
      </c>
      <c r="ET298" s="56" t="s">
        <v>682</v>
      </c>
      <c r="EU298" s="56" t="s">
        <v>683</v>
      </c>
      <c r="EV298" s="56" t="s">
        <v>683</v>
      </c>
      <c r="FD298" s="56" t="s">
        <v>2323</v>
      </c>
      <c r="FK298" s="56">
        <v>0</v>
      </c>
    </row>
    <row r="299" spans="1:167" x14ac:dyDescent="0.2">
      <c r="A299" s="56">
        <v>29247</v>
      </c>
      <c r="B299" s="56">
        <v>2</v>
      </c>
      <c r="C299" s="56">
        <v>6352</v>
      </c>
      <c r="D299" s="56" t="s">
        <v>634</v>
      </c>
      <c r="E299" s="56" t="s">
        <v>635</v>
      </c>
      <c r="K299" s="56" t="s">
        <v>2324</v>
      </c>
      <c r="L299" s="56" t="s">
        <v>637</v>
      </c>
      <c r="M299" s="56">
        <v>44957</v>
      </c>
      <c r="N299" s="56">
        <v>44959</v>
      </c>
      <c r="O299" s="56">
        <v>38</v>
      </c>
      <c r="P299" s="56" t="s">
        <v>638</v>
      </c>
      <c r="Q299" s="56">
        <v>2</v>
      </c>
      <c r="R299" s="56" t="s">
        <v>639</v>
      </c>
      <c r="S299" s="56" t="s">
        <v>640</v>
      </c>
      <c r="T299" s="56" t="s">
        <v>641</v>
      </c>
      <c r="U299" s="56" t="s">
        <v>1227</v>
      </c>
      <c r="V299" s="56" t="s">
        <v>643</v>
      </c>
      <c r="W299" s="56">
        <v>48</v>
      </c>
      <c r="X299" s="56" t="s">
        <v>699</v>
      </c>
      <c r="Y299" s="56">
        <v>756</v>
      </c>
      <c r="Z299" s="56" t="s">
        <v>1779</v>
      </c>
      <c r="AB299" s="56" t="s">
        <v>1780</v>
      </c>
      <c r="AC299" s="56" t="s">
        <v>1757</v>
      </c>
      <c r="AD299" s="56" t="s">
        <v>1758</v>
      </c>
      <c r="AE299" s="56">
        <v>52</v>
      </c>
      <c r="AF299" s="56" t="s">
        <v>1228</v>
      </c>
      <c r="AG299" s="56" t="s">
        <v>1229</v>
      </c>
      <c r="AH299" s="56" t="s">
        <v>643</v>
      </c>
      <c r="AI299" s="56" t="s">
        <v>1227</v>
      </c>
      <c r="AJ299" s="56">
        <v>139</v>
      </c>
      <c r="AK299" s="56" t="s">
        <v>651</v>
      </c>
      <c r="AL299" s="56">
        <v>52</v>
      </c>
      <c r="AM299" s="56" t="s">
        <v>1228</v>
      </c>
      <c r="AN299" s="56" t="s">
        <v>1229</v>
      </c>
      <c r="AO299" s="56" t="s">
        <v>1230</v>
      </c>
      <c r="AP299" s="56" t="s">
        <v>643</v>
      </c>
      <c r="AQ299" s="56" t="s">
        <v>1227</v>
      </c>
      <c r="AR299" s="56">
        <v>52</v>
      </c>
      <c r="AS299" s="56" t="s">
        <v>1228</v>
      </c>
      <c r="AT299" s="56" t="s">
        <v>1229</v>
      </c>
      <c r="AU299" s="56" t="s">
        <v>643</v>
      </c>
      <c r="AV299" s="56" t="s">
        <v>1227</v>
      </c>
      <c r="AW299" s="56">
        <v>50</v>
      </c>
      <c r="AX299" s="56" t="s">
        <v>881</v>
      </c>
      <c r="AY299" s="56">
        <v>77</v>
      </c>
      <c r="AZ299" s="56" t="s">
        <v>131</v>
      </c>
      <c r="BA299" s="56" t="s">
        <v>882</v>
      </c>
      <c r="BB299" s="56" t="s">
        <v>770</v>
      </c>
      <c r="BC299" s="56">
        <v>38</v>
      </c>
      <c r="BD299" s="56" t="s">
        <v>289</v>
      </c>
      <c r="BE299" s="56" t="s">
        <v>771</v>
      </c>
      <c r="BF299" s="56">
        <v>2</v>
      </c>
      <c r="BG299" s="56" t="s">
        <v>289</v>
      </c>
      <c r="BH299" s="56" t="s">
        <v>772</v>
      </c>
      <c r="BI299" s="56">
        <v>25.1</v>
      </c>
      <c r="BJ299" s="56">
        <v>60351.95</v>
      </c>
      <c r="BK299" s="56">
        <v>25.1</v>
      </c>
      <c r="BL299" s="56" t="s">
        <v>897</v>
      </c>
      <c r="BM299" s="56">
        <v>3102</v>
      </c>
      <c r="BN299" s="56" t="s">
        <v>786</v>
      </c>
      <c r="BO299" s="56" t="s">
        <v>883</v>
      </c>
      <c r="BP299" s="56">
        <v>4518</v>
      </c>
      <c r="BQ299" s="56">
        <v>3878.64</v>
      </c>
      <c r="BR299" s="56">
        <v>0</v>
      </c>
      <c r="BS299" s="56">
        <v>0</v>
      </c>
      <c r="BT299" s="56">
        <v>0</v>
      </c>
      <c r="BU299" s="56">
        <v>5943</v>
      </c>
      <c r="BV299" s="56">
        <v>52</v>
      </c>
      <c r="BW299" s="56" t="s">
        <v>1228</v>
      </c>
      <c r="BX299" s="56" t="s">
        <v>2325</v>
      </c>
      <c r="BY299" s="56" t="s">
        <v>663</v>
      </c>
      <c r="BZ299" s="56">
        <v>0.5</v>
      </c>
      <c r="CA299" s="56" t="s">
        <v>1587</v>
      </c>
      <c r="CB299" s="56" t="s">
        <v>1782</v>
      </c>
      <c r="CD299" s="56" t="s">
        <v>667</v>
      </c>
      <c r="CG299" s="56">
        <v>0</v>
      </c>
      <c r="CH299" s="56">
        <v>180</v>
      </c>
      <c r="CJ299" s="56">
        <v>100</v>
      </c>
      <c r="CK299" s="56">
        <v>3878.64</v>
      </c>
      <c r="CL299" s="56">
        <v>0</v>
      </c>
      <c r="CN299" s="56">
        <v>542.16</v>
      </c>
      <c r="CO299" s="56">
        <v>542.16</v>
      </c>
      <c r="CP299" s="56">
        <v>97.2</v>
      </c>
      <c r="CQ299" s="56" t="s">
        <v>668</v>
      </c>
      <c r="CR299" s="56">
        <v>0</v>
      </c>
      <c r="CS299" s="56">
        <v>0</v>
      </c>
      <c r="CV299" s="56">
        <v>0</v>
      </c>
      <c r="CX299" s="56">
        <v>0</v>
      </c>
      <c r="CY299" s="56">
        <v>0</v>
      </c>
      <c r="CZ299" s="56">
        <v>358.78</v>
      </c>
      <c r="DA299" s="56">
        <v>358.78</v>
      </c>
      <c r="DB299" s="56">
        <v>0</v>
      </c>
      <c r="DC299" s="56">
        <v>3519.86</v>
      </c>
      <c r="DD299" s="56">
        <v>10.37</v>
      </c>
      <c r="DE299" s="56">
        <v>0</v>
      </c>
      <c r="DF299" s="56">
        <v>10.37</v>
      </c>
      <c r="DH299" s="56" t="s">
        <v>670</v>
      </c>
      <c r="DI299" s="56" t="s">
        <v>671</v>
      </c>
      <c r="DK299" s="56">
        <v>79.83</v>
      </c>
      <c r="DL299" s="56">
        <v>3606.69</v>
      </c>
      <c r="DM299" s="56">
        <v>60</v>
      </c>
      <c r="DN299" s="56">
        <v>4501411977</v>
      </c>
      <c r="DO299" s="56" t="s">
        <v>236</v>
      </c>
      <c r="DQ299" s="56" t="s">
        <v>674</v>
      </c>
      <c r="DR299" s="56">
        <v>3</v>
      </c>
      <c r="DW299" s="56">
        <v>380</v>
      </c>
      <c r="DX299" s="56" t="s">
        <v>678</v>
      </c>
      <c r="DY299" s="56" t="s">
        <v>679</v>
      </c>
      <c r="EL299" s="56">
        <v>25</v>
      </c>
      <c r="EM299" s="56">
        <v>15</v>
      </c>
      <c r="EN299" s="56">
        <v>5173</v>
      </c>
      <c r="EO299" s="56">
        <v>2420</v>
      </c>
      <c r="EP299" s="56" t="s">
        <v>1234</v>
      </c>
      <c r="EQ299" s="56" t="s">
        <v>1783</v>
      </c>
      <c r="ER299" s="56" t="s">
        <v>1764</v>
      </c>
      <c r="ES299" s="56">
        <v>2</v>
      </c>
      <c r="ET299" s="56" t="s">
        <v>682</v>
      </c>
      <c r="EU299" s="56" t="s">
        <v>683</v>
      </c>
      <c r="EV299" s="56" t="s">
        <v>683</v>
      </c>
      <c r="FD299" s="56" t="s">
        <v>2326</v>
      </c>
      <c r="FK299" s="56">
        <v>0</v>
      </c>
    </row>
    <row r="300" spans="1:167" x14ac:dyDescent="0.2">
      <c r="A300" s="56">
        <v>29248</v>
      </c>
      <c r="B300" s="56">
        <v>2</v>
      </c>
      <c r="C300" s="56">
        <v>6352</v>
      </c>
      <c r="D300" s="56" t="s">
        <v>634</v>
      </c>
      <c r="E300" s="56" t="s">
        <v>635</v>
      </c>
      <c r="K300" s="56" t="s">
        <v>2327</v>
      </c>
      <c r="L300" s="56" t="s">
        <v>637</v>
      </c>
      <c r="M300" s="56">
        <v>44957</v>
      </c>
      <c r="N300" s="56">
        <v>44959</v>
      </c>
      <c r="O300" s="56">
        <v>38</v>
      </c>
      <c r="P300" s="56" t="s">
        <v>638</v>
      </c>
      <c r="Q300" s="56">
        <v>2</v>
      </c>
      <c r="R300" s="56" t="s">
        <v>639</v>
      </c>
      <c r="S300" s="56" t="s">
        <v>640</v>
      </c>
      <c r="T300" s="56" t="s">
        <v>641</v>
      </c>
      <c r="U300" s="56" t="s">
        <v>1582</v>
      </c>
      <c r="V300" s="56" t="s">
        <v>643</v>
      </c>
      <c r="W300" s="56">
        <v>48</v>
      </c>
      <c r="X300" s="56" t="s">
        <v>699</v>
      </c>
      <c r="Y300" s="56">
        <v>756</v>
      </c>
      <c r="Z300" s="56" t="s">
        <v>1779</v>
      </c>
      <c r="AB300" s="56" t="s">
        <v>1780</v>
      </c>
      <c r="AC300" s="56" t="s">
        <v>1757</v>
      </c>
      <c r="AD300" s="56" t="s">
        <v>1758</v>
      </c>
      <c r="AE300" s="56">
        <v>51</v>
      </c>
      <c r="AF300" s="56" t="s">
        <v>1228</v>
      </c>
      <c r="AG300" s="56" t="s">
        <v>1583</v>
      </c>
      <c r="AH300" s="56" t="s">
        <v>643</v>
      </c>
      <c r="AI300" s="56" t="s">
        <v>1582</v>
      </c>
      <c r="AJ300" s="56">
        <v>139</v>
      </c>
      <c r="AK300" s="56" t="s">
        <v>651</v>
      </c>
      <c r="AL300" s="56">
        <v>51</v>
      </c>
      <c r="AM300" s="56" t="s">
        <v>1228</v>
      </c>
      <c r="AN300" s="56" t="s">
        <v>1583</v>
      </c>
      <c r="AO300" s="56" t="s">
        <v>1584</v>
      </c>
      <c r="AP300" s="56" t="s">
        <v>643</v>
      </c>
      <c r="AQ300" s="56" t="s">
        <v>1582</v>
      </c>
      <c r="AR300" s="56">
        <v>51</v>
      </c>
      <c r="AS300" s="56" t="s">
        <v>1228</v>
      </c>
      <c r="AT300" s="56" t="s">
        <v>1583</v>
      </c>
      <c r="AU300" s="56" t="s">
        <v>643</v>
      </c>
      <c r="AV300" s="56" t="s">
        <v>1582</v>
      </c>
      <c r="AW300" s="56">
        <v>110</v>
      </c>
      <c r="AX300" s="56" t="s">
        <v>864</v>
      </c>
      <c r="AY300" s="56">
        <v>68</v>
      </c>
      <c r="AZ300" s="56" t="s">
        <v>25</v>
      </c>
      <c r="BA300" s="56" t="s">
        <v>865</v>
      </c>
      <c r="BB300" s="56" t="s">
        <v>844</v>
      </c>
      <c r="BC300" s="56">
        <v>2</v>
      </c>
      <c r="BD300" s="56" t="s">
        <v>289</v>
      </c>
      <c r="BE300" s="56" t="s">
        <v>772</v>
      </c>
      <c r="BF300" s="56">
        <v>2</v>
      </c>
      <c r="BG300" s="56" t="s">
        <v>289</v>
      </c>
      <c r="BH300" s="56" t="s">
        <v>772</v>
      </c>
      <c r="BI300" s="56">
        <v>24.22</v>
      </c>
      <c r="BJ300" s="56">
        <v>58236.02</v>
      </c>
      <c r="BK300" s="56">
        <v>24.22</v>
      </c>
      <c r="BL300" s="56" t="s">
        <v>897</v>
      </c>
      <c r="BM300" s="56">
        <v>3102</v>
      </c>
      <c r="BN300" s="56" t="s">
        <v>660</v>
      </c>
      <c r="BO300" s="56" t="s">
        <v>866</v>
      </c>
      <c r="BP300" s="56">
        <v>5933.9</v>
      </c>
      <c r="BQ300" s="56">
        <v>5221.83</v>
      </c>
      <c r="BR300" s="56">
        <v>0</v>
      </c>
      <c r="BS300" s="56">
        <v>0</v>
      </c>
      <c r="BT300" s="56">
        <v>0</v>
      </c>
      <c r="BU300" s="56">
        <v>1252</v>
      </c>
      <c r="BV300" s="56">
        <v>51</v>
      </c>
      <c r="BW300" s="56" t="s">
        <v>1228</v>
      </c>
      <c r="BX300" s="56" t="s">
        <v>2328</v>
      </c>
      <c r="BY300" s="56" t="s">
        <v>663</v>
      </c>
      <c r="BZ300" s="56">
        <v>0.5</v>
      </c>
      <c r="CA300" s="56" t="s">
        <v>1587</v>
      </c>
      <c r="CB300" s="56" t="s">
        <v>1782</v>
      </c>
      <c r="CD300" s="56" t="s">
        <v>667</v>
      </c>
      <c r="CG300" s="56">
        <v>0</v>
      </c>
      <c r="CH300" s="56">
        <v>245</v>
      </c>
      <c r="CJ300" s="56">
        <v>100</v>
      </c>
      <c r="CK300" s="56">
        <v>5221.83</v>
      </c>
      <c r="CL300" s="56">
        <v>0</v>
      </c>
      <c r="CN300" s="56">
        <v>712.07</v>
      </c>
      <c r="CO300" s="56">
        <v>712.07</v>
      </c>
      <c r="CP300" s="56">
        <v>0</v>
      </c>
      <c r="CQ300" s="56" t="s">
        <v>708</v>
      </c>
      <c r="CR300" s="56">
        <v>0</v>
      </c>
      <c r="CS300" s="56">
        <v>0</v>
      </c>
      <c r="CV300" s="56">
        <v>0</v>
      </c>
      <c r="CX300" s="56">
        <v>0</v>
      </c>
      <c r="CY300" s="56">
        <v>0</v>
      </c>
      <c r="CZ300" s="56">
        <v>483.02</v>
      </c>
      <c r="DA300" s="56">
        <v>483.02</v>
      </c>
      <c r="DB300" s="56">
        <v>0</v>
      </c>
      <c r="DC300" s="56">
        <v>4738.8100000000004</v>
      </c>
      <c r="DD300" s="56">
        <v>10.01</v>
      </c>
      <c r="DE300" s="56">
        <v>0</v>
      </c>
      <c r="DF300" s="56">
        <v>10.01</v>
      </c>
      <c r="DH300" s="56" t="s">
        <v>670</v>
      </c>
      <c r="DI300" s="56" t="s">
        <v>671</v>
      </c>
      <c r="DK300" s="56">
        <v>79.69</v>
      </c>
      <c r="DL300" s="56">
        <v>4728.8</v>
      </c>
      <c r="DM300" s="56">
        <v>100</v>
      </c>
      <c r="DN300" s="56">
        <v>4501411978</v>
      </c>
      <c r="DO300" s="56" t="s">
        <v>236</v>
      </c>
      <c r="DQ300" s="56" t="s">
        <v>674</v>
      </c>
      <c r="DR300" s="56">
        <v>3</v>
      </c>
      <c r="DW300" s="56">
        <v>590</v>
      </c>
      <c r="DX300" s="56" t="s">
        <v>678</v>
      </c>
      <c r="DY300" s="56" t="s">
        <v>679</v>
      </c>
      <c r="EL300" s="56">
        <v>25</v>
      </c>
      <c r="EM300" s="56">
        <v>15</v>
      </c>
      <c r="EN300" s="56">
        <v>5173</v>
      </c>
      <c r="EO300" s="56">
        <v>1950</v>
      </c>
      <c r="EP300" s="56" t="s">
        <v>1234</v>
      </c>
      <c r="EQ300" s="56" t="s">
        <v>1803</v>
      </c>
      <c r="ER300" s="56" t="s">
        <v>1804</v>
      </c>
      <c r="ES300" s="56">
        <v>2</v>
      </c>
      <c r="ET300" s="56" t="s">
        <v>682</v>
      </c>
      <c r="EU300" s="56" t="s">
        <v>683</v>
      </c>
      <c r="EV300" s="56" t="s">
        <v>683</v>
      </c>
      <c r="FD300" s="56" t="s">
        <v>2329</v>
      </c>
      <c r="FK300" s="56">
        <v>0</v>
      </c>
    </row>
    <row r="301" spans="1:167" x14ac:dyDescent="0.2">
      <c r="A301" s="56">
        <v>29249</v>
      </c>
      <c r="B301" s="56">
        <v>2</v>
      </c>
      <c r="C301" s="56">
        <v>6352</v>
      </c>
      <c r="D301" s="56" t="s">
        <v>634</v>
      </c>
      <c r="E301" s="56" t="s">
        <v>635</v>
      </c>
      <c r="K301" s="56" t="s">
        <v>2330</v>
      </c>
      <c r="L301" s="56" t="s">
        <v>637</v>
      </c>
      <c r="M301" s="56">
        <v>44957</v>
      </c>
      <c r="N301" s="56">
        <v>44959</v>
      </c>
      <c r="O301" s="56">
        <v>38</v>
      </c>
      <c r="P301" s="56" t="s">
        <v>638</v>
      </c>
      <c r="Q301" s="56">
        <v>2</v>
      </c>
      <c r="R301" s="56" t="s">
        <v>639</v>
      </c>
      <c r="S301" s="56" t="s">
        <v>640</v>
      </c>
      <c r="T301" s="56" t="s">
        <v>641</v>
      </c>
      <c r="U301" s="56" t="s">
        <v>1582</v>
      </c>
      <c r="V301" s="56" t="s">
        <v>643</v>
      </c>
      <c r="W301" s="56">
        <v>48</v>
      </c>
      <c r="X301" s="56" t="s">
        <v>699</v>
      </c>
      <c r="Y301" s="56">
        <v>756</v>
      </c>
      <c r="Z301" s="56" t="s">
        <v>1779</v>
      </c>
      <c r="AB301" s="56" t="s">
        <v>1780</v>
      </c>
      <c r="AC301" s="56" t="s">
        <v>1757</v>
      </c>
      <c r="AD301" s="56" t="s">
        <v>1758</v>
      </c>
      <c r="AE301" s="56">
        <v>51</v>
      </c>
      <c r="AF301" s="56" t="s">
        <v>1228</v>
      </c>
      <c r="AG301" s="56" t="s">
        <v>1583</v>
      </c>
      <c r="AH301" s="56" t="s">
        <v>643</v>
      </c>
      <c r="AI301" s="56" t="s">
        <v>1582</v>
      </c>
      <c r="AJ301" s="56">
        <v>139</v>
      </c>
      <c r="AK301" s="56" t="s">
        <v>651</v>
      </c>
      <c r="AL301" s="56">
        <v>51</v>
      </c>
      <c r="AM301" s="56" t="s">
        <v>1228</v>
      </c>
      <c r="AN301" s="56" t="s">
        <v>1583</v>
      </c>
      <c r="AO301" s="56" t="s">
        <v>1584</v>
      </c>
      <c r="AP301" s="56" t="s">
        <v>643</v>
      </c>
      <c r="AQ301" s="56" t="s">
        <v>1582</v>
      </c>
      <c r="AR301" s="56">
        <v>51</v>
      </c>
      <c r="AS301" s="56" t="s">
        <v>1228</v>
      </c>
      <c r="AT301" s="56" t="s">
        <v>1583</v>
      </c>
      <c r="AU301" s="56" t="s">
        <v>643</v>
      </c>
      <c r="AV301" s="56" t="s">
        <v>1582</v>
      </c>
      <c r="AW301" s="56">
        <v>110</v>
      </c>
      <c r="AX301" s="56" t="s">
        <v>864</v>
      </c>
      <c r="AY301" s="56">
        <v>68</v>
      </c>
      <c r="AZ301" s="56" t="s">
        <v>25</v>
      </c>
      <c r="BA301" s="56" t="s">
        <v>865</v>
      </c>
      <c r="BB301" s="56" t="s">
        <v>844</v>
      </c>
      <c r="BC301" s="56">
        <v>2</v>
      </c>
      <c r="BD301" s="56" t="s">
        <v>289</v>
      </c>
      <c r="BE301" s="56" t="s">
        <v>772</v>
      </c>
      <c r="BF301" s="56">
        <v>2</v>
      </c>
      <c r="BG301" s="56" t="s">
        <v>289</v>
      </c>
      <c r="BH301" s="56" t="s">
        <v>772</v>
      </c>
      <c r="BI301" s="56">
        <v>25.17</v>
      </c>
      <c r="BJ301" s="56">
        <v>60520.26</v>
      </c>
      <c r="BK301" s="56">
        <v>25.17</v>
      </c>
      <c r="BL301" s="56" t="s">
        <v>897</v>
      </c>
      <c r="BM301" s="56">
        <v>3102</v>
      </c>
      <c r="BN301" s="56" t="s">
        <v>660</v>
      </c>
      <c r="BO301" s="56" t="s">
        <v>866</v>
      </c>
      <c r="BP301" s="56">
        <v>6166.65</v>
      </c>
      <c r="BQ301" s="56">
        <v>5305.15</v>
      </c>
      <c r="BR301" s="56">
        <v>0</v>
      </c>
      <c r="BS301" s="56">
        <v>0</v>
      </c>
      <c r="BT301" s="56">
        <v>0</v>
      </c>
      <c r="BU301" s="56">
        <v>1253</v>
      </c>
      <c r="BV301" s="56">
        <v>51</v>
      </c>
      <c r="BW301" s="56" t="s">
        <v>1228</v>
      </c>
      <c r="BX301" s="56" t="s">
        <v>2331</v>
      </c>
      <c r="BY301" s="56" t="s">
        <v>663</v>
      </c>
      <c r="BZ301" s="56">
        <v>0.5</v>
      </c>
      <c r="CA301" s="56" t="s">
        <v>1587</v>
      </c>
      <c r="CB301" s="56" t="s">
        <v>1782</v>
      </c>
      <c r="CD301" s="56" t="s">
        <v>667</v>
      </c>
      <c r="CG301" s="56">
        <v>0</v>
      </c>
      <c r="CH301" s="56">
        <v>245</v>
      </c>
      <c r="CJ301" s="56">
        <v>100</v>
      </c>
      <c r="CK301" s="56">
        <v>5305.15</v>
      </c>
      <c r="CL301" s="56">
        <v>0</v>
      </c>
      <c r="CN301" s="56">
        <v>740</v>
      </c>
      <c r="CO301" s="56">
        <v>740</v>
      </c>
      <c r="CP301" s="56">
        <v>121.5</v>
      </c>
      <c r="CQ301" s="56" t="s">
        <v>668</v>
      </c>
      <c r="CR301" s="56">
        <v>0</v>
      </c>
      <c r="CS301" s="56">
        <v>0</v>
      </c>
      <c r="CV301" s="56">
        <v>0</v>
      </c>
      <c r="CX301" s="56">
        <v>0</v>
      </c>
      <c r="CY301" s="56">
        <v>0</v>
      </c>
      <c r="CZ301" s="56">
        <v>490.72</v>
      </c>
      <c r="DA301" s="56">
        <v>490.72</v>
      </c>
      <c r="DB301" s="56">
        <v>0</v>
      </c>
      <c r="DC301" s="56">
        <v>4814.43</v>
      </c>
      <c r="DD301" s="56">
        <v>10.4</v>
      </c>
      <c r="DE301" s="56">
        <v>0</v>
      </c>
      <c r="DF301" s="56">
        <v>10.4</v>
      </c>
      <c r="DH301" s="56" t="s">
        <v>670</v>
      </c>
      <c r="DI301" s="56" t="s">
        <v>671</v>
      </c>
      <c r="DK301" s="56">
        <v>79.87</v>
      </c>
      <c r="DL301" s="56">
        <v>4925.53</v>
      </c>
      <c r="DM301" s="56">
        <v>100</v>
      </c>
      <c r="DN301" s="56">
        <v>4501411978</v>
      </c>
      <c r="DO301" s="56" t="s">
        <v>236</v>
      </c>
      <c r="DQ301" s="56" t="s">
        <v>674</v>
      </c>
      <c r="DR301" s="56">
        <v>3</v>
      </c>
      <c r="DW301" s="56">
        <v>590</v>
      </c>
      <c r="DX301" s="56" t="s">
        <v>678</v>
      </c>
      <c r="DY301" s="56" t="s">
        <v>679</v>
      </c>
      <c r="EL301" s="56">
        <v>25</v>
      </c>
      <c r="EM301" s="56">
        <v>15</v>
      </c>
      <c r="EN301" s="56">
        <v>5173</v>
      </c>
      <c r="EO301" s="56">
        <v>1950</v>
      </c>
      <c r="EP301" s="56" t="s">
        <v>1234</v>
      </c>
      <c r="EQ301" s="56" t="s">
        <v>1803</v>
      </c>
      <c r="ER301" s="56" t="s">
        <v>1804</v>
      </c>
      <c r="ES301" s="56">
        <v>2</v>
      </c>
      <c r="ET301" s="56" t="s">
        <v>682</v>
      </c>
      <c r="EU301" s="56" t="s">
        <v>683</v>
      </c>
      <c r="EV301" s="56" t="s">
        <v>683</v>
      </c>
      <c r="FD301" s="56" t="s">
        <v>2332</v>
      </c>
      <c r="FK301" s="56">
        <v>0</v>
      </c>
    </row>
    <row r="302" spans="1:167" x14ac:dyDescent="0.2">
      <c r="A302" s="56">
        <v>29250</v>
      </c>
      <c r="B302" s="56">
        <v>2</v>
      </c>
      <c r="C302" s="56">
        <v>6352</v>
      </c>
      <c r="D302" s="56" t="s">
        <v>634</v>
      </c>
      <c r="E302" s="56" t="s">
        <v>635</v>
      </c>
      <c r="K302" s="56" t="s">
        <v>2352</v>
      </c>
      <c r="L302" s="56" t="s">
        <v>637</v>
      </c>
      <c r="M302" s="56">
        <v>44957</v>
      </c>
      <c r="N302" s="56">
        <v>44959</v>
      </c>
      <c r="O302" s="56">
        <v>38</v>
      </c>
      <c r="P302" s="56" t="s">
        <v>638</v>
      </c>
      <c r="Q302" s="56">
        <v>2</v>
      </c>
      <c r="R302" s="56" t="s">
        <v>639</v>
      </c>
      <c r="S302" s="56" t="s">
        <v>640</v>
      </c>
      <c r="T302" s="56" t="s">
        <v>641</v>
      </c>
      <c r="U302" s="56" t="s">
        <v>1227</v>
      </c>
      <c r="V302" s="56" t="s">
        <v>643</v>
      </c>
      <c r="W302" s="56">
        <v>48</v>
      </c>
      <c r="X302" s="56" t="s">
        <v>699</v>
      </c>
      <c r="Y302" s="56">
        <v>756</v>
      </c>
      <c r="Z302" s="56" t="s">
        <v>1779</v>
      </c>
      <c r="AB302" s="56" t="s">
        <v>1780</v>
      </c>
      <c r="AC302" s="56" t="s">
        <v>1757</v>
      </c>
      <c r="AD302" s="56" t="s">
        <v>1758</v>
      </c>
      <c r="AE302" s="56">
        <v>52</v>
      </c>
      <c r="AF302" s="56" t="s">
        <v>1228</v>
      </c>
      <c r="AG302" s="56" t="s">
        <v>1229</v>
      </c>
      <c r="AH302" s="56" t="s">
        <v>643</v>
      </c>
      <c r="AI302" s="56" t="s">
        <v>1227</v>
      </c>
      <c r="AJ302" s="56">
        <v>139</v>
      </c>
      <c r="AK302" s="56" t="s">
        <v>651</v>
      </c>
      <c r="AL302" s="56">
        <v>52</v>
      </c>
      <c r="AM302" s="56" t="s">
        <v>1228</v>
      </c>
      <c r="AN302" s="56" t="s">
        <v>1229</v>
      </c>
      <c r="AO302" s="56" t="s">
        <v>1230</v>
      </c>
      <c r="AP302" s="56" t="s">
        <v>643</v>
      </c>
      <c r="AQ302" s="56" t="s">
        <v>1227</v>
      </c>
      <c r="AR302" s="56">
        <v>52</v>
      </c>
      <c r="AS302" s="56" t="s">
        <v>1228</v>
      </c>
      <c r="AT302" s="56" t="s">
        <v>1229</v>
      </c>
      <c r="AU302" s="56" t="s">
        <v>643</v>
      </c>
      <c r="AV302" s="56" t="s">
        <v>1227</v>
      </c>
      <c r="AW302" s="56">
        <v>114</v>
      </c>
      <c r="AX302" s="56" t="s">
        <v>1396</v>
      </c>
      <c r="AY302" s="56">
        <v>27</v>
      </c>
      <c r="AZ302" s="56" t="s">
        <v>33</v>
      </c>
      <c r="BA302" s="56" t="s">
        <v>1397</v>
      </c>
      <c r="BB302" s="56" t="s">
        <v>770</v>
      </c>
      <c r="BC302" s="56">
        <v>38</v>
      </c>
      <c r="BD302" s="56" t="s">
        <v>289</v>
      </c>
      <c r="BE302" s="56" t="s">
        <v>771</v>
      </c>
      <c r="BF302" s="56">
        <v>2</v>
      </c>
      <c r="BG302" s="56" t="s">
        <v>289</v>
      </c>
      <c r="BH302" s="56" t="s">
        <v>772</v>
      </c>
      <c r="BI302" s="56">
        <v>23.71</v>
      </c>
      <c r="BJ302" s="56">
        <v>57009.75</v>
      </c>
      <c r="BK302" s="56">
        <v>23.71</v>
      </c>
      <c r="BL302" s="56" t="s">
        <v>897</v>
      </c>
      <c r="BM302" s="56">
        <v>3102</v>
      </c>
      <c r="BN302" s="56" t="s">
        <v>786</v>
      </c>
      <c r="BO302" s="56" t="s">
        <v>883</v>
      </c>
      <c r="BP302" s="56">
        <v>4267.8</v>
      </c>
      <c r="BQ302" s="56">
        <v>3755.66</v>
      </c>
      <c r="BR302" s="56">
        <v>0</v>
      </c>
      <c r="BS302" s="56">
        <v>0</v>
      </c>
      <c r="BT302" s="56">
        <v>0</v>
      </c>
      <c r="BU302" s="56">
        <v>5944</v>
      </c>
      <c r="BV302" s="56">
        <v>52</v>
      </c>
      <c r="BW302" s="56" t="s">
        <v>1228</v>
      </c>
      <c r="BX302" s="56" t="s">
        <v>2353</v>
      </c>
      <c r="BY302" s="56" t="s">
        <v>663</v>
      </c>
      <c r="BZ302" s="56">
        <v>0.5</v>
      </c>
      <c r="CA302" s="56" t="s">
        <v>1587</v>
      </c>
      <c r="CB302" s="56" t="s">
        <v>1782</v>
      </c>
      <c r="CD302" s="56" t="s">
        <v>667</v>
      </c>
      <c r="CG302" s="56">
        <v>0</v>
      </c>
      <c r="CH302" s="56">
        <v>180</v>
      </c>
      <c r="CJ302" s="56">
        <v>100</v>
      </c>
      <c r="CK302" s="56">
        <v>3755.66</v>
      </c>
      <c r="CL302" s="56">
        <v>0</v>
      </c>
      <c r="CN302" s="56">
        <v>512.14</v>
      </c>
      <c r="CO302" s="56">
        <v>512.14</v>
      </c>
      <c r="CP302" s="56">
        <v>0</v>
      </c>
      <c r="CQ302" s="56" t="s">
        <v>708</v>
      </c>
      <c r="CR302" s="56">
        <v>0</v>
      </c>
      <c r="CS302" s="56">
        <v>0</v>
      </c>
      <c r="CV302" s="56">
        <v>0</v>
      </c>
      <c r="CX302" s="56">
        <v>0</v>
      </c>
      <c r="CY302" s="56">
        <v>0</v>
      </c>
      <c r="CZ302" s="56">
        <v>347.4</v>
      </c>
      <c r="DA302" s="56">
        <v>347.4</v>
      </c>
      <c r="DB302" s="56">
        <v>0</v>
      </c>
      <c r="DC302" s="56">
        <v>3408.26</v>
      </c>
      <c r="DD302" s="56">
        <v>9.7899999999999991</v>
      </c>
      <c r="DE302" s="56">
        <v>0</v>
      </c>
      <c r="DF302" s="56">
        <v>9.7899999999999991</v>
      </c>
      <c r="DH302" s="56" t="s">
        <v>670</v>
      </c>
      <c r="DI302" s="56" t="s">
        <v>671</v>
      </c>
      <c r="DK302" s="56">
        <v>79.63</v>
      </c>
      <c r="DL302" s="56">
        <v>3398.47</v>
      </c>
      <c r="DM302" s="56">
        <v>60</v>
      </c>
      <c r="DN302" s="56">
        <v>4501411977</v>
      </c>
      <c r="DO302" s="56" t="s">
        <v>236</v>
      </c>
      <c r="DQ302" s="56" t="s">
        <v>674</v>
      </c>
      <c r="DR302" s="56">
        <v>3</v>
      </c>
      <c r="DW302" s="56">
        <v>380</v>
      </c>
      <c r="DX302" s="56" t="s">
        <v>678</v>
      </c>
      <c r="DY302" s="56" t="s">
        <v>679</v>
      </c>
      <c r="EL302" s="56">
        <v>25</v>
      </c>
      <c r="EM302" s="56">
        <v>15</v>
      </c>
      <c r="EN302" s="56">
        <v>5173</v>
      </c>
      <c r="EO302" s="56">
        <v>2420</v>
      </c>
      <c r="EP302" s="56" t="s">
        <v>1234</v>
      </c>
      <c r="EQ302" s="56" t="s">
        <v>1783</v>
      </c>
      <c r="ER302" s="56" t="s">
        <v>1764</v>
      </c>
      <c r="ES302" s="56">
        <v>2</v>
      </c>
      <c r="ET302" s="56" t="s">
        <v>682</v>
      </c>
      <c r="EU302" s="56" t="s">
        <v>683</v>
      </c>
      <c r="EV302" s="56" t="s">
        <v>683</v>
      </c>
      <c r="FD302" s="56" t="s">
        <v>2354</v>
      </c>
      <c r="FK302" s="56">
        <v>0</v>
      </c>
    </row>
    <row r="303" spans="1:167" x14ac:dyDescent="0.2">
      <c r="A303" s="56">
        <v>29251</v>
      </c>
      <c r="B303" s="56">
        <v>2</v>
      </c>
      <c r="C303" s="56">
        <v>6352</v>
      </c>
      <c r="D303" s="56" t="s">
        <v>634</v>
      </c>
      <c r="E303" s="56" t="s">
        <v>635</v>
      </c>
      <c r="K303" s="56" t="s">
        <v>2355</v>
      </c>
      <c r="L303" s="56" t="s">
        <v>637</v>
      </c>
      <c r="M303" s="56">
        <v>44957</v>
      </c>
      <c r="N303" s="56">
        <v>44959</v>
      </c>
      <c r="O303" s="56">
        <v>38</v>
      </c>
      <c r="P303" s="56" t="s">
        <v>638</v>
      </c>
      <c r="Q303" s="56">
        <v>2</v>
      </c>
      <c r="R303" s="56" t="s">
        <v>639</v>
      </c>
      <c r="S303" s="56" t="s">
        <v>640</v>
      </c>
      <c r="T303" s="56" t="s">
        <v>641</v>
      </c>
      <c r="U303" s="56" t="s">
        <v>1227</v>
      </c>
      <c r="V303" s="56" t="s">
        <v>643</v>
      </c>
      <c r="W303" s="56">
        <v>48</v>
      </c>
      <c r="X303" s="56" t="s">
        <v>699</v>
      </c>
      <c r="Y303" s="56">
        <v>756</v>
      </c>
      <c r="Z303" s="56" t="s">
        <v>1779</v>
      </c>
      <c r="AB303" s="56" t="s">
        <v>1780</v>
      </c>
      <c r="AC303" s="56" t="s">
        <v>1757</v>
      </c>
      <c r="AD303" s="56" t="s">
        <v>1758</v>
      </c>
      <c r="AE303" s="56">
        <v>52</v>
      </c>
      <c r="AF303" s="56" t="s">
        <v>1228</v>
      </c>
      <c r="AG303" s="56" t="s">
        <v>1229</v>
      </c>
      <c r="AH303" s="56" t="s">
        <v>643</v>
      </c>
      <c r="AI303" s="56" t="s">
        <v>1227</v>
      </c>
      <c r="AJ303" s="56">
        <v>139</v>
      </c>
      <c r="AK303" s="56" t="s">
        <v>651</v>
      </c>
      <c r="AL303" s="56">
        <v>52</v>
      </c>
      <c r="AM303" s="56" t="s">
        <v>1228</v>
      </c>
      <c r="AN303" s="56" t="s">
        <v>1229</v>
      </c>
      <c r="AO303" s="56" t="s">
        <v>1230</v>
      </c>
      <c r="AP303" s="56" t="s">
        <v>643</v>
      </c>
      <c r="AQ303" s="56" t="s">
        <v>1227</v>
      </c>
      <c r="AR303" s="56">
        <v>52</v>
      </c>
      <c r="AS303" s="56" t="s">
        <v>1228</v>
      </c>
      <c r="AT303" s="56" t="s">
        <v>1229</v>
      </c>
      <c r="AU303" s="56" t="s">
        <v>643</v>
      </c>
      <c r="AV303" s="56" t="s">
        <v>1227</v>
      </c>
      <c r="AW303" s="56">
        <v>114</v>
      </c>
      <c r="AX303" s="56" t="s">
        <v>1396</v>
      </c>
      <c r="AY303" s="56">
        <v>27</v>
      </c>
      <c r="AZ303" s="56" t="s">
        <v>33</v>
      </c>
      <c r="BA303" s="56" t="s">
        <v>1397</v>
      </c>
      <c r="BB303" s="56" t="s">
        <v>770</v>
      </c>
      <c r="BC303" s="56">
        <v>38</v>
      </c>
      <c r="BD303" s="56" t="s">
        <v>289</v>
      </c>
      <c r="BE303" s="56" t="s">
        <v>771</v>
      </c>
      <c r="BF303" s="56">
        <v>2</v>
      </c>
      <c r="BG303" s="56" t="s">
        <v>289</v>
      </c>
      <c r="BH303" s="56" t="s">
        <v>772</v>
      </c>
      <c r="BI303" s="56">
        <v>25.31</v>
      </c>
      <c r="BJ303" s="56">
        <v>60856.88</v>
      </c>
      <c r="BK303" s="56">
        <v>25.31</v>
      </c>
      <c r="BL303" s="56" t="s">
        <v>897</v>
      </c>
      <c r="BM303" s="56">
        <v>3102</v>
      </c>
      <c r="BN303" s="56" t="s">
        <v>786</v>
      </c>
      <c r="BO303" s="56" t="s">
        <v>883</v>
      </c>
      <c r="BP303" s="56">
        <v>4555.8</v>
      </c>
      <c r="BQ303" s="56">
        <v>3911.9</v>
      </c>
      <c r="BR303" s="56">
        <v>0</v>
      </c>
      <c r="BS303" s="56">
        <v>0</v>
      </c>
      <c r="BT303" s="56">
        <v>0</v>
      </c>
      <c r="BU303" s="56">
        <v>5945</v>
      </c>
      <c r="BV303" s="56">
        <v>52</v>
      </c>
      <c r="BW303" s="56" t="s">
        <v>1228</v>
      </c>
      <c r="BX303" s="56" t="s">
        <v>2356</v>
      </c>
      <c r="BY303" s="56" t="s">
        <v>663</v>
      </c>
      <c r="BZ303" s="56">
        <v>0.5</v>
      </c>
      <c r="CA303" s="56" t="s">
        <v>1587</v>
      </c>
      <c r="CB303" s="56" t="s">
        <v>1782</v>
      </c>
      <c r="CD303" s="56" t="s">
        <v>667</v>
      </c>
      <c r="CG303" s="56">
        <v>0</v>
      </c>
      <c r="CH303" s="56">
        <v>180</v>
      </c>
      <c r="CJ303" s="56">
        <v>100</v>
      </c>
      <c r="CK303" s="56">
        <v>3911.9</v>
      </c>
      <c r="CL303" s="56">
        <v>0</v>
      </c>
      <c r="CN303" s="56">
        <v>546.70000000000005</v>
      </c>
      <c r="CO303" s="56">
        <v>546.70000000000005</v>
      </c>
      <c r="CP303" s="56">
        <v>97.2</v>
      </c>
      <c r="CQ303" s="56" t="s">
        <v>668</v>
      </c>
      <c r="CR303" s="56">
        <v>0</v>
      </c>
      <c r="CS303" s="56">
        <v>0</v>
      </c>
      <c r="CV303" s="56">
        <v>0</v>
      </c>
      <c r="CX303" s="56">
        <v>0</v>
      </c>
      <c r="CY303" s="56">
        <v>0</v>
      </c>
      <c r="CZ303" s="56">
        <v>361.85</v>
      </c>
      <c r="DA303" s="56">
        <v>361.85</v>
      </c>
      <c r="DB303" s="56">
        <v>0</v>
      </c>
      <c r="DC303" s="56">
        <v>3550.05</v>
      </c>
      <c r="DD303" s="56">
        <v>10.46</v>
      </c>
      <c r="DE303" s="56">
        <v>0</v>
      </c>
      <c r="DF303" s="56">
        <v>10.46</v>
      </c>
      <c r="DH303" s="56" t="s">
        <v>670</v>
      </c>
      <c r="DI303" s="56" t="s">
        <v>671</v>
      </c>
      <c r="DK303" s="56">
        <v>79.83</v>
      </c>
      <c r="DL303" s="56">
        <v>3636.79</v>
      </c>
      <c r="DM303" s="56">
        <v>60</v>
      </c>
      <c r="DN303" s="56">
        <v>4501411977</v>
      </c>
      <c r="DO303" s="56" t="s">
        <v>236</v>
      </c>
      <c r="DQ303" s="56" t="s">
        <v>674</v>
      </c>
      <c r="DR303" s="56">
        <v>3</v>
      </c>
      <c r="DW303" s="56">
        <v>380</v>
      </c>
      <c r="DX303" s="56" t="s">
        <v>678</v>
      </c>
      <c r="DY303" s="56" t="s">
        <v>679</v>
      </c>
      <c r="EL303" s="56">
        <v>25</v>
      </c>
      <c r="EM303" s="56">
        <v>15</v>
      </c>
      <c r="EN303" s="56">
        <v>5173</v>
      </c>
      <c r="EO303" s="56">
        <v>2420</v>
      </c>
      <c r="EP303" s="56" t="s">
        <v>1234</v>
      </c>
      <c r="EQ303" s="56" t="s">
        <v>1783</v>
      </c>
      <c r="ER303" s="56" t="s">
        <v>1764</v>
      </c>
      <c r="ES303" s="56">
        <v>2</v>
      </c>
      <c r="ET303" s="56" t="s">
        <v>682</v>
      </c>
      <c r="EU303" s="56" t="s">
        <v>683</v>
      </c>
      <c r="EV303" s="56" t="s">
        <v>683</v>
      </c>
      <c r="FD303" s="56" t="s">
        <v>2357</v>
      </c>
      <c r="FK303" s="56">
        <v>0</v>
      </c>
    </row>
    <row r="304" spans="1:167" x14ac:dyDescent="0.2">
      <c r="A304" s="56">
        <v>29252</v>
      </c>
      <c r="B304" s="56">
        <v>2</v>
      </c>
      <c r="C304" s="56">
        <v>6352</v>
      </c>
      <c r="D304" s="56" t="s">
        <v>634</v>
      </c>
      <c r="E304" s="56" t="s">
        <v>635</v>
      </c>
      <c r="K304" s="56" t="s">
        <v>2358</v>
      </c>
      <c r="L304" s="56" t="s">
        <v>637</v>
      </c>
      <c r="M304" s="56">
        <v>44957</v>
      </c>
      <c r="N304" s="56">
        <v>44959</v>
      </c>
      <c r="O304" s="56">
        <v>38</v>
      </c>
      <c r="P304" s="56" t="s">
        <v>638</v>
      </c>
      <c r="Q304" s="56">
        <v>2</v>
      </c>
      <c r="R304" s="56" t="s">
        <v>639</v>
      </c>
      <c r="S304" s="56" t="s">
        <v>640</v>
      </c>
      <c r="T304" s="56" t="s">
        <v>641</v>
      </c>
      <c r="U304" s="56" t="s">
        <v>1582</v>
      </c>
      <c r="V304" s="56" t="s">
        <v>643</v>
      </c>
      <c r="W304" s="56">
        <v>48</v>
      </c>
      <c r="X304" s="56" t="s">
        <v>699</v>
      </c>
      <c r="Y304" s="56">
        <v>1246</v>
      </c>
      <c r="Z304" s="56" t="s">
        <v>2019</v>
      </c>
      <c r="AB304" s="56" t="s">
        <v>2020</v>
      </c>
      <c r="AC304" s="56" t="s">
        <v>1757</v>
      </c>
      <c r="AD304" s="56" t="s">
        <v>1758</v>
      </c>
      <c r="AE304" s="56">
        <v>51</v>
      </c>
      <c r="AF304" s="56" t="s">
        <v>1228</v>
      </c>
      <c r="AG304" s="56" t="s">
        <v>1583</v>
      </c>
      <c r="AH304" s="56" t="s">
        <v>643</v>
      </c>
      <c r="AI304" s="56" t="s">
        <v>1582</v>
      </c>
      <c r="AJ304" s="56">
        <v>431</v>
      </c>
      <c r="AK304" s="56" t="s">
        <v>1759</v>
      </c>
      <c r="AL304" s="56">
        <v>51</v>
      </c>
      <c r="AM304" s="56" t="s">
        <v>1228</v>
      </c>
      <c r="AN304" s="56" t="s">
        <v>1583</v>
      </c>
      <c r="AO304" s="56" t="s">
        <v>1584</v>
      </c>
      <c r="AP304" s="56" t="s">
        <v>643</v>
      </c>
      <c r="AQ304" s="56" t="s">
        <v>1582</v>
      </c>
      <c r="AR304" s="56">
        <v>51</v>
      </c>
      <c r="AS304" s="56" t="s">
        <v>1228</v>
      </c>
      <c r="AT304" s="56" t="s">
        <v>1583</v>
      </c>
      <c r="AU304" s="56" t="s">
        <v>643</v>
      </c>
      <c r="AV304" s="56" t="s">
        <v>1582</v>
      </c>
      <c r="AW304" s="56">
        <v>350</v>
      </c>
      <c r="AX304" s="56" t="s">
        <v>2359</v>
      </c>
      <c r="AY304" s="56">
        <v>355</v>
      </c>
      <c r="AZ304" s="56" t="s">
        <v>2360</v>
      </c>
      <c r="BA304" s="56" t="s">
        <v>2361</v>
      </c>
      <c r="BB304" s="56" t="s">
        <v>2362</v>
      </c>
      <c r="BC304" s="56">
        <v>349</v>
      </c>
      <c r="BD304" s="56" t="s">
        <v>2363</v>
      </c>
      <c r="BE304" s="56" t="s">
        <v>2364</v>
      </c>
      <c r="BF304" s="56">
        <v>349</v>
      </c>
      <c r="BG304" s="56" t="s">
        <v>2363</v>
      </c>
      <c r="BH304" s="56" t="s">
        <v>2364</v>
      </c>
      <c r="BI304" s="56">
        <v>50.82</v>
      </c>
      <c r="BJ304" s="56">
        <v>69650.33</v>
      </c>
      <c r="BK304" s="56">
        <v>50.82</v>
      </c>
      <c r="BL304" s="56" t="s">
        <v>1274</v>
      </c>
      <c r="BM304" s="56">
        <v>3102</v>
      </c>
      <c r="BN304" s="56" t="s">
        <v>660</v>
      </c>
      <c r="BO304" s="56" t="s">
        <v>706</v>
      </c>
      <c r="BP304" s="56">
        <v>11434.5</v>
      </c>
      <c r="BQ304" s="56">
        <v>9940.86</v>
      </c>
      <c r="BR304" s="56">
        <v>0</v>
      </c>
      <c r="BS304" s="56">
        <v>0</v>
      </c>
      <c r="BT304" s="56">
        <v>7755.6</v>
      </c>
      <c r="BU304" s="56">
        <v>1248</v>
      </c>
      <c r="BV304" s="56">
        <v>51</v>
      </c>
      <c r="BW304" s="56" t="s">
        <v>1228</v>
      </c>
      <c r="BX304" s="56" t="s">
        <v>2365</v>
      </c>
      <c r="BY304" s="56" t="s">
        <v>663</v>
      </c>
      <c r="BZ304" s="56">
        <v>0.5</v>
      </c>
      <c r="CA304" s="56" t="s">
        <v>1587</v>
      </c>
      <c r="CB304" s="56" t="s">
        <v>2030</v>
      </c>
      <c r="CC304" s="56" t="s">
        <v>2366</v>
      </c>
      <c r="CD304" s="56" t="s">
        <v>667</v>
      </c>
      <c r="CF304" s="56">
        <v>6204.48</v>
      </c>
      <c r="CG304" s="56">
        <v>80</v>
      </c>
      <c r="CH304" s="56">
        <v>225</v>
      </c>
      <c r="CI304" s="56">
        <v>155</v>
      </c>
      <c r="CJ304" s="56">
        <v>21.98</v>
      </c>
      <c r="CK304" s="56">
        <v>9940.86</v>
      </c>
      <c r="CL304" s="56">
        <v>7755.6</v>
      </c>
      <c r="CM304" s="56">
        <v>17.100000000000001</v>
      </c>
      <c r="CN304" s="56">
        <v>1372.14</v>
      </c>
      <c r="CO304" s="56">
        <v>1372.14</v>
      </c>
      <c r="CP304" s="56">
        <v>121.5</v>
      </c>
      <c r="CQ304" s="56" t="s">
        <v>668</v>
      </c>
      <c r="CR304" s="56">
        <v>0</v>
      </c>
      <c r="CS304" s="56">
        <v>121.5</v>
      </c>
      <c r="CT304" s="56" t="s">
        <v>669</v>
      </c>
      <c r="CU304" s="56">
        <v>0</v>
      </c>
      <c r="CV304" s="56">
        <v>0</v>
      </c>
      <c r="CX304" s="56">
        <v>2146.7399999999998</v>
      </c>
      <c r="CY304" s="56">
        <v>0</v>
      </c>
      <c r="CZ304" s="56">
        <v>381.48</v>
      </c>
      <c r="DA304" s="56">
        <v>919.53</v>
      </c>
      <c r="DB304" s="56">
        <v>538.04999999999995</v>
      </c>
      <c r="DC304" s="56">
        <v>9559.3799999999992</v>
      </c>
      <c r="DD304" s="56">
        <v>15.66</v>
      </c>
      <c r="DE304" s="56">
        <v>0</v>
      </c>
      <c r="DF304" s="56">
        <v>11.97</v>
      </c>
      <c r="DG304" s="56">
        <v>34.83</v>
      </c>
      <c r="DH304" s="56" t="s">
        <v>670</v>
      </c>
      <c r="DI304" s="56" t="s">
        <v>671</v>
      </c>
      <c r="DK304" s="56">
        <v>15.97</v>
      </c>
      <c r="DL304" s="56">
        <v>1826.64</v>
      </c>
      <c r="DM304" s="56">
        <v>105</v>
      </c>
      <c r="DN304" s="56">
        <v>4501406746</v>
      </c>
      <c r="DO304" s="56" t="s">
        <v>236</v>
      </c>
      <c r="DP304" s="56" t="s">
        <v>673</v>
      </c>
      <c r="DQ304" s="56" t="s">
        <v>674</v>
      </c>
      <c r="DR304" s="56">
        <v>2</v>
      </c>
      <c r="DS304" s="56" t="s">
        <v>2367</v>
      </c>
      <c r="DT304" s="56" t="s">
        <v>2368</v>
      </c>
      <c r="DU304" s="56">
        <v>36</v>
      </c>
      <c r="DV304" s="56" t="s">
        <v>677</v>
      </c>
      <c r="DW304" s="56">
        <v>580</v>
      </c>
      <c r="DX304" s="56" t="s">
        <v>678</v>
      </c>
      <c r="DY304" s="56" t="s">
        <v>679</v>
      </c>
      <c r="ED304" s="56">
        <v>2</v>
      </c>
      <c r="EE304" s="56" t="s">
        <v>639</v>
      </c>
      <c r="EF304" s="56">
        <v>2</v>
      </c>
      <c r="EG304" s="56" t="s">
        <v>639</v>
      </c>
      <c r="EH304" s="56">
        <v>2</v>
      </c>
      <c r="EI304" s="56" t="s">
        <v>639</v>
      </c>
      <c r="EJ304" s="56">
        <v>2</v>
      </c>
      <c r="EK304" s="56" t="s">
        <v>639</v>
      </c>
      <c r="EL304" s="56">
        <v>25</v>
      </c>
      <c r="EM304" s="56">
        <v>15</v>
      </c>
      <c r="EN304" s="56">
        <v>5173</v>
      </c>
      <c r="EO304" s="56">
        <v>1950</v>
      </c>
      <c r="EP304" s="56" t="s">
        <v>1234</v>
      </c>
      <c r="EQ304" s="56" t="s">
        <v>2035</v>
      </c>
      <c r="ER304" s="56" t="s">
        <v>1804</v>
      </c>
      <c r="ES304" s="56">
        <v>2</v>
      </c>
      <c r="ET304" s="56" t="s">
        <v>682</v>
      </c>
      <c r="EU304" s="56" t="s">
        <v>683</v>
      </c>
      <c r="EV304" s="56" t="s">
        <v>683</v>
      </c>
      <c r="FD304" s="56" t="s">
        <v>2369</v>
      </c>
      <c r="FK304" s="56">
        <v>0</v>
      </c>
    </row>
    <row r="305" spans="1:167" x14ac:dyDescent="0.2">
      <c r="A305" s="56">
        <v>29253</v>
      </c>
      <c r="B305" s="56">
        <v>2</v>
      </c>
      <c r="C305" s="56">
        <v>6352</v>
      </c>
      <c r="D305" s="56" t="s">
        <v>634</v>
      </c>
      <c r="E305" s="56" t="s">
        <v>635</v>
      </c>
      <c r="K305" s="56" t="s">
        <v>2370</v>
      </c>
      <c r="L305" s="56" t="s">
        <v>637</v>
      </c>
      <c r="M305" s="56">
        <v>44957</v>
      </c>
      <c r="N305" s="56">
        <v>44959</v>
      </c>
      <c r="O305" s="56">
        <v>38</v>
      </c>
      <c r="P305" s="56" t="s">
        <v>638</v>
      </c>
      <c r="Q305" s="56">
        <v>2</v>
      </c>
      <c r="R305" s="56" t="s">
        <v>639</v>
      </c>
      <c r="S305" s="56" t="s">
        <v>893</v>
      </c>
      <c r="T305" s="56" t="s">
        <v>641</v>
      </c>
      <c r="U305" s="56" t="s">
        <v>735</v>
      </c>
      <c r="V305" s="56" t="s">
        <v>643</v>
      </c>
      <c r="W305" s="56">
        <v>48</v>
      </c>
      <c r="X305" s="56" t="s">
        <v>699</v>
      </c>
      <c r="Y305" s="56">
        <v>90</v>
      </c>
      <c r="Z305" s="56" t="s">
        <v>894</v>
      </c>
      <c r="AA305" s="56" t="s">
        <v>895</v>
      </c>
      <c r="AB305" s="56" t="s">
        <v>896</v>
      </c>
      <c r="AC305" s="56" t="s">
        <v>641</v>
      </c>
      <c r="AD305" s="56" t="s">
        <v>893</v>
      </c>
      <c r="AE305" s="56">
        <v>91</v>
      </c>
      <c r="AF305" s="56" t="s">
        <v>736</v>
      </c>
      <c r="AG305" s="56" t="s">
        <v>737</v>
      </c>
      <c r="AH305" s="56" t="s">
        <v>643</v>
      </c>
      <c r="AI305" s="56" t="s">
        <v>735</v>
      </c>
      <c r="AJ305" s="56">
        <v>90</v>
      </c>
      <c r="AK305" s="56" t="s">
        <v>894</v>
      </c>
      <c r="AL305" s="56">
        <v>91</v>
      </c>
      <c r="AM305" s="56" t="s">
        <v>736</v>
      </c>
      <c r="AN305" s="56" t="s">
        <v>737</v>
      </c>
      <c r="AO305" s="56" t="s">
        <v>738</v>
      </c>
      <c r="AP305" s="56" t="s">
        <v>643</v>
      </c>
      <c r="AQ305" s="56" t="s">
        <v>735</v>
      </c>
      <c r="AR305" s="56">
        <v>98</v>
      </c>
      <c r="AS305" s="56" t="s">
        <v>645</v>
      </c>
      <c r="AT305" s="56" t="s">
        <v>646</v>
      </c>
      <c r="AU305" s="56" t="s">
        <v>643</v>
      </c>
      <c r="AV305" s="56" t="s">
        <v>648</v>
      </c>
      <c r="AW305" s="56">
        <v>121</v>
      </c>
      <c r="AX305" s="56" t="s">
        <v>859</v>
      </c>
      <c r="AY305" s="56">
        <v>51</v>
      </c>
      <c r="AZ305" s="56" t="s">
        <v>29</v>
      </c>
      <c r="BA305" s="56" t="s">
        <v>860</v>
      </c>
      <c r="BB305" s="56" t="s">
        <v>770</v>
      </c>
      <c r="BC305" s="56">
        <v>38</v>
      </c>
      <c r="BD305" s="56" t="s">
        <v>289</v>
      </c>
      <c r="BE305" s="56" t="s">
        <v>771</v>
      </c>
      <c r="BF305" s="56">
        <v>2</v>
      </c>
      <c r="BG305" s="56" t="s">
        <v>289</v>
      </c>
      <c r="BH305" s="56" t="s">
        <v>772</v>
      </c>
      <c r="BI305" s="56">
        <v>46.53</v>
      </c>
      <c r="BJ305" s="56">
        <v>119902.23</v>
      </c>
      <c r="BK305" s="56">
        <v>46530</v>
      </c>
      <c r="BL305" s="56" t="s">
        <v>897</v>
      </c>
      <c r="BM305" s="56">
        <v>3102</v>
      </c>
      <c r="BN305" s="56" t="s">
        <v>724</v>
      </c>
      <c r="BO305" s="56" t="s">
        <v>725</v>
      </c>
      <c r="BP305" s="56">
        <v>6746.85</v>
      </c>
      <c r="BQ305" s="56">
        <v>5864.33</v>
      </c>
      <c r="BR305" s="56">
        <v>0</v>
      </c>
      <c r="BS305" s="56">
        <v>0</v>
      </c>
      <c r="BT305" s="56">
        <v>0</v>
      </c>
      <c r="BU305" s="56">
        <v>725790</v>
      </c>
      <c r="BV305" s="56">
        <v>98</v>
      </c>
      <c r="BW305" s="56" t="s">
        <v>645</v>
      </c>
      <c r="BX305" s="56" t="s">
        <v>2371</v>
      </c>
      <c r="BY305" s="56" t="s">
        <v>663</v>
      </c>
      <c r="BZ305" s="56">
        <v>0.25</v>
      </c>
      <c r="CA305" s="56" t="s">
        <v>664</v>
      </c>
      <c r="CB305" s="56" t="s">
        <v>899</v>
      </c>
      <c r="CD305" s="56" t="s">
        <v>667</v>
      </c>
      <c r="CG305" s="56">
        <v>0</v>
      </c>
      <c r="CH305" s="56">
        <v>145</v>
      </c>
      <c r="CJ305" s="56">
        <v>100</v>
      </c>
      <c r="CK305" s="56">
        <v>5864.33</v>
      </c>
      <c r="CL305" s="56">
        <v>0</v>
      </c>
      <c r="CN305" s="56">
        <v>809.62</v>
      </c>
      <c r="CO305" s="56">
        <v>809.62</v>
      </c>
      <c r="CP305" s="56">
        <v>72.900000000000006</v>
      </c>
      <c r="CQ305" s="56" t="s">
        <v>668</v>
      </c>
      <c r="CR305" s="56">
        <v>0</v>
      </c>
      <c r="CS305" s="56">
        <v>0</v>
      </c>
      <c r="CV305" s="56">
        <v>0</v>
      </c>
      <c r="CX305" s="56">
        <v>0</v>
      </c>
      <c r="CY305" s="56">
        <v>0</v>
      </c>
      <c r="CZ305" s="56">
        <v>542.45000000000005</v>
      </c>
      <c r="DA305" s="56">
        <v>542.45000000000005</v>
      </c>
      <c r="DB305" s="56">
        <v>0</v>
      </c>
      <c r="DC305" s="56">
        <v>5321.88</v>
      </c>
      <c r="DD305" s="56">
        <v>20.6</v>
      </c>
      <c r="DE305" s="56">
        <v>0</v>
      </c>
      <c r="DF305" s="56">
        <v>20.6</v>
      </c>
      <c r="DH305" s="56" t="s">
        <v>670</v>
      </c>
      <c r="DI305" s="56" t="s">
        <v>671</v>
      </c>
      <c r="DK305" s="56">
        <v>79.650000000000006</v>
      </c>
      <c r="DL305" s="56">
        <v>5374.18</v>
      </c>
      <c r="DM305" s="56">
        <v>67</v>
      </c>
      <c r="DN305" s="56" t="s">
        <v>900</v>
      </c>
      <c r="DO305" s="56" t="s">
        <v>236</v>
      </c>
      <c r="DQ305" s="56" t="s">
        <v>674</v>
      </c>
      <c r="DR305" s="56">
        <v>3</v>
      </c>
      <c r="DW305" s="56">
        <v>280</v>
      </c>
      <c r="DX305" s="56" t="s">
        <v>678</v>
      </c>
      <c r="DY305" s="56" t="s">
        <v>679</v>
      </c>
      <c r="EL305" s="56">
        <v>25</v>
      </c>
      <c r="EM305" s="56">
        <v>15</v>
      </c>
      <c r="EN305" s="56">
        <v>4779</v>
      </c>
      <c r="EO305" s="56">
        <v>1805</v>
      </c>
      <c r="EP305" s="56" t="s">
        <v>1234</v>
      </c>
      <c r="EQ305" s="56" t="s">
        <v>901</v>
      </c>
      <c r="ER305" s="56" t="s">
        <v>902</v>
      </c>
      <c r="ES305" s="56">
        <v>2</v>
      </c>
      <c r="ET305" s="56" t="s">
        <v>682</v>
      </c>
      <c r="EU305" s="56" t="s">
        <v>683</v>
      </c>
      <c r="EV305" s="56" t="s">
        <v>683</v>
      </c>
      <c r="FD305" s="56" t="s">
        <v>2372</v>
      </c>
      <c r="FK305" s="56">
        <v>0</v>
      </c>
    </row>
    <row r="306" spans="1:167" x14ac:dyDescent="0.2">
      <c r="A306" s="56">
        <v>29254</v>
      </c>
      <c r="B306" s="56">
        <v>2</v>
      </c>
      <c r="C306" s="56">
        <v>6352</v>
      </c>
      <c r="D306" s="56" t="s">
        <v>634</v>
      </c>
      <c r="E306" s="56" t="s">
        <v>635</v>
      </c>
      <c r="K306" s="56" t="s">
        <v>2373</v>
      </c>
      <c r="L306" s="56" t="s">
        <v>637</v>
      </c>
      <c r="M306" s="56">
        <v>44957</v>
      </c>
      <c r="N306" s="56">
        <v>44959</v>
      </c>
      <c r="O306" s="56">
        <v>38</v>
      </c>
      <c r="P306" s="56" t="s">
        <v>638</v>
      </c>
      <c r="Q306" s="56">
        <v>2</v>
      </c>
      <c r="R306" s="56" t="s">
        <v>639</v>
      </c>
      <c r="S306" s="56" t="s">
        <v>893</v>
      </c>
      <c r="T306" s="56" t="s">
        <v>641</v>
      </c>
      <c r="U306" s="56" t="s">
        <v>735</v>
      </c>
      <c r="V306" s="56" t="s">
        <v>643</v>
      </c>
      <c r="W306" s="56">
        <v>48</v>
      </c>
      <c r="X306" s="56" t="s">
        <v>699</v>
      </c>
      <c r="Y306" s="56">
        <v>90</v>
      </c>
      <c r="Z306" s="56" t="s">
        <v>894</v>
      </c>
      <c r="AA306" s="56" t="s">
        <v>895</v>
      </c>
      <c r="AB306" s="56" t="s">
        <v>896</v>
      </c>
      <c r="AC306" s="56" t="s">
        <v>641</v>
      </c>
      <c r="AD306" s="56" t="s">
        <v>893</v>
      </c>
      <c r="AE306" s="56">
        <v>91</v>
      </c>
      <c r="AF306" s="56" t="s">
        <v>736</v>
      </c>
      <c r="AG306" s="56" t="s">
        <v>737</v>
      </c>
      <c r="AH306" s="56" t="s">
        <v>643</v>
      </c>
      <c r="AI306" s="56" t="s">
        <v>735</v>
      </c>
      <c r="AJ306" s="56">
        <v>90</v>
      </c>
      <c r="AK306" s="56" t="s">
        <v>894</v>
      </c>
      <c r="AL306" s="56">
        <v>91</v>
      </c>
      <c r="AM306" s="56" t="s">
        <v>736</v>
      </c>
      <c r="AN306" s="56" t="s">
        <v>737</v>
      </c>
      <c r="AO306" s="56" t="s">
        <v>738</v>
      </c>
      <c r="AP306" s="56" t="s">
        <v>643</v>
      </c>
      <c r="AQ306" s="56" t="s">
        <v>735</v>
      </c>
      <c r="AR306" s="56">
        <v>98</v>
      </c>
      <c r="AS306" s="56" t="s">
        <v>645</v>
      </c>
      <c r="AT306" s="56" t="s">
        <v>646</v>
      </c>
      <c r="AU306" s="56" t="s">
        <v>643</v>
      </c>
      <c r="AV306" s="56" t="s">
        <v>648</v>
      </c>
      <c r="AW306" s="56">
        <v>116</v>
      </c>
      <c r="AX306" s="56" t="s">
        <v>876</v>
      </c>
      <c r="AY306" s="56">
        <v>35</v>
      </c>
      <c r="AZ306" s="56" t="s">
        <v>124</v>
      </c>
      <c r="BA306" s="56" t="s">
        <v>877</v>
      </c>
      <c r="BB306" s="56" t="s">
        <v>770</v>
      </c>
      <c r="BC306" s="56">
        <v>38</v>
      </c>
      <c r="BD306" s="56" t="s">
        <v>289</v>
      </c>
      <c r="BE306" s="56" t="s">
        <v>771</v>
      </c>
      <c r="BF306" s="56">
        <v>2</v>
      </c>
      <c r="BG306" s="56" t="s">
        <v>289</v>
      </c>
      <c r="BH306" s="56" t="s">
        <v>772</v>
      </c>
      <c r="BI306" s="56">
        <v>46.6</v>
      </c>
      <c r="BJ306" s="56">
        <v>120082.61</v>
      </c>
      <c r="BK306" s="56">
        <v>46600</v>
      </c>
      <c r="BL306" s="56" t="s">
        <v>897</v>
      </c>
      <c r="BM306" s="56">
        <v>3102</v>
      </c>
      <c r="BN306" s="56" t="s">
        <v>724</v>
      </c>
      <c r="BO306" s="56" t="s">
        <v>725</v>
      </c>
      <c r="BP306" s="56">
        <v>6757</v>
      </c>
      <c r="BQ306" s="56">
        <v>5873.26</v>
      </c>
      <c r="BR306" s="56">
        <v>0</v>
      </c>
      <c r="BS306" s="56">
        <v>0</v>
      </c>
      <c r="BT306" s="56">
        <v>0</v>
      </c>
      <c r="BU306" s="56">
        <v>725795</v>
      </c>
      <c r="BV306" s="56">
        <v>98</v>
      </c>
      <c r="BW306" s="56" t="s">
        <v>645</v>
      </c>
      <c r="BX306" s="56" t="s">
        <v>2374</v>
      </c>
      <c r="BY306" s="56" t="s">
        <v>663</v>
      </c>
      <c r="BZ306" s="56">
        <v>0.25</v>
      </c>
      <c r="CA306" s="56" t="s">
        <v>664</v>
      </c>
      <c r="CB306" s="56" t="s">
        <v>899</v>
      </c>
      <c r="CD306" s="56" t="s">
        <v>667</v>
      </c>
      <c r="CG306" s="56">
        <v>0</v>
      </c>
      <c r="CH306" s="56">
        <v>145</v>
      </c>
      <c r="CJ306" s="56">
        <v>100</v>
      </c>
      <c r="CK306" s="56">
        <v>5873.26</v>
      </c>
      <c r="CL306" s="56">
        <v>0</v>
      </c>
      <c r="CN306" s="56">
        <v>810.84</v>
      </c>
      <c r="CO306" s="56">
        <v>810.84</v>
      </c>
      <c r="CP306" s="56">
        <v>72.900000000000006</v>
      </c>
      <c r="CQ306" s="56" t="s">
        <v>668</v>
      </c>
      <c r="CR306" s="56">
        <v>0</v>
      </c>
      <c r="CS306" s="56">
        <v>0</v>
      </c>
      <c r="CV306" s="56">
        <v>0</v>
      </c>
      <c r="CX306" s="56">
        <v>0</v>
      </c>
      <c r="CY306" s="56">
        <v>0</v>
      </c>
      <c r="CZ306" s="56">
        <v>543.28</v>
      </c>
      <c r="DA306" s="56">
        <v>543.28</v>
      </c>
      <c r="DB306" s="56">
        <v>0</v>
      </c>
      <c r="DC306" s="56">
        <v>5329.98</v>
      </c>
      <c r="DD306" s="56">
        <v>20.63</v>
      </c>
      <c r="DE306" s="56">
        <v>0</v>
      </c>
      <c r="DF306" s="56">
        <v>20.63</v>
      </c>
      <c r="DH306" s="56" t="s">
        <v>670</v>
      </c>
      <c r="DI306" s="56" t="s">
        <v>671</v>
      </c>
      <c r="DK306" s="56">
        <v>79.650000000000006</v>
      </c>
      <c r="DL306" s="56">
        <v>5382.25</v>
      </c>
      <c r="DM306" s="56">
        <v>67</v>
      </c>
      <c r="DN306" s="56" t="s">
        <v>900</v>
      </c>
      <c r="DO306" s="56" t="s">
        <v>236</v>
      </c>
      <c r="DQ306" s="56" t="s">
        <v>674</v>
      </c>
      <c r="DR306" s="56">
        <v>3</v>
      </c>
      <c r="DW306" s="56">
        <v>280</v>
      </c>
      <c r="DX306" s="56" t="s">
        <v>678</v>
      </c>
      <c r="DY306" s="56" t="s">
        <v>679</v>
      </c>
      <c r="EL306" s="56">
        <v>25</v>
      </c>
      <c r="EM306" s="56">
        <v>15</v>
      </c>
      <c r="EN306" s="56">
        <v>4779</v>
      </c>
      <c r="EO306" s="56">
        <v>1805</v>
      </c>
      <c r="EP306" s="56" t="s">
        <v>1234</v>
      </c>
      <c r="EQ306" s="56" t="s">
        <v>901</v>
      </c>
      <c r="ER306" s="56" t="s">
        <v>902</v>
      </c>
      <c r="ES306" s="56">
        <v>2</v>
      </c>
      <c r="ET306" s="56" t="s">
        <v>682</v>
      </c>
      <c r="EU306" s="56" t="s">
        <v>683</v>
      </c>
      <c r="EV306" s="56" t="s">
        <v>683</v>
      </c>
      <c r="FD306" s="56" t="s">
        <v>2375</v>
      </c>
      <c r="FK306" s="56">
        <v>0</v>
      </c>
    </row>
    <row r="307" spans="1:167" x14ac:dyDescent="0.2">
      <c r="A307" s="56">
        <v>29255</v>
      </c>
      <c r="B307" s="56">
        <v>2</v>
      </c>
      <c r="C307" s="56">
        <v>6352</v>
      </c>
      <c r="D307" s="56" t="s">
        <v>634</v>
      </c>
      <c r="E307" s="56" t="s">
        <v>635</v>
      </c>
      <c r="K307" s="56" t="s">
        <v>2376</v>
      </c>
      <c r="L307" s="56" t="s">
        <v>637</v>
      </c>
      <c r="M307" s="56">
        <v>44957</v>
      </c>
      <c r="N307" s="56">
        <v>44959</v>
      </c>
      <c r="O307" s="56">
        <v>38</v>
      </c>
      <c r="P307" s="56" t="s">
        <v>638</v>
      </c>
      <c r="Q307" s="56">
        <v>2</v>
      </c>
      <c r="R307" s="56" t="s">
        <v>639</v>
      </c>
      <c r="S307" s="56" t="s">
        <v>893</v>
      </c>
      <c r="T307" s="56" t="s">
        <v>641</v>
      </c>
      <c r="U307" s="56" t="s">
        <v>1227</v>
      </c>
      <c r="V307" s="56" t="s">
        <v>643</v>
      </c>
      <c r="W307" s="56">
        <v>49</v>
      </c>
      <c r="X307" s="56" t="s">
        <v>887</v>
      </c>
      <c r="Y307" s="56">
        <v>90</v>
      </c>
      <c r="Z307" s="56" t="s">
        <v>894</v>
      </c>
      <c r="AA307" s="56" t="s">
        <v>895</v>
      </c>
      <c r="AB307" s="56" t="s">
        <v>896</v>
      </c>
      <c r="AC307" s="56" t="s">
        <v>641</v>
      </c>
      <c r="AD307" s="56" t="s">
        <v>893</v>
      </c>
      <c r="AL307" s="56">
        <v>52</v>
      </c>
      <c r="AM307" s="56" t="s">
        <v>1228</v>
      </c>
      <c r="AN307" s="56" t="s">
        <v>1229</v>
      </c>
      <c r="AO307" s="56" t="s">
        <v>1230</v>
      </c>
      <c r="AP307" s="56" t="s">
        <v>643</v>
      </c>
      <c r="AQ307" s="56" t="s">
        <v>1227</v>
      </c>
      <c r="AR307" s="56">
        <v>52</v>
      </c>
      <c r="AS307" s="56" t="s">
        <v>1228</v>
      </c>
      <c r="AT307" s="56" t="s">
        <v>1229</v>
      </c>
      <c r="AU307" s="56" t="s">
        <v>643</v>
      </c>
      <c r="AV307" s="56" t="s">
        <v>1227</v>
      </c>
      <c r="AW307" s="56">
        <v>107</v>
      </c>
      <c r="AX307" s="56" t="s">
        <v>1003</v>
      </c>
      <c r="AY307" s="56">
        <v>39</v>
      </c>
      <c r="AZ307" s="56" t="s">
        <v>27</v>
      </c>
      <c r="BA307" s="56" t="s">
        <v>1004</v>
      </c>
      <c r="BB307" s="56" t="s">
        <v>770</v>
      </c>
      <c r="BC307" s="56">
        <v>38</v>
      </c>
      <c r="BD307" s="56" t="s">
        <v>289</v>
      </c>
      <c r="BE307" s="56" t="s">
        <v>771</v>
      </c>
      <c r="BF307" s="56">
        <v>2</v>
      </c>
      <c r="BG307" s="56" t="s">
        <v>289</v>
      </c>
      <c r="BH307" s="56" t="s">
        <v>772</v>
      </c>
      <c r="BI307" s="56">
        <v>46.01</v>
      </c>
      <c r="BJ307" s="56">
        <v>110629.2</v>
      </c>
      <c r="BK307" s="56">
        <v>46.01</v>
      </c>
      <c r="BL307" s="56" t="s">
        <v>897</v>
      </c>
      <c r="BM307" s="56">
        <v>3102</v>
      </c>
      <c r="BN307" s="56" t="s">
        <v>786</v>
      </c>
      <c r="BO307" s="56" t="s">
        <v>911</v>
      </c>
      <c r="BP307" s="56">
        <v>7361.6</v>
      </c>
      <c r="BQ307" s="56">
        <v>6381.01</v>
      </c>
      <c r="BR307" s="56">
        <v>0</v>
      </c>
      <c r="BS307" s="56">
        <v>0</v>
      </c>
      <c r="BT307" s="56">
        <v>0</v>
      </c>
      <c r="BU307" s="56">
        <v>725823</v>
      </c>
      <c r="BV307" s="56">
        <v>52</v>
      </c>
      <c r="BW307" s="56" t="s">
        <v>1228</v>
      </c>
      <c r="BX307" s="56" t="s">
        <v>2377</v>
      </c>
      <c r="BY307" s="56" t="s">
        <v>663</v>
      </c>
      <c r="BZ307" s="56">
        <v>0.5</v>
      </c>
      <c r="CA307" s="56" t="s">
        <v>1587</v>
      </c>
      <c r="CB307" s="56" t="s">
        <v>1782</v>
      </c>
      <c r="CD307" s="56" t="s">
        <v>667</v>
      </c>
      <c r="CG307" s="56">
        <v>0</v>
      </c>
      <c r="CH307" s="56">
        <v>160</v>
      </c>
      <c r="CJ307" s="56">
        <v>100</v>
      </c>
      <c r="CK307" s="56">
        <v>6381.01</v>
      </c>
      <c r="CL307" s="56">
        <v>0</v>
      </c>
      <c r="CN307" s="56">
        <v>883.39</v>
      </c>
      <c r="CO307" s="56">
        <v>883.39</v>
      </c>
      <c r="CP307" s="56">
        <v>97.2</v>
      </c>
      <c r="CQ307" s="56" t="s">
        <v>668</v>
      </c>
      <c r="CR307" s="56">
        <v>0</v>
      </c>
      <c r="CS307" s="56">
        <v>0</v>
      </c>
      <c r="CV307" s="56">
        <v>0</v>
      </c>
      <c r="CX307" s="56">
        <v>0</v>
      </c>
      <c r="CY307" s="56">
        <v>0</v>
      </c>
      <c r="CZ307" s="56">
        <v>590.25</v>
      </c>
      <c r="DA307" s="56">
        <v>590.25</v>
      </c>
      <c r="DB307" s="56">
        <v>0</v>
      </c>
      <c r="DC307" s="56">
        <v>5790.76</v>
      </c>
      <c r="DD307" s="56">
        <v>19.010000000000002</v>
      </c>
      <c r="DE307" s="56">
        <v>0</v>
      </c>
      <c r="DF307" s="56">
        <v>19.010000000000002</v>
      </c>
      <c r="DH307" s="56" t="s">
        <v>670</v>
      </c>
      <c r="DI307" s="56" t="s">
        <v>671</v>
      </c>
      <c r="DK307" s="56">
        <v>79.72</v>
      </c>
      <c r="DL307" s="56">
        <v>5868.95</v>
      </c>
      <c r="DM307" s="56">
        <v>14</v>
      </c>
      <c r="DN307" s="56">
        <v>138967</v>
      </c>
      <c r="DO307" s="56" t="s">
        <v>236</v>
      </c>
      <c r="DQ307" s="56" t="s">
        <v>674</v>
      </c>
      <c r="DR307" s="56">
        <v>3</v>
      </c>
      <c r="DW307" s="56">
        <v>360</v>
      </c>
      <c r="DX307" s="56" t="s">
        <v>678</v>
      </c>
      <c r="DY307" s="56" t="s">
        <v>679</v>
      </c>
      <c r="EL307" s="56">
        <v>25</v>
      </c>
      <c r="EM307" s="56">
        <v>15</v>
      </c>
      <c r="EN307" s="56">
        <v>4779</v>
      </c>
      <c r="EO307" s="56">
        <v>2420</v>
      </c>
      <c r="EP307" s="56" t="s">
        <v>1234</v>
      </c>
      <c r="EQ307" s="56" t="s">
        <v>2378</v>
      </c>
      <c r="ER307" s="56" t="s">
        <v>1236</v>
      </c>
      <c r="ES307" s="56">
        <v>2</v>
      </c>
      <c r="ET307" s="56" t="s">
        <v>682</v>
      </c>
      <c r="EU307" s="56" t="s">
        <v>683</v>
      </c>
      <c r="EV307" s="56" t="s">
        <v>683</v>
      </c>
      <c r="FD307" s="56" t="s">
        <v>2379</v>
      </c>
      <c r="FK307" s="56">
        <v>0</v>
      </c>
    </row>
    <row r="308" spans="1:167" x14ac:dyDescent="0.2">
      <c r="A308" s="56">
        <v>29748</v>
      </c>
      <c r="B308" s="56">
        <v>1</v>
      </c>
      <c r="C308" s="56">
        <v>6351</v>
      </c>
      <c r="D308" s="56" t="s">
        <v>634</v>
      </c>
      <c r="E308" s="56" t="s">
        <v>635</v>
      </c>
      <c r="K308" s="56" t="s">
        <v>2333</v>
      </c>
      <c r="L308" s="56" t="s">
        <v>637</v>
      </c>
      <c r="M308" s="56">
        <v>44957</v>
      </c>
      <c r="N308" s="56">
        <v>44959</v>
      </c>
      <c r="O308" s="56">
        <v>2</v>
      </c>
      <c r="P308" s="56" t="s">
        <v>682</v>
      </c>
      <c r="Q308" s="56">
        <v>1</v>
      </c>
      <c r="R308" s="56" t="s">
        <v>809</v>
      </c>
      <c r="S308" s="56" t="s">
        <v>2334</v>
      </c>
      <c r="T308" s="56" t="s">
        <v>643</v>
      </c>
      <c r="U308" s="56" t="s">
        <v>640</v>
      </c>
      <c r="V308" s="56" t="s">
        <v>641</v>
      </c>
      <c r="W308" s="56">
        <v>46</v>
      </c>
      <c r="X308" s="56" t="s">
        <v>811</v>
      </c>
      <c r="Y308" s="56">
        <v>465</v>
      </c>
      <c r="Z308" s="56" t="s">
        <v>812</v>
      </c>
      <c r="AA308" s="56" t="s">
        <v>813</v>
      </c>
      <c r="AB308" s="56" t="s">
        <v>814</v>
      </c>
      <c r="AC308" s="56" t="s">
        <v>643</v>
      </c>
      <c r="AD308" s="56" t="s">
        <v>815</v>
      </c>
      <c r="AE308" s="56">
        <v>255</v>
      </c>
      <c r="AF308" s="56" t="s">
        <v>816</v>
      </c>
      <c r="AG308" s="56" t="s">
        <v>817</v>
      </c>
      <c r="AH308" s="56" t="s">
        <v>641</v>
      </c>
      <c r="AI308" s="56" t="s">
        <v>640</v>
      </c>
      <c r="AL308" s="56">
        <v>254</v>
      </c>
      <c r="AM308" s="56" t="s">
        <v>2335</v>
      </c>
      <c r="AN308" s="56" t="s">
        <v>2336</v>
      </c>
      <c r="AO308" s="56" t="s">
        <v>2337</v>
      </c>
      <c r="AP308" s="56" t="s">
        <v>643</v>
      </c>
      <c r="AQ308" s="56" t="s">
        <v>1745</v>
      </c>
      <c r="AR308" s="56">
        <v>296</v>
      </c>
      <c r="AS308" s="56" t="s">
        <v>2338</v>
      </c>
      <c r="AT308" s="56" t="s">
        <v>2339</v>
      </c>
      <c r="AU308" s="56" t="s">
        <v>643</v>
      </c>
      <c r="AV308" s="56" t="s">
        <v>2340</v>
      </c>
      <c r="AW308" s="56">
        <v>117</v>
      </c>
      <c r="AX308" s="56" t="s">
        <v>848</v>
      </c>
      <c r="AY308" s="56">
        <v>1</v>
      </c>
      <c r="AZ308" s="56" t="s">
        <v>28</v>
      </c>
      <c r="BA308" s="56" t="s">
        <v>849</v>
      </c>
      <c r="BB308" s="56" t="s">
        <v>770</v>
      </c>
      <c r="BC308" s="56">
        <v>38</v>
      </c>
      <c r="BD308" s="56" t="s">
        <v>289</v>
      </c>
      <c r="BE308" s="56" t="s">
        <v>771</v>
      </c>
      <c r="BF308" s="56">
        <v>2</v>
      </c>
      <c r="BG308" s="56" t="s">
        <v>289</v>
      </c>
      <c r="BH308" s="56" t="s">
        <v>772</v>
      </c>
      <c r="BI308" s="56">
        <v>47.38</v>
      </c>
      <c r="BJ308" s="56">
        <v>144509</v>
      </c>
      <c r="BK308" s="56">
        <v>47.38</v>
      </c>
      <c r="BL308" s="56" t="s">
        <v>1724</v>
      </c>
      <c r="BM308" s="56">
        <v>1201</v>
      </c>
      <c r="BN308" s="56" t="s">
        <v>724</v>
      </c>
      <c r="BO308" s="56" t="s">
        <v>725</v>
      </c>
      <c r="BP308" s="56">
        <v>6137.4</v>
      </c>
      <c r="BQ308" s="56">
        <v>5701.8</v>
      </c>
      <c r="BR308" s="56">
        <v>0</v>
      </c>
      <c r="BS308" s="56">
        <v>0</v>
      </c>
      <c r="BT308" s="56">
        <v>0</v>
      </c>
      <c r="BU308" s="56">
        <v>44922</v>
      </c>
      <c r="BV308" s="56">
        <v>296</v>
      </c>
      <c r="BW308" s="56" t="s">
        <v>2338</v>
      </c>
      <c r="BX308" s="56" t="s">
        <v>2341</v>
      </c>
      <c r="BY308" s="56" t="s">
        <v>663</v>
      </c>
      <c r="BZ308" s="56">
        <v>0.25</v>
      </c>
      <c r="CA308" s="56" t="s">
        <v>664</v>
      </c>
      <c r="CB308" s="56" t="s">
        <v>2342</v>
      </c>
      <c r="CD308" s="56" t="s">
        <v>667</v>
      </c>
      <c r="CG308" s="56">
        <v>0</v>
      </c>
      <c r="CH308" s="56">
        <v>6137.4</v>
      </c>
      <c r="CJ308" s="56">
        <v>100</v>
      </c>
      <c r="CK308" s="56">
        <v>5701.8</v>
      </c>
      <c r="CL308" s="56">
        <v>0</v>
      </c>
      <c r="CN308" s="56">
        <v>0</v>
      </c>
      <c r="CO308" s="56">
        <v>0</v>
      </c>
      <c r="CP308" s="56">
        <v>435.6</v>
      </c>
      <c r="CQ308" s="56" t="s">
        <v>668</v>
      </c>
      <c r="CR308" s="56">
        <v>0</v>
      </c>
      <c r="CS308" s="56">
        <v>0</v>
      </c>
      <c r="CV308" s="56">
        <v>0</v>
      </c>
      <c r="CX308" s="56">
        <v>0</v>
      </c>
      <c r="CY308" s="56">
        <v>0</v>
      </c>
      <c r="CZ308" s="56">
        <v>527.41999999999996</v>
      </c>
      <c r="DA308" s="56">
        <v>527.41999999999996</v>
      </c>
      <c r="DB308" s="56">
        <v>0</v>
      </c>
      <c r="DC308" s="56">
        <v>5174.38</v>
      </c>
      <c r="DD308" s="56">
        <v>0</v>
      </c>
      <c r="DE308" s="56">
        <v>0</v>
      </c>
      <c r="DF308" s="56">
        <v>0</v>
      </c>
      <c r="DH308" s="56" t="s">
        <v>831</v>
      </c>
      <c r="DI308" s="56" t="s">
        <v>671</v>
      </c>
      <c r="DK308" s="56">
        <v>91.41</v>
      </c>
      <c r="DL308" s="56">
        <v>5609.98</v>
      </c>
      <c r="DO308" s="56" t="s">
        <v>236</v>
      </c>
      <c r="DQ308" s="56" t="s">
        <v>674</v>
      </c>
      <c r="DR308" s="56">
        <v>3</v>
      </c>
      <c r="DX308" s="56" t="s">
        <v>678</v>
      </c>
      <c r="DY308" s="56" t="s">
        <v>679</v>
      </c>
      <c r="EL308" s="56">
        <v>15</v>
      </c>
      <c r="EM308" s="56">
        <v>25</v>
      </c>
      <c r="EN308" s="56">
        <v>2053</v>
      </c>
      <c r="EO308" s="56">
        <v>5173</v>
      </c>
      <c r="EP308" s="56" t="s">
        <v>1234</v>
      </c>
      <c r="EQ308" s="56" t="s">
        <v>832</v>
      </c>
      <c r="ER308" s="56" t="s">
        <v>2343</v>
      </c>
      <c r="ES308" s="56">
        <v>2</v>
      </c>
      <c r="ET308" s="56" t="s">
        <v>682</v>
      </c>
      <c r="EU308" s="56" t="s">
        <v>683</v>
      </c>
      <c r="EV308" s="56" t="s">
        <v>683</v>
      </c>
      <c r="FD308" s="56" t="s">
        <v>2344</v>
      </c>
      <c r="FK308" s="56">
        <v>0</v>
      </c>
    </row>
    <row r="309" spans="1:167" x14ac:dyDescent="0.2">
      <c r="A309" s="56">
        <v>29749</v>
      </c>
      <c r="B309" s="56">
        <v>1</v>
      </c>
      <c r="C309" s="56">
        <v>6351</v>
      </c>
      <c r="D309" s="56" t="s">
        <v>634</v>
      </c>
      <c r="E309" s="56" t="s">
        <v>2345</v>
      </c>
      <c r="K309" s="56" t="s">
        <v>2346</v>
      </c>
      <c r="L309" s="56" t="s">
        <v>637</v>
      </c>
      <c r="M309" s="56">
        <v>44957</v>
      </c>
      <c r="N309" s="56">
        <v>44959</v>
      </c>
      <c r="O309" s="56">
        <v>2</v>
      </c>
      <c r="P309" s="56" t="s">
        <v>682</v>
      </c>
      <c r="Q309" s="56">
        <v>1</v>
      </c>
      <c r="R309" s="56" t="s">
        <v>809</v>
      </c>
      <c r="S309" s="56" t="s">
        <v>2334</v>
      </c>
      <c r="T309" s="56" t="s">
        <v>643</v>
      </c>
      <c r="U309" s="56" t="s">
        <v>640</v>
      </c>
      <c r="V309" s="56" t="s">
        <v>641</v>
      </c>
      <c r="W309" s="56">
        <v>41</v>
      </c>
      <c r="X309" s="56" t="s">
        <v>1217</v>
      </c>
      <c r="Y309" s="56">
        <v>465</v>
      </c>
      <c r="Z309" s="56" t="s">
        <v>812</v>
      </c>
      <c r="AA309" s="56" t="s">
        <v>813</v>
      </c>
      <c r="AB309" s="56" t="s">
        <v>814</v>
      </c>
      <c r="AC309" s="56" t="s">
        <v>643</v>
      </c>
      <c r="AD309" s="56" t="s">
        <v>815</v>
      </c>
      <c r="AE309" s="56">
        <v>255</v>
      </c>
      <c r="AF309" s="56" t="s">
        <v>816</v>
      </c>
      <c r="AG309" s="56" t="s">
        <v>817</v>
      </c>
      <c r="AH309" s="56" t="s">
        <v>641</v>
      </c>
      <c r="AI309" s="56" t="s">
        <v>640</v>
      </c>
      <c r="AL309" s="56">
        <v>254</v>
      </c>
      <c r="AM309" s="56" t="s">
        <v>2335</v>
      </c>
      <c r="AN309" s="56" t="s">
        <v>2336</v>
      </c>
      <c r="AO309" s="56" t="s">
        <v>2337</v>
      </c>
      <c r="AP309" s="56" t="s">
        <v>643</v>
      </c>
      <c r="AQ309" s="56" t="s">
        <v>1745</v>
      </c>
      <c r="AR309" s="56">
        <v>296</v>
      </c>
      <c r="AS309" s="56" t="s">
        <v>2338</v>
      </c>
      <c r="AT309" s="56" t="s">
        <v>2339</v>
      </c>
      <c r="AU309" s="56" t="s">
        <v>643</v>
      </c>
      <c r="AV309" s="56" t="s">
        <v>2340</v>
      </c>
      <c r="AW309" s="56">
        <v>121</v>
      </c>
      <c r="AX309" s="56" t="s">
        <v>859</v>
      </c>
      <c r="AY309" s="56">
        <v>51</v>
      </c>
      <c r="AZ309" s="56" t="s">
        <v>29</v>
      </c>
      <c r="BA309" s="56" t="s">
        <v>860</v>
      </c>
      <c r="BB309" s="56" t="s">
        <v>770</v>
      </c>
      <c r="BC309" s="56">
        <v>38</v>
      </c>
      <c r="BD309" s="56" t="s">
        <v>289</v>
      </c>
      <c r="BE309" s="56" t="s">
        <v>771</v>
      </c>
      <c r="BF309" s="56">
        <v>2</v>
      </c>
      <c r="BG309" s="56" t="s">
        <v>289</v>
      </c>
      <c r="BH309" s="56" t="s">
        <v>772</v>
      </c>
      <c r="BI309" s="56">
        <v>47.95</v>
      </c>
      <c r="BJ309" s="56">
        <v>146247.5</v>
      </c>
      <c r="BK309" s="56">
        <v>47.95</v>
      </c>
      <c r="BL309" s="56" t="s">
        <v>1724</v>
      </c>
      <c r="BM309" s="56">
        <v>1201</v>
      </c>
      <c r="BN309" s="56" t="s">
        <v>724</v>
      </c>
      <c r="BO309" s="56" t="s">
        <v>725</v>
      </c>
      <c r="BP309" s="56">
        <v>6191.5</v>
      </c>
      <c r="BQ309" s="56">
        <v>5699.6</v>
      </c>
      <c r="BR309" s="56">
        <v>0</v>
      </c>
      <c r="BS309" s="56">
        <v>0</v>
      </c>
      <c r="BT309" s="56">
        <v>0</v>
      </c>
      <c r="BU309" s="56">
        <v>44798</v>
      </c>
      <c r="BV309" s="56">
        <v>296</v>
      </c>
      <c r="BW309" s="56" t="s">
        <v>2338</v>
      </c>
      <c r="BX309" s="56" t="s">
        <v>2347</v>
      </c>
      <c r="BY309" s="56" t="s">
        <v>663</v>
      </c>
      <c r="BZ309" s="56">
        <v>0.25</v>
      </c>
      <c r="CA309" s="56" t="s">
        <v>664</v>
      </c>
      <c r="CB309" s="56" t="s">
        <v>2342</v>
      </c>
      <c r="CD309" s="56" t="s">
        <v>667</v>
      </c>
      <c r="CG309" s="56">
        <v>0</v>
      </c>
      <c r="CH309" s="56">
        <v>6191.5</v>
      </c>
      <c r="CJ309" s="56">
        <v>100</v>
      </c>
      <c r="CK309" s="56">
        <v>5699.6</v>
      </c>
      <c r="CL309" s="56">
        <v>0</v>
      </c>
      <c r="CN309" s="56">
        <v>0</v>
      </c>
      <c r="CO309" s="56">
        <v>0</v>
      </c>
      <c r="CP309" s="56">
        <v>491.9</v>
      </c>
      <c r="CQ309" s="56" t="s">
        <v>668</v>
      </c>
      <c r="CR309" s="56">
        <v>0</v>
      </c>
      <c r="CS309" s="56">
        <v>0</v>
      </c>
      <c r="CV309" s="56">
        <v>0</v>
      </c>
      <c r="CX309" s="56">
        <v>0</v>
      </c>
      <c r="CY309" s="56">
        <v>0</v>
      </c>
      <c r="CZ309" s="56">
        <v>527.21</v>
      </c>
      <c r="DA309" s="56">
        <v>527.21</v>
      </c>
      <c r="DB309" s="56">
        <v>0</v>
      </c>
      <c r="DC309" s="56">
        <v>5172.3900000000003</v>
      </c>
      <c r="DD309" s="56">
        <v>0</v>
      </c>
      <c r="DE309" s="56">
        <v>0</v>
      </c>
      <c r="DF309" s="56">
        <v>0</v>
      </c>
      <c r="DH309" s="56" t="s">
        <v>831</v>
      </c>
      <c r="DI309" s="56" t="s">
        <v>671</v>
      </c>
      <c r="DK309" s="56">
        <v>91.48</v>
      </c>
      <c r="DL309" s="56">
        <v>5664.29</v>
      </c>
      <c r="DO309" s="56" t="s">
        <v>236</v>
      </c>
      <c r="DQ309" s="56" t="s">
        <v>674</v>
      </c>
      <c r="DR309" s="56">
        <v>3</v>
      </c>
      <c r="DX309" s="56" t="s">
        <v>678</v>
      </c>
      <c r="DY309" s="56" t="s">
        <v>679</v>
      </c>
      <c r="EL309" s="56">
        <v>15</v>
      </c>
      <c r="EM309" s="56">
        <v>25</v>
      </c>
      <c r="EN309" s="56">
        <v>2053</v>
      </c>
      <c r="EO309" s="56">
        <v>5173</v>
      </c>
      <c r="EP309" s="56" t="s">
        <v>1234</v>
      </c>
      <c r="EQ309" s="56" t="s">
        <v>832</v>
      </c>
      <c r="ER309" s="56" t="s">
        <v>2343</v>
      </c>
      <c r="ES309" s="56">
        <v>2</v>
      </c>
      <c r="ET309" s="56" t="s">
        <v>682</v>
      </c>
      <c r="EU309" s="56" t="s">
        <v>683</v>
      </c>
      <c r="EV309" s="56" t="s">
        <v>683</v>
      </c>
      <c r="FD309" s="56" t="s">
        <v>2348</v>
      </c>
      <c r="FK309" s="56">
        <v>0</v>
      </c>
    </row>
    <row r="310" spans="1:167" x14ac:dyDescent="0.2">
      <c r="A310" s="56">
        <v>29750</v>
      </c>
      <c r="B310" s="56">
        <v>1</v>
      </c>
      <c r="C310" s="56">
        <v>6351</v>
      </c>
      <c r="D310" s="56" t="s">
        <v>634</v>
      </c>
      <c r="E310" s="56" t="s">
        <v>635</v>
      </c>
      <c r="K310" s="56" t="s">
        <v>2349</v>
      </c>
      <c r="L310" s="56" t="s">
        <v>637</v>
      </c>
      <c r="M310" s="56">
        <v>44957</v>
      </c>
      <c r="N310" s="56">
        <v>44959</v>
      </c>
      <c r="O310" s="56">
        <v>2</v>
      </c>
      <c r="P310" s="56" t="s">
        <v>682</v>
      </c>
      <c r="Q310" s="56">
        <v>1</v>
      </c>
      <c r="R310" s="56" t="s">
        <v>809</v>
      </c>
      <c r="S310" s="56" t="s">
        <v>2334</v>
      </c>
      <c r="T310" s="56" t="s">
        <v>643</v>
      </c>
      <c r="U310" s="56" t="s">
        <v>640</v>
      </c>
      <c r="V310" s="56" t="s">
        <v>641</v>
      </c>
      <c r="W310" s="56">
        <v>41</v>
      </c>
      <c r="X310" s="56" t="s">
        <v>1217</v>
      </c>
      <c r="Y310" s="56">
        <v>465</v>
      </c>
      <c r="Z310" s="56" t="s">
        <v>812</v>
      </c>
      <c r="AA310" s="56" t="s">
        <v>813</v>
      </c>
      <c r="AB310" s="56" t="s">
        <v>814</v>
      </c>
      <c r="AC310" s="56" t="s">
        <v>643</v>
      </c>
      <c r="AD310" s="56" t="s">
        <v>815</v>
      </c>
      <c r="AE310" s="56">
        <v>255</v>
      </c>
      <c r="AF310" s="56" t="s">
        <v>816</v>
      </c>
      <c r="AG310" s="56" t="s">
        <v>817</v>
      </c>
      <c r="AH310" s="56" t="s">
        <v>641</v>
      </c>
      <c r="AI310" s="56" t="s">
        <v>640</v>
      </c>
      <c r="AL310" s="56">
        <v>254</v>
      </c>
      <c r="AM310" s="56" t="s">
        <v>2335</v>
      </c>
      <c r="AN310" s="56" t="s">
        <v>2336</v>
      </c>
      <c r="AO310" s="56" t="s">
        <v>2337</v>
      </c>
      <c r="AP310" s="56" t="s">
        <v>643</v>
      </c>
      <c r="AQ310" s="56" t="s">
        <v>1745</v>
      </c>
      <c r="AR310" s="56">
        <v>296</v>
      </c>
      <c r="AS310" s="56" t="s">
        <v>2338</v>
      </c>
      <c r="AT310" s="56" t="s">
        <v>2339</v>
      </c>
      <c r="AU310" s="56" t="s">
        <v>643</v>
      </c>
      <c r="AV310" s="56" t="s">
        <v>2340</v>
      </c>
      <c r="AW310" s="56">
        <v>122</v>
      </c>
      <c r="AX310" s="56" t="s">
        <v>768</v>
      </c>
      <c r="AY310" s="56">
        <v>69</v>
      </c>
      <c r="AZ310" s="56" t="s">
        <v>26</v>
      </c>
      <c r="BA310" s="56" t="s">
        <v>769</v>
      </c>
      <c r="BB310" s="56" t="s">
        <v>770</v>
      </c>
      <c r="BC310" s="56">
        <v>38</v>
      </c>
      <c r="BD310" s="56" t="s">
        <v>289</v>
      </c>
      <c r="BE310" s="56" t="s">
        <v>771</v>
      </c>
      <c r="BF310" s="56">
        <v>2</v>
      </c>
      <c r="BG310" s="56" t="s">
        <v>289</v>
      </c>
      <c r="BH310" s="56" t="s">
        <v>772</v>
      </c>
      <c r="BI310" s="56">
        <v>48.45</v>
      </c>
      <c r="BJ310" s="56">
        <v>147772.5</v>
      </c>
      <c r="BK310" s="56">
        <v>48.45</v>
      </c>
      <c r="BL310" s="56" t="s">
        <v>1724</v>
      </c>
      <c r="BM310" s="56">
        <v>1201</v>
      </c>
      <c r="BN310" s="56" t="s">
        <v>724</v>
      </c>
      <c r="BO310" s="56" t="s">
        <v>773</v>
      </c>
      <c r="BP310" s="56">
        <v>6276.5</v>
      </c>
      <c r="BQ310" s="56">
        <v>5840.9</v>
      </c>
      <c r="BR310" s="56">
        <v>0</v>
      </c>
      <c r="BS310" s="56">
        <v>0</v>
      </c>
      <c r="BT310" s="56">
        <v>0</v>
      </c>
      <c r="BU310" s="56">
        <v>44915</v>
      </c>
      <c r="BV310" s="56">
        <v>296</v>
      </c>
      <c r="BW310" s="56" t="s">
        <v>2338</v>
      </c>
      <c r="BX310" s="56" t="s">
        <v>2350</v>
      </c>
      <c r="BY310" s="56" t="s">
        <v>663</v>
      </c>
      <c r="BZ310" s="56">
        <v>0.25</v>
      </c>
      <c r="CA310" s="56" t="s">
        <v>664</v>
      </c>
      <c r="CB310" s="56" t="s">
        <v>2342</v>
      </c>
      <c r="CD310" s="56" t="s">
        <v>667</v>
      </c>
      <c r="CG310" s="56">
        <v>0</v>
      </c>
      <c r="CH310" s="56">
        <v>6276.5</v>
      </c>
      <c r="CJ310" s="56">
        <v>100</v>
      </c>
      <c r="CK310" s="56">
        <v>5840.9</v>
      </c>
      <c r="CL310" s="56">
        <v>0</v>
      </c>
      <c r="CN310" s="56">
        <v>0</v>
      </c>
      <c r="CO310" s="56">
        <v>0</v>
      </c>
      <c r="CP310" s="56">
        <v>435.6</v>
      </c>
      <c r="CQ310" s="56" t="s">
        <v>668</v>
      </c>
      <c r="CR310" s="56">
        <v>0</v>
      </c>
      <c r="CS310" s="56">
        <v>0</v>
      </c>
      <c r="CV310" s="56">
        <v>0</v>
      </c>
      <c r="CX310" s="56">
        <v>0</v>
      </c>
      <c r="CY310" s="56">
        <v>0</v>
      </c>
      <c r="CZ310" s="56">
        <v>540.28</v>
      </c>
      <c r="DA310" s="56">
        <v>540.28</v>
      </c>
      <c r="DB310" s="56">
        <v>0</v>
      </c>
      <c r="DC310" s="56">
        <v>5300.62</v>
      </c>
      <c r="DD310" s="56">
        <v>0</v>
      </c>
      <c r="DE310" s="56">
        <v>0</v>
      </c>
      <c r="DF310" s="56">
        <v>0</v>
      </c>
      <c r="DH310" s="56" t="s">
        <v>831</v>
      </c>
      <c r="DI310" s="56" t="s">
        <v>671</v>
      </c>
      <c r="DK310" s="56">
        <v>91.39</v>
      </c>
      <c r="DL310" s="56">
        <v>5736.22</v>
      </c>
      <c r="DO310" s="56" t="s">
        <v>236</v>
      </c>
      <c r="DQ310" s="56" t="s">
        <v>674</v>
      </c>
      <c r="DR310" s="56">
        <v>3</v>
      </c>
      <c r="DX310" s="56" t="s">
        <v>678</v>
      </c>
      <c r="DY310" s="56" t="s">
        <v>679</v>
      </c>
      <c r="EL310" s="56">
        <v>15</v>
      </c>
      <c r="EM310" s="56">
        <v>25</v>
      </c>
      <c r="EN310" s="56">
        <v>2053</v>
      </c>
      <c r="EO310" s="56">
        <v>5173</v>
      </c>
      <c r="EP310" s="56" t="s">
        <v>1234</v>
      </c>
      <c r="EQ310" s="56" t="s">
        <v>832</v>
      </c>
      <c r="ER310" s="56" t="s">
        <v>2343</v>
      </c>
      <c r="ES310" s="56">
        <v>2</v>
      </c>
      <c r="ET310" s="56" t="s">
        <v>682</v>
      </c>
      <c r="EU310" s="56" t="s">
        <v>683</v>
      </c>
      <c r="EV310" s="56" t="s">
        <v>683</v>
      </c>
      <c r="FD310" s="56" t="s">
        <v>2351</v>
      </c>
      <c r="FK310" s="56">
        <v>0</v>
      </c>
    </row>
    <row r="311" spans="1:167" x14ac:dyDescent="0.2">
      <c r="A311" s="56">
        <v>29752</v>
      </c>
      <c r="B311" s="56">
        <v>1</v>
      </c>
      <c r="C311" s="56">
        <v>5352</v>
      </c>
      <c r="D311" s="56" t="s">
        <v>634</v>
      </c>
      <c r="E311" s="56" t="s">
        <v>635</v>
      </c>
      <c r="K311" s="56" t="s">
        <v>2380</v>
      </c>
      <c r="L311" s="56" t="s">
        <v>637</v>
      </c>
      <c r="M311" s="56">
        <v>44957</v>
      </c>
      <c r="N311" s="56">
        <v>44959</v>
      </c>
      <c r="O311" s="56">
        <v>2</v>
      </c>
      <c r="P311" s="56" t="s">
        <v>682</v>
      </c>
      <c r="Q311" s="56">
        <v>1</v>
      </c>
      <c r="R311" s="56" t="s">
        <v>809</v>
      </c>
      <c r="S311" s="56" t="s">
        <v>735</v>
      </c>
      <c r="T311" s="56" t="s">
        <v>643</v>
      </c>
      <c r="U311" s="56" t="s">
        <v>642</v>
      </c>
      <c r="V311" s="56" t="s">
        <v>643</v>
      </c>
      <c r="W311" s="56">
        <v>46</v>
      </c>
      <c r="X311" s="56" t="s">
        <v>811</v>
      </c>
      <c r="Y311" s="56">
        <v>91</v>
      </c>
      <c r="Z311" s="56" t="s">
        <v>736</v>
      </c>
      <c r="AA311" s="56" t="s">
        <v>737</v>
      </c>
      <c r="AB311" s="56" t="s">
        <v>738</v>
      </c>
      <c r="AC311" s="56" t="s">
        <v>643</v>
      </c>
      <c r="AD311" s="56" t="s">
        <v>735</v>
      </c>
      <c r="AL311" s="56">
        <v>141</v>
      </c>
      <c r="AM311" s="56" t="s">
        <v>649</v>
      </c>
      <c r="AN311" s="56" t="s">
        <v>650</v>
      </c>
      <c r="AO311" s="56" t="s">
        <v>652</v>
      </c>
      <c r="AP311" s="56" t="s">
        <v>643</v>
      </c>
      <c r="AQ311" s="56" t="s">
        <v>642</v>
      </c>
      <c r="AR311" s="56">
        <v>98</v>
      </c>
      <c r="AS311" s="56" t="s">
        <v>645</v>
      </c>
      <c r="AT311" s="56" t="s">
        <v>646</v>
      </c>
      <c r="AU311" s="56" t="s">
        <v>643</v>
      </c>
      <c r="AV311" s="56" t="s">
        <v>648</v>
      </c>
      <c r="AW311" s="56">
        <v>108</v>
      </c>
      <c r="AX311" s="56" t="s">
        <v>977</v>
      </c>
      <c r="AY311" s="56">
        <v>47</v>
      </c>
      <c r="AZ311" s="56" t="s">
        <v>32</v>
      </c>
      <c r="BA311" s="56" t="s">
        <v>978</v>
      </c>
      <c r="BB311" s="56" t="s">
        <v>770</v>
      </c>
      <c r="BC311" s="56">
        <v>38</v>
      </c>
      <c r="BD311" s="56" t="s">
        <v>289</v>
      </c>
      <c r="BE311" s="56" t="s">
        <v>771</v>
      </c>
      <c r="BF311" s="56">
        <v>2</v>
      </c>
      <c r="BG311" s="56" t="s">
        <v>289</v>
      </c>
      <c r="BH311" s="56" t="s">
        <v>772</v>
      </c>
      <c r="BI311" s="56">
        <v>47.96</v>
      </c>
      <c r="BJ311" s="56">
        <v>75800.3</v>
      </c>
      <c r="BK311" s="56">
        <v>47.96</v>
      </c>
      <c r="BL311" s="56" t="s">
        <v>1274</v>
      </c>
      <c r="BM311" s="56">
        <v>3102</v>
      </c>
      <c r="BN311" s="56" t="s">
        <v>724</v>
      </c>
      <c r="BO311" s="56" t="s">
        <v>725</v>
      </c>
      <c r="BP311" s="56">
        <v>1726.56</v>
      </c>
      <c r="BQ311" s="56">
        <v>1726.56</v>
      </c>
      <c r="BR311" s="56">
        <v>0</v>
      </c>
      <c r="BS311" s="56">
        <v>0</v>
      </c>
      <c r="BT311" s="56">
        <v>0</v>
      </c>
      <c r="BU311" s="56">
        <v>245848</v>
      </c>
      <c r="BV311" s="56">
        <v>98</v>
      </c>
      <c r="BW311" s="56" t="s">
        <v>645</v>
      </c>
      <c r="BX311" s="56" t="s">
        <v>2381</v>
      </c>
      <c r="BY311" s="56" t="s">
        <v>663</v>
      </c>
      <c r="BZ311" s="56">
        <v>0.25</v>
      </c>
      <c r="CA311" s="56" t="s">
        <v>664</v>
      </c>
      <c r="CB311" s="56" t="s">
        <v>1278</v>
      </c>
      <c r="CD311" s="56" t="s">
        <v>667</v>
      </c>
      <c r="CG311" s="56">
        <v>0</v>
      </c>
      <c r="CH311" s="56">
        <v>36</v>
      </c>
      <c r="CJ311" s="56">
        <v>100</v>
      </c>
      <c r="CK311" s="56">
        <v>1726.56</v>
      </c>
      <c r="CL311" s="56">
        <v>0</v>
      </c>
      <c r="CN311" s="56">
        <v>0</v>
      </c>
      <c r="CO311" s="56">
        <v>0</v>
      </c>
      <c r="CP311" s="56">
        <v>0</v>
      </c>
      <c r="CQ311" s="56" t="s">
        <v>708</v>
      </c>
      <c r="CR311" s="56">
        <v>0</v>
      </c>
      <c r="CS311" s="56">
        <v>0</v>
      </c>
      <c r="CV311" s="56">
        <v>0</v>
      </c>
      <c r="CX311" s="56">
        <v>0</v>
      </c>
      <c r="CY311" s="56">
        <v>0</v>
      </c>
      <c r="CZ311" s="56">
        <v>159.71</v>
      </c>
      <c r="DA311" s="56">
        <v>159.71</v>
      </c>
      <c r="DB311" s="56">
        <v>0</v>
      </c>
      <c r="DC311" s="56">
        <v>1566.85</v>
      </c>
      <c r="DD311" s="56">
        <v>12.86</v>
      </c>
      <c r="DE311" s="56">
        <v>0</v>
      </c>
      <c r="DF311" s="56">
        <v>12.86</v>
      </c>
      <c r="DH311" s="56" t="s">
        <v>670</v>
      </c>
      <c r="DI311" s="56" t="s">
        <v>671</v>
      </c>
      <c r="DK311" s="56">
        <v>90</v>
      </c>
      <c r="DL311" s="56">
        <v>1553.99</v>
      </c>
      <c r="DO311" s="56" t="s">
        <v>236</v>
      </c>
      <c r="DQ311" s="56" t="s">
        <v>674</v>
      </c>
      <c r="DR311" s="56">
        <v>3</v>
      </c>
      <c r="DX311" s="56" t="s">
        <v>678</v>
      </c>
      <c r="DY311" s="56" t="s">
        <v>679</v>
      </c>
      <c r="EL311" s="56">
        <v>15</v>
      </c>
      <c r="EM311" s="56">
        <v>15</v>
      </c>
      <c r="EN311" s="56">
        <v>1805</v>
      </c>
      <c r="EO311" s="56">
        <v>1622</v>
      </c>
      <c r="EP311" s="56" t="s">
        <v>1234</v>
      </c>
      <c r="EQ311" s="56" t="s">
        <v>1434</v>
      </c>
      <c r="ER311" s="56" t="s">
        <v>1700</v>
      </c>
      <c r="ES311" s="56">
        <v>2</v>
      </c>
      <c r="ET311" s="56" t="s">
        <v>682</v>
      </c>
      <c r="EU311" s="56" t="s">
        <v>683</v>
      </c>
      <c r="EV311" s="56" t="s">
        <v>683</v>
      </c>
      <c r="FD311" s="56" t="s">
        <v>2382</v>
      </c>
      <c r="FK311" s="56">
        <v>0</v>
      </c>
    </row>
    <row r="312" spans="1:167" x14ac:dyDescent="0.2">
      <c r="A312" s="56">
        <v>29755</v>
      </c>
      <c r="B312" s="56">
        <v>1</v>
      </c>
      <c r="C312" s="56">
        <v>6353</v>
      </c>
      <c r="D312" s="56" t="s">
        <v>634</v>
      </c>
      <c r="E312" s="56" t="s">
        <v>635</v>
      </c>
      <c r="K312" s="56" t="s">
        <v>2383</v>
      </c>
      <c r="L312" s="56" t="s">
        <v>637</v>
      </c>
      <c r="M312" s="56">
        <v>44957</v>
      </c>
      <c r="N312" s="56">
        <v>44959</v>
      </c>
      <c r="O312" s="56">
        <v>2</v>
      </c>
      <c r="P312" s="56" t="s">
        <v>682</v>
      </c>
      <c r="Q312" s="56">
        <v>1</v>
      </c>
      <c r="R312" s="56" t="s">
        <v>809</v>
      </c>
      <c r="S312" s="56" t="s">
        <v>2384</v>
      </c>
      <c r="T312" s="56" t="s">
        <v>643</v>
      </c>
      <c r="U312" s="56" t="s">
        <v>640</v>
      </c>
      <c r="V312" s="56" t="s">
        <v>641</v>
      </c>
      <c r="W312" s="56">
        <v>46</v>
      </c>
      <c r="X312" s="56" t="s">
        <v>811</v>
      </c>
      <c r="Y312" s="56">
        <v>88</v>
      </c>
      <c r="Z312" s="56" t="s">
        <v>2385</v>
      </c>
      <c r="AA312" s="56" t="s">
        <v>2386</v>
      </c>
      <c r="AB312" s="56" t="s">
        <v>2387</v>
      </c>
      <c r="AC312" s="56" t="s">
        <v>643</v>
      </c>
      <c r="AD312" s="56" t="s">
        <v>2384</v>
      </c>
      <c r="AE312" s="56">
        <v>186</v>
      </c>
      <c r="AF312" s="56" t="s">
        <v>2388</v>
      </c>
      <c r="AG312" s="56" t="s">
        <v>2389</v>
      </c>
      <c r="AH312" s="56" t="s">
        <v>641</v>
      </c>
      <c r="AI312" s="56" t="s">
        <v>640</v>
      </c>
      <c r="AL312" s="56">
        <v>218</v>
      </c>
      <c r="AM312" s="56" t="s">
        <v>2390</v>
      </c>
      <c r="AN312" s="56" t="s">
        <v>2391</v>
      </c>
      <c r="AO312" s="56" t="s">
        <v>2392</v>
      </c>
      <c r="AP312" s="56" t="s">
        <v>641</v>
      </c>
      <c r="AQ312" s="56" t="s">
        <v>640</v>
      </c>
      <c r="AR312" s="56">
        <v>88</v>
      </c>
      <c r="AS312" s="56" t="s">
        <v>2385</v>
      </c>
      <c r="AT312" s="56" t="s">
        <v>2386</v>
      </c>
      <c r="AU312" s="56" t="s">
        <v>643</v>
      </c>
      <c r="AV312" s="56" t="s">
        <v>2384</v>
      </c>
      <c r="AW312" s="56">
        <v>119</v>
      </c>
      <c r="AX312" s="56" t="s">
        <v>2393</v>
      </c>
      <c r="AY312" s="56">
        <v>62</v>
      </c>
      <c r="AZ312" s="56" t="s">
        <v>22</v>
      </c>
      <c r="BA312" s="56" t="s">
        <v>1405</v>
      </c>
      <c r="BB312" s="56" t="s">
        <v>844</v>
      </c>
      <c r="BC312" s="56">
        <v>2</v>
      </c>
      <c r="BD312" s="56" t="s">
        <v>289</v>
      </c>
      <c r="BE312" s="56" t="s">
        <v>772</v>
      </c>
      <c r="BF312" s="56">
        <v>2</v>
      </c>
      <c r="BG312" s="56" t="s">
        <v>289</v>
      </c>
      <c r="BH312" s="56" t="s">
        <v>772</v>
      </c>
      <c r="BI312" s="56">
        <v>38.29</v>
      </c>
      <c r="BJ312" s="56">
        <v>118060.82</v>
      </c>
      <c r="BK312" s="56">
        <v>38290</v>
      </c>
      <c r="BL312" s="56" t="s">
        <v>1724</v>
      </c>
      <c r="BM312" s="56">
        <v>1201</v>
      </c>
      <c r="BN312" s="56" t="s">
        <v>660</v>
      </c>
      <c r="BO312" s="56" t="s">
        <v>872</v>
      </c>
      <c r="BP312" s="56">
        <v>4594.8</v>
      </c>
      <c r="BQ312" s="56">
        <v>4263.7</v>
      </c>
      <c r="BR312" s="56">
        <v>0</v>
      </c>
      <c r="BS312" s="56">
        <v>0</v>
      </c>
      <c r="BT312" s="56">
        <v>0</v>
      </c>
      <c r="BU312" s="56">
        <v>35157</v>
      </c>
      <c r="BV312" s="56">
        <v>88</v>
      </c>
      <c r="BW312" s="56" t="s">
        <v>2385</v>
      </c>
      <c r="BX312" s="56" t="s">
        <v>2394</v>
      </c>
      <c r="BY312" s="56" t="s">
        <v>663</v>
      </c>
      <c r="BZ312" s="56">
        <v>0.25</v>
      </c>
      <c r="CA312" s="56" t="s">
        <v>664</v>
      </c>
      <c r="CB312" s="56" t="s">
        <v>2395</v>
      </c>
      <c r="CD312" s="56" t="s">
        <v>667</v>
      </c>
      <c r="CG312" s="56">
        <v>0</v>
      </c>
      <c r="CH312" s="56">
        <v>120</v>
      </c>
      <c r="CJ312" s="56">
        <v>100</v>
      </c>
      <c r="CK312" s="56">
        <v>4263.7</v>
      </c>
      <c r="CL312" s="56">
        <v>0</v>
      </c>
      <c r="CN312" s="56">
        <v>0</v>
      </c>
      <c r="CO312" s="56">
        <v>0</v>
      </c>
      <c r="CP312" s="56">
        <v>331.1</v>
      </c>
      <c r="CQ312" s="56" t="s">
        <v>668</v>
      </c>
      <c r="CR312" s="56">
        <v>0</v>
      </c>
      <c r="CS312" s="56">
        <v>0</v>
      </c>
      <c r="CV312" s="56">
        <v>0</v>
      </c>
      <c r="CX312" s="56">
        <v>0</v>
      </c>
      <c r="CY312" s="56">
        <v>0</v>
      </c>
      <c r="CZ312" s="56">
        <v>394.39</v>
      </c>
      <c r="DA312" s="56">
        <v>394.39</v>
      </c>
      <c r="DB312" s="56">
        <v>0</v>
      </c>
      <c r="DC312" s="56">
        <v>3869.31</v>
      </c>
      <c r="DD312" s="56">
        <v>24.74</v>
      </c>
      <c r="DE312" s="56">
        <v>0</v>
      </c>
      <c r="DF312" s="56">
        <v>24.74</v>
      </c>
      <c r="DH312" s="56" t="s">
        <v>670</v>
      </c>
      <c r="DI312" s="56" t="s">
        <v>671</v>
      </c>
      <c r="DK312" s="56">
        <v>90.88</v>
      </c>
      <c r="DL312" s="56">
        <v>4175.67</v>
      </c>
      <c r="DO312" s="56" t="s">
        <v>236</v>
      </c>
      <c r="DQ312" s="56" t="s">
        <v>2396</v>
      </c>
      <c r="DR312" s="56">
        <v>3</v>
      </c>
      <c r="DX312" s="56" t="s">
        <v>678</v>
      </c>
      <c r="DY312" s="56" t="s">
        <v>679</v>
      </c>
      <c r="EL312" s="56">
        <v>15</v>
      </c>
      <c r="EM312" s="56">
        <v>25</v>
      </c>
      <c r="EN312" s="56">
        <v>1897</v>
      </c>
      <c r="EO312" s="56">
        <v>5173</v>
      </c>
      <c r="EP312" s="56" t="s">
        <v>1234</v>
      </c>
      <c r="EQ312" s="56" t="s">
        <v>2397</v>
      </c>
      <c r="ER312" s="56" t="s">
        <v>2398</v>
      </c>
      <c r="ES312" s="56">
        <v>2</v>
      </c>
      <c r="ET312" s="56" t="s">
        <v>682</v>
      </c>
      <c r="EU312" s="56" t="s">
        <v>683</v>
      </c>
      <c r="EV312" s="56" t="s">
        <v>683</v>
      </c>
      <c r="FD312" s="56" t="s">
        <v>2399</v>
      </c>
      <c r="FK312" s="56">
        <v>0</v>
      </c>
    </row>
    <row r="313" spans="1:167" x14ac:dyDescent="0.2">
      <c r="A313" s="56">
        <v>29756</v>
      </c>
      <c r="B313" s="56">
        <v>1</v>
      </c>
      <c r="C313" s="56">
        <v>6353</v>
      </c>
      <c r="D313" s="56" t="s">
        <v>634</v>
      </c>
      <c r="E313" s="56" t="s">
        <v>635</v>
      </c>
      <c r="K313" s="56" t="s">
        <v>2400</v>
      </c>
      <c r="L313" s="56" t="s">
        <v>637</v>
      </c>
      <c r="M313" s="56">
        <v>44957</v>
      </c>
      <c r="N313" s="56">
        <v>44959</v>
      </c>
      <c r="O313" s="56">
        <v>2</v>
      </c>
      <c r="P313" s="56" t="s">
        <v>682</v>
      </c>
      <c r="Q313" s="56">
        <v>1</v>
      </c>
      <c r="R313" s="56" t="s">
        <v>809</v>
      </c>
      <c r="S313" s="56" t="s">
        <v>2384</v>
      </c>
      <c r="T313" s="56" t="s">
        <v>643</v>
      </c>
      <c r="U313" s="56" t="s">
        <v>640</v>
      </c>
      <c r="V313" s="56" t="s">
        <v>641</v>
      </c>
      <c r="W313" s="56">
        <v>46</v>
      </c>
      <c r="X313" s="56" t="s">
        <v>811</v>
      </c>
      <c r="Y313" s="56">
        <v>88</v>
      </c>
      <c r="Z313" s="56" t="s">
        <v>2385</v>
      </c>
      <c r="AA313" s="56" t="s">
        <v>2386</v>
      </c>
      <c r="AB313" s="56" t="s">
        <v>2387</v>
      </c>
      <c r="AC313" s="56" t="s">
        <v>643</v>
      </c>
      <c r="AD313" s="56" t="s">
        <v>2384</v>
      </c>
      <c r="AE313" s="56">
        <v>186</v>
      </c>
      <c r="AF313" s="56" t="s">
        <v>2388</v>
      </c>
      <c r="AG313" s="56" t="s">
        <v>2389</v>
      </c>
      <c r="AH313" s="56" t="s">
        <v>641</v>
      </c>
      <c r="AI313" s="56" t="s">
        <v>640</v>
      </c>
      <c r="AL313" s="56">
        <v>218</v>
      </c>
      <c r="AM313" s="56" t="s">
        <v>2390</v>
      </c>
      <c r="AN313" s="56" t="s">
        <v>2391</v>
      </c>
      <c r="AO313" s="56" t="s">
        <v>2392</v>
      </c>
      <c r="AP313" s="56" t="s">
        <v>641</v>
      </c>
      <c r="AQ313" s="56" t="s">
        <v>640</v>
      </c>
      <c r="AR313" s="56">
        <v>88</v>
      </c>
      <c r="AS313" s="56" t="s">
        <v>2385</v>
      </c>
      <c r="AT313" s="56" t="s">
        <v>2386</v>
      </c>
      <c r="AU313" s="56" t="s">
        <v>643</v>
      </c>
      <c r="AV313" s="56" t="s">
        <v>2384</v>
      </c>
      <c r="AW313" s="56">
        <v>118</v>
      </c>
      <c r="AX313" s="56" t="s">
        <v>870</v>
      </c>
      <c r="AY313" s="56">
        <v>59</v>
      </c>
      <c r="AZ313" s="56" t="s">
        <v>127</v>
      </c>
      <c r="BA313" s="56" t="s">
        <v>871</v>
      </c>
      <c r="BB313" s="56" t="s">
        <v>844</v>
      </c>
      <c r="BC313" s="56">
        <v>2</v>
      </c>
      <c r="BD313" s="56" t="s">
        <v>289</v>
      </c>
      <c r="BE313" s="56" t="s">
        <v>772</v>
      </c>
      <c r="BF313" s="56">
        <v>2</v>
      </c>
      <c r="BG313" s="56" t="s">
        <v>289</v>
      </c>
      <c r="BH313" s="56" t="s">
        <v>772</v>
      </c>
      <c r="BI313" s="56">
        <v>37.880000000000003</v>
      </c>
      <c r="BJ313" s="56">
        <v>116796.65</v>
      </c>
      <c r="BK313" s="56">
        <v>37880</v>
      </c>
      <c r="BL313" s="56" t="s">
        <v>1724</v>
      </c>
      <c r="BM313" s="56">
        <v>1201</v>
      </c>
      <c r="BN313" s="56" t="s">
        <v>660</v>
      </c>
      <c r="BO313" s="56" t="s">
        <v>872</v>
      </c>
      <c r="BP313" s="56">
        <v>4545.6000000000004</v>
      </c>
      <c r="BQ313" s="56">
        <v>4214.5</v>
      </c>
      <c r="BR313" s="56">
        <v>0</v>
      </c>
      <c r="BS313" s="56">
        <v>0</v>
      </c>
      <c r="BT313" s="56">
        <v>0</v>
      </c>
      <c r="BU313" s="56">
        <v>35158</v>
      </c>
      <c r="BV313" s="56">
        <v>88</v>
      </c>
      <c r="BW313" s="56" t="s">
        <v>2385</v>
      </c>
      <c r="BX313" s="56" t="s">
        <v>2401</v>
      </c>
      <c r="BY313" s="56" t="s">
        <v>663</v>
      </c>
      <c r="BZ313" s="56">
        <v>0.25</v>
      </c>
      <c r="CA313" s="56" t="s">
        <v>664</v>
      </c>
      <c r="CB313" s="56" t="s">
        <v>2395</v>
      </c>
      <c r="CD313" s="56" t="s">
        <v>667</v>
      </c>
      <c r="CG313" s="56">
        <v>0</v>
      </c>
      <c r="CH313" s="56">
        <v>120</v>
      </c>
      <c r="CJ313" s="56">
        <v>100</v>
      </c>
      <c r="CK313" s="56">
        <v>4214.5</v>
      </c>
      <c r="CL313" s="56">
        <v>0</v>
      </c>
      <c r="CN313" s="56">
        <v>0</v>
      </c>
      <c r="CO313" s="56">
        <v>0</v>
      </c>
      <c r="CP313" s="56">
        <v>331.1</v>
      </c>
      <c r="CQ313" s="56" t="s">
        <v>668</v>
      </c>
      <c r="CR313" s="56">
        <v>0</v>
      </c>
      <c r="CS313" s="56">
        <v>0</v>
      </c>
      <c r="CV313" s="56">
        <v>0</v>
      </c>
      <c r="CX313" s="56">
        <v>0</v>
      </c>
      <c r="CY313" s="56">
        <v>0</v>
      </c>
      <c r="CZ313" s="56">
        <v>389.84</v>
      </c>
      <c r="DA313" s="56">
        <v>389.84</v>
      </c>
      <c r="DB313" s="56">
        <v>0</v>
      </c>
      <c r="DC313" s="56">
        <v>3824.66</v>
      </c>
      <c r="DD313" s="56">
        <v>24.47</v>
      </c>
      <c r="DE313" s="56">
        <v>0</v>
      </c>
      <c r="DF313" s="56">
        <v>24.47</v>
      </c>
      <c r="DH313" s="56" t="s">
        <v>670</v>
      </c>
      <c r="DI313" s="56" t="s">
        <v>671</v>
      </c>
      <c r="DK313" s="56">
        <v>90.89</v>
      </c>
      <c r="DL313" s="56">
        <v>4131.29</v>
      </c>
      <c r="DO313" s="56" t="s">
        <v>236</v>
      </c>
      <c r="DQ313" s="56" t="s">
        <v>2396</v>
      </c>
      <c r="DR313" s="56">
        <v>3</v>
      </c>
      <c r="DX313" s="56" t="s">
        <v>678</v>
      </c>
      <c r="DY313" s="56" t="s">
        <v>679</v>
      </c>
      <c r="EL313" s="56">
        <v>15</v>
      </c>
      <c r="EM313" s="56">
        <v>25</v>
      </c>
      <c r="EN313" s="56">
        <v>1897</v>
      </c>
      <c r="EO313" s="56">
        <v>5173</v>
      </c>
      <c r="EP313" s="56" t="s">
        <v>1234</v>
      </c>
      <c r="EQ313" s="56" t="s">
        <v>2397</v>
      </c>
      <c r="ER313" s="56" t="s">
        <v>2398</v>
      </c>
      <c r="ES313" s="56">
        <v>2</v>
      </c>
      <c r="ET313" s="56" t="s">
        <v>682</v>
      </c>
      <c r="EU313" s="56" t="s">
        <v>683</v>
      </c>
      <c r="EV313" s="56" t="s">
        <v>683</v>
      </c>
      <c r="FD313" s="56" t="s">
        <v>2402</v>
      </c>
      <c r="FK313" s="56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CD79-7ACC-4CE5-87FD-33282DF42D1A}">
  <dimension ref="A2:N42"/>
  <sheetViews>
    <sheetView workbookViewId="0">
      <selection activeCell="I41" sqref="I41"/>
    </sheetView>
  </sheetViews>
  <sheetFormatPr defaultRowHeight="11.25" x14ac:dyDescent="0.2"/>
  <cols>
    <col min="1" max="1" width="7.5703125" style="56" bestFit="1" customWidth="1"/>
    <col min="2" max="2" width="9.85546875" style="56" bestFit="1" customWidth="1"/>
    <col min="3" max="3" width="11.5703125" style="56" bestFit="1" customWidth="1"/>
    <col min="4" max="4" width="9.85546875" style="56" bestFit="1" customWidth="1"/>
    <col min="5" max="5" width="6.28515625" style="56" bestFit="1" customWidth="1"/>
    <col min="6" max="7" width="5.5703125" style="56" bestFit="1" customWidth="1"/>
    <col min="8" max="9" width="7.7109375" style="56" bestFit="1" customWidth="1"/>
    <col min="10" max="10" width="10" style="56" bestFit="1" customWidth="1"/>
    <col min="11" max="11" width="9.5703125" style="56" bestFit="1" customWidth="1"/>
    <col min="12" max="12" width="10.42578125" style="56" bestFit="1" customWidth="1"/>
    <col min="13" max="13" width="9.5703125" style="56" bestFit="1" customWidth="1"/>
    <col min="14" max="14" width="10.42578125" style="56" bestFit="1" customWidth="1"/>
    <col min="15" max="16384" width="9.140625" style="56"/>
  </cols>
  <sheetData>
    <row r="2" spans="1:14" ht="22.5" x14ac:dyDescent="0.2">
      <c r="A2" s="184" t="s">
        <v>3</v>
      </c>
      <c r="B2" s="184" t="s">
        <v>276</v>
      </c>
      <c r="C2" s="184" t="s">
        <v>4</v>
      </c>
      <c r="D2" s="184" t="s">
        <v>5</v>
      </c>
      <c r="E2" s="184" t="s">
        <v>6</v>
      </c>
      <c r="F2" s="184" t="s">
        <v>7</v>
      </c>
      <c r="G2" s="184" t="s">
        <v>456</v>
      </c>
      <c r="H2" s="184" t="s">
        <v>16</v>
      </c>
      <c r="I2" s="185" t="s">
        <v>8</v>
      </c>
      <c r="J2" s="185" t="s">
        <v>250</v>
      </c>
      <c r="K2" s="184" t="s">
        <v>164</v>
      </c>
      <c r="L2" s="184" t="s">
        <v>10</v>
      </c>
      <c r="M2" s="184" t="s">
        <v>11</v>
      </c>
      <c r="N2" s="184" t="s">
        <v>12</v>
      </c>
    </row>
    <row r="3" spans="1:14" x14ac:dyDescent="0.2">
      <c r="A3" s="186" t="s">
        <v>26</v>
      </c>
      <c r="B3" s="187" t="s">
        <v>254</v>
      </c>
      <c r="C3" s="166" t="s">
        <v>48</v>
      </c>
      <c r="D3" s="166" t="s">
        <v>85</v>
      </c>
      <c r="E3" s="188">
        <v>1.6</v>
      </c>
      <c r="F3" s="189">
        <v>1.4763574081151452</v>
      </c>
      <c r="G3" s="190">
        <v>-7.7276619928034335E-2</v>
      </c>
      <c r="H3" s="191">
        <v>0.65927198875175752</v>
      </c>
      <c r="I3" s="166" t="s">
        <v>2406</v>
      </c>
      <c r="J3" s="192">
        <v>-2058.2364204557971</v>
      </c>
      <c r="K3" s="192">
        <v>0</v>
      </c>
      <c r="L3" s="192">
        <v>26634.659</v>
      </c>
      <c r="M3" s="212">
        <v>4335.6710000000003</v>
      </c>
      <c r="N3" s="213">
        <v>6401</v>
      </c>
    </row>
    <row r="4" spans="1:14" x14ac:dyDescent="0.2">
      <c r="A4" s="193" t="s">
        <v>24</v>
      </c>
      <c r="B4" s="187" t="s">
        <v>275</v>
      </c>
      <c r="C4" s="166" t="s">
        <v>50</v>
      </c>
      <c r="D4" s="166" t="s">
        <v>85</v>
      </c>
      <c r="E4" s="188">
        <v>1.6</v>
      </c>
      <c r="F4" s="189">
        <v>1.5194077812359499</v>
      </c>
      <c r="G4" s="190">
        <v>-5.0370136727531378E-2</v>
      </c>
      <c r="H4" s="191">
        <v>0.68597316205986925</v>
      </c>
      <c r="I4" s="166" t="s">
        <v>2406</v>
      </c>
      <c r="J4" s="192">
        <v>-1765.6831342895782</v>
      </c>
      <c r="K4" s="192">
        <v>0</v>
      </c>
      <c r="L4" s="192">
        <v>35054.165999999997</v>
      </c>
      <c r="M4" s="212">
        <v>5738.42</v>
      </c>
      <c r="N4" s="213">
        <v>8719</v>
      </c>
    </row>
    <row r="5" spans="1:14" x14ac:dyDescent="0.2">
      <c r="A5" s="193" t="s">
        <v>28</v>
      </c>
      <c r="B5" s="187" t="s">
        <v>255</v>
      </c>
      <c r="C5" s="166" t="s">
        <v>78</v>
      </c>
      <c r="D5" s="166" t="s">
        <v>85</v>
      </c>
      <c r="E5" s="188">
        <v>1.6</v>
      </c>
      <c r="F5" s="189">
        <v>1.519654959485309</v>
      </c>
      <c r="G5" s="190">
        <v>-5.0215650321681904E-2</v>
      </c>
      <c r="H5" s="191">
        <v>0.59755974589089444</v>
      </c>
      <c r="I5" s="166" t="s">
        <v>2406</v>
      </c>
      <c r="J5" s="192">
        <v>-2010.3535999497453</v>
      </c>
      <c r="K5" s="192">
        <v>0</v>
      </c>
      <c r="L5" s="192">
        <v>39303.805</v>
      </c>
      <c r="M5" s="212">
        <v>6406.7320000000018</v>
      </c>
      <c r="N5" s="213">
        <v>9917</v>
      </c>
    </row>
    <row r="6" spans="1:14" x14ac:dyDescent="0.2">
      <c r="A6" s="193" t="s">
        <v>30</v>
      </c>
      <c r="B6" s="187" t="s">
        <v>256</v>
      </c>
      <c r="C6" s="166" t="s">
        <v>78</v>
      </c>
      <c r="D6" s="166" t="s">
        <v>85</v>
      </c>
      <c r="E6" s="188">
        <v>1.6</v>
      </c>
      <c r="F6" s="189">
        <v>1.6205104706314435</v>
      </c>
      <c r="G6" s="190">
        <v>1.2819044144652125E-2</v>
      </c>
      <c r="H6" s="191">
        <v>0.52477750809061485</v>
      </c>
      <c r="I6" s="166" t="s">
        <v>2407</v>
      </c>
      <c r="J6" s="192">
        <v>481.23512137849616</v>
      </c>
      <c r="K6" s="192">
        <v>240.61756068924808</v>
      </c>
      <c r="L6" s="192">
        <v>37540.639999999999</v>
      </c>
      <c r="M6" s="212">
        <v>6101.7809999999999</v>
      </c>
      <c r="N6" s="213">
        <v>9888</v>
      </c>
    </row>
    <row r="7" spans="1:14" x14ac:dyDescent="0.2">
      <c r="A7" s="193" t="s">
        <v>33</v>
      </c>
      <c r="B7" s="187" t="s">
        <v>257</v>
      </c>
      <c r="C7" s="166" t="s">
        <v>68</v>
      </c>
      <c r="D7" s="166" t="s">
        <v>85</v>
      </c>
      <c r="E7" s="188">
        <v>1.6</v>
      </c>
      <c r="F7" s="189">
        <v>1.7400327790407339</v>
      </c>
      <c r="G7" s="190">
        <v>8.7520486900458661E-2</v>
      </c>
      <c r="H7" s="191">
        <v>0.52239233080555159</v>
      </c>
      <c r="I7" s="166" t="s">
        <v>2407</v>
      </c>
      <c r="J7" s="192">
        <v>2143.4515542085346</v>
      </c>
      <c r="K7" s="192">
        <v>1071.7257771042673</v>
      </c>
      <c r="L7" s="192">
        <v>24490.854999999996</v>
      </c>
      <c r="M7" s="212">
        <v>4016.5909999999999</v>
      </c>
      <c r="N7" s="213">
        <v>6989</v>
      </c>
    </row>
    <row r="8" spans="1:14" x14ac:dyDescent="0.2">
      <c r="A8" s="193" t="s">
        <v>124</v>
      </c>
      <c r="B8" s="187" t="s">
        <v>259</v>
      </c>
      <c r="C8" s="166" t="s">
        <v>78</v>
      </c>
      <c r="D8" s="166" t="s">
        <v>85</v>
      </c>
      <c r="E8" s="188">
        <v>1.6</v>
      </c>
      <c r="F8" s="189">
        <v>1.6528367477149088</v>
      </c>
      <c r="G8" s="190">
        <v>3.3022967321817975E-2</v>
      </c>
      <c r="H8" s="191">
        <v>0.55890083632019116</v>
      </c>
      <c r="I8" s="166" t="s">
        <v>2407</v>
      </c>
      <c r="J8" s="192">
        <v>1034.1076170892673</v>
      </c>
      <c r="K8" s="192">
        <v>517.05380854463363</v>
      </c>
      <c r="L8" s="192">
        <v>31314.799999999999</v>
      </c>
      <c r="M8" s="212">
        <v>5064.0209999999997</v>
      </c>
      <c r="N8" s="213">
        <v>8370</v>
      </c>
    </row>
    <row r="9" spans="1:14" x14ac:dyDescent="0.2">
      <c r="A9" s="193" t="s">
        <v>27</v>
      </c>
      <c r="B9" s="187" t="s">
        <v>260</v>
      </c>
      <c r="C9" s="166" t="s">
        <v>68</v>
      </c>
      <c r="D9" s="166" t="s">
        <v>85</v>
      </c>
      <c r="E9" s="188">
        <v>1.6</v>
      </c>
      <c r="F9" s="189">
        <v>1.4666276036610979</v>
      </c>
      <c r="G9" s="190">
        <v>-8.3357747711813868E-2</v>
      </c>
      <c r="H9" s="191">
        <v>0.56242684354272332</v>
      </c>
      <c r="I9" s="166" t="s">
        <v>2406</v>
      </c>
      <c r="J9" s="192">
        <v>-3582.5435375212223</v>
      </c>
      <c r="K9" s="192">
        <v>0</v>
      </c>
      <c r="L9" s="192">
        <v>42148.434999999998</v>
      </c>
      <c r="M9" s="212">
        <v>6855.2719999999999</v>
      </c>
      <c r="N9" s="213">
        <v>10252</v>
      </c>
    </row>
    <row r="10" spans="1:14" x14ac:dyDescent="0.2">
      <c r="A10" s="193" t="s">
        <v>126</v>
      </c>
      <c r="B10" s="187" t="s">
        <v>261</v>
      </c>
      <c r="C10" s="166" t="s">
        <v>68</v>
      </c>
      <c r="D10" s="166" t="s">
        <v>85</v>
      </c>
      <c r="E10" s="188">
        <v>1.6</v>
      </c>
      <c r="F10" s="189">
        <v>1.5602257971131808</v>
      </c>
      <c r="G10" s="190">
        <v>-2.4858876804262076E-2</v>
      </c>
      <c r="H10" s="191">
        <v>0.56811881188118807</v>
      </c>
      <c r="I10" s="166" t="s">
        <v>2406</v>
      </c>
      <c r="J10" s="192">
        <v>-995.65111457154853</v>
      </c>
      <c r="K10" s="192">
        <v>0</v>
      </c>
      <c r="L10" s="192">
        <v>40052.135999999999</v>
      </c>
      <c r="M10" s="212">
        <v>6473.4219999999996</v>
      </c>
      <c r="N10" s="213">
        <v>10100</v>
      </c>
    </row>
    <row r="11" spans="1:14" x14ac:dyDescent="0.2">
      <c r="A11" s="193" t="s">
        <v>32</v>
      </c>
      <c r="B11" s="187" t="s">
        <v>262</v>
      </c>
      <c r="C11" s="166" t="s">
        <v>78</v>
      </c>
      <c r="D11" s="166" t="s">
        <v>85</v>
      </c>
      <c r="E11" s="188">
        <v>1.6</v>
      </c>
      <c r="F11" s="189">
        <v>1.6695575721559062</v>
      </c>
      <c r="G11" s="190">
        <v>4.3473482597441299E-2</v>
      </c>
      <c r="H11" s="191">
        <v>0.58280542986425343</v>
      </c>
      <c r="I11" s="166" t="s">
        <v>2407</v>
      </c>
      <c r="J11" s="192">
        <v>1937.8712519697301</v>
      </c>
      <c r="K11" s="192">
        <v>968.93562598486506</v>
      </c>
      <c r="L11" s="192">
        <v>43940.824999999997</v>
      </c>
      <c r="M11" s="212">
        <v>7176.6419999999998</v>
      </c>
      <c r="N11" s="213">
        <v>12155</v>
      </c>
    </row>
    <row r="12" spans="1:14" x14ac:dyDescent="0.2">
      <c r="A12" s="193" t="s">
        <v>29</v>
      </c>
      <c r="B12" s="187" t="s">
        <v>263</v>
      </c>
      <c r="C12" s="166" t="s">
        <v>78</v>
      </c>
      <c r="D12" s="166" t="s">
        <v>85</v>
      </c>
      <c r="E12" s="188">
        <v>1.6</v>
      </c>
      <c r="F12" s="189">
        <v>1.5966128652005338</v>
      </c>
      <c r="G12" s="190">
        <v>-2.116959249666428E-3</v>
      </c>
      <c r="H12" s="191">
        <v>0.54805094558085676</v>
      </c>
      <c r="I12" s="166" t="s">
        <v>2406</v>
      </c>
      <c r="J12" s="192">
        <v>-84.166092313236291</v>
      </c>
      <c r="K12" s="192">
        <v>0</v>
      </c>
      <c r="L12" s="192">
        <v>38478.529000000002</v>
      </c>
      <c r="M12" s="212">
        <v>6282.3420000000006</v>
      </c>
      <c r="N12" s="213">
        <v>10364</v>
      </c>
    </row>
    <row r="13" spans="1:14" x14ac:dyDescent="0.2">
      <c r="A13" s="193" t="s">
        <v>23</v>
      </c>
      <c r="B13" s="187" t="s">
        <v>265</v>
      </c>
      <c r="C13" s="166" t="s">
        <v>64</v>
      </c>
      <c r="D13" s="166" t="s">
        <v>85</v>
      </c>
      <c r="E13" s="188">
        <v>1.6</v>
      </c>
      <c r="F13" s="189">
        <v>1.4592701282718794</v>
      </c>
      <c r="G13" s="190">
        <v>-8.7956169830075426E-2</v>
      </c>
      <c r="H13" s="191">
        <v>0.66050383825278414</v>
      </c>
      <c r="I13" s="166" t="s">
        <v>2406</v>
      </c>
      <c r="J13" s="192">
        <v>-3422.6509263738358</v>
      </c>
      <c r="K13" s="192">
        <v>0</v>
      </c>
      <c r="L13" s="192">
        <v>38913.141999999993</v>
      </c>
      <c r="M13" s="212">
        <v>6338.1</v>
      </c>
      <c r="N13" s="213">
        <v>9249</v>
      </c>
    </row>
    <row r="14" spans="1:14" x14ac:dyDescent="0.2">
      <c r="A14" s="193" t="s">
        <v>25</v>
      </c>
      <c r="B14" s="187" t="s">
        <v>266</v>
      </c>
      <c r="C14" s="166" t="s">
        <v>50</v>
      </c>
      <c r="D14" s="166" t="s">
        <v>85</v>
      </c>
      <c r="E14" s="188">
        <v>1.6</v>
      </c>
      <c r="F14" s="189">
        <v>1.4288896110685252</v>
      </c>
      <c r="G14" s="190">
        <v>-0.10694399308217181</v>
      </c>
      <c r="H14" s="191">
        <v>0.63464075806645082</v>
      </c>
      <c r="I14" s="166" t="s">
        <v>2406</v>
      </c>
      <c r="J14" s="192">
        <v>-3796.7719105479728</v>
      </c>
      <c r="K14" s="192">
        <v>0</v>
      </c>
      <c r="L14" s="192">
        <v>34711.653999999995</v>
      </c>
      <c r="M14" s="212">
        <v>5704.6410000000005</v>
      </c>
      <c r="N14" s="213">
        <v>8337</v>
      </c>
    </row>
    <row r="15" spans="1:14" x14ac:dyDescent="0.2">
      <c r="A15" s="193" t="s">
        <v>128</v>
      </c>
      <c r="B15" s="187" t="s">
        <v>267</v>
      </c>
      <c r="C15" s="166" t="s">
        <v>78</v>
      </c>
      <c r="D15" s="166" t="s">
        <v>85</v>
      </c>
      <c r="E15" s="188">
        <v>1.6</v>
      </c>
      <c r="F15" s="189">
        <v>1.7619806950171255</v>
      </c>
      <c r="G15" s="190">
        <v>0.10123793438570339</v>
      </c>
      <c r="H15" s="191">
        <v>0.50119208043951491</v>
      </c>
      <c r="I15" s="166" t="s">
        <v>2407</v>
      </c>
      <c r="J15" s="192">
        <v>3386.6670007866119</v>
      </c>
      <c r="K15" s="192">
        <v>1693.3335003933059</v>
      </c>
      <c r="L15" s="192">
        <v>32756.391</v>
      </c>
      <c r="M15" s="212">
        <v>5361.15</v>
      </c>
      <c r="N15" s="213">
        <v>9647</v>
      </c>
    </row>
    <row r="16" spans="1:14" x14ac:dyDescent="0.2">
      <c r="A16" s="193" t="s">
        <v>131</v>
      </c>
      <c r="B16" s="187" t="s">
        <v>268</v>
      </c>
      <c r="C16" s="166" t="s">
        <v>68</v>
      </c>
      <c r="D16" s="166" t="s">
        <v>85</v>
      </c>
      <c r="E16" s="188">
        <v>1.6</v>
      </c>
      <c r="F16" s="189">
        <v>1.6793774979959049</v>
      </c>
      <c r="G16" s="190">
        <v>4.9610936247440479E-2</v>
      </c>
      <c r="H16" s="191">
        <v>0.53480735551663749</v>
      </c>
      <c r="I16" s="166" t="s">
        <v>2407</v>
      </c>
      <c r="J16" s="192">
        <v>1668.5353483577821</v>
      </c>
      <c r="K16" s="192">
        <v>834.26767417889107</v>
      </c>
      <c r="L16" s="192">
        <v>33632.409999999996</v>
      </c>
      <c r="M16" s="212">
        <v>5440.1109999999999</v>
      </c>
      <c r="N16" s="213">
        <v>9136</v>
      </c>
    </row>
    <row r="17" spans="1:14" x14ac:dyDescent="0.2">
      <c r="A17" s="193" t="s">
        <v>127</v>
      </c>
      <c r="B17" s="187" t="s">
        <v>269</v>
      </c>
      <c r="C17" s="166" t="s">
        <v>61</v>
      </c>
      <c r="D17" s="166" t="s">
        <v>86</v>
      </c>
      <c r="E17" s="188">
        <v>1.9</v>
      </c>
      <c r="F17" s="189">
        <v>1.9701972800245917</v>
      </c>
      <c r="G17" s="190">
        <v>3.6945936855048316E-2</v>
      </c>
      <c r="H17" s="191">
        <v>0.53276711754220407</v>
      </c>
      <c r="I17" s="166" t="s">
        <v>2407</v>
      </c>
      <c r="J17" s="192">
        <v>1102.2169273296272</v>
      </c>
      <c r="K17" s="192">
        <v>551.1084636648136</v>
      </c>
      <c r="L17" s="192">
        <v>29833.237999999994</v>
      </c>
      <c r="M17" s="212">
        <v>4840.6320000000005</v>
      </c>
      <c r="N17" s="213">
        <v>9537</v>
      </c>
    </row>
    <row r="18" spans="1:14" x14ac:dyDescent="0.2">
      <c r="A18" s="193" t="s">
        <v>22</v>
      </c>
      <c r="B18" s="187" t="s">
        <v>273</v>
      </c>
      <c r="C18" s="166" t="s">
        <v>61</v>
      </c>
      <c r="D18" s="166" t="s">
        <v>86</v>
      </c>
      <c r="E18" s="188">
        <v>1.9</v>
      </c>
      <c r="F18" s="189">
        <v>1.8671963699182104</v>
      </c>
      <c r="G18" s="190">
        <v>-1.7265068464099764E-2</v>
      </c>
      <c r="H18" s="191">
        <v>0.55316121162837972</v>
      </c>
      <c r="I18" s="166" t="s">
        <v>2406</v>
      </c>
      <c r="J18" s="192">
        <v>-276.78964118083667</v>
      </c>
      <c r="K18" s="192">
        <v>0</v>
      </c>
      <c r="L18" s="192">
        <v>16031.772000000001</v>
      </c>
      <c r="M18" s="212">
        <v>2634.4309999999996</v>
      </c>
      <c r="N18" s="213">
        <v>4919</v>
      </c>
    </row>
    <row r="19" spans="1:14" x14ac:dyDescent="0.2">
      <c r="A19" s="193" t="s">
        <v>34</v>
      </c>
      <c r="B19" s="187" t="s">
        <v>278</v>
      </c>
      <c r="C19" s="166" t="s">
        <v>70</v>
      </c>
      <c r="D19" s="166" t="s">
        <v>84</v>
      </c>
      <c r="E19" s="188">
        <v>2.5</v>
      </c>
      <c r="F19" s="189">
        <v>2.1798103468971313</v>
      </c>
      <c r="G19" s="190">
        <v>-0.1280758612411475</v>
      </c>
      <c r="H19" s="191">
        <v>0.33535242290748901</v>
      </c>
      <c r="I19" s="166" t="s">
        <v>2406</v>
      </c>
      <c r="J19" s="192">
        <v>-628.77896314968223</v>
      </c>
      <c r="K19" s="192">
        <v>0</v>
      </c>
      <c r="L19" s="192">
        <v>4909.4260000000004</v>
      </c>
      <c r="M19" s="212">
        <v>833.1</v>
      </c>
      <c r="N19" s="213">
        <v>1816</v>
      </c>
    </row>
    <row r="20" spans="1:14" x14ac:dyDescent="0.2">
      <c r="A20" s="193" t="s">
        <v>35</v>
      </c>
      <c r="B20" s="187" t="s">
        <v>277</v>
      </c>
      <c r="C20" s="166" t="s">
        <v>72</v>
      </c>
      <c r="D20" s="166" t="s">
        <v>84</v>
      </c>
      <c r="E20" s="188">
        <v>2.5</v>
      </c>
      <c r="F20" s="189">
        <v>1.5445311844203811</v>
      </c>
      <c r="G20" s="190">
        <v>-0.3821875262318476</v>
      </c>
      <c r="H20" s="191">
        <v>0.49891304347826088</v>
      </c>
      <c r="I20" s="166" t="s">
        <v>2406</v>
      </c>
      <c r="J20" s="192">
        <v>-2655.0552159825397</v>
      </c>
      <c r="K20" s="192">
        <v>0</v>
      </c>
      <c r="L20" s="192">
        <v>6946.9959999999992</v>
      </c>
      <c r="M20" s="212">
        <v>1191.3</v>
      </c>
      <c r="N20" s="213">
        <v>1840</v>
      </c>
    </row>
    <row r="23" spans="1:14" ht="11.25" customHeight="1" x14ac:dyDescent="0.2">
      <c r="A23" s="223" t="s">
        <v>2408</v>
      </c>
      <c r="B23" s="224"/>
      <c r="C23" s="224"/>
      <c r="D23" s="225"/>
    </row>
    <row r="24" spans="1:14" x14ac:dyDescent="0.2">
      <c r="A24" s="226" t="s">
        <v>2409</v>
      </c>
      <c r="B24" s="227"/>
      <c r="C24" s="227"/>
      <c r="D24" s="228"/>
    </row>
    <row r="25" spans="1:14" x14ac:dyDescent="0.2">
      <c r="A25" s="36">
        <v>1</v>
      </c>
      <c r="B25" s="194" t="s">
        <v>262</v>
      </c>
      <c r="C25" s="195">
        <v>110928.42</v>
      </c>
      <c r="D25" s="195">
        <v>1000</v>
      </c>
    </row>
    <row r="26" spans="1:14" x14ac:dyDescent="0.2">
      <c r="A26" s="36">
        <v>2</v>
      </c>
      <c r="B26" s="194" t="s">
        <v>266</v>
      </c>
      <c r="C26" s="195">
        <v>96094.62</v>
      </c>
      <c r="D26" s="195">
        <v>500</v>
      </c>
    </row>
    <row r="27" spans="1:14" x14ac:dyDescent="0.2">
      <c r="A27" s="36">
        <v>3</v>
      </c>
      <c r="B27" s="194" t="s">
        <v>268</v>
      </c>
      <c r="C27" s="195">
        <v>90861.040000000008</v>
      </c>
      <c r="D27" s="195">
        <v>250</v>
      </c>
    </row>
    <row r="28" spans="1:14" x14ac:dyDescent="0.2">
      <c r="A28" s="36">
        <v>4</v>
      </c>
      <c r="B28" s="196" t="s">
        <v>260</v>
      </c>
      <c r="C28" s="197">
        <v>90699.140000000014</v>
      </c>
      <c r="D28" s="198"/>
    </row>
    <row r="29" spans="1:14" x14ac:dyDescent="0.2">
      <c r="A29" s="36">
        <v>5</v>
      </c>
      <c r="B29" s="196" t="s">
        <v>255</v>
      </c>
      <c r="C29" s="197">
        <v>89065.430000000008</v>
      </c>
      <c r="D29" s="198"/>
    </row>
    <row r="30" spans="1:14" x14ac:dyDescent="0.2">
      <c r="A30" s="36">
        <v>6</v>
      </c>
      <c r="B30" s="196" t="s">
        <v>263</v>
      </c>
      <c r="C30" s="197">
        <v>88775.42</v>
      </c>
      <c r="D30" s="198"/>
    </row>
    <row r="31" spans="1:14" x14ac:dyDescent="0.2">
      <c r="A31" s="36">
        <v>7</v>
      </c>
      <c r="B31" s="196" t="s">
        <v>261</v>
      </c>
      <c r="C31" s="197">
        <v>87252.19</v>
      </c>
      <c r="D31" s="198"/>
    </row>
    <row r="32" spans="1:14" x14ac:dyDescent="0.2">
      <c r="A32" s="36">
        <v>8</v>
      </c>
      <c r="B32" s="196" t="s">
        <v>256</v>
      </c>
      <c r="C32" s="197">
        <v>85960.23</v>
      </c>
      <c r="D32" s="198"/>
    </row>
    <row r="33" spans="1:4" x14ac:dyDescent="0.2">
      <c r="A33" s="36">
        <v>9</v>
      </c>
      <c r="B33" s="196" t="s">
        <v>265</v>
      </c>
      <c r="C33" s="197">
        <v>82808.91</v>
      </c>
      <c r="D33" s="198"/>
    </row>
    <row r="34" spans="1:4" x14ac:dyDescent="0.2">
      <c r="A34" s="36">
        <v>10</v>
      </c>
      <c r="B34" s="196" t="s">
        <v>267</v>
      </c>
      <c r="C34" s="197">
        <v>80658.7</v>
      </c>
      <c r="D34" s="198"/>
    </row>
    <row r="35" spans="1:4" x14ac:dyDescent="0.2">
      <c r="A35" s="36">
        <v>11</v>
      </c>
      <c r="B35" s="196" t="s">
        <v>275</v>
      </c>
      <c r="C35" s="197">
        <v>75478.509999999995</v>
      </c>
      <c r="D35" s="198"/>
    </row>
    <row r="36" spans="1:4" x14ac:dyDescent="0.2">
      <c r="A36" s="36">
        <v>12</v>
      </c>
      <c r="B36" s="196" t="s">
        <v>259</v>
      </c>
      <c r="C36" s="197">
        <v>70633.53</v>
      </c>
      <c r="D36" s="198"/>
    </row>
    <row r="37" spans="1:4" x14ac:dyDescent="0.2">
      <c r="A37" s="36">
        <v>13</v>
      </c>
      <c r="B37" s="196" t="s">
        <v>269</v>
      </c>
      <c r="C37" s="197">
        <v>68270.439999999988</v>
      </c>
      <c r="D37" s="198"/>
    </row>
    <row r="38" spans="1:4" x14ac:dyDescent="0.2">
      <c r="A38" s="36">
        <v>14</v>
      </c>
      <c r="B38" s="196" t="s">
        <v>257</v>
      </c>
      <c r="C38" s="197">
        <v>68024.48000000001</v>
      </c>
      <c r="D38" s="198"/>
    </row>
    <row r="39" spans="1:4" x14ac:dyDescent="0.2">
      <c r="A39" s="36">
        <v>15</v>
      </c>
      <c r="B39" s="196" t="s">
        <v>254</v>
      </c>
      <c r="C39" s="197">
        <v>59439.17</v>
      </c>
      <c r="D39" s="198"/>
    </row>
    <row r="40" spans="1:4" x14ac:dyDescent="0.2">
      <c r="A40" s="56" t="s">
        <v>236</v>
      </c>
      <c r="B40" s="56" t="s">
        <v>236</v>
      </c>
      <c r="C40" s="56" t="s">
        <v>236</v>
      </c>
    </row>
    <row r="41" spans="1:4" x14ac:dyDescent="0.2">
      <c r="A41" s="56" t="s">
        <v>236</v>
      </c>
      <c r="B41" s="56" t="s">
        <v>236</v>
      </c>
      <c r="C41" s="56" t="s">
        <v>236</v>
      </c>
    </row>
    <row r="42" spans="1:4" x14ac:dyDescent="0.2">
      <c r="A42" s="56" t="s">
        <v>236</v>
      </c>
      <c r="B42" s="56" t="s">
        <v>236</v>
      </c>
      <c r="C42" s="56" t="s">
        <v>236</v>
      </c>
    </row>
  </sheetData>
  <mergeCells count="2">
    <mergeCell ref="A23:D23"/>
    <mergeCell ref="A24:D24"/>
  </mergeCells>
  <conditionalFormatting sqref="I3:I20">
    <cfRule type="cellIs" dxfId="11" priority="11" operator="equal">
      <formula>"OK"</formula>
    </cfRule>
    <cfRule type="cellIs" dxfId="10" priority="12" operator="equal">
      <formula>"Abaixo"</formula>
    </cfRule>
  </conditionalFormatting>
  <conditionalFormatting sqref="J3:J20">
    <cfRule type="cellIs" dxfId="9" priority="9" operator="greaterThan">
      <formula>0</formula>
    </cfRule>
    <cfRule type="cellIs" dxfId="8" priority="10" operator="lessThan">
      <formula>0</formula>
    </cfRule>
  </conditionalFormatting>
  <conditionalFormatting sqref="F3:F20">
    <cfRule type="cellIs" dxfId="7" priority="7" operator="greaterThan">
      <formula>$E3</formula>
    </cfRule>
    <cfRule type="cellIs" dxfId="6" priority="8" operator="lessThan">
      <formula>$E3</formula>
    </cfRule>
  </conditionalFormatting>
  <conditionalFormatting sqref="A3:K20">
    <cfRule type="cellIs" dxfId="5" priority="4" operator="notEqual">
      <formula>""</formula>
    </cfRule>
    <cfRule type="cellIs" dxfId="4" priority="6" operator="equal">
      <formula>""</formula>
    </cfRule>
  </conditionalFormatting>
  <conditionalFormatting sqref="G3:H20">
    <cfRule type="top10" dxfId="3" priority="5" bottom="1" rank="6"/>
  </conditionalFormatting>
  <conditionalFormatting sqref="G3:G20">
    <cfRule type="top10" dxfId="2" priority="3" rank="2"/>
  </conditionalFormatting>
  <conditionalFormatting sqref="L3:N20">
    <cfRule type="cellIs" dxfId="1" priority="1" operator="notEqual">
      <formula>""</formula>
    </cfRule>
    <cfRule type="cellIs" dxfId="0" priority="2" operator="equal">
      <formula>""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DIGMANUAL</vt:lpstr>
      <vt:lpstr>MSOLICITADA</vt:lpstr>
      <vt:lpstr>MÉDIAANUAL</vt:lpstr>
      <vt:lpstr>REL-ATUA</vt:lpstr>
      <vt:lpstr>CIDADES</vt:lpstr>
      <vt:lpstr>MENSAL</vt:lpstr>
      <vt:lpstr>DATAS</vt:lpstr>
      <vt:lpstr>CODIGOSPLACAS</vt:lpstr>
      <vt:lpstr>DIESEL</vt:lpstr>
      <vt:lpstr>FORMULAS</vt:lpstr>
      <vt:lpstr>ROTAS</vt:lpstr>
      <vt:lpstr>RANKING</vt:lpstr>
      <vt:lpstr>RELATUA</vt:lpstr>
      <vt:lpstr>EXTRATO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Windows;Alexandre Rodrigues</dc:creator>
  <cp:keywords/>
  <dc:description/>
  <cp:lastModifiedBy>TCM Alexandre</cp:lastModifiedBy>
  <cp:revision/>
  <cp:lastPrinted>2023-02-03T17:00:13Z</cp:lastPrinted>
  <dcterms:created xsi:type="dcterms:W3CDTF">2019-11-30T14:56:51Z</dcterms:created>
  <dcterms:modified xsi:type="dcterms:W3CDTF">2023-02-04T12:48:37Z</dcterms:modified>
  <cp:category/>
  <cp:contentStatus/>
</cp:coreProperties>
</file>