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haleon-my.sharepoint.com/personal/gauthier_x_georgis_haleon_com/Documents/Desktop/Personal/Datacamp/Exercises/"/>
    </mc:Choice>
  </mc:AlternateContent>
  <xr:revisionPtr revIDLastSave="168" documentId="8_{7189316D-1FA4-457E-B6D5-6F6DFC40398E}" xr6:coauthVersionLast="47" xr6:coauthVersionMax="47" xr10:uidLastSave="{7CC29EF2-AD84-4B8E-9CF8-04F301DD7F16}"/>
  <bookViews>
    <workbookView xWindow="-120" yWindow="-120" windowWidth="29040" windowHeight="15840" firstSheet="3" activeTab="8" xr2:uid="{5BBF3846-4C6D-4871-B649-C959D40EA238}"/>
  </bookViews>
  <sheets>
    <sheet name="Brands per Supplier" sheetId="3" r:id="rId1"/>
    <sheet name="HealthMax Growth" sheetId="4" r:id="rId2"/>
    <sheet name="MAT Value Total Category" sheetId="6" r:id="rId3"/>
    <sheet name="Market Share" sheetId="7" r:id="rId4"/>
    <sheet name="External Data" sheetId="2" r:id="rId5"/>
    <sheet name="Profitability Matrix" sheetId="9" r:id="rId6"/>
    <sheet name="Internal Sales Data" sheetId="8" r:id="rId7"/>
    <sheet name="New Category Opportunity" sheetId="10" r:id="rId8"/>
    <sheet name="Organic Shampoo Launch" sheetId="11" r:id="rId9"/>
  </sheets>
  <definedNames>
    <definedName name="Slicer_Region">#N/A</definedName>
  </definedNames>
  <calcPr calcId="191029"/>
  <pivotCaches>
    <pivotCache cacheId="4" r:id="rId10"/>
    <pivotCache cacheId="5"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11" l="1"/>
  <c r="I2" i="11"/>
  <c r="H3" i="11"/>
  <c r="H2" i="11"/>
  <c r="G3" i="11"/>
  <c r="G2" i="11"/>
  <c r="E3" i="11"/>
  <c r="E2" i="11"/>
  <c r="C3" i="11"/>
  <c r="C2" i="11"/>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B18" i="10"/>
  <c r="K11" i="8" l="1"/>
  <c r="L9" i="8"/>
  <c r="K8" i="8"/>
  <c r="K7" i="8"/>
  <c r="L6" i="8"/>
  <c r="K3" i="8"/>
  <c r="L5" i="8"/>
  <c r="L2" i="8"/>
  <c r="L10" i="8"/>
  <c r="K12" i="8"/>
  <c r="L12" i="8" s="1"/>
  <c r="I12" i="8"/>
</calcChain>
</file>

<file path=xl/sharedStrings.xml><?xml version="1.0" encoding="utf-8"?>
<sst xmlns="http://schemas.openxmlformats.org/spreadsheetml/2006/main" count="22351" uniqueCount="105">
  <si>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</si>
  <si>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</si>
  <si>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</si>
  <si>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</si>
  <si>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</si>
  <si>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</si>
  <si>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</si>
  <si>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</si>
  <si>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</si>
  <si>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</si>
  <si>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</si>
  <si>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</si>
  <si>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</si>
  <si>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</si>
  <si>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</si>
  <si>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</si>
  <si>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</si>
  <si>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</si>
  <si>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</si>
  <si>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</si>
  <si>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</si>
  <si>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</si>
  <si>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</si>
  <si>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</si>
  <si>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</si>
  <si>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</si>
  <si>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</si>
  <si>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</si>
  <si>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</si>
  <si>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</si>
  <si>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</si>
  <si>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</si>
  <si>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</si>
  <si>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</si>
  <si>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</si>
  <si>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</si>
  <si>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</si>
  <si>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</si>
  <si>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</si>
  <si>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</si>
  <si>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</si>
  <si>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</si>
  <si>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</si>
  <si>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</si>
  <si>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</si>
  <si>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</si>
  <si>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</si>
  <si>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</si>
  <si>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</si>
  <si>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</si>
  <si>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</si>
  <si>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</si>
  <si>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</si>
  <si>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</si>
  <si>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</si>
  <si>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</si>
  <si>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</si>
  <si>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</si>
  <si>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</si>
  <si>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</si>
  <si>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</si>
  <si>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</si>
  <si>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</si>
  <si>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</si>
  <si>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</si>
  <si>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</si>
  <si>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</si>
  <si>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</si>
  <si>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</si>
  <si>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</si>
  <si>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</si>
  <si>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</si>
  <si>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</si>
  <si>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</si>
  <si>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</si>
  <si>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</si>
  <si>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</si>
  <si>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</si>
  <si>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</si>
  <si>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</si>
  <si>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</si>
  <si>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</si>
  <si>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</si>
  <si>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</si>
  <si>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</si>
  <si>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</si>
  <si>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</si>
  <si>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</si>
  <si>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</si>
  <si>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</si>
  <si>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</si>
  <si>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</si>
  <si>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</si>
  <si>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</si>
  <si>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</si>
  <si>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</si>
  <si>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Estimated FY '24 Organic subcategory value</t>
  </si>
  <si>
    <t>Sum of Units MAT</t>
  </si>
  <si>
    <t>Category</t>
  </si>
  <si>
    <t>Estimated Unit Market Share</t>
  </si>
  <si>
    <t>Estimated units sold 2024</t>
  </si>
  <si>
    <t>Net Sales</t>
  </si>
  <si>
    <t>Net Sales 2022</t>
  </si>
  <si>
    <t>HerbEssentials</t>
  </si>
  <si>
    <t>Herbashine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</si>
</sst>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23">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0" fontId="0" fillId="0" borderId="0" xfId="0" applyNumberFormat="1"/>
    <xf numFmtId="164" fontId="0" fillId="0" borderId="0" xfId="1" applyFont="1"/>
    <xf numFmtId="167" fontId="0" fillId="0" borderId="0" xfId="2" applyNumberFormat="1" applyFont="1"/>
    <xf numFmtId="0" fontId="0" fillId="0" borderId="0" xfId="0" applyNumberFormat="1" applyFont="1"/>
    <xf numFmtId="167" fontId="0" fillId="0" borderId="0" xfId="0" applyNumberFormat="1" applyFont="1"/>
    <xf numFmtId="168" fontId="0" fillId="0" borderId="0" xfId="0" applyNumberFormat="1"/>
    <xf numFmtId="169" fontId="0" fillId="0" borderId="0" xfId="1" applyNumberFormat="1" applyFont="1"/>
    <xf numFmtId="169" fontId="0" fillId="0" borderId="0" xfId="0" applyNumberFormat="1" applyFont="1"/>
    <xf numFmtId="166" fontId="0" fillId="0" borderId="0" xfId="0" applyNumberFormat="1" applyFont="1"/>
    <xf numFmtId="9" fontId="0" fillId="0" borderId="0" xfId="3" applyFont="1"/>
    <xf numFmtId="170" fontId="1" fillId="0" borderId="0" xfId="0" applyNumberFormat="1" applyFont="1"/>
    <xf numFmtId="0" fontId="2" fillId="2" borderId="1" xfId="0" applyFont="1" applyFill="1" applyBorder="1"/>
    <xf numFmtId="9" fontId="2" fillId="2" borderId="1" xfId="0" applyNumberFormat="1" applyFont="1" applyFill="1" applyBorder="1"/>
    <xf numFmtId="167" fontId="0" fillId="0" borderId="0" xfId="0" applyNumberFormat="1"/>
    <xf numFmtId="169" fontId="0" fillId="0" borderId="0" xfId="0" applyNumberFormat="1"/>
  </cellXfs>
  <cellStyles count="4">
    <cellStyle name="Comma" xfId="2" builtinId="3"/>
    <cellStyle name="Currency" xfId="1" builtinId="4"/>
    <cellStyle name="Normal" xfId="0" builtinId="0"/>
    <cellStyle name="Percent" xfId="3" builtinId="5"/>
  </cellStyles>
  <dxfs count="41">
    <dxf>
      <numFmt numFmtId="0" formatCode="General"/>
    </dxf>
    <dxf>
      <numFmt numFmtId="167" formatCode="_ * #,##0_ ;_ * \-#,##0_ ;_ * &quot;-&quot;??_ ;_ @_ "/>
    </dxf>
    <dxf>
      <numFmt numFmtId="169" formatCode="_-[$$-409]* #,##0.00_ ;_-[$$-409]* \-#,##0.00\ ;_-[$$-409]* &quot;-&quot;??_ ;_-@_ "/>
    </dxf>
    <dxf>
      <numFmt numFmtId="169" formatCode="_-[$$-409]* #,##0.00_ ;_-[$$-409]* \-#,##0.00\ ;_-[$$-409]* &quot;-&quot;??_ ;_-@_ "/>
    </dxf>
    <dxf>
      <numFmt numFmtId="166" formatCode="_-[$$-409]* #,##0_ ;_-[$$-409]* \-#,##0\ ;_-[$$-409]* &quot;-&quot;??_ ;_-@_ "/>
    </dxf>
    <dxf>
      <numFmt numFmtId="169" formatCode="_-[$$-409]* #,##0.00_ ;_-[$$-409]* \-#,##0.00\ ;_-[$$-409]* &quot;-&quot;??_ ;_-@_ "/>
    </dxf>
    <dxf>
      <numFmt numFmtId="167" formatCode="_ * #,##0_ ;_ * \-#,##0_ ;_ * &quot;-&quot;??_ ;_ @_ "/>
    </dxf>
    <dxf>
      <numFmt numFmtId="0" formatCode="General"/>
    </dxf>
    <dxf>
      <numFmt numFmtId="13" formatCode="0%"/>
    </dxf>
    <dxf>
      <numFmt numFmtId="14" formatCode="0.00%"/>
    </dxf>
    <dxf>
      <numFmt numFmtId="167" formatCode="_ * #,##0_ ;_ * \-#,##0_ ;_ * &quot;-&quot;??_ ;_ @_ "/>
    </dxf>
    <dxf>
      <numFmt numFmtId="13" formatCode="0%"/>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3" formatCode="0%"/>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6"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[2_5_new_product_launch_solution.xlsx]Market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304800</xdr:colOff>
      <xdr:row>2</xdr:row>
      <xdr:rowOff>33337</xdr:rowOff>
    </xdr:from>
    <xdr:to>
      <xdr:col>21</xdr:col>
      <xdr:colOff>218400</xdr:colOff>
      <xdr:row>30</xdr:row>
      <xdr:rowOff>99337</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0"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6" showAll="0"/>
    <pivotField showAll="0"/>
    <pivotField numFmtId="166" showAll="0"/>
    <pivotField showAll="0"/>
    <pivotField numFmtId="166"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0" numFmtId="166"/>
  </dataFields>
  <formats count="1">
    <format dxfId="4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39">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3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9">
      <pivotArea outline="0" fieldPosition="0">
        <references count="1">
          <reference field="4294967294" count="1">
            <x v="0"/>
          </reference>
        </references>
      </pivotArea>
    </format>
    <format dxfId="8">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7"/>
  </dataFields>
  <formats count="2">
    <format dxfId="11">
      <pivotArea outline="0" collapsedLevelsAreSubtotals="1" fieldPosition="0">
        <references count="1">
          <reference field="5" count="1" selected="0">
            <x v="4"/>
          </reference>
        </references>
      </pivotArea>
    </format>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38"/>
    <tableColumn id="2" xr3:uid="{E62B3F1F-9A15-44B4-B1DD-CAF27CF3C747}" name="Subcategory" dataDxfId="37"/>
    <tableColumn id="3" xr3:uid="{FA4BBA42-4CD5-4FEC-99C8-F3DEA363596F}" name="Supplier" dataDxfId="36"/>
    <tableColumn id="4" xr3:uid="{363950AD-92F1-4B62-BAD5-6C6ED9D314C8}" name="Brand" dataDxfId="35"/>
    <tableColumn id="5" xr3:uid="{278D3098-9E4F-422C-8E1A-9941BBC3EF43}" name="Region" dataDxfId="34"/>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33"/>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32"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31">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29"/>
    <tableColumn id="2" xr3:uid="{025C4312-31D3-409B-B984-DBF4AEFE2FA6}" name="Product" dataDxfId="28"/>
    <tableColumn id="3" xr3:uid="{D40B8F72-DA12-4584-B326-495AA00C251F}" name="Pack Size (ml)"/>
    <tableColumn id="4" xr3:uid="{E106DA15-1281-4518-AE4A-C358C1924FEA}" name="ProductID" dataDxfId="27"/>
    <tableColumn id="5" xr3:uid="{AE844CDE-AAF3-4312-96B5-E0534EF567F3}" name="Retail Price" dataDxfId="26" totalsRowDxfId="25" dataCellStyle="Currency"/>
    <tableColumn id="6" xr3:uid="{732BB0A7-0D20-404F-B2AF-EC6A28C2A71A}" name="Net Price" dataDxfId="24" totalsRowDxfId="23" dataCellStyle="Currency"/>
    <tableColumn id="7" xr3:uid="{BB7F7A5B-FAB9-4038-AD33-08EE0D4766AD}" name="COGS" dataDxfId="22" totalsRowDxfId="21" dataCellStyle="Currency"/>
    <tableColumn id="8" xr3:uid="{CCF364DE-01EF-4200-AB41-ED9058D076B5}" name="Volume 2022" totalsRowFunction="sum" dataDxfId="20" totalsRowDxfId="19" dataCellStyle="Comma"/>
    <tableColumn id="10" xr3:uid="{08E3A2F7-3C74-49D9-91B9-79AD4050A4A7}" name="Net Sales 2022" totalsRowFunction="sum" dataDxfId="18" totalsRowDxfId="17" dataCellStyle="Currency">
      <calculatedColumnFormula>internal_sales_data[[#This Row],[Volume 2022]]*internal_sales_data[[#This Row],[Net Price]]</calculatedColumnFormula>
    </tableColumn>
    <tableColumn id="9" xr3:uid="{3C283A83-C2B7-4006-B2BA-AFEDB11C31BE}" name="Gross Profit per unit" dataDxfId="16" totalsRowDxfId="15" dataCellStyle="Currency">
      <calculatedColumnFormula>internal_sales_data[[#This Row],[Net Price]]-internal_sales_data[[#This Row],[COGS]]</calculatedColumnFormula>
    </tableColumn>
    <tableColumn id="11" xr3:uid="{7C588C62-85DC-41E9-81C4-648DF71F5B17}" name="Gross Profit per product" totalsRowFunction="sum" dataDxfId="14" totalsRowDxfId="13" dataCellStyle="Currency">
      <calculatedColumnFormula>internal_sales_data[[#This Row],[Gross Profit per unit]]*internal_sales_data[[#This Row],[Volume 2022]]</calculatedColumnFormula>
    </tableColumn>
    <tableColumn id="12" xr3:uid="{2911D992-F8E1-40DE-AFC8-9AF339130FCA}" name="Gross Margin" totalsRowFunction="custom" totalsRowDxfId="12"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D959F3-A397-4C55-886D-FBB89AED4E27}" name="new_product_launch" displayName="new_product_launch" ref="A1:I3" totalsRowShown="0">
  <autoFilter ref="A1:I3" xr:uid="{9ED959F3-A397-4C55-886D-FBB89AED4E27}"/>
  <tableColumns count="9">
    <tableColumn id="1" xr3:uid="{B17C778E-6E64-4648-980E-01F29D1E8DBE}" name="Product" dataDxfId="7"/>
    <tableColumn id="2" xr3:uid="{6AE352D5-6C16-4164-8AC0-45FA1FF286BF}" name="Estimated Unit Market Share" dataCellStyle="Percent"/>
    <tableColumn id="3" xr3:uid="{31AA58DE-DB16-4AD7-9EE2-3FBD593D8486}" name="Estimated units sold 2024" dataDxfId="6" dataCellStyle="Comma">
      <calculatedColumnFormula>new_product_launch[[#This Row],[Estimated Unit Market Share]]*'New Category Opportunity'!$B$18</calculatedColumnFormula>
    </tableColumn>
    <tableColumn id="4" xr3:uid="{983BA861-9FD5-40BD-BAD6-5572FA3B9563}" name="Net Price" dataDxfId="5"/>
    <tableColumn id="5" xr3:uid="{8197C623-3CF8-4E81-AD27-88ADB9A58EE4}" name="Net Sales" dataDxfId="4">
      <calculatedColumnFormula>new_product_launch[[#This Row],[Net Price]]*new_product_launch[[#This Row],[Estimated units sold 2024]]</calculatedColumnFormula>
    </tableColumn>
    <tableColumn id="6" xr3:uid="{0813BA88-04DC-44D1-BBDD-F8260333BD3F}" name="COGS" dataDxfId="3"/>
    <tableColumn id="7" xr3:uid="{0BDC181A-386D-45F3-8640-F0B86C17865D}" name="Gross Profit per unit" dataDxfId="2">
      <calculatedColumnFormula>new_product_launch[[#This Row],[Net Price]]-new_product_launch[[#This Row],[COGS]]</calculatedColumnFormula>
    </tableColumn>
    <tableColumn id="8" xr3:uid="{C9FE25C5-9CBC-4262-8F58-9FAD1AFE1F38}" name="Gross Profit per product" dataDxfId="1" dataCellStyle="Comma">
      <calculatedColumnFormula>new_product_launch[[#This Row],[Gross Profit per unit]]*new_product_launch[[#This Row],[Estimated units sold 2024]]</calculatedColumnFormula>
    </tableColumn>
    <tableColumn id="9" xr3:uid="{7B898487-076D-4DC9-AC86-FE42D0850365}" name="Gross Margin" dataDxfId="0">
      <calculatedColumnFormula>new_product_launch[[#This Row],[Gross Profit per product]]/new_product_launch[[#This Row],[Net Sales]]</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5" activeCellId="15" sqref="A5:A8 A10 A12 A14 A16 A18:A19 A21 A23:A25 A30 A32 A34 A36 A38 A40:A41 A43 A45"/>
    </sheetView>
  </sheetViews>
  <sheetFormatPr defaultRowHeight="15" x14ac:dyDescent="0.25"/>
  <cols>
    <col min="1" max="1" width="23.42578125" bestFit="1" customWidth="1"/>
  </cols>
  <sheetData>
    <row r="3" spans="1:1" x14ac:dyDescent="0.25">
      <c r="A3" s="2" t="s">
        <v>58</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row r="46" spans="1:1" x14ac:dyDescent="0.25">
      <c r="A46" s="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C6" sqref="C6"/>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9" bestFit="1" customWidth="1"/>
    <col min="12" max="12" width="8" bestFit="1" customWidth="1"/>
    <col min="13" max="13" width="13.28515625" bestFit="1" customWidth="1"/>
    <col min="14" max="14" width="9" bestFit="1" customWidth="1"/>
    <col min="15" max="15" width="12" bestFit="1" customWidth="1"/>
    <col min="16" max="16" width="9" bestFit="1" customWidth="1"/>
    <col min="17" max="17" width="13.7109375" bestFit="1" customWidth="1"/>
    <col min="18" max="18" width="8.7109375" bestFit="1" customWidth="1"/>
    <col min="19" max="19" width="9" bestFit="1" customWidth="1"/>
    <col min="20" max="20" width="10" bestFit="1" customWidth="1"/>
    <col min="21" max="21" width="11" bestFit="1" customWidth="1"/>
    <col min="22" max="22" width="9.85546875" bestFit="1" customWidth="1"/>
    <col min="23" max="23" width="11" bestFit="1" customWidth="1"/>
    <col min="24" max="24" width="9" bestFit="1" customWidth="1"/>
    <col min="25" max="25" width="11.85546875" bestFit="1" customWidth="1"/>
    <col min="26" max="26" width="14.85546875" bestFit="1" customWidth="1"/>
    <col min="27" max="27" width="11.28515625" bestFit="1" customWidth="1"/>
  </cols>
  <sheetData>
    <row r="1" spans="1:4" x14ac:dyDescent="0.25">
      <c r="A1" s="2" t="s">
        <v>1</v>
      </c>
      <c r="B1" t="s">
        <v>21</v>
      </c>
    </row>
    <row r="3" spans="1:4" x14ac:dyDescent="0.25">
      <c r="A3" s="2" t="s">
        <v>61</v>
      </c>
      <c r="B3" s="2" t="s">
        <v>60</v>
      </c>
    </row>
    <row r="4" spans="1:4" x14ac:dyDescent="0.25">
      <c r="A4" s="2" t="s">
        <v>58</v>
      </c>
      <c r="B4" t="s">
        <v>22</v>
      </c>
      <c r="C4" t="s">
        <v>57</v>
      </c>
      <c r="D4" t="s">
        <v>59</v>
      </c>
    </row>
    <row r="5" spans="1:4" x14ac:dyDescent="0.25">
      <c r="A5" s="3">
        <v>2018</v>
      </c>
      <c r="B5" s="5"/>
      <c r="C5" s="5"/>
      <c r="D5" s="5"/>
    </row>
    <row r="6" spans="1:4" x14ac:dyDescent="0.25">
      <c r="A6" s="3">
        <v>2019</v>
      </c>
      <c r="B6" s="5">
        <v>-1.8851917463244935E-2</v>
      </c>
      <c r="C6" s="5">
        <v>-6.0152376717658426E-2</v>
      </c>
      <c r="D6" s="5">
        <v>-4.6397507546699364E-2</v>
      </c>
    </row>
    <row r="7" spans="1:4" x14ac:dyDescent="0.25">
      <c r="A7" s="3">
        <v>2020</v>
      </c>
      <c r="B7" s="5">
        <v>7.659905577863356E-2</v>
      </c>
      <c r="C7" s="5">
        <v>1.7745774906480036E-2</v>
      </c>
      <c r="D7" s="5">
        <v>3.7912688764357619E-2</v>
      </c>
    </row>
    <row r="8" spans="1:4" x14ac:dyDescent="0.25">
      <c r="A8" s="3">
        <v>2021</v>
      </c>
      <c r="B8" s="5">
        <v>8.9543837962540954E-3</v>
      </c>
      <c r="C8" s="5">
        <v>1.2423428548747735E-2</v>
      </c>
      <c r="D8" s="5">
        <v>1.1190403666558416E-2</v>
      </c>
    </row>
    <row r="9" spans="1:4" x14ac:dyDescent="0.25">
      <c r="A9" s="3">
        <v>2022</v>
      </c>
      <c r="B9" s="5">
        <v>6.7382398799515006E-2</v>
      </c>
      <c r="C9" s="5">
        <v>-9.1123767974869612E-5</v>
      </c>
      <c r="D9" s="5">
        <v>2.3838392205789781E-2</v>
      </c>
    </row>
    <row r="10" spans="1:4" x14ac:dyDescent="0.25">
      <c r="A10" s="3" t="s">
        <v>59</v>
      </c>
      <c r="B10" s="5"/>
      <c r="C10" s="5"/>
      <c r="D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5" x14ac:dyDescent="0.25"/>
  <cols>
    <col min="1" max="1" width="18.42578125" bestFit="1" customWidth="1"/>
    <col min="2" max="2" width="7.28515625" bestFit="1" customWidth="1"/>
  </cols>
  <sheetData>
    <row r="1" spans="1:2" x14ac:dyDescent="0.25">
      <c r="A1" s="2" t="s">
        <v>4</v>
      </c>
      <c r="B1" s="3">
        <v>2023</v>
      </c>
    </row>
    <row r="2" spans="1:2" x14ac:dyDescent="0.25">
      <c r="A2" s="2" t="s">
        <v>5</v>
      </c>
      <c r="B2" s="3">
        <v>3</v>
      </c>
    </row>
    <row r="4" spans="1:2" x14ac:dyDescent="0.25">
      <c r="A4" t="s">
        <v>67</v>
      </c>
    </row>
    <row r="5" spans="1:2" x14ac:dyDescent="0.25">
      <c r="A5" s="1">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workbookViewId="0">
      <selection activeCell="D10" sqref="D10"/>
    </sheetView>
  </sheetViews>
  <sheetFormatPr defaultRowHeight="15" x14ac:dyDescent="0.25"/>
  <cols>
    <col min="1" max="1" width="20.28515625" bestFit="1" customWidth="1"/>
    <col min="2" max="2" width="16.28515625" bestFit="1" customWidth="1"/>
    <col min="3" max="3" width="6.85546875" bestFit="1" customWidth="1"/>
    <col min="4" max="4" width="8.28515625" bestFit="1" customWidth="1"/>
    <col min="5" max="5" width="9.5703125" bestFit="1" customWidth="1"/>
    <col min="6" max="6" width="13.28515625" bestFit="1" customWidth="1"/>
    <col min="7" max="7" width="12" bestFit="1" customWidth="1"/>
    <col min="8" max="8" width="12.85546875" bestFit="1" customWidth="1"/>
    <col min="9" max="9" width="8" bestFit="1" customWidth="1"/>
    <col min="10" max="10" width="14.5703125" bestFit="1" customWidth="1"/>
    <col min="11" max="11" width="8.7109375" bestFit="1" customWidth="1"/>
    <col min="12" max="12" width="5.7109375" bestFit="1" customWidth="1"/>
    <col min="13" max="13" width="9.85546875" bestFit="1" customWidth="1"/>
    <col min="14" max="14" width="9" bestFit="1" customWidth="1"/>
    <col min="15" max="15" width="12.5703125" bestFit="1" customWidth="1"/>
    <col min="16" max="16" width="9.140625" bestFit="1" customWidth="1"/>
    <col min="17" max="17" width="14.85546875" bestFit="1" customWidth="1"/>
    <col min="18" max="18" width="15.42578125" bestFit="1" customWidth="1"/>
    <col min="19" max="19" width="13.7109375" bestFit="1" customWidth="1"/>
    <col min="20" max="20" width="8" bestFit="1" customWidth="1"/>
    <col min="21" max="21" width="6.5703125" bestFit="1" customWidth="1"/>
    <col min="22" max="22" width="12.140625" bestFit="1" customWidth="1"/>
    <col min="23" max="23" width="11.5703125" bestFit="1" customWidth="1"/>
    <col min="24" max="24" width="6.140625" bestFit="1" customWidth="1"/>
    <col min="25" max="25" width="10.7109375" bestFit="1" customWidth="1"/>
    <col min="26" max="26" width="11.85546875" bestFit="1" customWidth="1"/>
    <col min="27" max="27" width="11.28515625" bestFit="1" customWidth="1"/>
  </cols>
  <sheetData>
    <row r="3" spans="1:27" x14ac:dyDescent="0.25">
      <c r="A3" s="2" t="s">
        <v>61</v>
      </c>
      <c r="B3" s="2" t="s">
        <v>60</v>
      </c>
    </row>
    <row r="4" spans="1:27" x14ac:dyDescent="0.25">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25">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25">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25">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25">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25">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25">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workbookViewId="0"/>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1" max="11" width="14.140625" style="6" bestFit="1" customWidth="1"/>
    <col min="13" max="13" width="14" style="1" bestFit="1" customWidth="1"/>
  </cols>
  <sheetData>
    <row r="1" spans="1:13" x14ac:dyDescent="0.25">
      <c r="A1" t="s">
        <v>98</v>
      </c>
      <c r="B1" t="s">
        <v>0</v>
      </c>
      <c r="C1" t="s">
        <v>1</v>
      </c>
      <c r="D1" t="s">
        <v>2</v>
      </c>
      <c r="E1" t="s">
        <v>3</v>
      </c>
      <c r="F1" t="s">
        <v>4</v>
      </c>
      <c r="G1" t="s">
        <v>5</v>
      </c>
      <c r="H1" t="s">
        <v>62</v>
      </c>
      <c r="I1" s="1" t="s">
        <v>6</v>
      </c>
      <c r="J1" t="s">
        <v>66</v>
      </c>
      <c r="K1" s="6" t="s">
        <v>63</v>
      </c>
      <c r="L1" t="s">
        <v>64</v>
      </c>
      <c r="M1" s="1" t="s">
        <v>65</v>
      </c>
    </row>
    <row r="2" spans="1:13" x14ac:dyDescent="0.2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2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2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2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2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2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2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2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2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2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2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2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2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2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2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2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2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2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2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2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2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2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2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2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2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2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2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2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2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2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2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2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2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2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2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2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2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2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2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2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2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2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2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2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2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2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2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2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2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2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2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2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2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2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2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2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2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2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2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2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2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2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2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2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2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2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2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2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2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2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2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2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2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2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2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2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2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2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2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2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2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2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2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2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2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2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2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2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2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2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2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2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2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2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2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2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2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2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2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2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2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2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2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2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2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2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2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2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2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2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2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2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2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2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2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2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2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2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2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2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2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2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2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2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2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2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2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2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2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2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2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2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2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2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2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2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2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2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2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2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2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2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2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2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2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2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2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2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2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2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2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2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2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2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2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2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2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2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2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2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2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2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2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2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2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2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2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2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2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2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2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2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2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2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2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2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2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2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2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2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2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2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2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2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2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2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2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2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2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2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2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2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2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2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2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2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2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2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2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2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2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2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2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2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2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2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2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2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2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2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2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2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2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2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2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2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2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2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2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2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2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2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2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2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2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2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2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2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2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2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2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2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2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2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2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2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2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2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2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2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2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2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2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2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2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2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2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2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2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2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2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2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2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2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2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2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2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2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2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2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2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2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2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2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2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2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2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2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2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2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2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2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2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2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2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2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2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2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2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2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2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2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2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2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2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2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2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2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2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2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2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2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2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2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2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2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2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2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2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2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2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2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2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2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2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2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2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2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2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2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2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2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2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2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2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2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2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2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2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2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2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2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2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2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2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2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2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2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2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2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2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2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2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2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2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2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2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2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2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2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2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2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2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2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2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2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2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2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2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2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2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2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2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2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2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2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2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2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2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2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2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2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2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2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2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2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2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2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2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2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2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2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2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2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2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2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2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2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2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2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2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2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2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2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2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2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2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2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2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2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2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2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2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2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2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2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2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2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2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2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2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2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2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2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2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2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2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2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2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2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2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2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2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2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2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2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2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2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2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2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2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2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2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2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2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2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2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2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2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2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2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2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2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2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2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2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2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2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2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2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2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2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2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2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2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2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2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2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2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2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2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2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2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2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2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2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2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2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2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2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2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2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2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2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2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2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2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2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2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2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2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2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2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2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2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2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2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2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2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2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2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2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2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2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2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2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2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2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2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2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2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2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2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2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2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2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2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2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2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2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2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2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2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2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2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2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2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2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2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2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2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2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2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2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2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2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2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2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2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2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2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2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2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2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2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2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2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2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2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2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2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2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2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2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2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2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2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2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2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2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2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2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2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2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2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2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2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2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2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2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2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2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2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2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2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2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2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2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2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2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2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2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2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2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2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2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2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2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2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2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2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2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2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2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2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2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2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2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2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2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2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2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2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2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2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2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2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2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2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2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2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2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2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2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2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2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2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2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2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2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2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2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2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2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2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2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2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2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2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2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2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2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2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2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2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2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2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2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2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2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2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2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2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2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2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2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2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2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2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2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2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2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2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2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2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2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2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2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2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2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2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2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2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2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2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2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2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2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2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2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2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2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2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2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2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2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2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2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2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2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2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2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2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2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2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2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2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2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2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2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2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2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2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2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2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2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2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2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2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2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2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2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2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2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2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2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2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2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2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2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2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2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2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2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2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2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2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2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2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2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2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2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2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2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2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2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2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2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2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2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2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2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2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2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2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2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2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2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2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2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2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2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2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2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2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2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2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2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2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2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2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2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2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2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2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2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2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2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2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2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2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2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2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2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2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2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2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2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2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2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2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2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2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2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2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2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2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2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2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2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2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2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2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2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2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2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2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2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2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2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2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2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2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2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2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2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2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2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2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2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2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2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2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2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2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2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2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2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2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2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2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2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2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2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2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2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2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2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2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2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2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2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2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2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2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2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2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2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2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2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2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2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2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2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2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2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2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2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2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2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2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2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2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2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2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2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2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2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2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2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2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2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2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2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2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2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2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2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2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2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2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2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2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2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2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2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2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2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2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2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2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2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2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2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2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2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2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2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2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2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2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2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2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2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2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2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2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2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2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2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2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2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2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2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2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2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2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2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2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2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2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2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2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2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2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2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2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2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2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2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2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2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2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2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2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2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2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2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2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2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2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2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2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2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2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2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2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2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2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2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2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2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2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2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2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2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2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2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2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2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2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2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2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2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2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2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2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2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2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2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2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2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2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2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2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2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2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2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2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2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2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2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2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2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2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2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2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2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2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2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2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2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2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2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2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2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2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2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2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2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2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2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2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2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2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2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2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2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2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2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2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2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2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2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2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2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2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2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2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2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2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2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2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2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2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2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2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2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2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2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2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2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2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2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2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2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2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2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2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2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2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2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2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2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2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2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2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2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2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2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2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2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2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2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2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2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2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2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2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2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2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2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2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2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2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2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2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2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2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2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2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2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2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2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2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2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2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2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2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2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2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2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2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2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2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2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2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2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2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2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2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2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2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2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2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2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2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2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2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2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2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2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2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2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2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2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2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2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2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2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2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2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2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2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2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2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2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2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2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2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2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2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2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2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2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2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2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2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2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2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2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2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2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2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2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2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2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2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2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2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2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2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2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2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2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2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2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2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2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2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2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2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2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2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2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2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2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2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2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2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2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2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2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2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2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2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2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2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2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2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2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2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2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2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2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2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2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2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2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2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2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2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2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2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2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2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2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2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2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2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2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2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2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2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2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2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2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2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2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2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2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2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2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2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2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2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2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2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2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2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2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2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2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2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2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2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2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2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2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2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2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2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2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2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2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2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2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2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2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2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2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2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2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2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2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2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2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2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2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2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2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2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2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2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2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2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2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2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2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2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2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2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2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2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2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2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2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2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2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2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2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2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2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2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2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2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2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2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2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2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2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2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2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2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2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2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2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2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2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2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2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2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2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2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2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2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2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2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2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2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2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2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2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2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2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2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2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2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2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2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2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2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2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2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2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2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2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2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2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2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2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2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2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2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2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2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2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2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2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2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2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2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2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2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2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2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2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2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2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2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2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2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2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2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2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2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2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2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2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2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2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2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2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2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2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2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2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2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2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2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2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2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2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2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2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2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2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2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2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2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2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2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2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2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2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2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2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2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2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2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2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2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2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2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2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2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2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2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2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2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2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2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2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2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2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2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2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2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2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2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2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2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2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2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2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2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2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2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2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2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2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2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2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2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2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2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2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2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2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2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2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2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2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2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2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2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2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2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2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2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2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2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2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2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2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2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2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2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2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2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2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2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2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2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2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2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2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2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2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2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2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2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2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2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2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2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2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2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2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2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2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2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2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2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2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2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2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2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2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2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2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2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2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2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2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2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2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2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2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2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2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2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2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2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2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2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2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2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2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2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2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2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2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2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2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2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2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2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2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2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2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2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2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2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2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2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2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2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2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2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2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2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2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2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2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2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2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2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2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2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2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2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2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2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2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2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2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2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2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2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2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2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2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2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2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2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2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2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2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2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2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2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2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2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2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2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2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2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2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2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2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2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2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2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2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2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2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2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2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2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2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2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2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2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2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2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2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2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2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2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2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2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2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2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2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2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2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2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2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2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2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2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2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2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2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2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2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2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2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2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2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2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2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2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2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2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2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2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2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2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2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2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2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2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2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2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2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2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2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2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2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2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2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2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2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2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2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2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2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2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2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2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2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2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2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2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2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2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2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2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2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2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2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2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2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2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2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2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2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2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2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2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2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2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2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2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2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2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2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2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2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2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2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2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2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2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2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2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2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2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2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2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2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2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2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2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2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2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2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2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2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2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2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2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2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2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2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2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2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2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2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2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2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2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2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2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2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2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2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2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2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2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2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2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2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2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2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2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2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2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2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2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2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2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2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2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2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2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2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2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2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2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2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2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2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2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2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2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2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2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2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2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2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2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2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2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2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2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2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2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2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2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2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2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2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2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2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2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2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2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2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2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2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2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2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2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2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2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2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2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2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2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2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2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2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2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2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2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2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2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2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2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2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2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2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2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2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2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2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2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2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2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2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2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2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2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2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2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2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2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2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2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2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2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2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2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2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2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2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2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2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2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2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2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2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2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2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2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2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2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2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2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2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2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2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2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2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2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2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2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2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2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2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2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2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2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2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2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2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2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2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2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2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2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2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2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2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2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2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2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2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2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2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2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2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2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2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2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2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2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2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2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2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2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2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2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2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2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2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2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2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2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2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2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2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2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2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2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2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2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2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2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2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2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2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2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2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2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2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2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2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2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2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2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2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2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2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2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2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2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2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2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2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2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2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2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2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2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2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2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2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2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2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2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2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2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2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2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2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2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2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2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2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2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2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2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2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2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2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2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2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2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2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2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2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2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2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2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2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2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2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2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2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2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2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2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2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2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2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2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2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2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2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2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2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2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2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2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2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2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2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2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2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2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2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2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2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2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2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2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2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2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2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2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2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2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2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2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2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2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2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2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2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2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2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2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2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2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2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2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2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2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2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2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2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2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2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2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2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2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2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2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2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2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2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2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2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2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2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2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2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2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2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2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2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2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2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2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2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2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2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2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2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2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2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2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2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2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2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2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2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2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2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2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2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2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2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2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2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2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2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2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2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2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2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2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2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2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2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2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2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2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2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2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2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2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2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2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2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2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2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2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2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2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2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2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2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2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2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2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2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2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2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2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2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2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2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2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2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2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2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2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2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2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2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2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2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2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2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2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2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2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2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2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2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2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2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2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2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2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2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2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2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2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2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2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2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2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2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2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2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2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2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2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2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2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2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2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2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2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2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2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2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2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2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2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2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2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2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2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2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2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2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2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2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2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2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2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2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2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2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2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2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2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2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2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2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2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2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2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2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2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2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2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2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2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2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2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2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2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2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2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2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2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2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2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2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2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2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2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2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2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2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2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2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2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2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2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2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2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2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2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2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2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2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2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2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2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2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2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2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2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2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2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2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2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2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2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2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2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2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2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2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2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2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2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2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2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2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2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2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2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2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2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2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2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2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2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2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2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2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2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2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2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2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2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2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2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2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2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2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2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2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2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2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2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2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2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2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2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2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2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2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2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2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2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2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2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2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2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2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2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2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2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2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2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2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2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2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2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2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2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2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2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2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2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2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2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2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2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2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2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2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2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2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2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2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2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2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2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2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2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2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2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2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2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2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2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2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2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2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2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2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2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2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2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2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2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2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2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2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2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2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2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2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2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2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2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2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2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2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2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2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2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2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2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2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2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2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2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2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2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2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2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2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2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2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2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2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2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2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2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2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2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2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2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2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2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2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2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2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2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2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2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2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2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2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2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2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2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2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2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2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2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2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2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2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2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2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2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2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2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2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2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2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2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2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2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2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2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2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2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2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2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2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2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2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2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2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2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2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2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2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2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2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2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2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2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2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2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2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2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2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2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2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2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2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2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2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2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2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2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2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2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2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2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2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2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2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2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2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2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2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2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2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2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2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2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2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2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2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2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2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2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2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2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2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2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2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2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2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2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2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2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2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2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2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2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2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2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2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2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2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2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2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2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2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2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2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2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2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2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2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2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2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2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2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2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2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2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2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2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2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2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2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2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2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2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2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2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2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2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2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2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2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2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2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2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2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2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2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2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2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2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2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2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2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2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2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2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2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2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2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2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2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2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2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2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2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2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2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2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2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2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2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2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2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2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2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2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2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2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2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2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2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2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2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2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2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2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2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2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2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2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2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2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2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2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2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2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2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2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2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2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2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2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2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2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2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2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2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2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2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2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2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2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2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2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2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2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2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2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2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2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2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2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2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2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2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2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2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2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2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2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2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2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2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2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2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2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2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2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2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2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2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2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2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2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2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2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2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2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2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2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2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2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2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2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2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2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2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2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2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2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2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2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2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2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2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2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2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2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2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2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2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2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2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2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2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2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2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2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2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2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2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2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2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2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2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2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2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2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2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2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2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2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2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2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2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2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2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2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2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2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2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2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2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2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2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2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2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2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2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2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2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2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2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2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2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2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2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2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2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2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2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2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2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2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2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2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2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2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2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2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2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2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2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2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2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2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2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2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2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2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2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2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2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2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2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2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2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2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2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2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2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2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2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2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2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2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2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2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2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2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2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2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2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2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2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2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2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2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2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2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2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2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2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2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2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2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2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2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2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2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2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2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2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2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2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2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2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2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2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2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2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2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2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2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2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2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2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2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2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2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2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2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2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2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2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2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2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2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2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2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2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2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2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2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2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2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2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2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2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2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2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2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2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2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2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2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2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2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2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2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2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2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2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2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2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2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2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2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2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2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2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2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2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2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2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2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2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2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2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2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2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2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2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2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2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2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2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2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2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2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2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2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2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2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2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2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2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2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2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2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2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2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2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2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2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2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2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2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2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2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2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2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2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2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2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2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2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2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2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2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2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2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2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2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2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2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2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2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2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2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2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2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2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2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2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2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2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2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2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2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2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2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2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2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2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2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2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2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2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2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2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2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2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2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2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2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2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2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2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2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2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2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2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2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2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2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2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2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2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2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2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2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2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2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2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2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2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2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2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2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2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2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2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2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2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2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2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2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2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2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2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2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2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2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2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2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2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2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2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2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2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2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2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2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2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2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2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2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2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2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2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2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2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2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2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2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2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2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2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2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2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2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2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2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2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2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2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2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2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2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2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2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2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2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2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2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2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2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2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2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2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2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2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2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2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2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2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2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2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2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2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2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2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2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2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2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2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2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2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2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2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2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2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2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2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2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2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2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2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2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2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2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2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2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2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2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2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2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2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2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2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2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2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2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2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2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2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2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2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2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2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2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2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2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2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2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2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2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2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2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2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2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2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2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2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2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2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2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2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2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2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2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2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2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2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2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2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2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2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2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2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2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2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2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2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2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2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2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2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2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2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2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2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2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2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2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2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2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2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2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2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2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2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2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2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2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2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2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2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2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2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2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2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2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2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2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2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2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2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2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2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2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2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2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2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2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2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2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2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2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2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2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2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2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2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2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2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2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2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2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2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2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2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2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2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2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2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2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2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2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2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2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2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2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2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2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2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2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2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2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2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2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2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2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2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2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2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2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2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2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2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2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2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2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2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2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2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2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2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2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2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2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2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2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2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2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2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2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2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2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2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2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2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2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2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2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2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2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2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2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2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2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2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2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2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2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2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2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2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2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2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2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2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2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2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2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2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2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2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2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2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2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2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2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2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2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2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2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2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2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2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2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2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2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2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2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2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2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2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2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2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2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2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2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2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2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2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2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2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2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2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2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2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2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2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2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2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2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2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2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2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2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2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2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2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2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2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2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2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2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2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2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2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2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2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2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2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2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2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2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2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2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2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2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2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2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2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2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2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2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2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2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2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2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2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2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2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2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2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2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2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2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2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2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2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2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2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2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2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2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2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2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2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2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2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2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2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2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2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2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2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2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2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2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2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2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2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2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2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2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2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2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2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2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2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2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2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2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2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2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2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2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2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2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2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2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2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2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2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2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2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2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2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2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2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2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2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2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2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2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2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2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2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2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2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2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2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2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2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2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2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2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2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2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2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2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2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2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2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2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2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2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2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2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2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2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2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2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2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2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2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2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2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2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2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2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2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2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2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2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2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2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2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2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2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2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2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2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2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2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2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2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2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2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2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2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2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2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2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2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2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2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2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2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2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2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2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2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2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2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2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2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2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2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2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2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2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2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2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2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2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2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2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2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2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2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2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2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2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2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2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2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2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2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2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2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2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2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2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2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2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2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2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2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2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2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2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2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2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2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2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2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2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2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2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2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2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2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2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2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2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2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2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2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2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2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2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2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2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2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2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2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2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2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2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2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2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2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2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2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2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2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2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2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2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2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2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2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2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2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2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2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2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2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2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2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2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2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2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2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2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2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2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2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2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2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2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2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2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2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2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2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2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2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2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2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2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2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2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2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2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2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2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2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2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2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2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2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2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2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2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2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2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2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2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2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2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2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2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2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2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2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2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2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2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2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2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2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2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2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2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2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2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2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2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2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2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2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2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2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2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2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2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2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2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2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2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2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2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2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2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2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2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2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2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2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2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2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2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2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2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2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2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2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2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2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2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2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2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2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2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2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2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2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2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2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2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2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2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2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2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2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2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2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2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2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2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2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2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2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2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2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2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2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2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2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2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2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2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2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2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2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2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2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2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2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2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2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2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2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2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2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2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2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2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2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2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2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2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2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2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2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2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2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2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2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2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2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2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2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2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2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2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2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2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2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2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2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2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2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2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2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2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2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2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2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2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2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2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2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2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2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2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2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2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2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2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2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2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2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2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2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2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2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2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2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2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2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2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2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2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2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2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2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2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2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2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2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2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2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2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2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2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2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2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2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2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2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2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2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2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2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2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2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2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2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2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2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2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2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2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2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2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2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2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2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2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2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2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2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2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2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2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2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2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2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2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2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2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2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2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2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2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2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2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2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2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2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2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2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2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2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2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2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2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2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2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2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2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2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2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2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2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2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2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2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2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2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2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2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2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2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2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2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2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2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2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2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2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2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2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2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2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2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2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2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2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2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2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2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2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2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2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2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2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2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2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2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2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2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2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2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2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2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2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2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2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2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2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2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2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2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2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2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2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2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2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2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2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2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2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2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2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2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2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2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2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2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2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2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2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2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2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2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2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2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2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2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2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2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2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2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2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2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2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2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2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2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2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2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2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2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2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2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2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2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2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2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2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2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2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2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2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2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2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2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2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2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2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2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2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2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2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2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2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2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2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2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2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2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2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2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2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2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2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2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2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2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2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2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2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2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2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2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2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2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2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2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2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2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2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2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2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2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2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2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2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2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2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2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2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2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2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2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2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2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2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2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2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2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2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2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2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2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2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2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2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2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2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2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2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2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2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2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2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2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2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2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2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2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2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2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2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2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2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2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2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2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2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2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2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2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2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2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2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2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2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2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2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2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2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2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2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2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2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2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2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2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2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2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2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2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2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2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2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2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2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2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2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2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2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2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2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2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2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2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2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2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2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2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2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2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2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2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2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2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2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2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2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2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2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2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2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2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2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2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2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2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2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2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2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2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2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2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2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2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2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2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2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2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2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2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2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2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2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2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2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2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2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2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2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2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2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2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2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2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2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2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2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2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2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2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2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2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2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2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2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2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2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2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2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2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2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2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2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2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2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2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2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2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2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2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2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2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2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2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2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2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2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2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2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2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2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2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2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2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2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2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2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2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2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2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2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2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2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2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2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2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2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2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2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2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2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2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2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2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2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2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2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2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2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2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2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2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2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2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2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2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2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2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2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2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2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2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2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2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2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2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2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2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2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2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2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2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2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2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2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2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2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2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2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2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2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2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2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2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2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2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2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2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2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2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2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2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2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2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2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2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2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2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2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2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2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2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2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2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2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2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2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2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2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2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2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2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2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2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2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2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2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2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2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2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2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2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2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2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2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2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2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2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2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2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2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2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2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2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2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2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2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2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2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2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2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2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2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2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2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2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2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2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2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2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2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2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2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2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2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2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2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2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2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2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2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2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2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2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2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2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2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2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2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2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2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2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2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2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2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2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2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2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2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2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2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2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2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2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2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2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2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2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2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2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2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2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2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2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2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2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2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2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2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2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2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2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2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2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2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2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2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2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2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2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2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2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2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2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2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2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2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2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2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2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2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2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2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2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2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2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2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2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2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2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2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2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2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2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2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2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2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2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2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2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2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2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2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2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2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2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2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2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2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2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2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2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2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2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2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2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2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2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2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2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2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2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2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2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2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2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2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2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2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2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2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2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2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2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2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2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2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2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2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2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2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2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2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2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2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2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2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2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2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2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2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2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2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2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2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2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2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2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2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2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2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2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2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2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2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2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2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2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2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2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2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2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2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2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2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2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2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2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2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2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2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2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2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2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2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2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2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2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2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2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2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2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2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2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2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2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2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2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2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2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2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2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2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2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2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2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2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2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2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2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2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2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2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2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2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2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2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2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2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2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2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2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2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2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2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2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2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2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2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2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2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2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2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2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2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2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2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2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2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2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2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2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2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2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2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2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2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2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2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2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2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2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2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2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2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2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2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2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2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2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2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2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2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2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2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2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2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2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2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2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2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2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2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2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2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2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2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2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2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2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2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2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2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2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2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2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2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2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2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2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2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2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2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2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2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2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2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2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2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2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2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2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2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2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2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2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2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2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2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2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2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2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2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2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2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2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2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2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2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2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2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2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2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2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2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2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2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2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2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2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2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2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2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2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2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2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2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2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2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2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2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2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2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2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2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2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workbookViewId="0">
      <selection activeCell="A17" sqref="A17:K27"/>
    </sheetView>
  </sheetViews>
  <sheetFormatPr defaultRowHeight="15" x14ac:dyDescent="0.25"/>
  <cols>
    <col min="1" max="1" width="28.140625" bestFit="1" customWidth="1"/>
    <col min="2" max="2" width="16.28515625" bestFit="1" customWidth="1"/>
    <col min="3" max="11" width="4.5703125" bestFit="1" customWidth="1"/>
    <col min="12" max="12" width="12" bestFit="1" customWidth="1"/>
  </cols>
  <sheetData>
    <row r="3" spans="1:11" x14ac:dyDescent="0.25">
      <c r="A3" s="2" t="s">
        <v>93</v>
      </c>
      <c r="B3" s="2" t="s">
        <v>60</v>
      </c>
    </row>
    <row r="4" spans="1:11" x14ac:dyDescent="0.25">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25">
      <c r="A5" s="3" t="s">
        <v>85</v>
      </c>
      <c r="B5" s="7"/>
      <c r="C5" s="7"/>
      <c r="D5" s="7"/>
      <c r="E5" s="7">
        <v>0.18619281693140505</v>
      </c>
      <c r="F5" s="7"/>
      <c r="G5" s="7"/>
      <c r="H5" s="7"/>
      <c r="I5" s="7"/>
      <c r="J5" s="7"/>
      <c r="K5" s="7"/>
    </row>
    <row r="6" spans="1:11" x14ac:dyDescent="0.25">
      <c r="A6" s="3" t="s">
        <v>86</v>
      </c>
      <c r="B6" s="7"/>
      <c r="C6" s="7"/>
      <c r="D6" s="7"/>
      <c r="E6" s="7"/>
      <c r="F6" s="7"/>
      <c r="G6" s="7">
        <v>9.6896202583240873E-2</v>
      </c>
      <c r="H6" s="7"/>
      <c r="I6" s="7"/>
      <c r="J6" s="7"/>
      <c r="K6" s="7"/>
    </row>
    <row r="7" spans="1:11" x14ac:dyDescent="0.25">
      <c r="A7" s="3" t="s">
        <v>87</v>
      </c>
      <c r="B7" s="7"/>
      <c r="C7" s="7"/>
      <c r="D7" s="7"/>
      <c r="E7" s="7"/>
      <c r="F7" s="7"/>
      <c r="G7" s="7"/>
      <c r="H7" s="7"/>
      <c r="I7" s="7">
        <v>9.6896119578325834E-2</v>
      </c>
      <c r="J7" s="7"/>
      <c r="K7" s="7"/>
    </row>
    <row r="8" spans="1:11" x14ac:dyDescent="0.25">
      <c r="A8" s="3" t="s">
        <v>88</v>
      </c>
      <c r="B8" s="7"/>
      <c r="C8" s="7"/>
      <c r="D8" s="7"/>
      <c r="E8" s="7"/>
      <c r="F8" s="7"/>
      <c r="G8" s="7"/>
      <c r="H8" s="7"/>
      <c r="I8" s="7"/>
      <c r="J8" s="7"/>
      <c r="K8" s="7">
        <v>6.8397319470522966E-2</v>
      </c>
    </row>
    <row r="9" spans="1:11" x14ac:dyDescent="0.25">
      <c r="A9" s="3" t="s">
        <v>78</v>
      </c>
      <c r="B9" s="7"/>
      <c r="C9" s="7"/>
      <c r="D9" s="7"/>
      <c r="E9" s="7"/>
      <c r="F9" s="7">
        <v>9.8241009155398171E-2</v>
      </c>
      <c r="G9" s="7"/>
      <c r="H9" s="7"/>
      <c r="I9" s="7"/>
      <c r="J9" s="7"/>
      <c r="K9" s="7"/>
    </row>
    <row r="10" spans="1:11" x14ac:dyDescent="0.25">
      <c r="A10" s="3" t="s">
        <v>80</v>
      </c>
      <c r="B10" s="7">
        <v>4.7426625718030961E-2</v>
      </c>
      <c r="C10" s="7"/>
      <c r="D10" s="7"/>
      <c r="E10" s="7"/>
      <c r="F10" s="7"/>
      <c r="G10" s="7"/>
      <c r="H10" s="7"/>
      <c r="I10" s="7"/>
      <c r="J10" s="7"/>
      <c r="K10" s="7"/>
    </row>
    <row r="11" spans="1:11" x14ac:dyDescent="0.25">
      <c r="A11" s="3" t="s">
        <v>82</v>
      </c>
      <c r="B11" s="7"/>
      <c r="C11" s="7">
        <v>4.178071928534096E-2</v>
      </c>
      <c r="D11" s="7"/>
      <c r="E11" s="7"/>
      <c r="F11" s="7"/>
      <c r="G11" s="7"/>
      <c r="H11" s="7"/>
      <c r="I11" s="7"/>
      <c r="J11" s="7"/>
      <c r="K11" s="7"/>
    </row>
    <row r="12" spans="1:11" x14ac:dyDescent="0.25">
      <c r="A12" s="3" t="s">
        <v>76</v>
      </c>
      <c r="B12" s="7"/>
      <c r="C12" s="7"/>
      <c r="D12" s="7"/>
      <c r="E12" s="7"/>
      <c r="F12" s="7"/>
      <c r="G12" s="7"/>
      <c r="H12" s="7"/>
      <c r="I12" s="7"/>
      <c r="J12" s="7">
        <v>0.17502703482289086</v>
      </c>
      <c r="K12" s="7"/>
    </row>
    <row r="13" spans="1:11" x14ac:dyDescent="0.25">
      <c r="A13" s="3" t="s">
        <v>81</v>
      </c>
      <c r="B13" s="7"/>
      <c r="C13" s="7"/>
      <c r="D13" s="7">
        <v>0.11856673518754952</v>
      </c>
      <c r="E13" s="7"/>
      <c r="F13" s="7"/>
      <c r="G13" s="7"/>
      <c r="H13" s="7"/>
      <c r="I13" s="7"/>
      <c r="J13" s="7"/>
      <c r="K13" s="7"/>
    </row>
    <row r="14" spans="1:11" x14ac:dyDescent="0.25">
      <c r="A14" s="3" t="s">
        <v>83</v>
      </c>
      <c r="B14" s="7"/>
      <c r="C14" s="7"/>
      <c r="D14" s="7"/>
      <c r="E14" s="7"/>
      <c r="F14" s="7"/>
      <c r="G14" s="7"/>
      <c r="H14" s="7">
        <v>7.0575417267294702E-2</v>
      </c>
      <c r="I14" s="7"/>
      <c r="J14" s="7"/>
      <c r="K14" s="7"/>
    </row>
    <row r="17" spans="1:11" x14ac:dyDescent="0.25">
      <c r="A17" s="19" t="s">
        <v>58</v>
      </c>
      <c r="B17" s="20">
        <v>0.64285714285714279</v>
      </c>
      <c r="C17" s="20">
        <v>0.64864864864864868</v>
      </c>
      <c r="D17" s="20">
        <v>0.65714285714285714</v>
      </c>
      <c r="E17" s="20">
        <v>0.67142857142857149</v>
      </c>
      <c r="F17" s="20">
        <v>0.67241379310344829</v>
      </c>
      <c r="G17" s="20">
        <v>0.69411764705882362</v>
      </c>
      <c r="H17" s="20">
        <v>0.7</v>
      </c>
      <c r="I17" s="20">
        <v>0.70588235294117641</v>
      </c>
      <c r="J17" s="20">
        <v>0.70967741935483875</v>
      </c>
      <c r="K17" s="20">
        <v>0.71666666666666667</v>
      </c>
    </row>
    <row r="18" spans="1:11" x14ac:dyDescent="0.25">
      <c r="A18" s="3" t="s">
        <v>85</v>
      </c>
      <c r="B18" s="7"/>
      <c r="C18" s="7"/>
      <c r="D18" s="7"/>
      <c r="E18" s="7">
        <v>0.18619281693140505</v>
      </c>
      <c r="F18" s="7"/>
      <c r="G18" s="7"/>
      <c r="H18" s="7"/>
      <c r="I18" s="7"/>
      <c r="J18" s="7"/>
      <c r="K18" s="7"/>
    </row>
    <row r="19" spans="1:11" x14ac:dyDescent="0.25">
      <c r="A19" s="3" t="s">
        <v>86</v>
      </c>
      <c r="B19" s="7"/>
      <c r="C19" s="7"/>
      <c r="D19" s="7"/>
      <c r="E19" s="7"/>
      <c r="F19" s="7"/>
      <c r="G19" s="7">
        <v>9.6896202583240873E-2</v>
      </c>
      <c r="H19" s="7"/>
      <c r="I19" s="7"/>
      <c r="J19" s="7"/>
      <c r="K19" s="7"/>
    </row>
    <row r="20" spans="1:11" x14ac:dyDescent="0.25">
      <c r="A20" s="3" t="s">
        <v>87</v>
      </c>
      <c r="B20" s="7"/>
      <c r="C20" s="7"/>
      <c r="D20" s="7"/>
      <c r="E20" s="7"/>
      <c r="F20" s="7"/>
      <c r="G20" s="7"/>
      <c r="H20" s="7"/>
      <c r="I20" s="7">
        <v>9.6896119578325834E-2</v>
      </c>
      <c r="J20" s="7"/>
      <c r="K20" s="7"/>
    </row>
    <row r="21" spans="1:11" x14ac:dyDescent="0.25">
      <c r="A21" s="3" t="s">
        <v>88</v>
      </c>
      <c r="B21" s="7"/>
      <c r="C21" s="7"/>
      <c r="D21" s="7"/>
      <c r="E21" s="7"/>
      <c r="F21" s="7"/>
      <c r="G21" s="7"/>
      <c r="H21" s="7"/>
      <c r="I21" s="7"/>
      <c r="J21" s="7"/>
      <c r="K21" s="7">
        <v>6.8397319470522966E-2</v>
      </c>
    </row>
    <row r="22" spans="1:11" x14ac:dyDescent="0.25">
      <c r="A22" s="3" t="s">
        <v>78</v>
      </c>
      <c r="B22" s="7"/>
      <c r="C22" s="7"/>
      <c r="D22" s="7"/>
      <c r="E22" s="7"/>
      <c r="F22" s="7">
        <v>9.8241009155398171E-2</v>
      </c>
      <c r="G22" s="7"/>
      <c r="H22" s="7"/>
      <c r="I22" s="7"/>
      <c r="J22" s="7"/>
      <c r="K22" s="7"/>
    </row>
    <row r="23" spans="1:11" x14ac:dyDescent="0.25">
      <c r="A23" s="3" t="s">
        <v>80</v>
      </c>
      <c r="B23" s="7">
        <v>4.7426625718030961E-2</v>
      </c>
      <c r="C23" s="7"/>
      <c r="D23" s="7"/>
      <c r="E23" s="7"/>
      <c r="F23" s="7"/>
      <c r="G23" s="7"/>
      <c r="H23" s="7"/>
      <c r="I23" s="7"/>
      <c r="J23" s="7"/>
      <c r="K23" s="7"/>
    </row>
    <row r="24" spans="1:11" x14ac:dyDescent="0.25">
      <c r="A24" s="3" t="s">
        <v>82</v>
      </c>
      <c r="B24" s="7"/>
      <c r="C24" s="7">
        <v>4.178071928534096E-2</v>
      </c>
      <c r="D24" s="7"/>
      <c r="E24" s="7"/>
      <c r="F24" s="7"/>
      <c r="G24" s="7"/>
      <c r="H24" s="7"/>
      <c r="I24" s="7"/>
      <c r="J24" s="7"/>
      <c r="K24" s="7"/>
    </row>
    <row r="25" spans="1:11" x14ac:dyDescent="0.25">
      <c r="A25" s="3" t="s">
        <v>76</v>
      </c>
      <c r="B25" s="7"/>
      <c r="C25" s="7"/>
      <c r="D25" s="7"/>
      <c r="E25" s="7"/>
      <c r="F25" s="7"/>
      <c r="G25" s="7"/>
      <c r="H25" s="7"/>
      <c r="I25" s="7"/>
      <c r="J25" s="7">
        <v>0.17502703482289086</v>
      </c>
      <c r="K25" s="7"/>
    </row>
    <row r="26" spans="1:11" x14ac:dyDescent="0.25">
      <c r="A26" s="3" t="s">
        <v>81</v>
      </c>
      <c r="B26" s="7"/>
      <c r="C26" s="7"/>
      <c r="D26" s="7">
        <v>0.11856673518754952</v>
      </c>
      <c r="E26" s="7"/>
      <c r="F26" s="7"/>
      <c r="G26" s="7"/>
      <c r="H26" s="7"/>
      <c r="I26" s="7"/>
      <c r="J26" s="7"/>
      <c r="K26" s="7"/>
    </row>
    <row r="27" spans="1:11" x14ac:dyDescent="0.25">
      <c r="A27" s="3" t="s">
        <v>83</v>
      </c>
      <c r="B27" s="7"/>
      <c r="C27" s="7"/>
      <c r="D27" s="7"/>
      <c r="E27" s="7"/>
      <c r="F27" s="7"/>
      <c r="G27" s="7"/>
      <c r="H27" s="7">
        <v>7.0575417267294702E-2</v>
      </c>
      <c r="I27" s="7"/>
      <c r="J27" s="7"/>
      <c r="K27" s="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23"/>
  <sheetViews>
    <sheetView workbookViewId="0">
      <selection activeCell="I1" sqref="I1"/>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9" bestFit="1" customWidth="1"/>
    <col min="6" max="6" width="12.28515625" style="9" bestFit="1" customWidth="1"/>
    <col min="7" max="7" width="9.140625" style="9" bestFit="1" customWidth="1"/>
    <col min="8" max="8" width="15.7109375" style="10" bestFit="1" customWidth="1"/>
    <col min="9" max="9" width="15" bestFit="1" customWidth="1"/>
    <col min="10" max="10" width="9.28515625" bestFit="1" customWidth="1"/>
    <col min="11" max="11" width="14" bestFit="1" customWidth="1"/>
  </cols>
  <sheetData>
    <row r="1" spans="1:13" x14ac:dyDescent="0.25">
      <c r="A1" t="s">
        <v>2</v>
      </c>
      <c r="B1" t="s">
        <v>68</v>
      </c>
      <c r="C1" t="s">
        <v>69</v>
      </c>
      <c r="D1" t="s">
        <v>70</v>
      </c>
      <c r="E1" s="9" t="s">
        <v>71</v>
      </c>
      <c r="F1" s="9" t="s">
        <v>72</v>
      </c>
      <c r="G1" s="9" t="s">
        <v>73</v>
      </c>
      <c r="H1" s="10" t="s">
        <v>74</v>
      </c>
      <c r="I1" t="s">
        <v>102</v>
      </c>
      <c r="J1" t="s">
        <v>94</v>
      </c>
      <c r="K1" t="s">
        <v>90</v>
      </c>
      <c r="L1" t="s">
        <v>91</v>
      </c>
      <c r="M1" t="s">
        <v>92</v>
      </c>
    </row>
    <row r="2" spans="1:13" x14ac:dyDescent="0.25">
      <c r="A2" s="8" t="s">
        <v>57</v>
      </c>
      <c r="B2" s="8" t="s">
        <v>75</v>
      </c>
      <c r="C2">
        <v>100</v>
      </c>
      <c r="D2" s="8" t="s">
        <v>76</v>
      </c>
      <c r="E2" s="14">
        <v>5</v>
      </c>
      <c r="F2" s="14">
        <v>3.1</v>
      </c>
      <c r="G2" s="14">
        <v>0.9</v>
      </c>
      <c r="H2" s="10">
        <v>1156348</v>
      </c>
      <c r="I2" s="6">
        <f>internal_sales_data[[#This Row],[Volume 2022]]*internal_sales_data[[#This Row],[Net Price]]</f>
        <v>3584678.8000000003</v>
      </c>
      <c r="J2" s="14">
        <f>internal_sales_data[[#This Row],[Net Price]]-internal_sales_data[[#This Row],[COGS]]</f>
        <v>2.2000000000000002</v>
      </c>
      <c r="K2" s="6">
        <f>internal_sales_data[[#This Row],[Gross Profit per unit]]*internal_sales_data[[#This Row],[Volume 2022]]</f>
        <v>2543965.6</v>
      </c>
      <c r="L2" s="17">
        <f>internal_sales_data[[#This Row],[Gross Profit per unit]]/internal_sales_data[[#This Row],[Net Price]]</f>
        <v>0.70967741935483875</v>
      </c>
      <c r="M2" s="17">
        <f>internal_sales_data[[#This Row],[Net Sales 2022]]/internal_sales_data[[#Totals],[Net Sales 2022]]</f>
        <v>0.17502703482289086</v>
      </c>
    </row>
    <row r="3" spans="1:13" x14ac:dyDescent="0.25">
      <c r="A3" s="8" t="s">
        <v>57</v>
      </c>
      <c r="B3" s="8" t="s">
        <v>77</v>
      </c>
      <c r="C3">
        <v>100</v>
      </c>
      <c r="D3" s="8" t="s">
        <v>78</v>
      </c>
      <c r="E3" s="14">
        <v>5</v>
      </c>
      <c r="F3" s="14">
        <v>2.9</v>
      </c>
      <c r="G3" s="14">
        <v>0.95</v>
      </c>
      <c r="H3" s="10">
        <v>693809</v>
      </c>
      <c r="I3" s="6">
        <f>internal_sales_data[[#This Row],[Volume 2022]]*internal_sales_data[[#This Row],[Net Price]]</f>
        <v>2012046.0999999999</v>
      </c>
      <c r="J3" s="14">
        <f>internal_sales_data[[#This Row],[Net Price]]-internal_sales_data[[#This Row],[COGS]]</f>
        <v>1.95</v>
      </c>
      <c r="K3" s="6">
        <f>internal_sales_data[[#This Row],[Gross Profit per unit]]*internal_sales_data[[#This Row],[Volume 2022]]</f>
        <v>1352927.55</v>
      </c>
      <c r="L3" s="17">
        <f>internal_sales_data[[#This Row],[Gross Profit per unit]]/internal_sales_data[[#This Row],[Net Price]]</f>
        <v>0.67241379310344829</v>
      </c>
      <c r="M3" s="17">
        <f>internal_sales_data[[#This Row],[Net Sales 2022]]/internal_sales_data[[#Totals],[Net Sales 2022]]</f>
        <v>9.8241009155398171E-2</v>
      </c>
    </row>
    <row r="4" spans="1:13" x14ac:dyDescent="0.25">
      <c r="A4" s="8" t="s">
        <v>57</v>
      </c>
      <c r="B4" s="8" t="s">
        <v>79</v>
      </c>
      <c r="C4">
        <v>100</v>
      </c>
      <c r="D4" s="8" t="s">
        <v>80</v>
      </c>
      <c r="E4" s="14">
        <v>5</v>
      </c>
      <c r="F4" s="14">
        <v>2.8</v>
      </c>
      <c r="G4" s="14">
        <v>1</v>
      </c>
      <c r="H4" s="10">
        <v>346904</v>
      </c>
      <c r="I4" s="6">
        <f>internal_sales_data[[#This Row],[Volume 2022]]*internal_sales_data[[#This Row],[Net Price]]</f>
        <v>971331.2</v>
      </c>
      <c r="J4" s="14">
        <f>internal_sales_data[[#This Row],[Net Price]]-internal_sales_data[[#This Row],[COGS]]</f>
        <v>1.7999999999999998</v>
      </c>
      <c r="K4" s="6">
        <f>internal_sales_data[[#This Row],[Gross Profit per unit]]*internal_sales_data[[#This Row],[Volume 2022]]</f>
        <v>624427.19999999995</v>
      </c>
      <c r="L4" s="17">
        <f>internal_sales_data[[#This Row],[Gross Profit per unit]]/internal_sales_data[[#This Row],[Net Price]]</f>
        <v>0.64285714285714279</v>
      </c>
      <c r="M4" s="17">
        <f>internal_sales_data[[#This Row],[Net Sales 2022]]/internal_sales_data[[#Totals],[Net Sales 2022]]</f>
        <v>4.7426625718030961E-2</v>
      </c>
    </row>
    <row r="5" spans="1:13" x14ac:dyDescent="0.25">
      <c r="A5" s="8" t="s">
        <v>57</v>
      </c>
      <c r="B5" s="8" t="s">
        <v>75</v>
      </c>
      <c r="C5">
        <v>150</v>
      </c>
      <c r="D5" s="8" t="s">
        <v>81</v>
      </c>
      <c r="E5" s="14">
        <v>7</v>
      </c>
      <c r="F5" s="14">
        <v>3.5</v>
      </c>
      <c r="G5" s="14">
        <v>1.2</v>
      </c>
      <c r="H5" s="10">
        <v>693809</v>
      </c>
      <c r="I5" s="6">
        <f>internal_sales_data[[#This Row],[Volume 2022]]*internal_sales_data[[#This Row],[Net Price]]</f>
        <v>2428331.5</v>
      </c>
      <c r="J5" s="14">
        <f>internal_sales_data[[#This Row],[Net Price]]-internal_sales_data[[#This Row],[COGS]]</f>
        <v>2.2999999999999998</v>
      </c>
      <c r="K5" s="6">
        <f>internal_sales_data[[#This Row],[Gross Profit per unit]]*internal_sales_data[[#This Row],[Volume 2022]]</f>
        <v>1595760.7</v>
      </c>
      <c r="L5" s="17">
        <f>internal_sales_data[[#This Row],[Gross Profit per unit]]/internal_sales_data[[#This Row],[Net Price]]</f>
        <v>0.65714285714285714</v>
      </c>
      <c r="M5" s="17">
        <f>internal_sales_data[[#This Row],[Net Sales 2022]]/internal_sales_data[[#Totals],[Net Sales 2022]]</f>
        <v>0.11856673518754952</v>
      </c>
    </row>
    <row r="6" spans="1:13" x14ac:dyDescent="0.25">
      <c r="A6" s="8" t="s">
        <v>57</v>
      </c>
      <c r="B6" s="8" t="s">
        <v>79</v>
      </c>
      <c r="C6">
        <v>150</v>
      </c>
      <c r="D6" s="8" t="s">
        <v>82</v>
      </c>
      <c r="E6" s="14">
        <v>7.25</v>
      </c>
      <c r="F6" s="14">
        <v>3.7</v>
      </c>
      <c r="G6" s="14">
        <v>1.3</v>
      </c>
      <c r="H6" s="10">
        <v>231270</v>
      </c>
      <c r="I6" s="6">
        <f>internal_sales_data[[#This Row],[Volume 2022]]*internal_sales_data[[#This Row],[Net Price]]</f>
        <v>855699</v>
      </c>
      <c r="J6" s="14">
        <f>internal_sales_data[[#This Row],[Net Price]]-internal_sales_data[[#This Row],[COGS]]</f>
        <v>2.4000000000000004</v>
      </c>
      <c r="K6" s="6">
        <f>internal_sales_data[[#This Row],[Gross Profit per unit]]*internal_sales_data[[#This Row],[Volume 2022]]</f>
        <v>555048.00000000012</v>
      </c>
      <c r="L6" s="17">
        <f>internal_sales_data[[#This Row],[Gross Profit per unit]]/internal_sales_data[[#This Row],[Net Price]]</f>
        <v>0.64864864864864868</v>
      </c>
      <c r="M6" s="17">
        <f>internal_sales_data[[#This Row],[Net Sales 2022]]/internal_sales_data[[#Totals],[Net Sales 2022]]</f>
        <v>4.178071928534096E-2</v>
      </c>
    </row>
    <row r="7" spans="1:13" x14ac:dyDescent="0.25">
      <c r="A7" s="8" t="s">
        <v>57</v>
      </c>
      <c r="B7" s="8" t="s">
        <v>75</v>
      </c>
      <c r="C7">
        <v>200</v>
      </c>
      <c r="D7" s="8" t="s">
        <v>83</v>
      </c>
      <c r="E7" s="14">
        <v>9</v>
      </c>
      <c r="F7" s="14">
        <v>5</v>
      </c>
      <c r="G7" s="14">
        <v>1.5</v>
      </c>
      <c r="H7" s="10">
        <v>289087</v>
      </c>
      <c r="I7" s="6">
        <f>internal_sales_data[[#This Row],[Volume 2022]]*internal_sales_data[[#This Row],[Net Price]]</f>
        <v>1445435</v>
      </c>
      <c r="J7" s="14">
        <f>internal_sales_data[[#This Row],[Net Price]]-internal_sales_data[[#This Row],[COGS]]</f>
        <v>3.5</v>
      </c>
      <c r="K7" s="6">
        <f>internal_sales_data[[#This Row],[Gross Profit per unit]]*internal_sales_data[[#This Row],[Volume 2022]]</f>
        <v>1011804.5</v>
      </c>
      <c r="L7" s="17">
        <f>internal_sales_data[[#This Row],[Gross Profit per unit]]/internal_sales_data[[#This Row],[Net Price]]</f>
        <v>0.7</v>
      </c>
      <c r="M7" s="17">
        <f>internal_sales_data[[#This Row],[Net Sales 2022]]/internal_sales_data[[#Totals],[Net Sales 2022]]</f>
        <v>7.0575417267294702E-2</v>
      </c>
    </row>
    <row r="8" spans="1:13" x14ac:dyDescent="0.25">
      <c r="A8" s="8" t="s">
        <v>22</v>
      </c>
      <c r="B8" s="8" t="s">
        <v>84</v>
      </c>
      <c r="C8">
        <v>100</v>
      </c>
      <c r="D8" s="8" t="s">
        <v>85</v>
      </c>
      <c r="E8" s="14">
        <v>6</v>
      </c>
      <c r="F8" s="14">
        <v>3.5</v>
      </c>
      <c r="G8" s="14">
        <v>1.1499999999999999</v>
      </c>
      <c r="H8" s="10">
        <v>1089532</v>
      </c>
      <c r="I8" s="6">
        <f>internal_sales_data[[#This Row],[Volume 2022]]*internal_sales_data[[#This Row],[Net Price]]</f>
        <v>3813362</v>
      </c>
      <c r="J8" s="14">
        <f>internal_sales_data[[#This Row],[Net Price]]-internal_sales_data[[#This Row],[COGS]]</f>
        <v>2.35</v>
      </c>
      <c r="K8" s="6">
        <f>internal_sales_data[[#This Row],[Gross Profit per unit]]*internal_sales_data[[#This Row],[Volume 2022]]</f>
        <v>2560400.2000000002</v>
      </c>
      <c r="L8" s="17">
        <f>internal_sales_data[[#This Row],[Gross Profit per unit]]/internal_sales_data[[#This Row],[Net Price]]</f>
        <v>0.67142857142857149</v>
      </c>
      <c r="M8" s="17">
        <f>internal_sales_data[[#This Row],[Net Sales 2022]]/internal_sales_data[[#Totals],[Net Sales 2022]]</f>
        <v>0.18619281693140505</v>
      </c>
    </row>
    <row r="9" spans="1:13" x14ac:dyDescent="0.25">
      <c r="A9" s="8" t="s">
        <v>22</v>
      </c>
      <c r="B9" s="8" t="s">
        <v>84</v>
      </c>
      <c r="C9">
        <v>125</v>
      </c>
      <c r="D9" s="8" t="s">
        <v>86</v>
      </c>
      <c r="E9" s="14">
        <v>7</v>
      </c>
      <c r="F9" s="14">
        <v>4.25</v>
      </c>
      <c r="G9" s="14">
        <v>1.3</v>
      </c>
      <c r="H9" s="10">
        <v>466942</v>
      </c>
      <c r="I9" s="6">
        <f>internal_sales_data[[#This Row],[Volume 2022]]*internal_sales_data[[#This Row],[Net Price]]</f>
        <v>1984503.5</v>
      </c>
      <c r="J9" s="14">
        <f>internal_sales_data[[#This Row],[Net Price]]-internal_sales_data[[#This Row],[COGS]]</f>
        <v>2.95</v>
      </c>
      <c r="K9" s="6">
        <f>internal_sales_data[[#This Row],[Gross Profit per unit]]*internal_sales_data[[#This Row],[Volume 2022]]</f>
        <v>1377478.9000000001</v>
      </c>
      <c r="L9" s="17">
        <f>internal_sales_data[[#This Row],[Gross Profit per unit]]/internal_sales_data[[#This Row],[Net Price]]</f>
        <v>0.69411764705882362</v>
      </c>
      <c r="M9" s="17">
        <f>internal_sales_data[[#This Row],[Net Sales 2022]]/internal_sales_data[[#Totals],[Net Sales 2022]]</f>
        <v>9.6896202583240873E-2</v>
      </c>
    </row>
    <row r="10" spans="1:13" x14ac:dyDescent="0.25">
      <c r="A10" s="8" t="s">
        <v>22</v>
      </c>
      <c r="B10" s="8" t="s">
        <v>84</v>
      </c>
      <c r="C10">
        <v>150</v>
      </c>
      <c r="D10" s="8" t="s">
        <v>87</v>
      </c>
      <c r="E10" s="14">
        <v>8</v>
      </c>
      <c r="F10" s="14">
        <v>5.0999999999999996</v>
      </c>
      <c r="G10" s="14">
        <v>1.5</v>
      </c>
      <c r="H10" s="10">
        <v>389118</v>
      </c>
      <c r="I10" s="6">
        <f>internal_sales_data[[#This Row],[Volume 2022]]*internal_sales_data[[#This Row],[Net Price]]</f>
        <v>1984501.7999999998</v>
      </c>
      <c r="J10" s="14">
        <f>internal_sales_data[[#This Row],[Net Price]]-internal_sales_data[[#This Row],[COGS]]</f>
        <v>3.5999999999999996</v>
      </c>
      <c r="K10" s="6">
        <f>internal_sales_data[[#This Row],[Gross Profit per unit]]*internal_sales_data[[#This Row],[Volume 2022]]</f>
        <v>1400824.7999999998</v>
      </c>
      <c r="L10" s="17">
        <f>internal_sales_data[[#This Row],[Gross Profit per unit]]/internal_sales_data[[#This Row],[Net Price]]</f>
        <v>0.70588235294117641</v>
      </c>
      <c r="M10" s="17">
        <f>internal_sales_data[[#This Row],[Net Sales 2022]]/internal_sales_data[[#Totals],[Net Sales 2022]]</f>
        <v>9.6896119578325834E-2</v>
      </c>
    </row>
    <row r="11" spans="1:13" x14ac:dyDescent="0.25">
      <c r="A11" s="8" t="s">
        <v>22</v>
      </c>
      <c r="B11" s="8" t="s">
        <v>84</v>
      </c>
      <c r="C11">
        <v>200</v>
      </c>
      <c r="D11" s="8" t="s">
        <v>88</v>
      </c>
      <c r="E11" s="14">
        <v>10</v>
      </c>
      <c r="F11" s="14">
        <v>6</v>
      </c>
      <c r="G11" s="14">
        <v>1.7</v>
      </c>
      <c r="H11" s="10">
        <v>233471</v>
      </c>
      <c r="I11" s="6">
        <f>internal_sales_data[[#This Row],[Volume 2022]]*internal_sales_data[[#This Row],[Net Price]]</f>
        <v>1400826</v>
      </c>
      <c r="J11" s="14">
        <f>internal_sales_data[[#This Row],[Net Price]]-internal_sales_data[[#This Row],[COGS]]</f>
        <v>4.3</v>
      </c>
      <c r="K11" s="6">
        <f>internal_sales_data[[#This Row],[Gross Profit per unit]]*internal_sales_data[[#This Row],[Volume 2022]]</f>
        <v>1003925.2999999999</v>
      </c>
      <c r="L11" s="17">
        <f>internal_sales_data[[#This Row],[Gross Profit per unit]]/internal_sales_data[[#This Row],[Net Price]]</f>
        <v>0.71666666666666667</v>
      </c>
      <c r="M11" s="17">
        <f>internal_sales_data[[#This Row],[Net Sales 2022]]/internal_sales_data[[#Totals],[Net Sales 2022]]</f>
        <v>6.8397319470522966E-2</v>
      </c>
    </row>
    <row r="12" spans="1:13" x14ac:dyDescent="0.25">
      <c r="A12" t="s">
        <v>89</v>
      </c>
      <c r="E12" s="11"/>
      <c r="F12" s="11"/>
      <c r="G12" s="11"/>
      <c r="H12" s="12">
        <f>SUBTOTAL(109,internal_sales_data[Volume 2022])</f>
        <v>5590290</v>
      </c>
      <c r="I12" s="16">
        <f>SUBTOTAL(109,internal_sales_data[Net Sales 2022])</f>
        <v>20480714.900000002</v>
      </c>
      <c r="J12" s="15"/>
      <c r="K12" s="1">
        <f>SUBTOTAL(109,internal_sales_data[Gross Profit per product])</f>
        <v>14026562.75</v>
      </c>
      <c r="L12" s="18">
        <f>internal_sales_data[[#Totals],[Gross Profit per product]]/internal_sales_data[[#Totals],[Net Sales 2022]]</f>
        <v>0.68486685247495915</v>
      </c>
    </row>
    <row r="13" spans="1:13" x14ac:dyDescent="0.25">
      <c r="I13" s="13"/>
    </row>
    <row r="23" spans="9:9" x14ac:dyDescent="0.25">
      <c r="I23" s="22"/>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3:C18"/>
  <sheetViews>
    <sheetView workbookViewId="0">
      <selection activeCell="B18" sqref="B18"/>
    </sheetView>
  </sheetViews>
  <sheetFormatPr defaultRowHeight="15" x14ac:dyDescent="0.25"/>
  <cols>
    <col min="1" max="1" width="39.7109375" bestFit="1" customWidth="1"/>
    <col min="2" max="2" width="16.28515625" bestFit="1" customWidth="1"/>
    <col min="3" max="3" width="5.5703125" bestFit="1" customWidth="1"/>
    <col min="4" max="4" width="5" bestFit="1" customWidth="1"/>
    <col min="5" max="5" width="18.42578125" bestFit="1" customWidth="1"/>
    <col min="6" max="6" width="8.140625" bestFit="1" customWidth="1"/>
    <col min="7" max="7" width="7.85546875" bestFit="1" customWidth="1"/>
    <col min="8" max="8" width="11.28515625" bestFit="1" customWidth="1"/>
  </cols>
  <sheetData>
    <row r="3" spans="1:3" x14ac:dyDescent="0.25">
      <c r="A3" s="2" t="s">
        <v>95</v>
      </c>
      <c r="B3" s="2" t="s">
        <v>60</v>
      </c>
    </row>
    <row r="4" spans="1:3" x14ac:dyDescent="0.25">
      <c r="A4" s="2" t="s">
        <v>58</v>
      </c>
      <c r="B4">
        <v>2018</v>
      </c>
      <c r="C4">
        <v>2022</v>
      </c>
    </row>
    <row r="5" spans="1:3" x14ac:dyDescent="0.25">
      <c r="A5" s="3" t="s">
        <v>8</v>
      </c>
      <c r="B5" s="5"/>
      <c r="C5" s="7">
        <v>0.11527757342129488</v>
      </c>
    </row>
    <row r="6" spans="1:3" x14ac:dyDescent="0.25">
      <c r="A6" s="3" t="s">
        <v>25</v>
      </c>
      <c r="B6" s="5"/>
      <c r="C6" s="7">
        <v>-0.35222595079829983</v>
      </c>
    </row>
    <row r="7" spans="1:3" x14ac:dyDescent="0.25">
      <c r="A7" s="3" t="s">
        <v>18</v>
      </c>
      <c r="B7" s="5"/>
      <c r="C7" s="7">
        <v>0.19140557343275691</v>
      </c>
    </row>
    <row r="8" spans="1:3" x14ac:dyDescent="0.25">
      <c r="A8" s="3" t="s">
        <v>30</v>
      </c>
      <c r="B8" s="5"/>
      <c r="C8" s="7">
        <v>2.7581984297070781</v>
      </c>
    </row>
    <row r="9" spans="1:3" x14ac:dyDescent="0.25">
      <c r="A9" s="3" t="s">
        <v>55</v>
      </c>
      <c r="B9" s="5"/>
      <c r="C9" s="7">
        <v>-0.11045145375336446</v>
      </c>
    </row>
    <row r="12" spans="1:3" x14ac:dyDescent="0.25">
      <c r="A12" s="2" t="s">
        <v>4</v>
      </c>
      <c r="B12" s="3">
        <v>2023</v>
      </c>
    </row>
    <row r="13" spans="1:3" x14ac:dyDescent="0.25">
      <c r="A13" s="2" t="s">
        <v>5</v>
      </c>
      <c r="B13" s="3">
        <v>3</v>
      </c>
    </row>
    <row r="15" spans="1:3" x14ac:dyDescent="0.25">
      <c r="A15" s="2" t="s">
        <v>58</v>
      </c>
      <c r="B15" t="s">
        <v>97</v>
      </c>
    </row>
    <row r="16" spans="1:3" x14ac:dyDescent="0.25">
      <c r="A16" s="3" t="s">
        <v>30</v>
      </c>
      <c r="B16" s="21">
        <v>850749</v>
      </c>
    </row>
    <row r="18" spans="1:2" x14ac:dyDescent="0.25">
      <c r="A18" t="s">
        <v>96</v>
      </c>
      <c r="B18" s="10">
        <f>GETPIVOTDATA("Units MAT",$A$15,"Subcategory","Organic")*(1+20%)</f>
        <v>1020898.7999999999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C3DB-0C56-45EE-83CB-7697A738D751}">
  <dimension ref="A1:I3"/>
  <sheetViews>
    <sheetView tabSelected="1" workbookViewId="0">
      <selection activeCell="I6" sqref="I6"/>
    </sheetView>
  </sheetViews>
  <sheetFormatPr defaultRowHeight="15" x14ac:dyDescent="0.25"/>
  <cols>
    <col min="1" max="1" width="10.140625" bestFit="1" customWidth="1"/>
    <col min="2" max="2" width="29.28515625" bestFit="1" customWidth="1"/>
    <col min="3" max="3" width="26" bestFit="1" customWidth="1"/>
    <col min="4" max="4" width="11.42578125" bestFit="1" customWidth="1"/>
    <col min="5" max="5" width="12.28515625" bestFit="1" customWidth="1"/>
    <col min="6" max="6" width="8.28515625" bestFit="1" customWidth="1"/>
    <col min="7" max="7" width="21.42578125" bestFit="1" customWidth="1"/>
    <col min="8" max="8" width="24.85546875" bestFit="1" customWidth="1"/>
    <col min="9" max="9" width="15" bestFit="1" customWidth="1"/>
  </cols>
  <sheetData>
    <row r="1" spans="1:9" x14ac:dyDescent="0.25">
      <c r="A1" t="s">
        <v>68</v>
      </c>
      <c r="B1" t="s">
        <v>99</v>
      </c>
      <c r="C1" t="s">
        <v>100</v>
      </c>
      <c r="D1" t="s">
        <v>72</v>
      </c>
      <c r="E1" t="s">
        <v>101</v>
      </c>
      <c r="F1" t="s">
        <v>73</v>
      </c>
      <c r="G1" t="s">
        <v>94</v>
      </c>
      <c r="H1" t="s">
        <v>90</v>
      </c>
      <c r="I1" t="s">
        <v>91</v>
      </c>
    </row>
    <row r="2" spans="1:9" x14ac:dyDescent="0.25">
      <c r="A2" s="8" t="s">
        <v>103</v>
      </c>
      <c r="B2" s="17">
        <v>0.1</v>
      </c>
      <c r="C2" s="10">
        <f>new_product_launch[[#This Row],[Estimated Unit Market Share]]*'New Category Opportunity'!$B$18</f>
        <v>102089.88</v>
      </c>
      <c r="D2" s="22">
        <v>3.5</v>
      </c>
      <c r="E2" s="1">
        <f>new_product_launch[[#This Row],[Net Price]]*new_product_launch[[#This Row],[Estimated units sold 2024]]</f>
        <v>357314.58</v>
      </c>
      <c r="F2" s="22">
        <v>1.35</v>
      </c>
      <c r="G2" s="22">
        <f>new_product_launch[[#This Row],[Net Price]]-new_product_launch[[#This Row],[COGS]]</f>
        <v>2.15</v>
      </c>
      <c r="H2" s="10">
        <f>new_product_launch[[#This Row],[Gross Profit per unit]]*new_product_launch[[#This Row],[Estimated units sold 2024]]</f>
        <v>219493.242</v>
      </c>
      <c r="I2" s="17">
        <f>new_product_launch[[#This Row],[Gross Profit per product]]/new_product_launch[[#This Row],[Net Sales]]</f>
        <v>0.61428571428571421</v>
      </c>
    </row>
    <row r="3" spans="1:9" x14ac:dyDescent="0.25">
      <c r="A3" s="8" t="s">
        <v>104</v>
      </c>
      <c r="B3" s="17">
        <v>0.12</v>
      </c>
      <c r="C3" s="10">
        <f>new_product_launch[[#This Row],[Estimated Unit Market Share]]*'New Category Opportunity'!$B$18</f>
        <v>122507.85599999999</v>
      </c>
      <c r="D3" s="22">
        <v>2.75</v>
      </c>
      <c r="E3" s="1">
        <f>new_product_launch[[#This Row],[Net Price]]*new_product_launch[[#This Row],[Estimated units sold 2024]]</f>
        <v>336896.60399999993</v>
      </c>
      <c r="F3" s="22">
        <v>0.9</v>
      </c>
      <c r="G3" s="22">
        <f>new_product_launch[[#This Row],[Net Price]]-new_product_launch[[#This Row],[COGS]]</f>
        <v>1.85</v>
      </c>
      <c r="H3" s="10">
        <f>new_product_launch[[#This Row],[Gross Profit per unit]]*new_product_launch[[#This Row],[Estimated units sold 2024]]</f>
        <v>226639.5336</v>
      </c>
      <c r="I3" s="17">
        <f>new_product_launch[[#This Row],[Gross Profit per product]]/new_product_launch[[#This Row],[Net Sales]]</f>
        <v>0.67272727272727284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Brands per Supplier</vt:lpstr>
      <vt:lpstr>HealthMax Growth</vt:lpstr>
      <vt:lpstr>MAT Value Total Category</vt:lpstr>
      <vt:lpstr>Market Share</vt:lpstr>
      <vt:lpstr>External Data</vt:lpstr>
      <vt:lpstr>Profitability Matrix</vt:lpstr>
      <vt:lpstr>Internal Sales Data</vt:lpstr>
      <vt:lpstr>New Category Opportunity</vt:lpstr>
      <vt:lpstr>Organic Shampoo Launch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Gauthier Georgis</cp:lastModifiedBy>
  <dcterms:created xsi:type="dcterms:W3CDTF">2022-06-08T14:08:07Z</dcterms:created>
  <dcterms:modified xsi:type="dcterms:W3CDTF">2023-08-28T13:50:59Z</dcterms:modified>
</cp:coreProperties>
</file>