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320" documentId="8_{7189316D-1FA4-457E-B6D5-6F6DFC40398E}" xr6:coauthVersionLast="47" xr6:coauthVersionMax="47" xr10:uidLastSave="{EBFD0DD6-7CAE-4367-8571-B385165D86FA}"/>
  <bookViews>
    <workbookView xWindow="-120" yWindow="-120" windowWidth="29040" windowHeight="15840" firstSheet="7" activeTab="10"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 name="New Category Opportunity" sheetId="10" r:id="rId8"/>
    <sheet name="Organic Shampoo Launch" sheetId="11" r:id="rId9"/>
    <sheet name="50ml Shampoo 2024" sheetId="12" r:id="rId10"/>
    <sheet name="Promotion Analysis" sheetId="15" r:id="rId11"/>
    <sheet name="Promotion Graph" sheetId="14" r:id="rId12"/>
  </sheets>
  <definedNames>
    <definedName name="Slicer_Region">#N/A</definedName>
  </definedNames>
  <calcPr calcId="191029"/>
  <pivotCaches>
    <pivotCache cacheId="4" r:id="rId13"/>
    <pivotCache cacheId="5"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5" l="1"/>
  <c r="G4" i="15"/>
  <c r="G2" i="15"/>
  <c r="F3" i="15"/>
  <c r="F4" i="15"/>
  <c r="F2" i="15"/>
  <c r="H12" i="12"/>
  <c r="I12" i="12" s="1"/>
  <c r="E12" i="12"/>
  <c r="M12" i="12" s="1"/>
  <c r="D12" i="12"/>
  <c r="J12" i="12"/>
  <c r="M3" i="12"/>
  <c r="M4" i="12"/>
  <c r="M5" i="12"/>
  <c r="M6" i="12"/>
  <c r="M7" i="12"/>
  <c r="M8" i="12"/>
  <c r="M9" i="12"/>
  <c r="M10" i="12"/>
  <c r="M11" i="12"/>
  <c r="M2" i="12"/>
  <c r="J11" i="12"/>
  <c r="L11" i="12" s="1"/>
  <c r="I11" i="12"/>
  <c r="J10" i="12"/>
  <c r="L10" i="12" s="1"/>
  <c r="I10" i="12"/>
  <c r="J9" i="12"/>
  <c r="K9" i="12" s="1"/>
  <c r="I9" i="12"/>
  <c r="L8" i="12"/>
  <c r="J8" i="12"/>
  <c r="K8" i="12" s="1"/>
  <c r="I8" i="12"/>
  <c r="J7" i="12"/>
  <c r="L7" i="12" s="1"/>
  <c r="I7" i="12"/>
  <c r="J6" i="12"/>
  <c r="L6" i="12" s="1"/>
  <c r="I6" i="12"/>
  <c r="L5" i="12"/>
  <c r="J5" i="12"/>
  <c r="K5" i="12" s="1"/>
  <c r="I5" i="12"/>
  <c r="J4" i="12"/>
  <c r="L4" i="12" s="1"/>
  <c r="I4" i="12"/>
  <c r="J3" i="12"/>
  <c r="L3" i="12" s="1"/>
  <c r="I3" i="12"/>
  <c r="J2" i="12"/>
  <c r="L2" i="12" s="1"/>
  <c r="I2" i="12"/>
  <c r="G3" i="11"/>
  <c r="G2" i="11"/>
  <c r="M3" i="8"/>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B18" i="10"/>
  <c r="H2" i="15" l="1"/>
  <c r="J2" i="15" s="1"/>
  <c r="H4" i="15"/>
  <c r="J4" i="15" s="1"/>
  <c r="H3" i="15"/>
  <c r="J3" i="15"/>
  <c r="C3" i="11"/>
  <c r="C2" i="11"/>
  <c r="K12" i="12"/>
  <c r="L9" i="12"/>
  <c r="L12" i="12"/>
  <c r="K4" i="12"/>
  <c r="K6" i="12"/>
  <c r="K2" i="12"/>
  <c r="K10" i="12"/>
  <c r="K3" i="12"/>
  <c r="K11" i="12"/>
  <c r="K7" i="12"/>
  <c r="K11" i="8"/>
  <c r="L9" i="8"/>
  <c r="K8" i="8"/>
  <c r="K7" i="8"/>
  <c r="L6" i="8"/>
  <c r="K3" i="8"/>
  <c r="L5" i="8"/>
  <c r="L2" i="8"/>
  <c r="L10" i="8"/>
  <c r="K12" i="8"/>
  <c r="L12" i="8" s="1"/>
  <c r="I12" i="8"/>
  <c r="E2" i="11" l="1"/>
  <c r="H2" i="11"/>
  <c r="I2" i="11" s="1"/>
  <c r="E3" i="11"/>
  <c r="H3" i="11"/>
  <c r="I3" i="11" l="1"/>
</calcChain>
</file>

<file path=xl/sharedStrings.xml><?xml version="1.0" encoding="utf-8"?>
<sst xmlns="http://schemas.openxmlformats.org/spreadsheetml/2006/main" count="22418" uniqueCount="116">
  <si>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</si>
  <si>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</si>
  <si>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</si>
  <si>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</si>
  <si>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</si>
  <si>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</si>
  <si>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</si>
  <si>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</si>
  <si>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</si>
  <si>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</si>
  <si>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</si>
  <si>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</si>
  <si>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</si>
  <si>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</si>
  <si>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</si>
  <si>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</si>
  <si>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</si>
  <si>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</si>
  <si>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</si>
  <si>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</si>
  <si>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</si>
  <si>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</si>
  <si>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</si>
  <si>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</si>
  <si>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</si>
  <si>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</si>
  <si>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</si>
  <si>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</si>
  <si>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</si>
  <si>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</si>
  <si>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</si>
  <si>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</si>
  <si>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</si>
  <si>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</si>
  <si>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</si>
  <si>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</si>
  <si>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</si>
  <si>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</si>
  <si>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</si>
  <si>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</si>
  <si>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</si>
  <si>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</si>
  <si>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</si>
  <si>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</si>
  <si>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</si>
  <si>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</si>
  <si>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</si>
  <si>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</si>
  <si>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</si>
  <si>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</si>
  <si>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</si>
  <si>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</si>
  <si>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</si>
  <si>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</si>
  <si>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</si>
  <si>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</si>
  <si>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</si>
  <si>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</si>
  <si>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</si>
  <si>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</si>
  <si>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</si>
  <si>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</si>
  <si>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</si>
  <si>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</si>
  <si>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</si>
  <si>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</si>
  <si>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</si>
  <si>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</si>
  <si>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</si>
  <si>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</si>
  <si>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</si>
  <si>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</si>
  <si>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</si>
  <si>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</si>
  <si>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</si>
  <si>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</si>
  <si>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</si>
  <si>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</si>
  <si>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</si>
  <si>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</si>
  <si>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</si>
  <si>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</si>
  <si>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</si>
  <si>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</si>
  <si>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</si>
  <si>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</si>
  <si>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</si>
  <si>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</si>
  <si>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</si>
  <si>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</si>
  <si>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</si>
  <si>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</si>
  <si>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</si>
  <si>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</si>
  <si>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</si>
  <si>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Sum of Units Month</t>
  </si>
  <si>
    <t>Estimated FY '24 Organic subcategory value</t>
  </si>
  <si>
    <t>Sum of Units MAT</t>
  </si>
  <si>
    <t>Category</t>
  </si>
  <si>
    <t>Estimated Unit Market Share</t>
  </si>
  <si>
    <t>Estimated units sold 2024</t>
  </si>
  <si>
    <t>Net Sales</t>
  </si>
  <si>
    <t>Price per ML</t>
  </si>
  <si>
    <t xml:space="preserve">Promotion </t>
  </si>
  <si>
    <t>Mechanism</t>
  </si>
  <si>
    <t>Value sales</t>
  </si>
  <si>
    <t xml:space="preserve">Baseline sales </t>
  </si>
  <si>
    <t>Uplift</t>
  </si>
  <si>
    <t>ROI</t>
  </si>
  <si>
    <t>Buy 2, get 1 free</t>
  </si>
  <si>
    <t>Buy 2, get 20% off</t>
  </si>
  <si>
    <t>2nd at 50% off</t>
  </si>
  <si>
    <t>Net Sales 2022</t>
  </si>
  <si>
    <t>Cost</t>
  </si>
  <si>
    <t>HerbEssentials</t>
  </si>
  <si>
    <t>Herbashine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</si>
</sst>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 #,##0.00_ ;_ &quot;€&quot;\ * \-#,##0.00_ ;_ &quot;€&quot;\ * &quot;-&quot;??_ ;_ @_ "/>
    <numFmt numFmtId="165" formatCode="_ * #,##0.00_ ;_ * \-#,##0.00_ ;_ * &quot;-&quot;??_ ;_ @_ "/>
    <numFmt numFmtId="166" formatCode="_-[$$-409]* #,##0_ ;_-[$$-409]* \-#,##0\ ;_-[$$-409]* &quot;-&quot;??_ ;_-@_ "/>
    <numFmt numFmtId="167" formatCode="_ * #,##0_ ;_ * \-#,##0_ ;_ * &quot;-&quot;??_ ;_ @_ "/>
    <numFmt numFmtId="168" formatCode="_ &quot;€&quot;\ * #,##0_ ;_ &quot;€&quot;\ * \-#,##0_ ;_ &quot;€&quot;\ * &quot;-&quot;??_ ;_ @_ "/>
    <numFmt numFmtId="169" formatCode="_-[$$-409]* #,##0.00_ ;_-[$$-409]* \-#,##0.00\ ;_-[$$-409]* &quot;-&quot;??_ ;_-@_ "/>
    <numFmt numFmtId="170" formatCode="0.0%"/>
    <numFmt numFmtId="171" formatCode="_-[$$-409]* #,##0.000_ ;_-[$$-409]* \-#,##0.000\ ;_-[$$-409]* &quot;-&quot;??_ ;_-@_ "/>
    <numFmt numFmtId="174" formatCode="_([$$-409]* #,##0_);_([$$-409]* \(#,##0\);_([$$-4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1" applyNumberFormat="1" applyFont="1"/>
    <xf numFmtId="9" fontId="0" fillId="0" borderId="0" xfId="0" applyNumberFormat="1"/>
    <xf numFmtId="0" fontId="0" fillId="0" borderId="0" xfId="0" applyNumberFormat="1"/>
    <xf numFmtId="164" fontId="0" fillId="0" borderId="0" xfId="1" applyFont="1"/>
    <xf numFmtId="167" fontId="0" fillId="0" borderId="0" xfId="2" applyNumberFormat="1" applyFont="1"/>
    <xf numFmtId="0" fontId="0" fillId="0" borderId="0" xfId="0" applyNumberFormat="1" applyFont="1"/>
    <xf numFmtId="167" fontId="0" fillId="0" borderId="0" xfId="0" applyNumberFormat="1" applyFont="1"/>
    <xf numFmtId="168" fontId="0" fillId="0" borderId="0" xfId="0" applyNumberFormat="1"/>
    <xf numFmtId="169" fontId="0" fillId="0" borderId="0" xfId="1" applyNumberFormat="1" applyFont="1"/>
    <xf numFmtId="169" fontId="0" fillId="0" borderId="0" xfId="0" applyNumberFormat="1" applyFont="1"/>
    <xf numFmtId="166" fontId="0" fillId="0" borderId="0" xfId="0" applyNumberFormat="1" applyFont="1"/>
    <xf numFmtId="9" fontId="0" fillId="0" borderId="0" xfId="3" applyFont="1"/>
    <xf numFmtId="170" fontId="1" fillId="0" borderId="0" xfId="0" applyNumberFormat="1" applyFont="1"/>
    <xf numFmtId="0" fontId="2" fillId="2" borderId="1" xfId="0" applyFont="1" applyFill="1" applyBorder="1"/>
    <xf numFmtId="9" fontId="2" fillId="2" borderId="1" xfId="0" applyNumberFormat="1" applyFont="1" applyFill="1" applyBorder="1"/>
    <xf numFmtId="167" fontId="0" fillId="0" borderId="0" xfId="0" applyNumberFormat="1"/>
    <xf numFmtId="169" fontId="0" fillId="0" borderId="0" xfId="0" applyNumberFormat="1"/>
    <xf numFmtId="171" fontId="0" fillId="0" borderId="0" xfId="3" applyNumberFormat="1" applyFont="1"/>
    <xf numFmtId="174" fontId="0" fillId="0" borderId="0" xfId="1" applyNumberFormat="1" applyFont="1"/>
    <xf numFmtId="174" fontId="0" fillId="0" borderId="0" xfId="0" applyNumberFormat="1"/>
  </cellXfs>
  <cellStyles count="4">
    <cellStyle name="Comma" xfId="2" builtinId="3"/>
    <cellStyle name="Currency" xfId="1" builtinId="4"/>
    <cellStyle name="Normal" xfId="0" builtinId="0"/>
    <cellStyle name="Percent" xfId="3" builtinId="5"/>
  </cellStyles>
  <dxfs count="75">
    <dxf>
      <numFmt numFmtId="173" formatCode="_([$$-409]* #,##0.0_);_([$$-409]* \(#,##0.0\);_([$$-409]* &quot;-&quot;??_);_(@_)"/>
    </dxf>
    <dxf>
      <numFmt numFmtId="174" formatCode="_([$$-409]* #,##0_);_([$$-409]* \(#,##0\);_([$$-409]* &quot;-&quot;??_);_(@_)"/>
    </dxf>
    <dxf>
      <numFmt numFmtId="173" formatCode="_([$$-409]* #,##0.0_);_([$$-409]* \(#,##0.0\);_([$$-409]* &quot;-&quot;??_);_(@_)"/>
    </dxf>
    <dxf>
      <numFmt numFmtId="172" formatCode="_([$$-409]* #,##0.00_);_([$$-409]* \(#,##0.00\);_([$$-409]* &quot;-&quot;??_);_(@_)"/>
    </dxf>
    <dxf>
      <numFmt numFmtId="172" formatCode="_([$$-409]* #,##0.00_);_([$$-409]* \(#,##0.00\);_([$$-409]* &quot;-&quot;??_);_(@_)"/>
    </dxf>
    <dxf>
      <numFmt numFmtId="164" formatCode="_ &quot;€&quot;\ * #,##0.00_ ;_ &quot;€&quot;\ * \-#,##0.00_ ;_ &quot;€&quot;\ * &quot;-&quot;??_ ;_ @_ "/>
    </dxf>
    <dxf>
      <numFmt numFmtId="164" formatCode="_ &quot;€&quot;\ * #,##0.00_ ;_ &quot;€&quot;\ * \-#,##0.00_ ;_ &quot;€&quot;\ * &quot;-&quot;??_ ;_ @_ "/>
    </dxf>
    <dxf>
      <numFmt numFmtId="168" formatCode="_ &quot;€&quot;\ * #,##0_ ;_ &quot;€&quot;\ * \-#,##0_ ;_ &quot;€&quot;\ * &quot;-&quot;??_ ;_ @_ "/>
    </dxf>
    <dxf>
      <numFmt numFmtId="168" formatCode="_ &quot;€&quot;\ * #,##0_ ;_ &quot;€&quot;\ * \-#,##0_ ;_ &quot;€&quot;\ * &quot;-&quot;??_ ;_ @_ "/>
    </dxf>
    <dxf>
      <numFmt numFmtId="174" formatCode="_([$$-409]* #,##0_);_([$$-409]* \(#,##0\);_([$$-409]* &quot;-&quot;??_);_(@_)"/>
    </dxf>
    <dxf>
      <numFmt numFmtId="0" formatCode="General"/>
    </dxf>
    <dxf>
      <numFmt numFmtId="174" formatCode="_([$$-409]* #,##0_);_([$$-409]* \(#,##0\);_([$$-409]* &quot;-&quot;??_);_(@_)"/>
    </dxf>
    <dxf>
      <numFmt numFmtId="174" formatCode="_([$$-409]* #,##0_);_([$$-409]* \(#,##0\);_([$$-409]* &quot;-&quot;??_);_(@_)"/>
    </dxf>
    <dxf>
      <numFmt numFmtId="0" formatCode="General"/>
    </dxf>
    <dxf>
      <numFmt numFmtId="0" formatCode="General"/>
    </dxf>
    <dxf>
      <numFmt numFmtId="171" formatCode="_-[$$-409]* #,##0.000_ ;_-[$$-409]* \-#,##0.000\ ;_-[$$-409]* &quot;-&quot;??_ ;_-@_ "/>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0" formatCode="General"/>
    </dxf>
    <dxf>
      <numFmt numFmtId="167" formatCode="_ * #,##0_ ;_ * \-#,##0_ ;_ * &quot;-&quot;??_ ;_ @_ "/>
    </dxf>
    <dxf>
      <numFmt numFmtId="169" formatCode="_-[$$-409]* #,##0.00_ ;_-[$$-409]* \-#,##0.00\ ;_-[$$-409]* &quot;-&quot;??_ ;_-@_ "/>
    </dxf>
    <dxf>
      <numFmt numFmtId="169" formatCode="_-[$$-409]* #,##0.00_ ;_-[$$-409]* \-#,##0.00\ ;_-[$$-409]* &quot;-&quot;??_ ;_-@_ "/>
    </dxf>
    <dxf>
      <numFmt numFmtId="166" formatCode="_-[$$-409]* #,##0_ ;_-[$$-409]* \-#,##0\ ;_-[$$-409]* &quot;-&quot;??_ ;_-@_ "/>
    </dxf>
    <dxf>
      <numFmt numFmtId="169" formatCode="_-[$$-409]* #,##0.00_ ;_-[$$-409]* \-#,##0.00\ ;_-[$$-409]* &quot;-&quot;??_ ;_-@_ "/>
    </dxf>
    <dxf>
      <numFmt numFmtId="167" formatCode="_ * #,##0_ ;_ * \-#,##0_ ;_ * &quot;-&quot;??_ ;_ @_ "/>
    </dxf>
    <dxf>
      <numFmt numFmtId="0" formatCode="General"/>
    </dxf>
    <dxf>
      <numFmt numFmtId="13" formatCode="0%"/>
    </dxf>
    <dxf>
      <numFmt numFmtId="14" formatCode="0.00%"/>
    </dxf>
    <dxf>
      <numFmt numFmtId="167" formatCode="_ * #,##0_ ;_ * \-#,##0_ ;_ * &quot;-&quot;??_ ;_ @_ "/>
    </dxf>
    <dxf>
      <numFmt numFmtId="13" formatCode="0%"/>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13" formatCode="0%"/>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[3_3_forecast.xlsx]Market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[3_3_forecast.xlsx]Promotion Graph!PivotTable2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Shinez Value Sales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'Promotion Graph'!$B$4</c:f>
              <c:strCache>
                <c:ptCount val="1"/>
                <c:pt idx="0">
                  <c:v>Total</c:v>
                </c:pt>
              </c:strCache>
            </c:strRef>
          </c:tx>
          <c:spPr>
            <a:ln w="28575" cap="rnd">
              <a:solidFill>
                <a:schemeClr val="accent1"/>
              </a:solidFill>
              <a:round/>
            </a:ln>
            <a:effectLst/>
          </c:spPr>
          <c:marker>
            <c:symbol val="none"/>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_([$$-409]* #,##0_);_([$$-409]* \(#,##0\);_([$$-409]* "-"??_);_(@_)</c:formatCode>
                <c:ptCount val="12"/>
                <c:pt idx="0">
                  <c:v>849590</c:v>
                </c:pt>
                <c:pt idx="1">
                  <c:v>822290</c:v>
                </c:pt>
                <c:pt idx="2">
                  <c:v>827649</c:v>
                </c:pt>
                <c:pt idx="3">
                  <c:v>1445626</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A9FB-4202-9F8F-F31BB0B8F77F}"/>
            </c:ext>
          </c:extLst>
        </c:ser>
        <c:dLbls>
          <c:showLegendKey val="0"/>
          <c:showVal val="0"/>
          <c:showCatName val="0"/>
          <c:showSerName val="0"/>
          <c:showPercent val="0"/>
          <c:showBubbleSize val="0"/>
        </c:dLbls>
        <c:smooth val="0"/>
        <c:axId val="14221615"/>
        <c:axId val="645222512"/>
      </c:lineChart>
      <c:catAx>
        <c:axId val="142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45222512"/>
        <c:crosses val="autoZero"/>
        <c:auto val="1"/>
        <c:lblAlgn val="ctr"/>
        <c:lblOffset val="100"/>
        <c:noMultiLvlLbl val="0"/>
      </c:catAx>
      <c:valAx>
        <c:axId val="6452225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1</xdr:row>
      <xdr:rowOff>109537</xdr:rowOff>
    </xdr:from>
    <xdr:to>
      <xdr:col>14</xdr:col>
      <xdr:colOff>19050</xdr:colOff>
      <xdr:row>23</xdr:row>
      <xdr:rowOff>180975</xdr:rowOff>
    </xdr:to>
    <xdr:graphicFrame macro="">
      <xdr:nvGraphicFramePr>
        <xdr:cNvPr id="2" name="Chart 1">
          <a:extLst>
            <a:ext uri="{FF2B5EF4-FFF2-40B4-BE49-F238E27FC236}">
              <a16:creationId xmlns:a16="http://schemas.microsoft.com/office/drawing/2014/main" id="{9CB45887-FB9D-38B7-8B89-9F603A18C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634263"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9">
      <sharedItems containsSemiMixedTypes="0" containsString="0" containsNumber="1" minValue="5" maxValue="10"/>
    </cacheField>
    <cacheField name="Net Price" numFmtId="169">
      <sharedItems containsSemiMixedTypes="0" containsString="0" containsNumber="1" minValue="2.8" maxValue="6"/>
    </cacheField>
    <cacheField name="COGS" numFmtId="169">
      <sharedItems containsSemiMixedTypes="0" containsString="0" containsNumber="1" minValue="0.9" maxValue="1.7"/>
    </cacheField>
    <cacheField name="Volume 2022" numFmtId="167">
      <sharedItems containsSemiMixedTypes="0" containsString="0" containsNumber="1" containsInteger="1" minValue="231270" maxValue="1156348"/>
    </cacheField>
    <cacheField name="Net Sales 2020" numFmtId="166">
      <sharedItems containsSemiMixedTypes="0" containsString="0" containsNumber="1" minValue="855699" maxValue="3813362"/>
    </cacheField>
    <cacheField name="Gross Profit per unit" numFmtId="169">
      <sharedItems containsSemiMixedTypes="0" containsString="0" containsNumber="1" minValue="1.7999999999999998" maxValue="4.3"/>
    </cacheField>
    <cacheField name="Gross Profit per product" numFmtId="166">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98147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6">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6">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6">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6" showAll="0"/>
    <pivotField showAll="0"/>
    <pivotField numFmtId="166" showAll="0"/>
    <pivotField showAll="0"/>
    <pivotField numFmtId="166"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showAll="0"/>
    <pivotField dataField="1" numFmtId="166" showAll="0"/>
  </pivotFields>
  <rowItems count="1">
    <i/>
  </rowItems>
  <colItems count="1">
    <i/>
  </colItems>
  <pageFields count="2">
    <pageField fld="5" item="5" hier="-1"/>
    <pageField fld="6" item="2" hier="-1"/>
  </pageFields>
  <dataFields count="1">
    <dataField name="Sum of Values MAT" fld="12" baseField="0" baseItem="0" numFmtId="166"/>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73">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9" showAll="0"/>
    <pivotField numFmtId="169" showAll="0"/>
    <pivotField numFmtId="169" showAll="0"/>
    <pivotField numFmtId="167" showAll="0"/>
    <pivotField numFmtId="166" showAll="0"/>
    <pivotField numFmtId="169" showAll="0"/>
    <pivotField numFmtId="166"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AA846-E5A7-4802-AA05-806CFC97A5BD}"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6" showAll="0"/>
    <pivotField showAll="0"/>
    <pivotField numFmtId="166" showAll="0"/>
    <pivotField showAll="0"/>
    <pivotField numFmtId="166"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2">
    <format dxfId="43">
      <pivotArea outline="0" fieldPosition="0">
        <references count="1">
          <reference field="4294967294" count="1">
            <x v="0"/>
          </reference>
        </references>
      </pivotArea>
    </format>
    <format dxfId="42">
      <pivotArea outline="0" collapsedLevelsAreSubtotals="1" fieldPosition="0">
        <references count="1">
          <reference field="5"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4991D-53C9-4396-90C5-BA8E3160268B}"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multipleItemSelectionAllowed="1" showAll="0">
      <items count="7">
        <item h="1" x="0"/>
        <item h="1" x="1"/>
        <item h="1" x="2"/>
        <item h="1" x="3"/>
        <item h="1"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dataField="1" showAll="0"/>
    <pivotField numFmtId="166" showAll="0"/>
  </pivotFields>
  <rowFields count="1">
    <field x="1"/>
  </rowFields>
  <rowItems count="1">
    <i>
      <x v="3"/>
    </i>
  </rowItems>
  <colItems count="1">
    <i/>
  </colItems>
  <pageFields count="2">
    <pageField fld="5" hier="-1"/>
    <pageField fld="6" item="2" hier="-1"/>
  </pageFields>
  <dataFields count="1">
    <dataField name="Sum of Units MAT" fld="11" baseField="0" baseItem="0" numFmtId="167"/>
  </dataFields>
  <formats count="2">
    <format dxfId="45">
      <pivotArea outline="0" collapsedLevelsAreSubtotals="1" fieldPosition="0">
        <references count="1">
          <reference field="5" count="1" selected="0">
            <x v="4"/>
          </reference>
        </references>
      </pivotArea>
    </format>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4CBB6-8320-44A2-976F-1CC99CC2674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7" firstHeaderRow="1" firstDataRow="1" firstDataCol="1" rowPageCount="2" colPageCount="1"/>
  <pivotFields count="13">
    <pivotField showAll="0"/>
    <pivotField showAll="0"/>
    <pivotField showAll="0"/>
    <pivotField axis="axisPage" multipleItemSelectionAllowed="1" showAll="0">
      <items count="26">
        <item h="1" x="22"/>
        <item h="1" x="15"/>
        <item h="1" x="14"/>
        <item h="1" x="16"/>
        <item h="1" x="10"/>
        <item h="1" x="2"/>
        <item h="1" x="19"/>
        <item h="1" x="20"/>
        <item h="1" x="4"/>
        <item h="1" x="13"/>
        <item h="1" x="1"/>
        <item h="1" x="5"/>
        <item h="1" x="11"/>
        <item h="1" x="12"/>
        <item h="1" x="6"/>
        <item h="1" x="9"/>
        <item h="1" x="0"/>
        <item h="1" x="23"/>
        <item x="3"/>
        <item h="1" x="24"/>
        <item h="1" x="7"/>
        <item h="1" x="8"/>
        <item h="1" x="21"/>
        <item h="1" x="18"/>
        <item h="1" x="17"/>
        <item t="default"/>
      </items>
    </pivotField>
    <pivotField showAll="0"/>
    <pivotField axis="axisPage"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6" showAll="0"/>
    <pivotField showAll="0"/>
    <pivotField numFmtId="166" showAll="0"/>
    <pivotField showAll="0"/>
    <pivotField numFmtId="166" showAll="0"/>
  </pivotFields>
  <rowFields count="1">
    <field x="6"/>
  </rowFields>
  <rowItems count="13">
    <i>
      <x/>
    </i>
    <i>
      <x v="1"/>
    </i>
    <i>
      <x v="2"/>
    </i>
    <i>
      <x v="3"/>
    </i>
    <i>
      <x v="4"/>
    </i>
    <i>
      <x v="5"/>
    </i>
    <i>
      <x v="6"/>
    </i>
    <i>
      <x v="7"/>
    </i>
    <i>
      <x v="8"/>
    </i>
    <i>
      <x v="9"/>
    </i>
    <i>
      <x v="10"/>
    </i>
    <i>
      <x v="11"/>
    </i>
    <i t="grand">
      <x/>
    </i>
  </rowItems>
  <colItems count="1">
    <i/>
  </colItems>
  <pageFields count="2">
    <pageField fld="3" hier="-1"/>
    <pageField fld="5" item="4" hier="-1"/>
  </pageFields>
  <dataFields count="1">
    <dataField name="Sum of Values Month" fld="8" baseField="0" baseItem="0" numFmtId="17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72"/>
    <tableColumn id="2" xr3:uid="{E62B3F1F-9A15-44B4-B1DD-CAF27CF3C747}" name="Subcategory" dataDxfId="71"/>
    <tableColumn id="3" xr3:uid="{FA4BBA42-4CD5-4FEC-99C8-F3DEA363596F}" name="Supplier" dataDxfId="70"/>
    <tableColumn id="4" xr3:uid="{363950AD-92F1-4B62-BAD5-6C6ED9D314C8}" name="Brand" dataDxfId="69"/>
    <tableColumn id="5" xr3:uid="{278D3098-9E4F-422C-8E1A-9941BBC3EF43}" name="Region" dataDxfId="68"/>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67"/>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66"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65">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63"/>
    <tableColumn id="2" xr3:uid="{025C4312-31D3-409B-B984-DBF4AEFE2FA6}" name="Product" dataDxfId="62"/>
    <tableColumn id="3" xr3:uid="{D40B8F72-DA12-4584-B326-495AA00C251F}" name="Pack Size (ml)"/>
    <tableColumn id="4" xr3:uid="{E106DA15-1281-4518-AE4A-C358C1924FEA}" name="ProductID" dataDxfId="61"/>
    <tableColumn id="5" xr3:uid="{AE844CDE-AAF3-4312-96B5-E0534EF567F3}" name="Retail Price" dataDxfId="60" totalsRowDxfId="59" dataCellStyle="Currency"/>
    <tableColumn id="6" xr3:uid="{732BB0A7-0D20-404F-B2AF-EC6A28C2A71A}" name="Net Price" dataDxfId="58" totalsRowDxfId="57" dataCellStyle="Currency"/>
    <tableColumn id="7" xr3:uid="{BB7F7A5B-FAB9-4038-AD33-08EE0D4766AD}" name="COGS" dataDxfId="56" totalsRowDxfId="55" dataCellStyle="Currency"/>
    <tableColumn id="8" xr3:uid="{CCF364DE-01EF-4200-AB41-ED9058D076B5}" name="Volume 2022" totalsRowFunction="sum" dataDxfId="54" totalsRowDxfId="53" dataCellStyle="Comma"/>
    <tableColumn id="10" xr3:uid="{08E3A2F7-3C74-49D9-91B9-79AD4050A4A7}" name="Net Sales 2022" totalsRowFunction="sum" dataDxfId="52" totalsRowDxfId="51" dataCellStyle="Currency">
      <calculatedColumnFormula>internal_sales_data[[#This Row],[Volume 2022]]*internal_sales_data[[#This Row],[Net Price]]</calculatedColumnFormula>
    </tableColumn>
    <tableColumn id="9" xr3:uid="{3C283A83-C2B7-4006-B2BA-AFEDB11C31BE}" name="Gross Profit per unit" dataDxfId="50" totalsRowDxfId="49" dataCellStyle="Currency">
      <calculatedColumnFormula>internal_sales_data[[#This Row],[Net Price]]-internal_sales_data[[#This Row],[COGS]]</calculatedColumnFormula>
    </tableColumn>
    <tableColumn id="11" xr3:uid="{7C588C62-85DC-41E9-81C4-648DF71F5B17}" name="Gross Profit per product" totalsRowFunction="sum" dataDxfId="48" totalsRowDxfId="47" dataCellStyle="Currency">
      <calculatedColumnFormula>internal_sales_data[[#This Row],[Gross Profit per unit]]*internal_sales_data[[#This Row],[Volume 2022]]</calculatedColumnFormula>
    </tableColumn>
    <tableColumn id="12" xr3:uid="{2911D992-F8E1-40DE-AFC8-9AF339130FCA}" name="Gross Margin" totalsRowFunction="custom" totalsRowDxfId="46"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D959F3-A397-4C55-886D-FBB89AED4E27}" name="new_product_launch" displayName="new_product_launch" ref="A1:I3" totalsRowShown="0">
  <autoFilter ref="A1:I3" xr:uid="{9ED959F3-A397-4C55-886D-FBB89AED4E27}"/>
  <tableColumns count="9">
    <tableColumn id="1" xr3:uid="{B17C778E-6E64-4648-980E-01F29D1E8DBE}" name="Product" dataDxfId="41"/>
    <tableColumn id="2" xr3:uid="{6AE352D5-6C16-4164-8AC0-45FA1FF286BF}" name="Estimated Unit Market Share" dataCellStyle="Percent"/>
    <tableColumn id="3" xr3:uid="{31AA58DE-DB16-4AD7-9EE2-3FBD593D8486}" name="Estimated units sold 2024" dataDxfId="40" dataCellStyle="Comma">
      <calculatedColumnFormula>new_product_launch[[#This Row],[Estimated Unit Market Share]]*'New Category Opportunity'!$B$18</calculatedColumnFormula>
    </tableColumn>
    <tableColumn id="4" xr3:uid="{983BA861-9FD5-40BD-BAD6-5572FA3B9563}" name="Net Price" dataDxfId="39"/>
    <tableColumn id="5" xr3:uid="{8197C623-3CF8-4E81-AD27-88ADB9A58EE4}" name="Net Sales" dataDxfId="38">
      <calculatedColumnFormula>new_product_launch[[#This Row],[Net Price]]*new_product_launch[[#This Row],[Estimated units sold 2024]]</calculatedColumnFormula>
    </tableColumn>
    <tableColumn id="6" xr3:uid="{0813BA88-04DC-44D1-BBDD-F8260333BD3F}" name="COGS" dataDxfId="37"/>
    <tableColumn id="7" xr3:uid="{0BDC181A-386D-45F3-8640-F0B86C17865D}" name="Gross Profit per unit" dataDxfId="36">
      <calculatedColumnFormula>new_product_launch[[#This Row],[Net Price]]-new_product_launch[[#This Row],[COGS]]</calculatedColumnFormula>
    </tableColumn>
    <tableColumn id="8" xr3:uid="{C9FE25C5-9CBC-4262-8F58-9FAD1AFE1F38}" name="Gross Profit per product" dataDxfId="35" dataCellStyle="Comma">
      <calculatedColumnFormula>new_product_launch[[#This Row],[Gross Profit per unit]]*new_product_launch[[#This Row],[Estimated units sold 2024]]</calculatedColumnFormula>
    </tableColumn>
    <tableColumn id="9" xr3:uid="{7B898487-076D-4DC9-AC86-FE42D0850365}" name="Gross Margin" dataDxfId="34">
      <calculatedColumnFormula>new_product_launch[[#This Row],[Gross Profit per product]]/new_product_launch[[#This Row],[Net Sales]]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34D3F-3692-4F81-A0B6-F3A47692DDA8}" name="internal_sales_data5" displayName="internal_sales_data5" ref="A1:M12">
  <autoFilter ref="A1:M12" xr:uid="{04364B77-531F-4E7F-8C97-717C91709596}"/>
  <tableColumns count="13">
    <tableColumn id="1" xr3:uid="{01E183D9-AEF8-479C-B911-354EA88031A9}" name="Brand" totalsRowLabel="Total" dataDxfId="33"/>
    <tableColumn id="2" xr3:uid="{FAE7BF1E-D3B2-4767-B266-2B8270F3696C}" name="Product" dataDxfId="32"/>
    <tableColumn id="3" xr3:uid="{5A2D09FD-4038-4B54-B533-EFDB32DD1546}" name="Pack Size (ml)"/>
    <tableColumn id="4" xr3:uid="{B6E0B462-3954-414F-96BC-4A9A1E45F237}" name="ProductID" dataDxfId="31"/>
    <tableColumn id="5" xr3:uid="{A6C19464-69C2-4CF6-86FD-2DFC3C8BE682}" name="Retail Price" dataDxfId="30" totalsRowDxfId="29" dataCellStyle="Currency"/>
    <tableColumn id="6" xr3:uid="{F8166C40-CCF9-4D5A-991F-14A3DDE3FC7F}" name="Net Price" dataDxfId="28" totalsRowDxfId="27" dataCellStyle="Currency"/>
    <tableColumn id="7" xr3:uid="{9860B665-293D-4A43-A98E-0AAA70D26C13}" name="COGS" dataDxfId="26" totalsRowDxfId="25" dataCellStyle="Currency"/>
    <tableColumn id="8" xr3:uid="{683E31B5-9570-4041-8F3B-F7C43CD93243}" name="Volume 2022" totalsRowFunction="sum" dataDxfId="24" totalsRowDxfId="23" dataCellStyle="Comma"/>
    <tableColumn id="10" xr3:uid="{17710796-45DE-498A-B84A-F197DA71F214}" name="Net Sales 2022" totalsRowFunction="sum" dataDxfId="22" totalsRowDxfId="21" dataCellStyle="Currency">
      <calculatedColumnFormula>internal_sales_data5[[#This Row],[Volume 2022]]*internal_sales_data5[[#This Row],[Net Price]]</calculatedColumnFormula>
    </tableColumn>
    <tableColumn id="9" xr3:uid="{5DE58021-15DC-4013-86B1-6FE9C31F7787}" name="Gross Profit per unit" dataDxfId="20" totalsRowDxfId="19" dataCellStyle="Currency">
      <calculatedColumnFormula>internal_sales_data5[[#This Row],[Net Price]]-internal_sales_data5[[#This Row],[COGS]]</calculatedColumnFormula>
    </tableColumn>
    <tableColumn id="11" xr3:uid="{6BF3B56E-CE08-4DFA-AE34-BC12278250B4}" name="Gross Profit per product" totalsRowFunction="sum" dataDxfId="18" totalsRowDxfId="17" dataCellStyle="Currency">
      <calculatedColumnFormula>internal_sales_data5[[#This Row],[Gross Profit per unit]]*internal_sales_data5[[#This Row],[Volume 2022]]</calculatedColumnFormula>
    </tableColumn>
    <tableColumn id="12" xr3:uid="{E538B08D-0849-4B66-A466-03FDB4ED16F2}" name="Gross Margin" totalsRowFunction="custom" totalsRowDxfId="16" dataCellStyle="Percent">
      <calculatedColumnFormula>internal_sales_data5[[#This Row],[Gross Profit per unit]]/internal_sales_data5[[#This Row],[Net Price]]</calculatedColumnFormula>
      <totalsRowFormula>internal_sales_data5[[#Totals],[Gross Profit per product]]/internal_sales_data5[[#Totals],[Net Sales 2022]]</totalsRowFormula>
    </tableColumn>
    <tableColumn id="13" xr3:uid="{AC80CAE8-89AA-46CB-AD17-B2A87EBDF291}" name="Price per ML" dataDxfId="15" dataCellStyle="Percent">
      <calculatedColumnFormula>internal_sales_data5[[#This Row],[Retail Price]]/internal_sales_data5[[#This Row],[Pack Size (ml)]]</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830416-12CE-4CEC-91EA-641FFEFD454B}" name="promotion_analysis" displayName="promotion_analysis" ref="A1:J4" totalsRowShown="0">
  <autoFilter ref="A1:J4" xr:uid="{3C830416-12CE-4CEC-91EA-641FFEFD454B}"/>
  <tableColumns count="10">
    <tableColumn id="1" xr3:uid="{C306E404-48E6-4241-A912-92DD42E0B581}" name="Promotion "/>
    <tableColumn id="2" xr3:uid="{8869F3A0-4967-4B68-8EA2-F29B073DE538}" name="Mechanism" dataDxfId="14"/>
    <tableColumn id="3" xr3:uid="{2A121CD1-C0E3-4918-8551-814ACE7E3314}" name="Brand" dataDxfId="13"/>
    <tableColumn id="4" xr3:uid="{7543C383-8A02-4E74-AF99-92F550588F68}" name="Year"/>
    <tableColumn id="5" xr3:uid="{9E3981BC-C16F-410F-81E4-31419BE928F1}" name="Month"/>
    <tableColumn id="6" xr3:uid="{C0D21506-6E1F-4EA8-BD50-1AFB904058ED}" name="Value sales" dataDxfId="12" dataCellStyle="Currency"/>
    <tableColumn id="7" xr3:uid="{2FEECA98-4730-450F-AF86-23140A025659}" name="Baseline sales " dataDxfId="11"/>
    <tableColumn id="8" xr3:uid="{9DF34B1D-A2FE-45E8-91E8-847DD06125C7}" name="Uplift" dataDxfId="9"/>
    <tableColumn id="11" xr3:uid="{A4B2B49D-215C-42E9-97A0-9B114D4F2383}" name="Cost" dataDxfId="10"/>
    <tableColumn id="12" xr3:uid="{B2A83D1D-83B3-4A1B-A801-1459D8F8AE06}" name="ROI" dataCellStyle="Percent"/>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F25-4994-4209-9523-D1F5467409C0}">
  <dimension ref="A1:M22"/>
  <sheetViews>
    <sheetView workbookViewId="0">
      <selection activeCell="I1" sqref="I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112</v>
      </c>
      <c r="J1" t="s">
        <v>94</v>
      </c>
      <c r="K1" t="s">
        <v>90</v>
      </c>
      <c r="L1" t="s">
        <v>91</v>
      </c>
      <c r="M1" t="s">
        <v>102</v>
      </c>
    </row>
    <row r="2" spans="1:13" x14ac:dyDescent="0.25">
      <c r="A2" s="8" t="s">
        <v>57</v>
      </c>
      <c r="B2" s="8" t="s">
        <v>75</v>
      </c>
      <c r="C2">
        <v>100</v>
      </c>
      <c r="D2" s="8" t="s">
        <v>76</v>
      </c>
      <c r="E2" s="14">
        <v>5</v>
      </c>
      <c r="F2" s="14">
        <v>3.1</v>
      </c>
      <c r="G2" s="14">
        <v>0.9</v>
      </c>
      <c r="H2" s="10">
        <v>1156348</v>
      </c>
      <c r="I2" s="6">
        <f>internal_sales_data5[[#This Row],[Volume 2022]]*internal_sales_data5[[#This Row],[Net Price]]</f>
        <v>3584678.8000000003</v>
      </c>
      <c r="J2" s="14">
        <f>internal_sales_data5[[#This Row],[Net Price]]-internal_sales_data5[[#This Row],[COGS]]</f>
        <v>2.2000000000000002</v>
      </c>
      <c r="K2" s="6">
        <f>internal_sales_data5[[#This Row],[Gross Profit per unit]]*internal_sales_data5[[#This Row],[Volume 2022]]</f>
        <v>2543965.6</v>
      </c>
      <c r="L2" s="17">
        <f>internal_sales_data5[[#This Row],[Gross Profit per unit]]/internal_sales_data5[[#This Row],[Net Price]]</f>
        <v>0.70967741935483875</v>
      </c>
      <c r="M2" s="23">
        <f>internal_sales_data5[[#This Row],[Retail Price]]/internal_sales_data5[[#This Row],[Pack Size (ml)]]</f>
        <v>0.05</v>
      </c>
    </row>
    <row r="3" spans="1:13" x14ac:dyDescent="0.25">
      <c r="A3" s="8" t="s">
        <v>57</v>
      </c>
      <c r="B3" s="8" t="s">
        <v>77</v>
      </c>
      <c r="C3">
        <v>100</v>
      </c>
      <c r="D3" s="8" t="s">
        <v>78</v>
      </c>
      <c r="E3" s="14">
        <v>5</v>
      </c>
      <c r="F3" s="14">
        <v>2.9</v>
      </c>
      <c r="G3" s="14">
        <v>0.95</v>
      </c>
      <c r="H3" s="10">
        <v>693809</v>
      </c>
      <c r="I3" s="6">
        <f>internal_sales_data5[[#This Row],[Volume 2022]]*internal_sales_data5[[#This Row],[Net Price]]</f>
        <v>2012046.0999999999</v>
      </c>
      <c r="J3" s="14">
        <f>internal_sales_data5[[#This Row],[Net Price]]-internal_sales_data5[[#This Row],[COGS]]</f>
        <v>1.95</v>
      </c>
      <c r="K3" s="6">
        <f>internal_sales_data5[[#This Row],[Gross Profit per unit]]*internal_sales_data5[[#This Row],[Volume 2022]]</f>
        <v>1352927.55</v>
      </c>
      <c r="L3" s="17">
        <f>internal_sales_data5[[#This Row],[Gross Profit per unit]]/internal_sales_data5[[#This Row],[Net Price]]</f>
        <v>0.67241379310344829</v>
      </c>
      <c r="M3" s="23">
        <f>internal_sales_data5[[#This Row],[Retail Price]]/internal_sales_data5[[#This Row],[Pack Size (ml)]]</f>
        <v>0.05</v>
      </c>
    </row>
    <row r="4" spans="1:13" x14ac:dyDescent="0.25">
      <c r="A4" s="8" t="s">
        <v>57</v>
      </c>
      <c r="B4" s="8" t="s">
        <v>79</v>
      </c>
      <c r="C4">
        <v>100</v>
      </c>
      <c r="D4" s="8" t="s">
        <v>80</v>
      </c>
      <c r="E4" s="14">
        <v>5</v>
      </c>
      <c r="F4" s="14">
        <v>2.8</v>
      </c>
      <c r="G4" s="14">
        <v>1</v>
      </c>
      <c r="H4" s="10">
        <v>346904</v>
      </c>
      <c r="I4" s="6">
        <f>internal_sales_data5[[#This Row],[Volume 2022]]*internal_sales_data5[[#This Row],[Net Price]]</f>
        <v>971331.2</v>
      </c>
      <c r="J4" s="14">
        <f>internal_sales_data5[[#This Row],[Net Price]]-internal_sales_data5[[#This Row],[COGS]]</f>
        <v>1.7999999999999998</v>
      </c>
      <c r="K4" s="6">
        <f>internal_sales_data5[[#This Row],[Gross Profit per unit]]*internal_sales_data5[[#This Row],[Volume 2022]]</f>
        <v>624427.19999999995</v>
      </c>
      <c r="L4" s="17">
        <f>internal_sales_data5[[#This Row],[Gross Profit per unit]]/internal_sales_data5[[#This Row],[Net Price]]</f>
        <v>0.64285714285714279</v>
      </c>
      <c r="M4" s="23">
        <f>internal_sales_data5[[#This Row],[Retail Price]]/internal_sales_data5[[#This Row],[Pack Size (ml)]]</f>
        <v>0.05</v>
      </c>
    </row>
    <row r="5" spans="1:13" x14ac:dyDescent="0.25">
      <c r="A5" s="8" t="s">
        <v>57</v>
      </c>
      <c r="B5" s="8" t="s">
        <v>75</v>
      </c>
      <c r="C5">
        <v>150</v>
      </c>
      <c r="D5" s="8" t="s">
        <v>81</v>
      </c>
      <c r="E5" s="14">
        <v>7</v>
      </c>
      <c r="F5" s="14">
        <v>3.5</v>
      </c>
      <c r="G5" s="14">
        <v>1.2</v>
      </c>
      <c r="H5" s="10">
        <v>693809</v>
      </c>
      <c r="I5" s="6">
        <f>internal_sales_data5[[#This Row],[Volume 2022]]*internal_sales_data5[[#This Row],[Net Price]]</f>
        <v>2428331.5</v>
      </c>
      <c r="J5" s="14">
        <f>internal_sales_data5[[#This Row],[Net Price]]-internal_sales_data5[[#This Row],[COGS]]</f>
        <v>2.2999999999999998</v>
      </c>
      <c r="K5" s="6">
        <f>internal_sales_data5[[#This Row],[Gross Profit per unit]]*internal_sales_data5[[#This Row],[Volume 2022]]</f>
        <v>1595760.7</v>
      </c>
      <c r="L5" s="17">
        <f>internal_sales_data5[[#This Row],[Gross Profit per unit]]/internal_sales_data5[[#This Row],[Net Price]]</f>
        <v>0.65714285714285714</v>
      </c>
      <c r="M5" s="23">
        <f>internal_sales_data5[[#This Row],[Retail Price]]/internal_sales_data5[[#This Row],[Pack Size (ml)]]</f>
        <v>4.6666666666666669E-2</v>
      </c>
    </row>
    <row r="6" spans="1:13" x14ac:dyDescent="0.25">
      <c r="A6" s="8" t="s">
        <v>57</v>
      </c>
      <c r="B6" s="8" t="s">
        <v>79</v>
      </c>
      <c r="C6">
        <v>150</v>
      </c>
      <c r="D6" s="8" t="s">
        <v>82</v>
      </c>
      <c r="E6" s="14">
        <v>7.25</v>
      </c>
      <c r="F6" s="14">
        <v>3.7</v>
      </c>
      <c r="G6" s="14">
        <v>1.3</v>
      </c>
      <c r="H6" s="10">
        <v>231270</v>
      </c>
      <c r="I6" s="6">
        <f>internal_sales_data5[[#This Row],[Volume 2022]]*internal_sales_data5[[#This Row],[Net Price]]</f>
        <v>855699</v>
      </c>
      <c r="J6" s="14">
        <f>internal_sales_data5[[#This Row],[Net Price]]-internal_sales_data5[[#This Row],[COGS]]</f>
        <v>2.4000000000000004</v>
      </c>
      <c r="K6" s="6">
        <f>internal_sales_data5[[#This Row],[Gross Profit per unit]]*internal_sales_data5[[#This Row],[Volume 2022]]</f>
        <v>555048.00000000012</v>
      </c>
      <c r="L6" s="17">
        <f>internal_sales_data5[[#This Row],[Gross Profit per unit]]/internal_sales_data5[[#This Row],[Net Price]]</f>
        <v>0.64864864864864868</v>
      </c>
      <c r="M6" s="23">
        <f>internal_sales_data5[[#This Row],[Retail Price]]/internal_sales_data5[[#This Row],[Pack Size (ml)]]</f>
        <v>4.8333333333333332E-2</v>
      </c>
    </row>
    <row r="7" spans="1:13" x14ac:dyDescent="0.25">
      <c r="A7" s="8" t="s">
        <v>57</v>
      </c>
      <c r="B7" s="8" t="s">
        <v>75</v>
      </c>
      <c r="C7">
        <v>200</v>
      </c>
      <c r="D7" s="8" t="s">
        <v>83</v>
      </c>
      <c r="E7" s="14">
        <v>9</v>
      </c>
      <c r="F7" s="14">
        <v>5</v>
      </c>
      <c r="G7" s="14">
        <v>1.5</v>
      </c>
      <c r="H7" s="10">
        <v>289087</v>
      </c>
      <c r="I7" s="6">
        <f>internal_sales_data5[[#This Row],[Volume 2022]]*internal_sales_data5[[#This Row],[Net Price]]</f>
        <v>1445435</v>
      </c>
      <c r="J7" s="14">
        <f>internal_sales_data5[[#This Row],[Net Price]]-internal_sales_data5[[#This Row],[COGS]]</f>
        <v>3.5</v>
      </c>
      <c r="K7" s="6">
        <f>internal_sales_data5[[#This Row],[Gross Profit per unit]]*internal_sales_data5[[#This Row],[Volume 2022]]</f>
        <v>1011804.5</v>
      </c>
      <c r="L7" s="17">
        <f>internal_sales_data5[[#This Row],[Gross Profit per unit]]/internal_sales_data5[[#This Row],[Net Price]]</f>
        <v>0.7</v>
      </c>
      <c r="M7" s="23">
        <f>internal_sales_data5[[#This Row],[Retail Price]]/internal_sales_data5[[#This Row],[Pack Size (ml)]]</f>
        <v>4.4999999999999998E-2</v>
      </c>
    </row>
    <row r="8" spans="1:13" x14ac:dyDescent="0.25">
      <c r="A8" s="8" t="s">
        <v>22</v>
      </c>
      <c r="B8" s="8" t="s">
        <v>84</v>
      </c>
      <c r="C8">
        <v>100</v>
      </c>
      <c r="D8" s="8" t="s">
        <v>85</v>
      </c>
      <c r="E8" s="14">
        <v>6</v>
      </c>
      <c r="F8" s="14">
        <v>3.5</v>
      </c>
      <c r="G8" s="14">
        <v>1.1499999999999999</v>
      </c>
      <c r="H8" s="10">
        <v>1089532</v>
      </c>
      <c r="I8" s="6">
        <f>internal_sales_data5[[#This Row],[Volume 2022]]*internal_sales_data5[[#This Row],[Net Price]]</f>
        <v>3813362</v>
      </c>
      <c r="J8" s="14">
        <f>internal_sales_data5[[#This Row],[Net Price]]-internal_sales_data5[[#This Row],[COGS]]</f>
        <v>2.35</v>
      </c>
      <c r="K8" s="6">
        <f>internal_sales_data5[[#This Row],[Gross Profit per unit]]*internal_sales_data5[[#This Row],[Volume 2022]]</f>
        <v>2560400.2000000002</v>
      </c>
      <c r="L8" s="17">
        <f>internal_sales_data5[[#This Row],[Gross Profit per unit]]/internal_sales_data5[[#This Row],[Net Price]]</f>
        <v>0.67142857142857149</v>
      </c>
      <c r="M8" s="23">
        <f>internal_sales_data5[[#This Row],[Retail Price]]/internal_sales_data5[[#This Row],[Pack Size (ml)]]</f>
        <v>0.06</v>
      </c>
    </row>
    <row r="9" spans="1:13" x14ac:dyDescent="0.25">
      <c r="A9" s="8" t="s">
        <v>22</v>
      </c>
      <c r="B9" s="8" t="s">
        <v>84</v>
      </c>
      <c r="C9">
        <v>125</v>
      </c>
      <c r="D9" s="8" t="s">
        <v>86</v>
      </c>
      <c r="E9" s="14">
        <v>7</v>
      </c>
      <c r="F9" s="14">
        <v>4.25</v>
      </c>
      <c r="G9" s="14">
        <v>1.3</v>
      </c>
      <c r="H9" s="10">
        <v>466942</v>
      </c>
      <c r="I9" s="6">
        <f>internal_sales_data5[[#This Row],[Volume 2022]]*internal_sales_data5[[#This Row],[Net Price]]</f>
        <v>1984503.5</v>
      </c>
      <c r="J9" s="14">
        <f>internal_sales_data5[[#This Row],[Net Price]]-internal_sales_data5[[#This Row],[COGS]]</f>
        <v>2.95</v>
      </c>
      <c r="K9" s="6">
        <f>internal_sales_data5[[#This Row],[Gross Profit per unit]]*internal_sales_data5[[#This Row],[Volume 2022]]</f>
        <v>1377478.9000000001</v>
      </c>
      <c r="L9" s="17">
        <f>internal_sales_data5[[#This Row],[Gross Profit per unit]]/internal_sales_data5[[#This Row],[Net Price]]</f>
        <v>0.69411764705882362</v>
      </c>
      <c r="M9" s="23">
        <f>internal_sales_data5[[#This Row],[Retail Price]]/internal_sales_data5[[#This Row],[Pack Size (ml)]]</f>
        <v>5.6000000000000001E-2</v>
      </c>
    </row>
    <row r="10" spans="1:13" x14ac:dyDescent="0.25">
      <c r="A10" s="8" t="s">
        <v>22</v>
      </c>
      <c r="B10" s="8" t="s">
        <v>84</v>
      </c>
      <c r="C10">
        <v>150</v>
      </c>
      <c r="D10" s="8" t="s">
        <v>87</v>
      </c>
      <c r="E10" s="14">
        <v>8</v>
      </c>
      <c r="F10" s="14">
        <v>5.0999999999999996</v>
      </c>
      <c r="G10" s="14">
        <v>1.5</v>
      </c>
      <c r="H10" s="10">
        <v>389118</v>
      </c>
      <c r="I10" s="6">
        <f>internal_sales_data5[[#This Row],[Volume 2022]]*internal_sales_data5[[#This Row],[Net Price]]</f>
        <v>1984501.7999999998</v>
      </c>
      <c r="J10" s="14">
        <f>internal_sales_data5[[#This Row],[Net Price]]-internal_sales_data5[[#This Row],[COGS]]</f>
        <v>3.5999999999999996</v>
      </c>
      <c r="K10" s="6">
        <f>internal_sales_data5[[#This Row],[Gross Profit per unit]]*internal_sales_data5[[#This Row],[Volume 2022]]</f>
        <v>1400824.7999999998</v>
      </c>
      <c r="L10" s="17">
        <f>internal_sales_data5[[#This Row],[Gross Profit per unit]]/internal_sales_data5[[#This Row],[Net Price]]</f>
        <v>0.70588235294117641</v>
      </c>
      <c r="M10" s="23">
        <f>internal_sales_data5[[#This Row],[Retail Price]]/internal_sales_data5[[#This Row],[Pack Size (ml)]]</f>
        <v>5.3333333333333337E-2</v>
      </c>
    </row>
    <row r="11" spans="1:13" x14ac:dyDescent="0.25">
      <c r="A11" s="8" t="s">
        <v>22</v>
      </c>
      <c r="B11" s="8" t="s">
        <v>84</v>
      </c>
      <c r="C11">
        <v>200</v>
      </c>
      <c r="D11" s="8" t="s">
        <v>88</v>
      </c>
      <c r="E11" s="14">
        <v>10</v>
      </c>
      <c r="F11" s="14">
        <v>6</v>
      </c>
      <c r="G11" s="14">
        <v>1.7</v>
      </c>
      <c r="H11" s="10">
        <v>233471</v>
      </c>
      <c r="I11" s="6">
        <f>internal_sales_data5[[#This Row],[Volume 2022]]*internal_sales_data5[[#This Row],[Net Price]]</f>
        <v>1400826</v>
      </c>
      <c r="J11" s="14">
        <f>internal_sales_data5[[#This Row],[Net Price]]-internal_sales_data5[[#This Row],[COGS]]</f>
        <v>4.3</v>
      </c>
      <c r="K11" s="6">
        <f>internal_sales_data5[[#This Row],[Gross Profit per unit]]*internal_sales_data5[[#This Row],[Volume 2022]]</f>
        <v>1003925.2999999999</v>
      </c>
      <c r="L11" s="17">
        <f>internal_sales_data5[[#This Row],[Gross Profit per unit]]/internal_sales_data5[[#This Row],[Net Price]]</f>
        <v>0.71666666666666667</v>
      </c>
      <c r="M11" s="23">
        <f>internal_sales_data5[[#This Row],[Retail Price]]/internal_sales_data5[[#This Row],[Pack Size (ml)]]</f>
        <v>0.05</v>
      </c>
    </row>
    <row r="12" spans="1:13" x14ac:dyDescent="0.25">
      <c r="A12" s="8" t="s">
        <v>57</v>
      </c>
      <c r="B12" s="8" t="s">
        <v>75</v>
      </c>
      <c r="C12">
        <v>50</v>
      </c>
      <c r="D12" s="8" t="str">
        <f>internal_sales_data5[[#This Row],[Brand]]&amp;" "&amp;internal_sales_data5[[#This Row],[Product]]&amp;" "&amp;internal_sales_data5[[#This Row],[Pack Size (ml)]]&amp;"ml"</f>
        <v>Starbust Ultra Soft 50ml</v>
      </c>
      <c r="E12" s="14">
        <f>internal_sales_data5[[#This Row],[Pack Size (ml)]]*M2*(1+50%)</f>
        <v>3.75</v>
      </c>
      <c r="F12" s="14">
        <v>2.2999999999999998</v>
      </c>
      <c r="G12" s="14">
        <v>0.7</v>
      </c>
      <c r="H12" s="10">
        <f>H2*10%</f>
        <v>115634.8</v>
      </c>
      <c r="I12" s="6">
        <f>internal_sales_data5[[#This Row],[Volume 2022]]*internal_sales_data5[[#This Row],[Net Price]]</f>
        <v>265960.03999999998</v>
      </c>
      <c r="J12" s="14">
        <f>internal_sales_data5[[#This Row],[Net Price]]-internal_sales_data5[[#This Row],[COGS]]</f>
        <v>1.5999999999999999</v>
      </c>
      <c r="K12" s="6">
        <f>internal_sales_data5[[#This Row],[Gross Profit per unit]]*internal_sales_data5[[#This Row],[Volume 2022]]</f>
        <v>185015.67999999999</v>
      </c>
      <c r="L12" s="17">
        <f>internal_sales_data5[[#This Row],[Gross Profit per unit]]/internal_sales_data5[[#This Row],[Net Price]]</f>
        <v>0.69565217391304346</v>
      </c>
      <c r="M12" s="23">
        <f>internal_sales_data5[[#This Row],[Retail Price]]/internal_sales_data5[[#This Row],[Pack Size (ml)]]</f>
        <v>7.4999999999999997E-2</v>
      </c>
    </row>
    <row r="22" spans="9:9" x14ac:dyDescent="0.25">
      <c r="I22" s="2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ABC8-4EDC-47F9-8C56-49B1832E2E35}">
  <dimension ref="A1:J4"/>
  <sheetViews>
    <sheetView tabSelected="1" workbookViewId="0">
      <selection activeCell="H2" sqref="F2:H4"/>
    </sheetView>
  </sheetViews>
  <sheetFormatPr defaultRowHeight="15" x14ac:dyDescent="0.25"/>
  <cols>
    <col min="1" max="1" width="13.140625" bestFit="1" customWidth="1"/>
    <col min="2" max="2" width="16.7109375" bestFit="1" customWidth="1"/>
    <col min="3" max="3" width="8.42578125" bestFit="1" customWidth="1"/>
    <col min="4" max="4" width="7.28515625" bestFit="1" customWidth="1"/>
    <col min="5" max="5" width="9.28515625" bestFit="1" customWidth="1"/>
    <col min="6" max="6" width="14.28515625" bestFit="1" customWidth="1"/>
    <col min="7" max="7" width="16.42578125" bestFit="1" customWidth="1"/>
    <col min="8" max="8" width="12.5703125" bestFit="1" customWidth="1"/>
    <col min="9" max="9" width="12" bestFit="1" customWidth="1"/>
    <col min="10" max="10" width="6.42578125" bestFit="1" customWidth="1"/>
  </cols>
  <sheetData>
    <row r="1" spans="1:10" x14ac:dyDescent="0.25">
      <c r="A1" t="s">
        <v>103</v>
      </c>
      <c r="B1" t="s">
        <v>104</v>
      </c>
      <c r="C1" t="s">
        <v>2</v>
      </c>
      <c r="D1" t="s">
        <v>4</v>
      </c>
      <c r="E1" t="s">
        <v>5</v>
      </c>
      <c r="F1" t="s">
        <v>105</v>
      </c>
      <c r="G1" t="s">
        <v>106</v>
      </c>
      <c r="H1" t="s">
        <v>107</v>
      </c>
      <c r="I1" t="s">
        <v>113</v>
      </c>
      <c r="J1" t="s">
        <v>108</v>
      </c>
    </row>
    <row r="2" spans="1:10" x14ac:dyDescent="0.25">
      <c r="A2">
        <v>1</v>
      </c>
      <c r="B2" s="8" t="s">
        <v>109</v>
      </c>
      <c r="C2" s="8" t="s">
        <v>22</v>
      </c>
      <c r="D2">
        <v>2022</v>
      </c>
      <c r="E2">
        <v>4</v>
      </c>
      <c r="F2" s="24">
        <f>VLOOKUP(promotion_analysis[[#This Row],[Month]],'Promotion Graph'!$A$5:$B$16,2,FALSE)</f>
        <v>1445626</v>
      </c>
      <c r="G2" s="25">
        <f>AVERAGE('Promotion Graph'!$B$5:$B$7,'Promotion Graph'!$B$9:$B$11,'Promotion Graph'!$B$13:$B$14,'Promotion Graph'!$B$16)</f>
        <v>840835.5555555555</v>
      </c>
      <c r="H2" s="25">
        <f>promotion_analysis[[#This Row],[Value sales]]-promotion_analysis[[#This Row],[Baseline sales ]]</f>
        <v>604790.4444444445</v>
      </c>
      <c r="I2" s="1">
        <v>620000</v>
      </c>
      <c r="J2" s="17">
        <f>(promotion_analysis[[#This Row],[Uplift]]-promotion_analysis[[#This Row],[Cost]])/promotion_analysis[[#This Row],[Cost]]</f>
        <v>-2.453154121863791E-2</v>
      </c>
    </row>
    <row r="3" spans="1:10" x14ac:dyDescent="0.25">
      <c r="A3">
        <v>2</v>
      </c>
      <c r="B3" s="8" t="s">
        <v>110</v>
      </c>
      <c r="C3" s="8" t="s">
        <v>22</v>
      </c>
      <c r="D3">
        <v>2022</v>
      </c>
      <c r="E3">
        <v>8</v>
      </c>
      <c r="F3" s="24">
        <f>VLOOKUP(promotion_analysis[[#This Row],[Month]],'Promotion Graph'!$A$5:$B$16,2,FALSE)</f>
        <v>1198708</v>
      </c>
      <c r="G3" s="25">
        <f>AVERAGE('Promotion Graph'!$B$5:$B$7,'Promotion Graph'!$B$9:$B$11,'Promotion Graph'!$B$13:$B$14,'Promotion Graph'!$B$16)</f>
        <v>840835.5555555555</v>
      </c>
      <c r="H3" s="25">
        <f>promotion_analysis[[#This Row],[Value sales]]-promotion_analysis[[#This Row],[Baseline sales ]]</f>
        <v>357872.4444444445</v>
      </c>
      <c r="I3" s="1">
        <v>320000</v>
      </c>
      <c r="J3" s="17">
        <f>(promotion_analysis[[#This Row],[Uplift]]-promotion_analysis[[#This Row],[Cost]])/promotion_analysis[[#This Row],[Cost]]</f>
        <v>0.11835138888888905</v>
      </c>
    </row>
    <row r="4" spans="1:10" x14ac:dyDescent="0.25">
      <c r="A4">
        <v>3</v>
      </c>
      <c r="B4" s="8" t="s">
        <v>111</v>
      </c>
      <c r="C4" s="8" t="s">
        <v>22</v>
      </c>
      <c r="D4">
        <v>2022</v>
      </c>
      <c r="E4">
        <v>11</v>
      </c>
      <c r="F4" s="24">
        <f>VLOOKUP(promotion_analysis[[#This Row],[Month]],'Promotion Graph'!$A$5:$B$16,2,FALSE)</f>
        <v>1413646</v>
      </c>
      <c r="G4" s="25">
        <f>AVERAGE('Promotion Graph'!$B$5:$B$7,'Promotion Graph'!$B$9:$B$11,'Promotion Graph'!$B$13:$B$14,'Promotion Graph'!$B$16)</f>
        <v>840835.5555555555</v>
      </c>
      <c r="H4" s="25">
        <f>promotion_analysis[[#This Row],[Value sales]]-promotion_analysis[[#This Row],[Baseline sales ]]</f>
        <v>572810.4444444445</v>
      </c>
      <c r="I4" s="1">
        <v>540000</v>
      </c>
      <c r="J4" s="17">
        <f>(promotion_analysis[[#This Row],[Uplift]]-promotion_analysis[[#This Row],[Cost]])/promotion_analysis[[#This Row],[Cost]]</f>
        <v>6.0760082304526848E-2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2DA7-0A11-4E60-BCFA-30F38554F93C}">
  <dimension ref="A1:B20"/>
  <sheetViews>
    <sheetView workbookViewId="0">
      <selection activeCell="B5" sqref="B5:B17"/>
    </sheetView>
  </sheetViews>
  <sheetFormatPr defaultRowHeight="15" x14ac:dyDescent="0.25"/>
  <cols>
    <col min="1" max="1" width="13.140625" bestFit="1" customWidth="1"/>
    <col min="2" max="2" width="20.28515625" bestFit="1" customWidth="1"/>
    <col min="3" max="3" width="11.28515625" bestFit="1" customWidth="1"/>
    <col min="4" max="4" width="14.57031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8" bestFit="1" customWidth="1"/>
    <col min="12" max="12" width="5.7109375" bestFit="1" customWidth="1"/>
    <col min="13" max="13" width="13.28515625" bestFit="1" customWidth="1"/>
    <col min="14" max="14" width="8" bestFit="1" customWidth="1"/>
    <col min="15" max="15" width="12" bestFit="1" customWidth="1"/>
    <col min="16" max="16" width="9" bestFit="1" customWidth="1"/>
    <col min="17" max="17" width="13.7109375" bestFit="1" customWidth="1"/>
    <col min="18" max="18" width="8.7109375" bestFit="1" customWidth="1"/>
    <col min="19" max="19" width="6.5703125" bestFit="1" customWidth="1"/>
    <col min="20" max="20" width="6.85546875" bestFit="1" customWidth="1"/>
    <col min="21" max="21" width="8.28515625" bestFit="1" customWidth="1"/>
    <col min="22" max="22" width="9.85546875" bestFit="1" customWidth="1"/>
    <col min="23" max="23" width="7.7109375" bestFit="1" customWidth="1"/>
    <col min="24" max="24" width="6.140625" bestFit="1" customWidth="1"/>
    <col min="25" max="25" width="11.85546875" bestFit="1" customWidth="1"/>
    <col min="26" max="26" width="14.85546875" bestFit="1" customWidth="1"/>
    <col min="27" max="27" width="11.28515625" bestFit="1" customWidth="1"/>
  </cols>
  <sheetData>
    <row r="1" spans="1:2" x14ac:dyDescent="0.25">
      <c r="A1" s="2" t="s">
        <v>2</v>
      </c>
      <c r="B1" t="s">
        <v>22</v>
      </c>
    </row>
    <row r="2" spans="1:2" x14ac:dyDescent="0.25">
      <c r="A2" s="2" t="s">
        <v>4</v>
      </c>
      <c r="B2" s="3">
        <v>2022</v>
      </c>
    </row>
    <row r="4" spans="1:2" x14ac:dyDescent="0.25">
      <c r="A4" s="2" t="s">
        <v>58</v>
      </c>
      <c r="B4" t="s">
        <v>61</v>
      </c>
    </row>
    <row r="5" spans="1:2" x14ac:dyDescent="0.25">
      <c r="A5" s="3">
        <v>1</v>
      </c>
      <c r="B5" s="25">
        <v>849590</v>
      </c>
    </row>
    <row r="6" spans="1:2" x14ac:dyDescent="0.25">
      <c r="A6" s="3">
        <v>2</v>
      </c>
      <c r="B6" s="25">
        <v>822290</v>
      </c>
    </row>
    <row r="7" spans="1:2" x14ac:dyDescent="0.25">
      <c r="A7" s="3">
        <v>3</v>
      </c>
      <c r="B7" s="25">
        <v>827649</v>
      </c>
    </row>
    <row r="8" spans="1:2" x14ac:dyDescent="0.25">
      <c r="A8" s="3">
        <v>4</v>
      </c>
      <c r="B8" s="25">
        <v>1445626</v>
      </c>
    </row>
    <row r="9" spans="1:2" x14ac:dyDescent="0.25">
      <c r="A9" s="3">
        <v>5</v>
      </c>
      <c r="B9" s="25">
        <v>874089</v>
      </c>
    </row>
    <row r="10" spans="1:2" x14ac:dyDescent="0.25">
      <c r="A10" s="3">
        <v>6</v>
      </c>
      <c r="B10" s="25">
        <v>876087</v>
      </c>
    </row>
    <row r="11" spans="1:2" x14ac:dyDescent="0.25">
      <c r="A11" s="3">
        <v>7</v>
      </c>
      <c r="B11" s="25">
        <v>842454</v>
      </c>
    </row>
    <row r="12" spans="1:2" x14ac:dyDescent="0.25">
      <c r="A12" s="3">
        <v>8</v>
      </c>
      <c r="B12" s="25">
        <v>1198708</v>
      </c>
    </row>
    <row r="13" spans="1:2" x14ac:dyDescent="0.25">
      <c r="A13" s="3">
        <v>9</v>
      </c>
      <c r="B13" s="25">
        <v>853650</v>
      </c>
    </row>
    <row r="14" spans="1:2" x14ac:dyDescent="0.25">
      <c r="A14" s="3">
        <v>10</v>
      </c>
      <c r="B14" s="25">
        <v>816480</v>
      </c>
    </row>
    <row r="15" spans="1:2" x14ac:dyDescent="0.25">
      <c r="A15" s="3">
        <v>11</v>
      </c>
      <c r="B15" s="25">
        <v>1413646</v>
      </c>
    </row>
    <row r="16" spans="1:2" x14ac:dyDescent="0.25">
      <c r="A16" s="3">
        <v>12</v>
      </c>
      <c r="B16" s="25">
        <v>805231</v>
      </c>
    </row>
    <row r="17" spans="1:2" x14ac:dyDescent="0.25">
      <c r="A17" s="3" t="s">
        <v>59</v>
      </c>
      <c r="B17" s="25">
        <v>11625500</v>
      </c>
    </row>
    <row r="20" spans="1:2" x14ac:dyDescent="0.25">
      <c r="B20" s="1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topLeftCell="A2" workbookViewId="0">
      <selection activeCell="G7" sqref="G7"/>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23"/>
  <sheetViews>
    <sheetView workbookViewId="0">
      <selection activeCell="I1" sqref="I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112</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row r="23" spans="9:9" x14ac:dyDescent="0.25">
      <c r="I23" s="2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95F1-D2F5-466E-8679-7171A75CDE36}">
  <dimension ref="A3:C18"/>
  <sheetViews>
    <sheetView workbookViewId="0">
      <selection activeCell="B18" sqref="B18"/>
    </sheetView>
  </sheetViews>
  <sheetFormatPr defaultRowHeight="15" x14ac:dyDescent="0.25"/>
  <cols>
    <col min="1" max="1" width="13.140625" bestFit="1" customWidth="1"/>
    <col min="2" max="2" width="17" bestFit="1" customWidth="1"/>
    <col min="3" max="3" width="5.5703125" bestFit="1" customWidth="1"/>
    <col min="4" max="4" width="5" bestFit="1" customWidth="1"/>
    <col min="5" max="5" width="18.42578125" bestFit="1" customWidth="1"/>
    <col min="6" max="6" width="8.140625" bestFit="1" customWidth="1"/>
    <col min="7" max="7" width="7.85546875" bestFit="1" customWidth="1"/>
    <col min="8" max="8" width="11.28515625" bestFit="1" customWidth="1"/>
  </cols>
  <sheetData>
    <row r="3" spans="1:3" x14ac:dyDescent="0.25">
      <c r="A3" s="2" t="s">
        <v>95</v>
      </c>
      <c r="B3" s="2" t="s">
        <v>60</v>
      </c>
    </row>
    <row r="4" spans="1:3" x14ac:dyDescent="0.25">
      <c r="A4" s="2" t="s">
        <v>58</v>
      </c>
      <c r="B4">
        <v>2018</v>
      </c>
      <c r="C4">
        <v>2022</v>
      </c>
    </row>
    <row r="5" spans="1:3" x14ac:dyDescent="0.25">
      <c r="A5" s="3" t="s">
        <v>8</v>
      </c>
      <c r="B5" s="5"/>
      <c r="C5" s="7">
        <v>0.11527757342129488</v>
      </c>
    </row>
    <row r="6" spans="1:3" x14ac:dyDescent="0.25">
      <c r="A6" s="3" t="s">
        <v>25</v>
      </c>
      <c r="B6" s="5"/>
      <c r="C6" s="7">
        <v>-0.35222595079829983</v>
      </c>
    </row>
    <row r="7" spans="1:3" x14ac:dyDescent="0.25">
      <c r="A7" s="3" t="s">
        <v>18</v>
      </c>
      <c r="B7" s="5"/>
      <c r="C7" s="7">
        <v>0.19140557343275691</v>
      </c>
    </row>
    <row r="8" spans="1:3" x14ac:dyDescent="0.25">
      <c r="A8" s="3" t="s">
        <v>30</v>
      </c>
      <c r="B8" s="5"/>
      <c r="C8" s="7">
        <v>2.7581984297070781</v>
      </c>
    </row>
    <row r="9" spans="1:3" x14ac:dyDescent="0.25">
      <c r="A9" s="3" t="s">
        <v>55</v>
      </c>
      <c r="B9" s="5"/>
      <c r="C9" s="7">
        <v>-0.11045145375336446</v>
      </c>
    </row>
    <row r="12" spans="1:3" x14ac:dyDescent="0.25">
      <c r="A12" s="2" t="s">
        <v>4</v>
      </c>
      <c r="B12" s="3">
        <v>2023</v>
      </c>
    </row>
    <row r="13" spans="1:3" x14ac:dyDescent="0.25">
      <c r="A13" s="2" t="s">
        <v>5</v>
      </c>
      <c r="B13" s="3">
        <v>3</v>
      </c>
    </row>
    <row r="15" spans="1:3" x14ac:dyDescent="0.25">
      <c r="A15" s="2" t="s">
        <v>58</v>
      </c>
      <c r="B15" t="s">
        <v>97</v>
      </c>
    </row>
    <row r="16" spans="1:3" x14ac:dyDescent="0.25">
      <c r="A16" s="3" t="s">
        <v>30</v>
      </c>
      <c r="B16" s="21">
        <v>850749</v>
      </c>
    </row>
    <row r="18" spans="1:2" x14ac:dyDescent="0.25">
      <c r="A18" t="s">
        <v>96</v>
      </c>
      <c r="B18" s="10">
        <f>GETPIVOTDATA("Units MAT",$A$15,"Subcategory","Organic")*(1+20%)</f>
        <v>1020898.7999999999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C3DB-0C56-45EE-83CB-7697A738D751}">
  <dimension ref="A1:I3"/>
  <sheetViews>
    <sheetView workbookViewId="0">
      <selection activeCell="A3" sqref="A3"/>
    </sheetView>
  </sheetViews>
  <sheetFormatPr defaultRowHeight="15" x14ac:dyDescent="0.25"/>
  <cols>
    <col min="1" max="1" width="10.140625" bestFit="1" customWidth="1"/>
    <col min="2" max="2" width="29.28515625" bestFit="1" customWidth="1"/>
    <col min="3" max="3" width="26" bestFit="1" customWidth="1"/>
    <col min="4" max="4" width="11.42578125" bestFit="1" customWidth="1"/>
    <col min="5" max="5" width="12.28515625" bestFit="1" customWidth="1"/>
    <col min="6" max="6" width="8.28515625" bestFit="1" customWidth="1"/>
    <col min="7" max="7" width="21.42578125" bestFit="1" customWidth="1"/>
    <col min="8" max="8" width="24.85546875" bestFit="1" customWidth="1"/>
    <col min="9" max="9" width="15" bestFit="1" customWidth="1"/>
  </cols>
  <sheetData>
    <row r="1" spans="1:9" x14ac:dyDescent="0.25">
      <c r="A1" t="s">
        <v>68</v>
      </c>
      <c r="B1" t="s">
        <v>99</v>
      </c>
      <c r="C1" t="s">
        <v>100</v>
      </c>
      <c r="D1" t="s">
        <v>72</v>
      </c>
      <c r="E1" t="s">
        <v>101</v>
      </c>
      <c r="F1" t="s">
        <v>73</v>
      </c>
      <c r="G1" t="s">
        <v>94</v>
      </c>
      <c r="H1" t="s">
        <v>90</v>
      </c>
      <c r="I1" t="s">
        <v>91</v>
      </c>
    </row>
    <row r="2" spans="1:9" x14ac:dyDescent="0.25">
      <c r="A2" s="8" t="s">
        <v>114</v>
      </c>
      <c r="B2" s="17">
        <v>0.1</v>
      </c>
      <c r="C2" s="10">
        <f>new_product_launch[[#This Row],[Estimated Unit Market Share]]*'New Category Opportunity'!$B$18</f>
        <v>102089.88</v>
      </c>
      <c r="D2" s="22">
        <v>3.5</v>
      </c>
      <c r="E2" s="1">
        <f>new_product_launch[[#This Row],[Net Price]]*new_product_launch[[#This Row],[Estimated units sold 2024]]</f>
        <v>357314.58</v>
      </c>
      <c r="F2" s="22">
        <v>1.35</v>
      </c>
      <c r="G2" s="22">
        <f>new_product_launch[[#This Row],[Net Price]]-new_product_launch[[#This Row],[COGS]]</f>
        <v>2.15</v>
      </c>
      <c r="H2" s="10">
        <f>new_product_launch[[#This Row],[Gross Profit per unit]]*new_product_launch[[#This Row],[Estimated units sold 2024]]</f>
        <v>219493.242</v>
      </c>
      <c r="I2" s="17">
        <f>new_product_launch[[#This Row],[Gross Profit per product]]/new_product_launch[[#This Row],[Net Sales]]</f>
        <v>0.61428571428571421</v>
      </c>
    </row>
    <row r="3" spans="1:9" x14ac:dyDescent="0.25">
      <c r="A3" s="8" t="s">
        <v>115</v>
      </c>
      <c r="B3" s="17">
        <v>0.12</v>
      </c>
      <c r="C3" s="10">
        <f>new_product_launch[[#This Row],[Estimated Unit Market Share]]*'New Category Opportunity'!$B$18</f>
        <v>122507.85599999999</v>
      </c>
      <c r="D3" s="22">
        <v>2.75</v>
      </c>
      <c r="E3" s="1">
        <f>new_product_launch[[#This Row],[Net Price]]*new_product_launch[[#This Row],[Estimated units sold 2024]]</f>
        <v>336896.60399999993</v>
      </c>
      <c r="F3" s="22">
        <v>0.9</v>
      </c>
      <c r="G3" s="22">
        <f>new_product_launch[[#This Row],[Net Price]]-new_product_launch[[#This Row],[COGS]]</f>
        <v>1.85</v>
      </c>
      <c r="H3" s="10">
        <f>new_product_launch[[#This Row],[Gross Profit per unit]]*new_product_launch[[#This Row],[Estimated units sold 2024]]</f>
        <v>226639.5336</v>
      </c>
      <c r="I3" s="17">
        <f>new_product_launch[[#This Row],[Gross Profit per product]]/new_product_launch[[#This Row],[Net Sales]]</f>
        <v>0.67272727272727284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K E 0 H 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h N B 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T Q d X K I p H u A 4 A A A A R A A A A E w A c A E Z v c m 1 1 b G F z L 1 N l Y 3 R p b 2 4 x L m 0 g o h g A K K A U A A A A A A A A A A A A A A A A A A A A A A A A A A A A K 0 5 N L s n M z 1 M I h t C G 1 g B Q S w E C L Q A U A A I A C A A o T Q d X N t X I X 6 U A A A D 3 A A A A E g A A A A A A A A A A A A A A A A A A A A A A Q 2 9 u Z m l n L 1 B h Y 2 t h Z 2 U u e G 1 s U E s B A i 0 A F A A C A A g A K E 0 H V w / K 6 a u k A A A A 6 Q A A A B M A A A A A A A A A A A A A A A A A 8 Q A A A F t D b 2 5 0 Z W 5 0 X 1 R 5 c G V z X S 5 4 b W x Q S w E C L Q A U A A I A C A A o T Q d 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u G P m c l 7 7 S x f r 6 u F x R x F w t 6 K J 3 L A v n 3 2 4 B W U H M v m Z s + Q A A A A A O g A A A A A I A A C A A A A A 6 9 c P N C F r a F z l W O G W W 3 a Q p 5 V A J F a Z / A / R 4 X c J f O 5 C Y 0 V A A A A C o C 8 0 A S a y R c K 3 6 H A z a + s C K I 7 c q D T x 0 4 B a 2 1 4 v y q d D 2 P / k P i f B 2 K B X D c N V M p 7 h f N w J J e R u 8 d G J F y o z w Y C b K C + / B R 8 0 z 8 I U s 5 W D v P o n c M j s p r k A A A A B L V i J + C B / y h 6 m i a E N J 3 V z y 3 4 h L 9 P T Q R p h k e F j W X o X N s 4 h D C Z i S c 2 d l M f n Q + T W N h s k l U e Q 0 u Q H J R q m E A W m b e R h d < / 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lpstr>Organic Shampoo Launch</vt:lpstr>
      <vt:lpstr>50ml Shampoo 2024</vt:lpstr>
      <vt:lpstr>Promotion Analysis</vt:lpstr>
      <vt:lpstr>Promotion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2023-08-28T13:56:03Z</dcterms:modified>
</cp:coreProperties>
</file>