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17" documentId="8_{F5E211DE-B51C-4203-9AC4-60A3DE72A583}" xr6:coauthVersionLast="47" xr6:coauthVersionMax="47" xr10:uidLastSave="{E46C1EB0-EB5D-4CAA-8B5F-05283CDCFFFC}"/>
  <bookViews>
    <workbookView xWindow="28680" yWindow="-45" windowWidth="29040" windowHeight="15720" tabRatio="674" firstSheet="1" activeTab="6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<sst xmlns="http://schemas.openxmlformats.org/spreadsheetml/2006/main" count="599" uniqueCount="194">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</sst>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0" fontId="37" fillId="40" borderId="1" xfId="0" applyFont="1" applyFill="1" applyBorder="1" applyAlignment="1">
      <alignment horizontal="center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2.9614181082477748</c:v>
                </c:pt>
                <c:pt idx="1">
                  <c:v>2.8179747418753069</c:v>
                </c:pt>
                <c:pt idx="2">
                  <c:v>2.706154847657865</c:v>
                </c:pt>
                <c:pt idx="3">
                  <c:v>2.6335469870365569</c:v>
                </c:pt>
                <c:pt idx="4">
                  <c:v>2.6398735538951685</c:v>
                </c:pt>
                <c:pt idx="5">
                  <c:v>1.9078246642913843</c:v>
                </c:pt>
                <c:pt idx="6">
                  <c:v>1.9799226937309042</c:v>
                </c:pt>
                <c:pt idx="7">
                  <c:v>1.599244553916739</c:v>
                </c:pt>
                <c:pt idx="8">
                  <c:v>1.9156058789342252</c:v>
                </c:pt>
                <c:pt idx="9">
                  <c:v>1.6917487472515296</c:v>
                </c:pt>
                <c:pt idx="10">
                  <c:v>1.7896148592859775</c:v>
                </c:pt>
                <c:pt idx="11">
                  <c:v>1.8208738215142446</c:v>
                </c:pt>
                <c:pt idx="12">
                  <c:v>1.7913992609155907</c:v>
                </c:pt>
                <c:pt idx="13">
                  <c:v>1.9035774686622096</c:v>
                </c:pt>
                <c:pt idx="14">
                  <c:v>1.3392038994177196</c:v>
                </c:pt>
                <c:pt idx="15">
                  <c:v>1.3314090640070184</c:v>
                </c:pt>
                <c:pt idx="16">
                  <c:v>1.2683628452250904</c:v>
                </c:pt>
                <c:pt idx="17">
                  <c:v>1.1789656072954151</c:v>
                </c:pt>
                <c:pt idx="18">
                  <c:v>1.1787933329557163</c:v>
                </c:pt>
                <c:pt idx="19">
                  <c:v>1.1185155297794915</c:v>
                </c:pt>
                <c:pt idx="20">
                  <c:v>1.1037803420995378</c:v>
                </c:pt>
                <c:pt idx="21">
                  <c:v>1.0710149957419517</c:v>
                </c:pt>
                <c:pt idx="22">
                  <c:v>1.4622310917127337</c:v>
                </c:pt>
                <c:pt idx="23">
                  <c:v>3.2424269115630606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-5528.949999999998</c:v>
                </c:pt>
                <c:pt idx="1">
                  <c:v>-5461.8189999999977</c:v>
                </c:pt>
                <c:pt idx="2">
                  <c:v>-5404.1309999999976</c:v>
                </c:pt>
                <c:pt idx="3">
                  <c:v>-5210.6269999999986</c:v>
                </c:pt>
                <c:pt idx="4">
                  <c:v>-5372.2719999999972</c:v>
                </c:pt>
                <c:pt idx="5">
                  <c:v>-5531.4119999999975</c:v>
                </c:pt>
                <c:pt idx="6">
                  <c:v>-6397.2109999999993</c:v>
                </c:pt>
                <c:pt idx="7">
                  <c:v>-7176.5509999999977</c:v>
                </c:pt>
                <c:pt idx="8">
                  <c:v>-8919.114999999998</c:v>
                </c:pt>
                <c:pt idx="9">
                  <c:v>-14717.68399999999</c:v>
                </c:pt>
                <c:pt idx="10">
                  <c:v>-15897.727999999999</c:v>
                </c:pt>
                <c:pt idx="11">
                  <c:v>-15119.626</c:v>
                </c:pt>
                <c:pt idx="12">
                  <c:v>-15866.133999999987</c:v>
                </c:pt>
                <c:pt idx="13">
                  <c:v>-15305.382000000001</c:v>
                </c:pt>
                <c:pt idx="14">
                  <c:v>-15078.94299999999</c:v>
                </c:pt>
                <c:pt idx="15">
                  <c:v>-15320.38699999999</c:v>
                </c:pt>
                <c:pt idx="16">
                  <c:v>-15787.733999999999</c:v>
                </c:pt>
                <c:pt idx="17">
                  <c:v>-15613.687999999996</c:v>
                </c:pt>
                <c:pt idx="18">
                  <c:v>-14597.855</c:v>
                </c:pt>
                <c:pt idx="19">
                  <c:v>-13497.847</c:v>
                </c:pt>
                <c:pt idx="20">
                  <c:v>-11821.516</c:v>
                </c:pt>
                <c:pt idx="21">
                  <c:v>-8101.3099999999995</c:v>
                </c:pt>
                <c:pt idx="22">
                  <c:v>-6261.9199999999983</c:v>
                </c:pt>
                <c:pt idx="23">
                  <c:v>-5710.3049999999985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66675.7721598184</c:v>
                </c:pt>
                <c:pt idx="1">
                  <c:v>63435.813553680477</c:v>
                </c:pt>
                <c:pt idx="2">
                  <c:v>60914.389997587597</c:v>
                </c:pt>
                <c:pt idx="3">
                  <c:v>59182.628988775701</c:v>
                </c:pt>
                <c:pt idx="4">
                  <c:v>59415.568865391004</c:v>
                </c:pt>
                <c:pt idx="5">
                  <c:v>62053.286960419988</c:v>
                </c:pt>
                <c:pt idx="6">
                  <c:v>64527.257561004386</c:v>
                </c:pt>
                <c:pt idx="7">
                  <c:v>67887.222230798478</c:v>
                </c:pt>
                <c:pt idx="8">
                  <c:v>81177.974363684232</c:v>
                </c:pt>
                <c:pt idx="9">
                  <c:v>88515.777219132055</c:v>
                </c:pt>
                <c:pt idx="10">
                  <c:v>94048.745085013827</c:v>
                </c:pt>
                <c:pt idx="11">
                  <c:v>95358.735452445646</c:v>
                </c:pt>
                <c:pt idx="12">
                  <c:v>94230.394601464097</c:v>
                </c:pt>
                <c:pt idx="13">
                  <c:v>99854.017934691001</c:v>
                </c:pt>
                <c:pt idx="14">
                  <c:v>100306.90070632898</c:v>
                </c:pt>
                <c:pt idx="15">
                  <c:v>99693.233050526382</c:v>
                </c:pt>
                <c:pt idx="16">
                  <c:v>95073.042391881769</c:v>
                </c:pt>
                <c:pt idx="17">
                  <c:v>88332.083297156132</c:v>
                </c:pt>
                <c:pt idx="18">
                  <c:v>88087.067471678718</c:v>
                </c:pt>
                <c:pt idx="19">
                  <c:v>83883.467733461861</c:v>
                </c:pt>
                <c:pt idx="20">
                  <c:v>82819.486657465328</c:v>
                </c:pt>
                <c:pt idx="21">
                  <c:v>79912.295680646377</c:v>
                </c:pt>
                <c:pt idx="22">
                  <c:v>76834.372814918519</c:v>
                </c:pt>
                <c:pt idx="23">
                  <c:v>72973.356010168864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66631.907435574933</c:v>
                </c:pt>
                <c:pt idx="1">
                  <c:v>63404.431692194405</c:v>
                </c:pt>
                <c:pt idx="2">
                  <c:v>60888.484072301966</c:v>
                </c:pt>
                <c:pt idx="3">
                  <c:v>59254.807208322534</c:v>
                </c:pt>
                <c:pt idx="4">
                  <c:v>59397.154962641289</c:v>
                </c:pt>
                <c:pt idx="5">
                  <c:v>62004.301589469993</c:v>
                </c:pt>
                <c:pt idx="6">
                  <c:v>64347.487546254386</c:v>
                </c:pt>
                <c:pt idx="7">
                  <c:v>67967.89354146141</c:v>
                </c:pt>
                <c:pt idx="8">
                  <c:v>81413.249854704569</c:v>
                </c:pt>
                <c:pt idx="9">
                  <c:v>88816.809230705301</c:v>
                </c:pt>
                <c:pt idx="10">
                  <c:v>93954.780112513821</c:v>
                </c:pt>
                <c:pt idx="11">
                  <c:v>95595.875629497838</c:v>
                </c:pt>
                <c:pt idx="12">
                  <c:v>94048.461198068515</c:v>
                </c:pt>
                <c:pt idx="13">
                  <c:v>99937.817104766</c:v>
                </c:pt>
                <c:pt idx="14">
                  <c:v>100440.29245632897</c:v>
                </c:pt>
                <c:pt idx="15">
                  <c:v>99855.679800526384</c:v>
                </c:pt>
                <c:pt idx="16">
                  <c:v>95127.213391881771</c:v>
                </c:pt>
                <c:pt idx="17">
                  <c:v>88422.420547156129</c:v>
                </c:pt>
                <c:pt idx="18">
                  <c:v>88409.499971678728</c:v>
                </c:pt>
                <c:pt idx="19">
                  <c:v>83888.664733461861</c:v>
                </c:pt>
                <c:pt idx="20">
                  <c:v>82783.525657465332</c:v>
                </c:pt>
                <c:pt idx="21">
                  <c:v>80326.124680646375</c:v>
                </c:pt>
                <c:pt idx="22">
                  <c:v>76767.132314918519</c:v>
                </c:pt>
                <c:pt idx="23">
                  <c:v>72954.605510168869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3.7843357316666668</c:v>
                </c:pt>
                <c:pt idx="1">
                  <c:v>3.5701725500000001</c:v>
                </c:pt>
                <c:pt idx="2">
                  <c:v>2.767274056666666</c:v>
                </c:pt>
                <c:pt idx="3">
                  <c:v>2.8224030383333334</c:v>
                </c:pt>
                <c:pt idx="4">
                  <c:v>3.227774721666667</c:v>
                </c:pt>
                <c:pt idx="5">
                  <c:v>3.4149325416666665</c:v>
                </c:pt>
                <c:pt idx="6">
                  <c:v>3.4744300066666667</c:v>
                </c:pt>
                <c:pt idx="7">
                  <c:v>2.6686039433333333</c:v>
                </c:pt>
                <c:pt idx="8">
                  <c:v>3.5165618366666664</c:v>
                </c:pt>
                <c:pt idx="9">
                  <c:v>2.9814681599999999</c:v>
                </c:pt>
                <c:pt idx="10">
                  <c:v>2.8178889566666667</c:v>
                </c:pt>
                <c:pt idx="11">
                  <c:v>2.8414285850000001</c:v>
                </c:pt>
                <c:pt idx="12">
                  <c:v>2.9950821750000003</c:v>
                </c:pt>
                <c:pt idx="13">
                  <c:v>3.461685871666667</c:v>
                </c:pt>
                <c:pt idx="14">
                  <c:v>3.9111590666666673</c:v>
                </c:pt>
                <c:pt idx="15">
                  <c:v>3.9959631966666671</c:v>
                </c:pt>
                <c:pt idx="16">
                  <c:v>3.8327921733333334</c:v>
                </c:pt>
                <c:pt idx="17">
                  <c:v>4.1688476766666662</c:v>
                </c:pt>
                <c:pt idx="18">
                  <c:v>5.6561967933333337</c:v>
                </c:pt>
                <c:pt idx="19">
                  <c:v>3.8650127466666668</c:v>
                </c:pt>
                <c:pt idx="20">
                  <c:v>3.9685398266666665</c:v>
                </c:pt>
                <c:pt idx="21">
                  <c:v>7.4844983216666678</c:v>
                </c:pt>
                <c:pt idx="22">
                  <c:v>5.1319654133333339</c:v>
                </c:pt>
                <c:pt idx="23">
                  <c:v>3.8397008216666664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1.9084568883333337</c:v>
                </c:pt>
                <c:pt idx="1">
                  <c:v>2.4978476933333331</c:v>
                </c:pt>
                <c:pt idx="2">
                  <c:v>1.7761938416666667</c:v>
                </c:pt>
                <c:pt idx="3">
                  <c:v>2.502776635</c:v>
                </c:pt>
                <c:pt idx="4">
                  <c:v>3.0148680766666667</c:v>
                </c:pt>
                <c:pt idx="5">
                  <c:v>3.0104116849999998</c:v>
                </c:pt>
                <c:pt idx="6">
                  <c:v>2.4512176099999996</c:v>
                </c:pt>
                <c:pt idx="7">
                  <c:v>2.4466745949999997</c:v>
                </c:pt>
                <c:pt idx="8">
                  <c:v>3.4243688733333335</c:v>
                </c:pt>
                <c:pt idx="9">
                  <c:v>3.1611800316666665</c:v>
                </c:pt>
                <c:pt idx="10">
                  <c:v>5.868839883333334</c:v>
                </c:pt>
                <c:pt idx="11">
                  <c:v>3.0882291349999997</c:v>
                </c:pt>
                <c:pt idx="12">
                  <c:v>3.0224688166666667</c:v>
                </c:pt>
                <c:pt idx="13">
                  <c:v>3.8067705699999999</c:v>
                </c:pt>
                <c:pt idx="14">
                  <c:v>3.7331187083333335</c:v>
                </c:pt>
                <c:pt idx="15">
                  <c:v>3.5782836283333332</c:v>
                </c:pt>
                <c:pt idx="16">
                  <c:v>4.6436648416666664</c:v>
                </c:pt>
                <c:pt idx="17">
                  <c:v>5.2820436300000004</c:v>
                </c:pt>
                <c:pt idx="18">
                  <c:v>4.7195053950000005</c:v>
                </c:pt>
                <c:pt idx="19">
                  <c:v>3.8616583933333333</c:v>
                </c:pt>
                <c:pt idx="20">
                  <c:v>4.8103219616666664</c:v>
                </c:pt>
                <c:pt idx="21">
                  <c:v>3.4635083700000004</c:v>
                </c:pt>
                <c:pt idx="22">
                  <c:v>3.3850319799999999</c:v>
                </c:pt>
                <c:pt idx="23">
                  <c:v>2.9521873999999997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2.7417177666666666</c:v>
                </c:pt>
                <c:pt idx="1">
                  <c:v>2.654378289285714</c:v>
                </c:pt>
                <c:pt idx="2">
                  <c:v>1.8851294004761903</c:v>
                </c:pt>
                <c:pt idx="3">
                  <c:v>2.0984759630952379</c:v>
                </c:pt>
                <c:pt idx="4">
                  <c:v>2.9439233738095241</c:v>
                </c:pt>
                <c:pt idx="5">
                  <c:v>3.2519501076190478</c:v>
                </c:pt>
                <c:pt idx="6">
                  <c:v>2.8853791035714282</c:v>
                </c:pt>
                <c:pt idx="7">
                  <c:v>3.0053816290476187</c:v>
                </c:pt>
                <c:pt idx="8">
                  <c:v>3.1361541799999997</c:v>
                </c:pt>
                <c:pt idx="9">
                  <c:v>3.2838300461904764</c:v>
                </c:pt>
                <c:pt idx="10">
                  <c:v>3.2840681697619041</c:v>
                </c:pt>
                <c:pt idx="11">
                  <c:v>2.736822844047619</c:v>
                </c:pt>
                <c:pt idx="12">
                  <c:v>2.7785584073809528</c:v>
                </c:pt>
                <c:pt idx="13">
                  <c:v>3.3646959316666667</c:v>
                </c:pt>
                <c:pt idx="14">
                  <c:v>3.5202555054761899</c:v>
                </c:pt>
                <c:pt idx="15">
                  <c:v>3.7589928445238097</c:v>
                </c:pt>
                <c:pt idx="16">
                  <c:v>3.8529002795238094</c:v>
                </c:pt>
                <c:pt idx="17">
                  <c:v>4.5354405864285718</c:v>
                </c:pt>
                <c:pt idx="18">
                  <c:v>4.3646456283333332</c:v>
                </c:pt>
                <c:pt idx="19">
                  <c:v>3.6416085673809522</c:v>
                </c:pt>
                <c:pt idx="20">
                  <c:v>3.7785735314285711</c:v>
                </c:pt>
                <c:pt idx="21">
                  <c:v>3.5065381597619054</c:v>
                </c:pt>
                <c:pt idx="22">
                  <c:v>3.3495737466666666</c:v>
                </c:pt>
                <c:pt idx="23">
                  <c:v>2.8369945430952379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5528.949999999998</c:v>
                </c:pt>
                <c:pt idx="1">
                  <c:v>5461.8189999999977</c:v>
                </c:pt>
                <c:pt idx="2">
                  <c:v>5404.1309999999976</c:v>
                </c:pt>
                <c:pt idx="3">
                  <c:v>5210.6269999999986</c:v>
                </c:pt>
                <c:pt idx="4">
                  <c:v>5372.2719999999972</c:v>
                </c:pt>
                <c:pt idx="5">
                  <c:v>5531.4119999999975</c:v>
                </c:pt>
                <c:pt idx="6">
                  <c:v>6397.2109999999993</c:v>
                </c:pt>
                <c:pt idx="7">
                  <c:v>7176.5509999999977</c:v>
                </c:pt>
                <c:pt idx="8">
                  <c:v>8919.114999999998</c:v>
                </c:pt>
                <c:pt idx="9">
                  <c:v>14717.68399999999</c:v>
                </c:pt>
                <c:pt idx="10">
                  <c:v>15897.727999999999</c:v>
                </c:pt>
                <c:pt idx="11">
                  <c:v>15119.626</c:v>
                </c:pt>
                <c:pt idx="12">
                  <c:v>15866.133999999987</c:v>
                </c:pt>
                <c:pt idx="13">
                  <c:v>15305.382000000001</c:v>
                </c:pt>
                <c:pt idx="14">
                  <c:v>15078.94299999999</c:v>
                </c:pt>
                <c:pt idx="15">
                  <c:v>15320.38699999999</c:v>
                </c:pt>
                <c:pt idx="16">
                  <c:v>15787.733999999999</c:v>
                </c:pt>
                <c:pt idx="17">
                  <c:v>15613.687999999996</c:v>
                </c:pt>
                <c:pt idx="18">
                  <c:v>14597.855</c:v>
                </c:pt>
                <c:pt idx="19">
                  <c:v>13497.847</c:v>
                </c:pt>
                <c:pt idx="20">
                  <c:v>11821.516</c:v>
                </c:pt>
                <c:pt idx="21">
                  <c:v>8101.3099999999995</c:v>
                </c:pt>
                <c:pt idx="22">
                  <c:v>6261.9199999999983</c:v>
                </c:pt>
                <c:pt idx="23">
                  <c:v>5710.3049999999985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5441.2205515130599</c:v>
                </c:pt>
                <c:pt idx="1">
                  <c:v>5399.05527702786</c:v>
                </c:pt>
                <c:pt idx="2">
                  <c:v>5352.319149428733</c:v>
                </c:pt>
                <c:pt idx="3">
                  <c:v>5354.9834390936576</c:v>
                </c:pt>
                <c:pt idx="4">
                  <c:v>5335.4441945005701</c:v>
                </c:pt>
                <c:pt idx="5">
                  <c:v>5433.4412580999997</c:v>
                </c:pt>
                <c:pt idx="6">
                  <c:v>6037.6709704999985</c:v>
                </c:pt>
                <c:pt idx="7">
                  <c:v>7337.8936213258748</c:v>
                </c:pt>
                <c:pt idx="8">
                  <c:v>9389.6659820406439</c:v>
                </c:pt>
                <c:pt idx="9">
                  <c:v>15319.748023146494</c:v>
                </c:pt>
                <c:pt idx="10">
                  <c:v>15709.798054999999</c:v>
                </c:pt>
                <c:pt idx="11">
                  <c:v>15593.906354104376</c:v>
                </c:pt>
                <c:pt idx="12">
                  <c:v>15502.267193208847</c:v>
                </c:pt>
                <c:pt idx="13">
                  <c:v>15472.980340149996</c:v>
                </c:pt>
                <c:pt idx="14">
                  <c:v>15345.726499999995</c:v>
                </c:pt>
                <c:pt idx="15">
                  <c:v>15645.280499999995</c:v>
                </c:pt>
                <c:pt idx="16">
                  <c:v>15896.075999999997</c:v>
                </c:pt>
                <c:pt idx="17">
                  <c:v>15794.36249999999</c:v>
                </c:pt>
                <c:pt idx="18">
                  <c:v>15242.719999999994</c:v>
                </c:pt>
                <c:pt idx="19">
                  <c:v>13508.240999999998</c:v>
                </c:pt>
                <c:pt idx="20">
                  <c:v>11749.593999999999</c:v>
                </c:pt>
                <c:pt idx="21">
                  <c:v>8928.9679999999989</c:v>
                </c:pt>
                <c:pt idx="22">
                  <c:v>6127.4390000000003</c:v>
                </c:pt>
                <c:pt idx="23">
                  <c:v>5672.8039999999983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5485.085275756529</c:v>
                </c:pt>
                <c:pt idx="1">
                  <c:v>5430.4371385139293</c:v>
                </c:pt>
                <c:pt idx="2">
                  <c:v>5378.2250747143653</c:v>
                </c:pt>
                <c:pt idx="3">
                  <c:v>5282.8052195468281</c:v>
                </c:pt>
                <c:pt idx="4">
                  <c:v>5353.8580972502841</c:v>
                </c:pt>
                <c:pt idx="5">
                  <c:v>5482.4266290499982</c:v>
                </c:pt>
                <c:pt idx="6">
                  <c:v>6217.4409852499994</c:v>
                </c:pt>
                <c:pt idx="7">
                  <c:v>7257.2223106629363</c:v>
                </c:pt>
                <c:pt idx="8">
                  <c:v>9154.39049102032</c:v>
                </c:pt>
                <c:pt idx="9">
                  <c:v>15018.716011573242</c:v>
                </c:pt>
                <c:pt idx="10">
                  <c:v>15803.763027499999</c:v>
                </c:pt>
                <c:pt idx="11">
                  <c:v>15356.766177052188</c:v>
                </c:pt>
                <c:pt idx="12">
                  <c:v>15684.200596604416</c:v>
                </c:pt>
                <c:pt idx="13">
                  <c:v>15389.181170074999</c:v>
                </c:pt>
                <c:pt idx="14">
                  <c:v>15212.334749999993</c:v>
                </c:pt>
                <c:pt idx="15">
                  <c:v>15482.833749999993</c:v>
                </c:pt>
                <c:pt idx="16">
                  <c:v>15841.904999999999</c:v>
                </c:pt>
                <c:pt idx="17">
                  <c:v>15704.025249999993</c:v>
                </c:pt>
                <c:pt idx="18">
                  <c:v>14920.287499999997</c:v>
                </c:pt>
                <c:pt idx="19">
                  <c:v>13503.043999999998</c:v>
                </c:pt>
                <c:pt idx="20">
                  <c:v>11785.555</c:v>
                </c:pt>
                <c:pt idx="21">
                  <c:v>8515.1389999999992</c:v>
                </c:pt>
                <c:pt idx="22">
                  <c:v>6194.6794999999993</c:v>
                </c:pt>
                <c:pt idx="23">
                  <c:v>5691.5544999999984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12500</c:v>
                </c:pt>
                <c:pt idx="2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</c:v>
                </c:pt>
                <c:pt idx="6">
                  <c:v>10000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44131.907435574933</c:v>
                </c:pt>
                <c:pt idx="1">
                  <c:v>40904.431692194405</c:v>
                </c:pt>
                <c:pt idx="2">
                  <c:v>38388.484072301966</c:v>
                </c:pt>
                <c:pt idx="3">
                  <c:v>36754.807208322534</c:v>
                </c:pt>
                <c:pt idx="4">
                  <c:v>36897.154962641289</c:v>
                </c:pt>
                <c:pt idx="5">
                  <c:v>29504.301589469993</c:v>
                </c:pt>
                <c:pt idx="6">
                  <c:v>31847.487546254386</c:v>
                </c:pt>
                <c:pt idx="7">
                  <c:v>25467.89354146141</c:v>
                </c:pt>
                <c:pt idx="8">
                  <c:v>38913.249854704569</c:v>
                </c:pt>
                <c:pt idx="9">
                  <c:v>36316.809230705301</c:v>
                </c:pt>
                <c:pt idx="10">
                  <c:v>41454.780112513821</c:v>
                </c:pt>
                <c:pt idx="11">
                  <c:v>43095.875629497838</c:v>
                </c:pt>
                <c:pt idx="12">
                  <c:v>41548.461198068515</c:v>
                </c:pt>
                <c:pt idx="13">
                  <c:v>47437.817104766</c:v>
                </c:pt>
                <c:pt idx="14">
                  <c:v>25440.292456328971</c:v>
                </c:pt>
                <c:pt idx="15">
                  <c:v>24855.679800526384</c:v>
                </c:pt>
                <c:pt idx="16">
                  <c:v>20127.213391881771</c:v>
                </c:pt>
                <c:pt idx="17">
                  <c:v>13422.420547156129</c:v>
                </c:pt>
                <c:pt idx="18">
                  <c:v>13409.499971678728</c:v>
                </c:pt>
                <c:pt idx="19">
                  <c:v>8888.664733461861</c:v>
                </c:pt>
                <c:pt idx="20">
                  <c:v>7783.5256574653322</c:v>
                </c:pt>
                <c:pt idx="21">
                  <c:v>5326.1246806463751</c:v>
                </c:pt>
                <c:pt idx="22">
                  <c:v>24267.132314918519</c:v>
                </c:pt>
                <c:pt idx="23">
                  <c:v>50454.605510168869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66631.907435574933</c:v>
                </c:pt>
                <c:pt idx="1">
                  <c:v>63404.431692194405</c:v>
                </c:pt>
                <c:pt idx="2">
                  <c:v>60888.484072301966</c:v>
                </c:pt>
                <c:pt idx="3">
                  <c:v>59254.807208322534</c:v>
                </c:pt>
                <c:pt idx="4">
                  <c:v>59397.154962641289</c:v>
                </c:pt>
                <c:pt idx="5">
                  <c:v>62004.301589469993</c:v>
                </c:pt>
                <c:pt idx="6">
                  <c:v>64347.487546254386</c:v>
                </c:pt>
                <c:pt idx="7">
                  <c:v>67967.89354146141</c:v>
                </c:pt>
                <c:pt idx="8">
                  <c:v>81413.249854704569</c:v>
                </c:pt>
                <c:pt idx="9">
                  <c:v>88816.809230705301</c:v>
                </c:pt>
                <c:pt idx="10">
                  <c:v>93954.780112513821</c:v>
                </c:pt>
                <c:pt idx="11">
                  <c:v>95595.875629497838</c:v>
                </c:pt>
                <c:pt idx="12">
                  <c:v>94048.461198068515</c:v>
                </c:pt>
                <c:pt idx="13">
                  <c:v>99937.817104766</c:v>
                </c:pt>
                <c:pt idx="14">
                  <c:v>100440.29245632897</c:v>
                </c:pt>
                <c:pt idx="15">
                  <c:v>99855.679800526384</c:v>
                </c:pt>
                <c:pt idx="16">
                  <c:v>95127.213391881771</c:v>
                </c:pt>
                <c:pt idx="17">
                  <c:v>88422.420547156129</c:v>
                </c:pt>
                <c:pt idx="18">
                  <c:v>88409.499971678728</c:v>
                </c:pt>
                <c:pt idx="19">
                  <c:v>83888.664733461861</c:v>
                </c:pt>
                <c:pt idx="20">
                  <c:v>82783.525657465332</c:v>
                </c:pt>
                <c:pt idx="21">
                  <c:v>80326.124680646375</c:v>
                </c:pt>
                <c:pt idx="22">
                  <c:v>76767.132314918519</c:v>
                </c:pt>
                <c:pt idx="23">
                  <c:v>72954.605510168869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44131.907435574933</c:v>
                </c:pt>
                <c:pt idx="1">
                  <c:v>40904.431692194405</c:v>
                </c:pt>
                <c:pt idx="2">
                  <c:v>38388.484072301966</c:v>
                </c:pt>
                <c:pt idx="3">
                  <c:v>36754.807208322534</c:v>
                </c:pt>
                <c:pt idx="4">
                  <c:v>36897.154962641289</c:v>
                </c:pt>
                <c:pt idx="5">
                  <c:v>29504.301589469993</c:v>
                </c:pt>
                <c:pt idx="6">
                  <c:v>31847.487546254386</c:v>
                </c:pt>
                <c:pt idx="7">
                  <c:v>25467.89354146141</c:v>
                </c:pt>
                <c:pt idx="8">
                  <c:v>38913.249854704569</c:v>
                </c:pt>
                <c:pt idx="9">
                  <c:v>36316.809230705301</c:v>
                </c:pt>
                <c:pt idx="10">
                  <c:v>41454.780112513821</c:v>
                </c:pt>
                <c:pt idx="11">
                  <c:v>43095.875629497838</c:v>
                </c:pt>
                <c:pt idx="12">
                  <c:v>41548.461198068515</c:v>
                </c:pt>
                <c:pt idx="13">
                  <c:v>47437.817104766</c:v>
                </c:pt>
                <c:pt idx="14">
                  <c:v>25440.292456328971</c:v>
                </c:pt>
                <c:pt idx="15">
                  <c:v>24855.679800526384</c:v>
                </c:pt>
                <c:pt idx="16">
                  <c:v>20127.213391881771</c:v>
                </c:pt>
                <c:pt idx="17">
                  <c:v>13422.420547156129</c:v>
                </c:pt>
                <c:pt idx="18">
                  <c:v>13409.499971678728</c:v>
                </c:pt>
                <c:pt idx="19">
                  <c:v>8888.664733461861</c:v>
                </c:pt>
                <c:pt idx="20">
                  <c:v>7783.5256574653322</c:v>
                </c:pt>
                <c:pt idx="21">
                  <c:v>5326.1246806463751</c:v>
                </c:pt>
                <c:pt idx="22">
                  <c:v>24267.132314918519</c:v>
                </c:pt>
                <c:pt idx="23">
                  <c:v>50454.605510168869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2.7417177666666666</c:v>
                </c:pt>
                <c:pt idx="1">
                  <c:v>2.654378289285714</c:v>
                </c:pt>
                <c:pt idx="2">
                  <c:v>1.8851294004761903</c:v>
                </c:pt>
                <c:pt idx="3">
                  <c:v>2.0984759630952379</c:v>
                </c:pt>
                <c:pt idx="4">
                  <c:v>2.9439233738095241</c:v>
                </c:pt>
                <c:pt idx="5">
                  <c:v>3.2519501076190478</c:v>
                </c:pt>
                <c:pt idx="6">
                  <c:v>2.8853791035714282</c:v>
                </c:pt>
                <c:pt idx="7">
                  <c:v>3.0053816290476187</c:v>
                </c:pt>
                <c:pt idx="8">
                  <c:v>3.1361541799999997</c:v>
                </c:pt>
                <c:pt idx="9">
                  <c:v>3.2838300461904764</c:v>
                </c:pt>
                <c:pt idx="10">
                  <c:v>3.2840681697619041</c:v>
                </c:pt>
                <c:pt idx="11">
                  <c:v>2.736822844047619</c:v>
                </c:pt>
                <c:pt idx="12">
                  <c:v>2.7785584073809528</c:v>
                </c:pt>
                <c:pt idx="13">
                  <c:v>3.3646959316666667</c:v>
                </c:pt>
                <c:pt idx="14">
                  <c:v>3.5202555054761899</c:v>
                </c:pt>
                <c:pt idx="15">
                  <c:v>3.7589928445238097</c:v>
                </c:pt>
                <c:pt idx="16">
                  <c:v>3.8529002795238094</c:v>
                </c:pt>
                <c:pt idx="17">
                  <c:v>4.5354405864285718</c:v>
                </c:pt>
                <c:pt idx="18">
                  <c:v>4.3646456283333332</c:v>
                </c:pt>
                <c:pt idx="19">
                  <c:v>3.6416085673809522</c:v>
                </c:pt>
                <c:pt idx="20">
                  <c:v>3.7785735314285711</c:v>
                </c:pt>
                <c:pt idx="21">
                  <c:v>3.5065381597619054</c:v>
                </c:pt>
                <c:pt idx="22">
                  <c:v>3.3495737466666666</c:v>
                </c:pt>
                <c:pt idx="23">
                  <c:v>2.8369945430952379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66631.907435574933</c:v>
                </c:pt>
                <c:pt idx="1">
                  <c:v>63404.431692194405</c:v>
                </c:pt>
                <c:pt idx="2">
                  <c:v>60888.484072301966</c:v>
                </c:pt>
                <c:pt idx="3">
                  <c:v>59254.807208322534</c:v>
                </c:pt>
                <c:pt idx="4">
                  <c:v>59397.154962641289</c:v>
                </c:pt>
                <c:pt idx="5">
                  <c:v>62004.301589469993</c:v>
                </c:pt>
                <c:pt idx="6">
                  <c:v>64347.487546254386</c:v>
                </c:pt>
                <c:pt idx="7">
                  <c:v>67967.89354146141</c:v>
                </c:pt>
                <c:pt idx="8">
                  <c:v>81413.249854704569</c:v>
                </c:pt>
                <c:pt idx="9">
                  <c:v>88816.809230705301</c:v>
                </c:pt>
                <c:pt idx="10">
                  <c:v>93954.780112513821</c:v>
                </c:pt>
                <c:pt idx="11">
                  <c:v>95595.875629497838</c:v>
                </c:pt>
                <c:pt idx="12">
                  <c:v>94048.461198068515</c:v>
                </c:pt>
                <c:pt idx="13">
                  <c:v>99937.817104766</c:v>
                </c:pt>
                <c:pt idx="14">
                  <c:v>100440.29245632897</c:v>
                </c:pt>
                <c:pt idx="15">
                  <c:v>99855.679800526384</c:v>
                </c:pt>
                <c:pt idx="16">
                  <c:v>95127.213391881771</c:v>
                </c:pt>
                <c:pt idx="17">
                  <c:v>88422.420547156129</c:v>
                </c:pt>
                <c:pt idx="18">
                  <c:v>88409.499971678728</c:v>
                </c:pt>
                <c:pt idx="19">
                  <c:v>83888.664733461861</c:v>
                </c:pt>
                <c:pt idx="20">
                  <c:v>82783.525657465332</c:v>
                </c:pt>
                <c:pt idx="21">
                  <c:v>80326.124680646375</c:v>
                </c:pt>
                <c:pt idx="22">
                  <c:v>76767.132314918519</c:v>
                </c:pt>
                <c:pt idx="23">
                  <c:v>72954.605510168869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-22500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-32500</c:v>
                </c:pt>
                <c:pt idx="6">
                  <c:v>-32500</c:v>
                </c:pt>
                <c:pt idx="7">
                  <c:v>-42500</c:v>
                </c:pt>
                <c:pt idx="8">
                  <c:v>-42500</c:v>
                </c:pt>
                <c:pt idx="9">
                  <c:v>-52500</c:v>
                </c:pt>
                <c:pt idx="10">
                  <c:v>-52500</c:v>
                </c:pt>
                <c:pt idx="11">
                  <c:v>-52500</c:v>
                </c:pt>
                <c:pt idx="12">
                  <c:v>-52500</c:v>
                </c:pt>
                <c:pt idx="13">
                  <c:v>-52500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-52500</c:v>
                </c:pt>
                <c:pt idx="23">
                  <c:v>-22500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44131.907435574933</c:v>
                </c:pt>
                <c:pt idx="1">
                  <c:v>40904.431692194405</c:v>
                </c:pt>
                <c:pt idx="2">
                  <c:v>38388.484072301966</c:v>
                </c:pt>
                <c:pt idx="3">
                  <c:v>36754.807208322534</c:v>
                </c:pt>
                <c:pt idx="4">
                  <c:v>36897.154962641289</c:v>
                </c:pt>
                <c:pt idx="5">
                  <c:v>29504.301589469993</c:v>
                </c:pt>
                <c:pt idx="6">
                  <c:v>31847.487546254386</c:v>
                </c:pt>
                <c:pt idx="7">
                  <c:v>25467.89354146141</c:v>
                </c:pt>
                <c:pt idx="8">
                  <c:v>38913.249854704569</c:v>
                </c:pt>
                <c:pt idx="9">
                  <c:v>36316.809230705301</c:v>
                </c:pt>
                <c:pt idx="10">
                  <c:v>41454.780112513821</c:v>
                </c:pt>
                <c:pt idx="11">
                  <c:v>43095.875629497838</c:v>
                </c:pt>
                <c:pt idx="12">
                  <c:v>41548.461198068515</c:v>
                </c:pt>
                <c:pt idx="13">
                  <c:v>47437.817104766</c:v>
                </c:pt>
                <c:pt idx="14">
                  <c:v>25440.292456328971</c:v>
                </c:pt>
                <c:pt idx="15">
                  <c:v>24855.679800526384</c:v>
                </c:pt>
                <c:pt idx="16">
                  <c:v>20127.213391881771</c:v>
                </c:pt>
                <c:pt idx="17">
                  <c:v>13422.420547156129</c:v>
                </c:pt>
                <c:pt idx="18">
                  <c:v>13409.499971678728</c:v>
                </c:pt>
                <c:pt idx="19">
                  <c:v>8888.664733461861</c:v>
                </c:pt>
                <c:pt idx="20">
                  <c:v>7783.5256574653322</c:v>
                </c:pt>
                <c:pt idx="21">
                  <c:v>5326.1246806463751</c:v>
                </c:pt>
                <c:pt idx="22">
                  <c:v>24267.132314918519</c:v>
                </c:pt>
                <c:pt idx="23">
                  <c:v>50454.605510168869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2.7417177666666666</c:v>
                </c:pt>
                <c:pt idx="1">
                  <c:v>2.654378289285714</c:v>
                </c:pt>
                <c:pt idx="2">
                  <c:v>1.8851294004761903</c:v>
                </c:pt>
                <c:pt idx="3">
                  <c:v>2.0984759630952379</c:v>
                </c:pt>
                <c:pt idx="4">
                  <c:v>2.9439233738095241</c:v>
                </c:pt>
                <c:pt idx="5">
                  <c:v>3.2519501076190478</c:v>
                </c:pt>
                <c:pt idx="6">
                  <c:v>2.8853791035714282</c:v>
                </c:pt>
                <c:pt idx="7">
                  <c:v>3.0053816290476187</c:v>
                </c:pt>
                <c:pt idx="8">
                  <c:v>3.1361541799999997</c:v>
                </c:pt>
                <c:pt idx="9">
                  <c:v>3.2838300461904764</c:v>
                </c:pt>
                <c:pt idx="10">
                  <c:v>3.2840681697619041</c:v>
                </c:pt>
                <c:pt idx="11">
                  <c:v>2.736822844047619</c:v>
                </c:pt>
                <c:pt idx="12">
                  <c:v>2.7785584073809528</c:v>
                </c:pt>
                <c:pt idx="13">
                  <c:v>3.3646959316666667</c:v>
                </c:pt>
                <c:pt idx="14">
                  <c:v>3.5202555054761899</c:v>
                </c:pt>
                <c:pt idx="15">
                  <c:v>3.7589928445238097</c:v>
                </c:pt>
                <c:pt idx="16">
                  <c:v>3.8529002795238094</c:v>
                </c:pt>
                <c:pt idx="17">
                  <c:v>4.5354405864285718</c:v>
                </c:pt>
                <c:pt idx="18">
                  <c:v>4.3646456283333332</c:v>
                </c:pt>
                <c:pt idx="19">
                  <c:v>3.6416085673809522</c:v>
                </c:pt>
                <c:pt idx="20">
                  <c:v>3.7785735314285711</c:v>
                </c:pt>
                <c:pt idx="21">
                  <c:v>3.5065381597619054</c:v>
                </c:pt>
                <c:pt idx="22">
                  <c:v>3.3495737466666666</c:v>
                </c:pt>
                <c:pt idx="23">
                  <c:v>2.8369945430952379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3.293039964610883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4.1817661293459958</c:v>
                </c:pt>
                <c:pt idx="6">
                  <c:v>4.1817661293459958</c:v>
                </c:pt>
                <c:pt idx="7">
                  <c:v>4.6522682165587028</c:v>
                </c:pt>
                <c:pt idx="8">
                  <c:v>4.6522682165587028</c:v>
                </c:pt>
                <c:pt idx="9">
                  <c:v>4.4271156913382477</c:v>
                </c:pt>
                <c:pt idx="10">
                  <c:v>4.4271156913382477</c:v>
                </c:pt>
                <c:pt idx="11">
                  <c:v>4.4271156913382477</c:v>
                </c:pt>
                <c:pt idx="12">
                  <c:v>4.4271156913382477</c:v>
                </c:pt>
                <c:pt idx="13">
                  <c:v>4.4271156913382477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4.4271156913382477</c:v>
                </c:pt>
                <c:pt idx="23">
                  <c:v>3.293039964610883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4.9148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61" t="s">
        <v>1</v>
      </c>
      <c r="H1" s="161"/>
      <c r="I1" s="161"/>
      <c r="J1" s="161"/>
      <c r="K1" s="161"/>
    </row>
    <row r="2" spans="2:39" ht="10.35" customHeight="1" x14ac:dyDescent="0.3"/>
    <row r="3" spans="2:39" ht="22.5" customHeight="1" x14ac:dyDescent="0.3">
      <c r="B3" s="47" t="s">
        <v>2</v>
      </c>
      <c r="G3" s="162" t="s">
        <v>3</v>
      </c>
      <c r="H3" s="162"/>
      <c r="I3" s="162"/>
      <c r="J3" s="45" t="e">
        <f>AM46</f>
        <v>#REF!</v>
      </c>
      <c r="L3" s="162" t="s">
        <v>4</v>
      </c>
      <c r="M3" s="162"/>
      <c r="N3" s="162"/>
      <c r="O3" s="45" t="e">
        <f>AM47</f>
        <v>#REF!</v>
      </c>
      <c r="Q3" s="162" t="s">
        <v>5</v>
      </c>
      <c r="R3" s="162"/>
      <c r="S3" s="162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62" t="s">
        <v>3</v>
      </c>
      <c r="H5" s="162"/>
      <c r="I5" s="162"/>
      <c r="J5" s="45" t="e">
        <f>AM51</f>
        <v>#REF!</v>
      </c>
      <c r="L5" s="162" t="s">
        <v>4</v>
      </c>
      <c r="M5" s="162"/>
      <c r="N5" s="162"/>
      <c r="O5" s="45" t="e">
        <f>AM47</f>
        <v>#REF!</v>
      </c>
      <c r="Q5" s="162" t="s">
        <v>5</v>
      </c>
      <c r="R5" s="162"/>
      <c r="S5" s="162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43" t="s">
        <v>9</v>
      </c>
      <c r="C8" s="145" t="s">
        <v>10</v>
      </c>
      <c r="D8" s="146"/>
      <c r="E8" s="147"/>
      <c r="F8" s="143" t="s">
        <v>11</v>
      </c>
      <c r="G8" s="153" t="s">
        <v>12</v>
      </c>
      <c r="H8" s="153"/>
      <c r="I8" s="153" t="s">
        <v>13</v>
      </c>
      <c r="J8" s="153"/>
      <c r="K8" s="153" t="s">
        <v>14</v>
      </c>
      <c r="L8" s="153"/>
      <c r="M8" s="148" t="s">
        <v>15</v>
      </c>
      <c r="N8" s="148" t="s">
        <v>16</v>
      </c>
      <c r="O8" s="148" t="s">
        <v>17</v>
      </c>
      <c r="P8" s="145" t="s">
        <v>18</v>
      </c>
      <c r="Q8" s="146"/>
      <c r="R8" s="147"/>
      <c r="S8" s="150" t="s">
        <v>19</v>
      </c>
      <c r="T8" s="151"/>
      <c r="U8" s="152"/>
      <c r="V8" s="150" t="s">
        <v>20</v>
      </c>
      <c r="W8" s="151"/>
      <c r="X8" s="152"/>
      <c r="Y8" s="154" t="s">
        <v>21</v>
      </c>
      <c r="Z8" s="155"/>
      <c r="AA8" s="156"/>
      <c r="AB8" s="157" t="s">
        <v>22</v>
      </c>
      <c r="AC8" s="1"/>
      <c r="AE8" s="143" t="s">
        <v>12</v>
      </c>
      <c r="AF8" s="143" t="s">
        <v>23</v>
      </c>
      <c r="AG8" s="143" t="s">
        <v>14</v>
      </c>
      <c r="AH8" s="143" t="s">
        <v>15</v>
      </c>
      <c r="AI8" s="143" t="s">
        <v>16</v>
      </c>
      <c r="AJ8" s="143" t="s">
        <v>17</v>
      </c>
      <c r="AK8" s="157" t="s">
        <v>24</v>
      </c>
      <c r="AL8" s="157" t="s">
        <v>25</v>
      </c>
      <c r="AM8" s="159" t="s">
        <v>26</v>
      </c>
    </row>
    <row r="9" spans="2:39" s="12" customFormat="1" ht="17.850000000000001" customHeight="1" x14ac:dyDescent="0.3">
      <c r="B9" s="144"/>
      <c r="C9" s="13" t="s">
        <v>27</v>
      </c>
      <c r="D9" s="13" t="s">
        <v>28</v>
      </c>
      <c r="E9" s="13" t="s">
        <v>29</v>
      </c>
      <c r="F9" s="144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49"/>
      <c r="N9" s="149"/>
      <c r="O9" s="149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58"/>
      <c r="AC9" s="1"/>
      <c r="AE9" s="144" t="s">
        <v>30</v>
      </c>
      <c r="AF9" s="144" t="s">
        <v>13</v>
      </c>
      <c r="AG9" s="144" t="s">
        <v>14</v>
      </c>
      <c r="AH9" s="144" t="s">
        <v>15</v>
      </c>
      <c r="AI9" s="144" t="s">
        <v>16</v>
      </c>
      <c r="AJ9" s="144"/>
      <c r="AK9" s="158"/>
      <c r="AL9" s="158"/>
      <c r="AM9" s="160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G1:K1"/>
    <mergeCell ref="L3:N3"/>
    <mergeCell ref="Q3:S3"/>
    <mergeCell ref="G5:I5"/>
    <mergeCell ref="L5:N5"/>
    <mergeCell ref="Q5:S5"/>
    <mergeCell ref="G3:I3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45674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-72116.992711331462</v>
      </c>
      <c r="E11" s="65">
        <f>'7. EOD Report'!E11-'6. DAP Report'!E11</f>
        <v>-5485.085275756529</v>
      </c>
      <c r="F11" s="65">
        <f>'7. EOD Report'!F11-'6. DAP Report'!F11</f>
        <v>-66631.907435574933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-66631.907435574933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-68834.868830708336</v>
      </c>
      <c r="E12" s="65">
        <f>'7. EOD Report'!E12-'6. DAP Report'!E12</f>
        <v>-5430.4371385139293</v>
      </c>
      <c r="F12" s="65">
        <f>'7. EOD Report'!F12-'6. DAP Report'!F12</f>
        <v>-63404.431692194405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-63404.431692194405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-66266.709147016329</v>
      </c>
      <c r="E13" s="65">
        <f>'7. EOD Report'!E13-'6. DAP Report'!E13</f>
        <v>-5378.2250747143653</v>
      </c>
      <c r="F13" s="65">
        <f>'7. EOD Report'!F13-'6. DAP Report'!F13</f>
        <v>-60888.484072301966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-60888.484072301966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-64537.612427869361</v>
      </c>
      <c r="E14" s="65">
        <f>'7. EOD Report'!E14-'6. DAP Report'!E14</f>
        <v>-5282.8052195468281</v>
      </c>
      <c r="F14" s="65">
        <f>'7. EOD Report'!F14-'6. DAP Report'!F14</f>
        <v>-59254.807208322534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-59254.807208322534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-64751.013059891571</v>
      </c>
      <c r="E15" s="65">
        <f>'7. EOD Report'!E15-'6. DAP Report'!E15</f>
        <v>-5353.8580972502841</v>
      </c>
      <c r="F15" s="65">
        <f>'7. EOD Report'!F15-'6. DAP Report'!F15</f>
        <v>-59397.154962641289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-59397.154962641289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-67486.728218519987</v>
      </c>
      <c r="E16" s="65">
        <f>'7. EOD Report'!E16-'6. DAP Report'!E16</f>
        <v>-5482.4266290499982</v>
      </c>
      <c r="F16" s="65">
        <f>'7. EOD Report'!F16-'6. DAP Report'!F16</f>
        <v>-62004.301589469993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-62004.301589469993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-70564.928531504382</v>
      </c>
      <c r="E17" s="65">
        <f>'7. EOD Report'!E17-'6. DAP Report'!E17</f>
        <v>-6217.4409852499994</v>
      </c>
      <c r="F17" s="65">
        <f>'7. EOD Report'!F17-'6. DAP Report'!F17</f>
        <v>-64347.487546254386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-64347.487546254386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-75225.115852124349</v>
      </c>
      <c r="E18" s="65">
        <f>'7. EOD Report'!E18-'6. DAP Report'!E18</f>
        <v>-7257.2223106629363</v>
      </c>
      <c r="F18" s="65">
        <f>'7. EOD Report'!F18-'6. DAP Report'!F18</f>
        <v>-67967.89354146141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-67967.89354146141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-90567.640345724882</v>
      </c>
      <c r="E19" s="65">
        <f>'7. EOD Report'!E19-'6. DAP Report'!E19</f>
        <v>-9154.39049102032</v>
      </c>
      <c r="F19" s="65">
        <f>'7. EOD Report'!F19-'6. DAP Report'!F19</f>
        <v>-81413.249854704569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-81413.249854704569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-103835.52524227854</v>
      </c>
      <c r="E20" s="65">
        <f>'7. EOD Report'!E20-'6. DAP Report'!E20</f>
        <v>-15018.716011573242</v>
      </c>
      <c r="F20" s="65">
        <f>'7. EOD Report'!F20-'6. DAP Report'!F20</f>
        <v>-88816.809230705301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-88816.809230705301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-109758.54314001382</v>
      </c>
      <c r="E21" s="65">
        <f>'7. EOD Report'!E21-'6. DAP Report'!E21</f>
        <v>-15803.763027499999</v>
      </c>
      <c r="F21" s="65">
        <f>'7. EOD Report'!F21-'6. DAP Report'!F21</f>
        <v>-93954.780112513821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-93954.780112513821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-110952.64180655002</v>
      </c>
      <c r="E22" s="65">
        <f>'7. EOD Report'!E22-'6. DAP Report'!E22</f>
        <v>-15356.766177052188</v>
      </c>
      <c r="F22" s="65">
        <f>'7. EOD Report'!F22-'6. DAP Report'!F22</f>
        <v>-95595.875629497838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-95595.875629497838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-109732.66179467294</v>
      </c>
      <c r="E23" s="65">
        <f>'7. EOD Report'!E23-'6. DAP Report'!E23</f>
        <v>-15684.200596604416</v>
      </c>
      <c r="F23" s="65">
        <f>'7. EOD Report'!F23-'6. DAP Report'!F23</f>
        <v>-94048.461198068515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-94048.461198068515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-115326.998274841</v>
      </c>
      <c r="E24" s="65">
        <f>'7. EOD Report'!E24-'6. DAP Report'!E24</f>
        <v>-15389.181170074999</v>
      </c>
      <c r="F24" s="65">
        <f>'7. EOD Report'!F24-'6. DAP Report'!F24</f>
        <v>-99937.817104766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-99937.817104766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-115652.62720632897</v>
      </c>
      <c r="E25" s="65">
        <f>'7. EOD Report'!E25-'6. DAP Report'!E25</f>
        <v>-15212.334749999993</v>
      </c>
      <c r="F25" s="65">
        <f>'7. EOD Report'!F25-'6. DAP Report'!F25</f>
        <v>-100440.29245632897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-100440.29245632897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-115338.51355052638</v>
      </c>
      <c r="E26" s="65">
        <f>'7. EOD Report'!E26-'6. DAP Report'!E26</f>
        <v>-15482.833749999993</v>
      </c>
      <c r="F26" s="65">
        <f>'7. EOD Report'!F26-'6. DAP Report'!F26</f>
        <v>-99855.679800526384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-99855.679800526384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-110969.11839188177</v>
      </c>
      <c r="E27" s="65">
        <f>'7. EOD Report'!E27-'6. DAP Report'!E27</f>
        <v>-15841.904999999999</v>
      </c>
      <c r="F27" s="65">
        <f>'7. EOD Report'!F27-'6. DAP Report'!F27</f>
        <v>-95127.213391881771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-95127.213391881771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-104126.44579715612</v>
      </c>
      <c r="E28" s="65">
        <f>'7. EOD Report'!E28-'6. DAP Report'!E28</f>
        <v>-15704.025249999993</v>
      </c>
      <c r="F28" s="65">
        <f>'7. EOD Report'!F28-'6. DAP Report'!F28</f>
        <v>-88422.420547156129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-88422.420547156129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-103329.78747167872</v>
      </c>
      <c r="E29" s="65">
        <f>'7. EOD Report'!E29-'6. DAP Report'!E29</f>
        <v>-14920.287499999997</v>
      </c>
      <c r="F29" s="65">
        <f>'7. EOD Report'!F29-'6. DAP Report'!F29</f>
        <v>-88409.499971678728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-88409.499971678728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-97391.708733461855</v>
      </c>
      <c r="E30" s="65">
        <f>'7. EOD Report'!E30-'6. DAP Report'!E30</f>
        <v>-13503.043999999998</v>
      </c>
      <c r="F30" s="65">
        <f>'7. EOD Report'!F30-'6. DAP Report'!F30</f>
        <v>-83888.664733461861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-83888.664733461861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-94569.080657465325</v>
      </c>
      <c r="E31" s="65">
        <f>'7. EOD Report'!E31-'6. DAP Report'!E31</f>
        <v>-11785.555</v>
      </c>
      <c r="F31" s="65">
        <f>'7. EOD Report'!F31-'6. DAP Report'!F31</f>
        <v>-82783.525657465332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-82783.525657465332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-88841.263680646371</v>
      </c>
      <c r="E32" s="65">
        <f>'7. EOD Report'!E32-'6. DAP Report'!E32</f>
        <v>-8515.1389999999992</v>
      </c>
      <c r="F32" s="65">
        <f>'7. EOD Report'!F32-'6. DAP Report'!F32</f>
        <v>-80326.124680646375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-80326.124680646375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-82961.811814918517</v>
      </c>
      <c r="E33" s="65">
        <f>'7. EOD Report'!E33-'6. DAP Report'!E33</f>
        <v>-6194.6794999999993</v>
      </c>
      <c r="F33" s="65">
        <f>'7. EOD Report'!F33-'6. DAP Report'!F33</f>
        <v>-76767.132314918519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-76767.132314918519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-78646.160010168867</v>
      </c>
      <c r="E34" s="65">
        <f>'7. EOD Report'!E34-'6. DAP Report'!E34</f>
        <v>-5691.5544999999984</v>
      </c>
      <c r="F34" s="65">
        <f>'7. EOD Report'!F34-'6. DAP Report'!F34</f>
        <v>-72954.605510168869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-72954.605510168869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-2181784.4966972796</v>
      </c>
      <c r="E35" s="68">
        <f>SUM(E11:E34)</f>
        <v>-255145.87645456998</v>
      </c>
      <c r="F35" s="68">
        <f>SUM(F11:F34)</f>
        <v>-1926638.6202427098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-1926638.6202427098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45674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2.9614181082477748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2.8179747418753069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2.706154847657865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2.6335469870365569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2.6398735538951685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1.9078246642913843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1.9799226937309042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1.599244553916739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1.9156058789342252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1.6917487472515296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1.7896148592859775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1.8208738215142446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1.7913992609155907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1.9035774686622096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1.3392038994177196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1.3314090640070184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1.2683628452250904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1.1789656072954151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1.1787933329557163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1.1185155297794915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1.1037803420995378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1.0710149957419517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1.4622310917127337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3.2424269115630606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1.6055321835355916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zoomScale="55" zoomScaleNormal="50" workbookViewId="0">
      <selection activeCell="O13" sqref="O13:W36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3">
        <v>45674</v>
      </c>
      <c r="D4" s="164"/>
      <c r="E4" s="165"/>
      <c r="J4" s="88"/>
      <c r="K4" s="89" t="s">
        <v>47</v>
      </c>
      <c r="L4" s="100" t="s">
        <v>48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3" t="s">
        <v>102</v>
      </c>
      <c r="D6" s="164"/>
      <c r="E6" s="165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68" t="s">
        <v>52</v>
      </c>
      <c r="C11" s="166" t="s">
        <v>53</v>
      </c>
      <c r="D11" s="167"/>
      <c r="E11" s="167"/>
      <c r="F11" s="167"/>
      <c r="G11" s="167"/>
      <c r="H11" s="169">
        <f>C4-7</f>
        <v>45667</v>
      </c>
      <c r="I11" s="169"/>
      <c r="J11" s="169"/>
      <c r="K11" s="169"/>
      <c r="L11" s="170"/>
      <c r="N11" s="171" t="s">
        <v>52</v>
      </c>
      <c r="O11" s="166" t="s">
        <v>54</v>
      </c>
      <c r="P11" s="167"/>
      <c r="Q11" s="167"/>
      <c r="R11" s="167"/>
      <c r="S11" s="167"/>
      <c r="T11" s="169">
        <f>C4-2</f>
        <v>45672</v>
      </c>
      <c r="U11" s="169"/>
      <c r="V11" s="169"/>
      <c r="W11" s="169"/>
      <c r="X11" s="170"/>
      <c r="Z11" s="171" t="s">
        <v>52</v>
      </c>
      <c r="AA11" s="166" t="s">
        <v>55</v>
      </c>
      <c r="AB11" s="167"/>
      <c r="AC11" s="167"/>
      <c r="AD11" s="167"/>
      <c r="AE11" s="167"/>
      <c r="AF11" s="169">
        <f>C4</f>
        <v>45674</v>
      </c>
      <c r="AG11" s="169"/>
      <c r="AH11" s="169"/>
      <c r="AI11" s="169"/>
      <c r="AJ11" s="170"/>
    </row>
    <row r="12" spans="2:36" ht="45" customHeight="1" x14ac:dyDescent="0.3">
      <c r="B12" s="168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71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71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3.7625713583333331</v>
      </c>
      <c r="D13" s="101">
        <v>3.8431535916666668</v>
      </c>
      <c r="E13" s="101">
        <v>3.7902706749999999</v>
      </c>
      <c r="F13" s="101">
        <v>3.7628415166666667</v>
      </c>
      <c r="G13" s="101">
        <v>3.7628415166666667</v>
      </c>
      <c r="H13" s="101">
        <v>3.7594260416666669</v>
      </c>
      <c r="I13" s="101">
        <v>3.7567628333333327</v>
      </c>
      <c r="J13" s="101">
        <v>3.9805010750000003</v>
      </c>
      <c r="K13" s="101">
        <v>3.7621954166666658</v>
      </c>
      <c r="L13" s="101"/>
      <c r="N13" s="14">
        <v>1</v>
      </c>
      <c r="O13" s="101">
        <v>1.9056872166666665</v>
      </c>
      <c r="P13" s="101">
        <v>1.9095397750000003</v>
      </c>
      <c r="Q13" s="101">
        <v>1.9155013500000002</v>
      </c>
      <c r="R13" s="101">
        <v>1.9057780500000001</v>
      </c>
      <c r="S13" s="101">
        <v>1.9057780500000001</v>
      </c>
      <c r="T13" s="101">
        <v>1.8755711416666669</v>
      </c>
      <c r="U13" s="101">
        <v>1.9004732750000002</v>
      </c>
      <c r="V13" s="101">
        <v>1.8843996916666672</v>
      </c>
      <c r="W13" s="101">
        <v>1.9055879999999998</v>
      </c>
      <c r="X13" s="101"/>
      <c r="Z13" s="14">
        <v>1</v>
      </c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</row>
    <row r="14" spans="2:36" ht="24" customHeight="1" x14ac:dyDescent="0.3">
      <c r="B14" s="51">
        <v>2</v>
      </c>
      <c r="C14" s="101">
        <v>3.5535732583333339</v>
      </c>
      <c r="D14" s="101">
        <v>3.6144114333333341</v>
      </c>
      <c r="E14" s="101">
        <v>3.5752594416666668</v>
      </c>
      <c r="F14" s="101">
        <v>3.5538093083333333</v>
      </c>
      <c r="G14" s="101">
        <v>3.5538093083333333</v>
      </c>
      <c r="H14" s="101">
        <v>3.5433060999999997</v>
      </c>
      <c r="I14" s="101">
        <v>3.5404714416666665</v>
      </c>
      <c r="J14" s="101">
        <v>3.7756752333333332</v>
      </c>
      <c r="K14" s="101">
        <v>3.5533659500000008</v>
      </c>
      <c r="L14" s="101"/>
      <c r="N14" s="14">
        <v>2</v>
      </c>
      <c r="O14" s="101">
        <v>2.4946908583333327</v>
      </c>
      <c r="P14" s="101">
        <v>2.4969065916666668</v>
      </c>
      <c r="Q14" s="101">
        <v>2.5081672666666668</v>
      </c>
      <c r="R14" s="101">
        <v>2.4947368749999996</v>
      </c>
      <c r="S14" s="101">
        <v>2.4947368749999996</v>
      </c>
      <c r="T14" s="101">
        <v>2.4605438749999999</v>
      </c>
      <c r="U14" s="101">
        <v>2.4916788333333333</v>
      </c>
      <c r="V14" s="101">
        <v>2.4736233333333328</v>
      </c>
      <c r="W14" s="101">
        <v>2.4944417166666661</v>
      </c>
      <c r="X14" s="101"/>
      <c r="Z14" s="14">
        <v>2</v>
      </c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</row>
    <row r="15" spans="2:36" ht="24" customHeight="1" x14ac:dyDescent="0.3">
      <c r="B15" s="51">
        <v>3</v>
      </c>
      <c r="C15" s="101">
        <v>2.756813208333333</v>
      </c>
      <c r="D15" s="101">
        <v>2.793960175</v>
      </c>
      <c r="E15" s="101">
        <v>2.7715442833333341</v>
      </c>
      <c r="F15" s="101">
        <v>2.7570263083333324</v>
      </c>
      <c r="G15" s="101">
        <v>2.7570263083333324</v>
      </c>
      <c r="H15" s="101">
        <v>2.7442270583333332</v>
      </c>
      <c r="I15" s="101">
        <v>2.7423061083333335</v>
      </c>
      <c r="J15" s="101">
        <v>2.8870535166666662</v>
      </c>
      <c r="K15" s="101">
        <v>2.7566081749999998</v>
      </c>
      <c r="L15" s="101"/>
      <c r="N15" s="14">
        <v>3</v>
      </c>
      <c r="O15" s="101">
        <v>1.769750758333333</v>
      </c>
      <c r="P15" s="101">
        <v>1.7837852666666667</v>
      </c>
      <c r="Q15" s="101">
        <v>1.7876741166666668</v>
      </c>
      <c r="R15" s="101">
        <v>1.7698795333333335</v>
      </c>
      <c r="S15" s="101">
        <v>1.7698795333333335</v>
      </c>
      <c r="T15" s="101">
        <v>1.7579213916666667</v>
      </c>
      <c r="U15" s="101">
        <v>1.7793603916666663</v>
      </c>
      <c r="V15" s="101">
        <v>1.7723358083333336</v>
      </c>
      <c r="W15" s="101">
        <v>1.7695868833333332</v>
      </c>
      <c r="X15" s="101"/>
      <c r="Z15" s="14">
        <v>3</v>
      </c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</row>
    <row r="16" spans="2:36" ht="24" customHeight="1" x14ac:dyDescent="0.3">
      <c r="B16" s="51">
        <v>4</v>
      </c>
      <c r="C16" s="101">
        <v>2.8107936499999999</v>
      </c>
      <c r="D16" s="101">
        <v>2.853023316666667</v>
      </c>
      <c r="E16" s="101">
        <v>2.8262360416666668</v>
      </c>
      <c r="F16" s="101">
        <v>2.8109810916666667</v>
      </c>
      <c r="G16" s="101">
        <v>2.8109810916666667</v>
      </c>
      <c r="H16" s="101">
        <v>2.8034749166666666</v>
      </c>
      <c r="I16" s="101">
        <v>2.8015124749999996</v>
      </c>
      <c r="J16" s="101">
        <v>2.960984508333333</v>
      </c>
      <c r="K16" s="101">
        <v>2.8106063833333335</v>
      </c>
      <c r="L16" s="101"/>
      <c r="N16" s="14">
        <v>4</v>
      </c>
      <c r="O16" s="101">
        <v>2.4891563000000003</v>
      </c>
      <c r="P16" s="101">
        <v>2.5289131500000002</v>
      </c>
      <c r="Q16" s="101">
        <v>2.5171252749999997</v>
      </c>
      <c r="R16" s="101">
        <v>2.4893442250000004</v>
      </c>
      <c r="S16" s="101">
        <v>2.4893442250000004</v>
      </c>
      <c r="T16" s="101">
        <v>2.4706443666666664</v>
      </c>
      <c r="U16" s="101">
        <v>2.5003991083333337</v>
      </c>
      <c r="V16" s="101">
        <v>2.50647625</v>
      </c>
      <c r="W16" s="101">
        <v>2.4889307249999999</v>
      </c>
      <c r="X16" s="101"/>
      <c r="Z16" s="14">
        <v>4</v>
      </c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</row>
    <row r="17" spans="2:36" ht="24" customHeight="1" x14ac:dyDescent="0.3">
      <c r="B17" s="51">
        <v>5</v>
      </c>
      <c r="C17" s="101">
        <v>3.212045925</v>
      </c>
      <c r="D17" s="101">
        <v>3.2720453166666665</v>
      </c>
      <c r="E17" s="101">
        <v>3.2303752999999995</v>
      </c>
      <c r="F17" s="101">
        <v>3.2122035333333332</v>
      </c>
      <c r="G17" s="101">
        <v>3.2122035333333332</v>
      </c>
      <c r="H17" s="101">
        <v>3.2048879333333331</v>
      </c>
      <c r="I17" s="101">
        <v>3.1949320250000004</v>
      </c>
      <c r="J17" s="101">
        <v>3.3923933083333329</v>
      </c>
      <c r="K17" s="101">
        <v>3.2118049833333333</v>
      </c>
      <c r="L17" s="101"/>
      <c r="N17" s="14">
        <v>5</v>
      </c>
      <c r="O17" s="101">
        <v>2.9995190000000003</v>
      </c>
      <c r="P17" s="101">
        <v>3.0502266833333329</v>
      </c>
      <c r="Q17" s="101">
        <v>3.0251047</v>
      </c>
      <c r="R17" s="101">
        <v>2.9997450000000008</v>
      </c>
      <c r="S17" s="101">
        <v>2.9997450000000008</v>
      </c>
      <c r="T17" s="101">
        <v>2.9564157916666662</v>
      </c>
      <c r="U17" s="101">
        <v>2.9919940499999997</v>
      </c>
      <c r="V17" s="101">
        <v>3.0139849250000004</v>
      </c>
      <c r="W17" s="101">
        <v>2.9993513916666665</v>
      </c>
      <c r="X17" s="101"/>
      <c r="Z17" s="14">
        <v>5</v>
      </c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</row>
    <row r="18" spans="2:36" ht="24" customHeight="1" x14ac:dyDescent="0.3">
      <c r="B18" s="51">
        <v>6</v>
      </c>
      <c r="C18" s="101">
        <v>3.3939433416666667</v>
      </c>
      <c r="D18" s="101">
        <v>3.4717730499999995</v>
      </c>
      <c r="E18" s="101">
        <v>3.4206728833333329</v>
      </c>
      <c r="F18" s="101">
        <v>3.3941367166666661</v>
      </c>
      <c r="G18" s="101">
        <v>3.3941367166666661</v>
      </c>
      <c r="H18" s="101">
        <v>3.3943615166666672</v>
      </c>
      <c r="I18" s="101">
        <v>3.3919854583333331</v>
      </c>
      <c r="J18" s="101">
        <v>3.5907990250000004</v>
      </c>
      <c r="K18" s="101">
        <v>3.3936328500000004</v>
      </c>
      <c r="L18" s="101"/>
      <c r="N18" s="14">
        <v>6</v>
      </c>
      <c r="O18" s="101">
        <v>2.9956619583333328</v>
      </c>
      <c r="P18" s="101">
        <v>3.0539088916666666</v>
      </c>
      <c r="Q18" s="101">
        <v>3.0109734416666671</v>
      </c>
      <c r="R18" s="101">
        <v>2.9957570666666666</v>
      </c>
      <c r="S18" s="101">
        <v>2.9957570666666666</v>
      </c>
      <c r="T18" s="101">
        <v>2.9102379249999997</v>
      </c>
      <c r="U18" s="101">
        <v>2.9452153083333337</v>
      </c>
      <c r="V18" s="101">
        <v>2.9160369666666663</v>
      </c>
      <c r="W18" s="101">
        <v>2.9954866500000001</v>
      </c>
      <c r="X18" s="101"/>
      <c r="Z18" s="14">
        <v>6</v>
      </c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2:36" ht="24" customHeight="1" x14ac:dyDescent="0.3">
      <c r="B19" s="51">
        <v>7</v>
      </c>
      <c r="C19" s="101">
        <v>3.4513257500000001</v>
      </c>
      <c r="D19" s="101">
        <v>3.5307358499999997</v>
      </c>
      <c r="E19" s="101">
        <v>3.4867900666666665</v>
      </c>
      <c r="F19" s="101">
        <v>3.4516491833333336</v>
      </c>
      <c r="G19" s="101">
        <v>3.4516491833333336</v>
      </c>
      <c r="H19" s="101">
        <v>3.5695697500000003</v>
      </c>
      <c r="I19" s="101">
        <v>3.5087911499999995</v>
      </c>
      <c r="J19" s="101">
        <v>3.7440187166666661</v>
      </c>
      <c r="K19" s="101">
        <v>3.4509133499999995</v>
      </c>
      <c r="L19" s="101"/>
      <c r="N19" s="14">
        <v>7</v>
      </c>
      <c r="O19" s="101">
        <v>2.441268908333333</v>
      </c>
      <c r="P19" s="101">
        <v>2.4792540249999999</v>
      </c>
      <c r="Q19" s="101">
        <v>2.4527793833333331</v>
      </c>
      <c r="R19" s="101">
        <v>2.4413928666666664</v>
      </c>
      <c r="S19" s="101">
        <v>2.4413928666666664</v>
      </c>
      <c r="T19" s="101">
        <v>2.3799467666666669</v>
      </c>
      <c r="U19" s="101">
        <v>2.407638425</v>
      </c>
      <c r="V19" s="101">
        <v>2.3574298583333335</v>
      </c>
      <c r="W19" s="101">
        <v>2.4411653666666666</v>
      </c>
      <c r="X19" s="101"/>
      <c r="Z19" s="14">
        <v>7</v>
      </c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2:36" ht="24" customHeight="1" x14ac:dyDescent="0.3">
      <c r="B20" s="51">
        <v>8</v>
      </c>
      <c r="C20" s="101">
        <v>2.6580129916666659</v>
      </c>
      <c r="D20" s="101">
        <v>2.695809941666667</v>
      </c>
      <c r="E20" s="101">
        <v>2.6727468000000001</v>
      </c>
      <c r="F20" s="101">
        <v>2.6582249916666667</v>
      </c>
      <c r="G20" s="101">
        <v>2.6582249916666667</v>
      </c>
      <c r="H20" s="101">
        <v>2.65054225</v>
      </c>
      <c r="I20" s="101">
        <v>2.6486868583333329</v>
      </c>
      <c r="J20" s="101">
        <v>2.7487404750000004</v>
      </c>
      <c r="K20" s="101">
        <v>2.6579236916666669</v>
      </c>
      <c r="L20" s="101"/>
      <c r="N20" s="14">
        <v>8</v>
      </c>
      <c r="O20" s="101">
        <v>2.4392002083333333</v>
      </c>
      <c r="P20" s="101">
        <v>2.4649965083333329</v>
      </c>
      <c r="Q20" s="101">
        <v>2.4506018583333335</v>
      </c>
      <c r="R20" s="101">
        <v>2.4392871999999999</v>
      </c>
      <c r="S20" s="101">
        <v>2.4392871999999999</v>
      </c>
      <c r="T20" s="101">
        <v>2.3879213166666662</v>
      </c>
      <c r="U20" s="101">
        <v>2.4156254416666667</v>
      </c>
      <c r="V20" s="101">
        <v>2.4032759916666664</v>
      </c>
      <c r="W20" s="101">
        <v>2.439045641666667</v>
      </c>
      <c r="X20" s="101"/>
      <c r="Z20" s="14">
        <v>8</v>
      </c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2:36" ht="24" customHeight="1" x14ac:dyDescent="0.3">
      <c r="B21" s="51">
        <v>9</v>
      </c>
      <c r="C21" s="101">
        <v>3.5007674833333335</v>
      </c>
      <c r="D21" s="101">
        <v>3.5574414249999995</v>
      </c>
      <c r="E21" s="101">
        <v>3.5226431416666659</v>
      </c>
      <c r="F21" s="101">
        <v>3.5009785666666673</v>
      </c>
      <c r="G21" s="101">
        <v>3.5009785666666673</v>
      </c>
      <c r="H21" s="101">
        <v>3.492187266666666</v>
      </c>
      <c r="I21" s="101">
        <v>3.4897427416666664</v>
      </c>
      <c r="J21" s="101">
        <v>3.5900387749999996</v>
      </c>
      <c r="K21" s="101">
        <v>3.5005371833333334</v>
      </c>
      <c r="L21" s="101"/>
      <c r="N21" s="14">
        <v>9</v>
      </c>
      <c r="O21" s="101">
        <v>3.4071417333333334</v>
      </c>
      <c r="P21" s="101">
        <v>3.4673599583333332</v>
      </c>
      <c r="Q21" s="101">
        <v>3.432475025</v>
      </c>
      <c r="R21" s="101">
        <v>3.4074338250000005</v>
      </c>
      <c r="S21" s="101">
        <v>3.4074338250000005</v>
      </c>
      <c r="T21" s="101">
        <v>3.3549482083333331</v>
      </c>
      <c r="U21" s="101">
        <v>3.3921076666666665</v>
      </c>
      <c r="V21" s="101">
        <v>3.3815033666666663</v>
      </c>
      <c r="W21" s="101">
        <v>3.4067509916666672</v>
      </c>
      <c r="X21" s="101"/>
      <c r="Z21" s="14">
        <v>9</v>
      </c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</row>
    <row r="22" spans="2:36" ht="24" customHeight="1" x14ac:dyDescent="0.3">
      <c r="B22" s="51">
        <v>10</v>
      </c>
      <c r="C22" s="101">
        <v>2.9694684083333338</v>
      </c>
      <c r="D22" s="101">
        <v>3.0128998166666667</v>
      </c>
      <c r="E22" s="101">
        <v>2.9855547583333331</v>
      </c>
      <c r="F22" s="101">
        <v>2.9697089083333337</v>
      </c>
      <c r="G22" s="101">
        <v>2.9697089083333337</v>
      </c>
      <c r="H22" s="101">
        <v>2.9155386166666664</v>
      </c>
      <c r="I22" s="101">
        <v>2.9137597333333329</v>
      </c>
      <c r="J22" s="101">
        <v>2.8759216583333331</v>
      </c>
      <c r="K22" s="101">
        <v>2.9693338666666662</v>
      </c>
      <c r="L22" s="101"/>
      <c r="N22" s="14">
        <v>10</v>
      </c>
      <c r="O22" s="101">
        <v>3.147175891666667</v>
      </c>
      <c r="P22" s="101">
        <v>3.1931741416666664</v>
      </c>
      <c r="Q22" s="101">
        <v>3.1705804750000004</v>
      </c>
      <c r="R22" s="101">
        <v>3.1474848249999994</v>
      </c>
      <c r="S22" s="101">
        <v>3.1474848249999994</v>
      </c>
      <c r="T22" s="101">
        <v>3.0981218750000004</v>
      </c>
      <c r="U22" s="101">
        <v>3.1306996999999996</v>
      </c>
      <c r="V22" s="101">
        <v>3.1007588833333326</v>
      </c>
      <c r="W22" s="101">
        <v>3.1468045833333331</v>
      </c>
      <c r="X22" s="101"/>
      <c r="Z22" s="14">
        <v>10</v>
      </c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2:36" ht="24" customHeight="1" x14ac:dyDescent="0.3">
      <c r="B23" s="51">
        <v>11</v>
      </c>
      <c r="C23" s="101">
        <v>2.8137863583333331</v>
      </c>
      <c r="D23" s="101">
        <v>2.8260865916666669</v>
      </c>
      <c r="E23" s="101">
        <v>2.8217755333333336</v>
      </c>
      <c r="F23" s="101">
        <v>2.8138981500000004</v>
      </c>
      <c r="G23" s="101">
        <v>2.8138981500000004</v>
      </c>
      <c r="H23" s="101">
        <v>2.7259837166666667</v>
      </c>
      <c r="I23" s="101">
        <v>2.7243481083333334</v>
      </c>
      <c r="J23" s="101">
        <v>2.6236927250000002</v>
      </c>
      <c r="K23" s="101">
        <v>2.8136152833333341</v>
      </c>
      <c r="L23" s="101"/>
      <c r="N23" s="14">
        <v>11</v>
      </c>
      <c r="O23" s="101">
        <v>5.8553353749999992</v>
      </c>
      <c r="P23" s="101">
        <v>5.8861230499999992</v>
      </c>
      <c r="Q23" s="101">
        <v>5.8910110749999998</v>
      </c>
      <c r="R23" s="101">
        <v>5.8558649583333331</v>
      </c>
      <c r="S23" s="101">
        <v>5.8558649583333331</v>
      </c>
      <c r="T23" s="101">
        <v>3.1718081166666665</v>
      </c>
      <c r="U23" s="101">
        <v>3.2072903499999996</v>
      </c>
      <c r="V23" s="101">
        <v>3.199476625</v>
      </c>
      <c r="W23" s="101">
        <v>5.8544791499999995</v>
      </c>
      <c r="X23" s="101"/>
      <c r="Z23" s="14">
        <v>11</v>
      </c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</row>
    <row r="24" spans="2:36" ht="24" customHeight="1" x14ac:dyDescent="0.3">
      <c r="B24" s="51">
        <v>12</v>
      </c>
      <c r="C24" s="101">
        <v>2.8387057499999995</v>
      </c>
      <c r="D24" s="101">
        <v>2.844603333333334</v>
      </c>
      <c r="E24" s="101">
        <v>2.8462619583333337</v>
      </c>
      <c r="F24" s="101">
        <v>2.8387859416666665</v>
      </c>
      <c r="G24" s="101">
        <v>2.8387859416666665</v>
      </c>
      <c r="H24" s="101">
        <v>2.4273557416666667</v>
      </c>
      <c r="I24" s="101">
        <v>2.7467674999999998</v>
      </c>
      <c r="J24" s="101">
        <v>2.5500000333333332</v>
      </c>
      <c r="K24" s="101">
        <v>2.8385824749999995</v>
      </c>
      <c r="L24" s="101"/>
      <c r="N24" s="14">
        <v>12</v>
      </c>
      <c r="O24" s="101">
        <v>3.0803054916666661</v>
      </c>
      <c r="P24" s="101">
        <v>3.1038515250000001</v>
      </c>
      <c r="Q24" s="101">
        <v>3.0959433750000005</v>
      </c>
      <c r="R24" s="101">
        <v>3.0805226416666667</v>
      </c>
      <c r="S24" s="101">
        <v>3.0805226416666667</v>
      </c>
      <c r="T24" s="101">
        <v>2.948299258333333</v>
      </c>
      <c r="U24" s="101">
        <v>3.0252031749999992</v>
      </c>
      <c r="V24" s="101">
        <v>2.9795855666666666</v>
      </c>
      <c r="W24" s="101">
        <v>3.0800809999999998</v>
      </c>
      <c r="X24" s="101"/>
      <c r="Z24" s="14">
        <v>12</v>
      </c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</row>
    <row r="25" spans="2:36" ht="24" customHeight="1" x14ac:dyDescent="0.3">
      <c r="B25" s="51">
        <v>13</v>
      </c>
      <c r="C25" s="101">
        <v>2.9894175083333336</v>
      </c>
      <c r="D25" s="101">
        <v>3.0093410916666667</v>
      </c>
      <c r="E25" s="101">
        <v>2.9975752249999998</v>
      </c>
      <c r="F25" s="101">
        <v>2.9895385249999999</v>
      </c>
      <c r="G25" s="101">
        <v>2.9895385249999999</v>
      </c>
      <c r="H25" s="101">
        <v>2.5865433166666665</v>
      </c>
      <c r="I25" s="101">
        <v>2.8932275583333333</v>
      </c>
      <c r="J25" s="101">
        <v>2.6928533333333333</v>
      </c>
      <c r="K25" s="101">
        <v>2.9892759916666667</v>
      </c>
      <c r="L25" s="101"/>
      <c r="N25" s="14">
        <v>13</v>
      </c>
      <c r="O25" s="101">
        <v>3.0157074333333331</v>
      </c>
      <c r="P25" s="101">
        <v>3.0369881916666661</v>
      </c>
      <c r="Q25" s="101">
        <v>3.0277538249999996</v>
      </c>
      <c r="R25" s="101">
        <v>3.0159473166666668</v>
      </c>
      <c r="S25" s="101">
        <v>3.0159473166666668</v>
      </c>
      <c r="T25" s="101">
        <v>2.9059150833333334</v>
      </c>
      <c r="U25" s="101">
        <v>2.939278100000001</v>
      </c>
      <c r="V25" s="101">
        <v>2.848897725</v>
      </c>
      <c r="W25" s="101">
        <v>3.0155561249999998</v>
      </c>
      <c r="X25" s="101"/>
      <c r="Z25" s="14">
        <v>13</v>
      </c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</row>
    <row r="26" spans="2:36" ht="24" customHeight="1" x14ac:dyDescent="0.3">
      <c r="B26" s="51">
        <v>14</v>
      </c>
      <c r="C26" s="101">
        <v>3.4554484416666673</v>
      </c>
      <c r="D26" s="101">
        <v>3.4746918000000004</v>
      </c>
      <c r="E26" s="101">
        <v>3.4669788833333337</v>
      </c>
      <c r="F26" s="101">
        <v>3.4556551166666667</v>
      </c>
      <c r="G26" s="101">
        <v>3.4556551166666667</v>
      </c>
      <c r="H26" s="101">
        <v>3.3459633833333333</v>
      </c>
      <c r="I26" s="101">
        <v>3.3442860666666663</v>
      </c>
      <c r="J26" s="101">
        <v>3.1457779333333331</v>
      </c>
      <c r="K26" s="101">
        <v>3.4553165833333335</v>
      </c>
      <c r="L26" s="101"/>
      <c r="N26" s="14">
        <v>14</v>
      </c>
      <c r="O26" s="101">
        <v>3.7992660583333331</v>
      </c>
      <c r="P26" s="101">
        <v>3.8255731250000005</v>
      </c>
      <c r="Q26" s="101">
        <v>3.8101135499999996</v>
      </c>
      <c r="R26" s="101">
        <v>3.7994500583333335</v>
      </c>
      <c r="S26" s="101">
        <v>3.7994500583333335</v>
      </c>
      <c r="T26" s="101">
        <v>3.6284688999999992</v>
      </c>
      <c r="U26" s="101">
        <v>3.6739351250000003</v>
      </c>
      <c r="V26" s="101">
        <v>3.5658259583333334</v>
      </c>
      <c r="W26" s="101">
        <v>3.7990826583333344</v>
      </c>
      <c r="X26" s="101"/>
      <c r="Z26" s="14">
        <v>14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</row>
    <row r="27" spans="2:36" ht="24" customHeight="1" x14ac:dyDescent="0.3">
      <c r="B27" s="51">
        <v>15</v>
      </c>
      <c r="C27" s="101">
        <v>3.8944348749999995</v>
      </c>
      <c r="D27" s="101">
        <v>3.9521667500000004</v>
      </c>
      <c r="E27" s="101">
        <v>3.9195494583333335</v>
      </c>
      <c r="F27" s="101">
        <v>3.8948221250000006</v>
      </c>
      <c r="G27" s="101">
        <v>3.8948221250000006</v>
      </c>
      <c r="H27" s="101">
        <v>3.8347456916666669</v>
      </c>
      <c r="I27" s="101">
        <v>3.8323482333333327</v>
      </c>
      <c r="J27" s="101">
        <v>3.631205183333333</v>
      </c>
      <c r="K27" s="101">
        <v>3.8941079166666674</v>
      </c>
      <c r="L27" s="101"/>
      <c r="N27" s="14">
        <v>15</v>
      </c>
      <c r="O27" s="101">
        <v>3.7257133250000001</v>
      </c>
      <c r="P27" s="101">
        <v>3.7491339250000002</v>
      </c>
      <c r="Q27" s="101">
        <v>3.738840858333333</v>
      </c>
      <c r="R27" s="101">
        <v>3.7259527166666668</v>
      </c>
      <c r="S27" s="101">
        <v>3.7259527166666668</v>
      </c>
      <c r="T27" s="101">
        <v>3.5607000416666668</v>
      </c>
      <c r="U27" s="101">
        <v>3.6242373666666667</v>
      </c>
      <c r="V27" s="101">
        <v>3.5488321666666671</v>
      </c>
      <c r="W27" s="101">
        <v>3.725473225</v>
      </c>
      <c r="X27" s="101"/>
      <c r="Z27" s="14">
        <v>15</v>
      </c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</row>
    <row r="28" spans="2:36" ht="24" customHeight="1" x14ac:dyDescent="0.3">
      <c r="B28" s="51">
        <v>16</v>
      </c>
      <c r="C28" s="101">
        <v>3.9702725249999999</v>
      </c>
      <c r="D28" s="101">
        <v>4.0602795916666672</v>
      </c>
      <c r="E28" s="101">
        <v>4.0077169999999995</v>
      </c>
      <c r="F28" s="101">
        <v>3.9707734333333335</v>
      </c>
      <c r="G28" s="101">
        <v>3.9707734333333335</v>
      </c>
      <c r="H28" s="101">
        <v>3.9677372500000003</v>
      </c>
      <c r="I28" s="101">
        <v>3.9653565833333326</v>
      </c>
      <c r="J28" s="101">
        <v>3.8686728583333334</v>
      </c>
      <c r="K28" s="101">
        <v>3.969638583333333</v>
      </c>
      <c r="L28" s="101"/>
      <c r="N28" s="14">
        <v>16</v>
      </c>
      <c r="O28" s="101">
        <v>3.5711001916666665</v>
      </c>
      <c r="P28" s="101">
        <v>3.590682175</v>
      </c>
      <c r="Q28" s="101">
        <v>3.5870190916666669</v>
      </c>
      <c r="R28" s="101">
        <v>3.5713083416666662</v>
      </c>
      <c r="S28" s="101">
        <v>3.5713083416666662</v>
      </c>
      <c r="T28" s="101">
        <v>3.4496630333333336</v>
      </c>
      <c r="U28" s="101">
        <v>3.4909487000000006</v>
      </c>
      <c r="V28" s="101">
        <v>3.3890910166666668</v>
      </c>
      <c r="W28" s="101">
        <v>3.570870325</v>
      </c>
      <c r="X28" s="101"/>
      <c r="Z28" s="14">
        <v>16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</row>
    <row r="29" spans="2:36" ht="24" customHeight="1" x14ac:dyDescent="0.3">
      <c r="B29" s="51">
        <v>17</v>
      </c>
      <c r="C29" s="101">
        <v>3.8128274416666663</v>
      </c>
      <c r="D29" s="101">
        <v>3.8753573416666662</v>
      </c>
      <c r="E29" s="101">
        <v>3.8492916166666671</v>
      </c>
      <c r="F29" s="101">
        <v>3.8132422333333338</v>
      </c>
      <c r="G29" s="101">
        <v>3.8132422333333338</v>
      </c>
      <c r="H29" s="101">
        <v>3.8242136583333335</v>
      </c>
      <c r="I29" s="101">
        <v>3.8219191500000003</v>
      </c>
      <c r="J29" s="101">
        <v>3.807712225</v>
      </c>
      <c r="K29" s="101">
        <v>3.8122214583333336</v>
      </c>
      <c r="L29" s="101"/>
      <c r="N29" s="14">
        <v>17</v>
      </c>
      <c r="O29" s="101">
        <v>4.6301901916666663</v>
      </c>
      <c r="P29" s="101">
        <v>4.6666066500000003</v>
      </c>
      <c r="Q29" s="101">
        <v>4.6602942499999997</v>
      </c>
      <c r="R29" s="101">
        <v>4.6306165583333341</v>
      </c>
      <c r="S29" s="101">
        <v>4.6306165583333341</v>
      </c>
      <c r="T29" s="101">
        <v>4.5285184666666662</v>
      </c>
      <c r="U29" s="101">
        <v>4.5805321999999995</v>
      </c>
      <c r="V29" s="101">
        <v>4.470852166666667</v>
      </c>
      <c r="W29" s="101">
        <v>4.6297622833333341</v>
      </c>
      <c r="X29" s="101"/>
      <c r="Z29" s="14">
        <v>17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</row>
    <row r="30" spans="2:36" ht="24" customHeight="1" x14ac:dyDescent="0.3">
      <c r="B30" s="51">
        <v>18</v>
      </c>
      <c r="C30" s="101">
        <v>4.1457732833333329</v>
      </c>
      <c r="D30" s="101">
        <v>4.2167530583333335</v>
      </c>
      <c r="E30" s="101">
        <v>4.1893340416666662</v>
      </c>
      <c r="F30" s="101">
        <v>4.1461890000000006</v>
      </c>
      <c r="G30" s="101">
        <v>4.1461890000000006</v>
      </c>
      <c r="H30" s="101">
        <v>4.1572729833333337</v>
      </c>
      <c r="I30" s="101">
        <v>4.1547786333333345</v>
      </c>
      <c r="J30" s="101">
        <v>4.1586230666666664</v>
      </c>
      <c r="K30" s="101">
        <v>4.145036366666667</v>
      </c>
      <c r="L30" s="101"/>
      <c r="N30" s="14">
        <v>18</v>
      </c>
      <c r="O30" s="101">
        <v>5.2572600916666676</v>
      </c>
      <c r="P30" s="101">
        <v>5.3256477999999996</v>
      </c>
      <c r="Q30" s="101">
        <v>5.3113656249999996</v>
      </c>
      <c r="R30" s="101">
        <v>5.2579723166666676</v>
      </c>
      <c r="S30" s="101">
        <v>5.2579723166666676</v>
      </c>
      <c r="T30" s="101">
        <v>5.2145032500000008</v>
      </c>
      <c r="U30" s="101">
        <v>5.275673208333334</v>
      </c>
      <c r="V30" s="101">
        <v>5.217632525</v>
      </c>
      <c r="W30" s="101">
        <v>5.2563010250000008</v>
      </c>
      <c r="X30" s="101"/>
      <c r="Z30" s="14">
        <v>18</v>
      </c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</row>
    <row r="31" spans="2:36" ht="24" customHeight="1" x14ac:dyDescent="0.3">
      <c r="B31" s="51">
        <v>19</v>
      </c>
      <c r="C31" s="101">
        <v>5.6259961083333332</v>
      </c>
      <c r="D31" s="101">
        <v>5.7096946500000003</v>
      </c>
      <c r="E31" s="101">
        <v>5.6918761416666666</v>
      </c>
      <c r="F31" s="101">
        <v>5.6267085333333338</v>
      </c>
      <c r="G31" s="101">
        <v>5.6267085333333338</v>
      </c>
      <c r="H31" s="101">
        <v>5.672621266666666</v>
      </c>
      <c r="I31" s="101">
        <v>5.6690446666666672</v>
      </c>
      <c r="J31" s="101">
        <v>5.6341959749999999</v>
      </c>
      <c r="K31" s="101">
        <v>5.6246961166666658</v>
      </c>
      <c r="L31" s="101"/>
      <c r="N31" s="14">
        <v>19</v>
      </c>
      <c r="O31" s="101">
        <v>4.6921038499999996</v>
      </c>
      <c r="P31" s="101">
        <v>4.7748697416666674</v>
      </c>
      <c r="Q31" s="101">
        <v>4.7451123166666669</v>
      </c>
      <c r="R31" s="101">
        <v>4.6927205333333335</v>
      </c>
      <c r="S31" s="101">
        <v>4.6927205333333335</v>
      </c>
      <c r="T31" s="101">
        <v>4.6201432333333337</v>
      </c>
      <c r="U31" s="101">
        <v>4.6969441250000008</v>
      </c>
      <c r="V31" s="101">
        <v>4.5919434083333339</v>
      </c>
      <c r="W31" s="101">
        <v>4.6911644833333339</v>
      </c>
      <c r="X31" s="101"/>
      <c r="Z31" s="14">
        <v>19</v>
      </c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</row>
    <row r="32" spans="2:36" ht="24" customHeight="1" x14ac:dyDescent="0.3">
      <c r="B32" s="51">
        <v>20</v>
      </c>
      <c r="C32" s="101">
        <v>3.8450098833333328</v>
      </c>
      <c r="D32" s="101">
        <v>3.8981944583333332</v>
      </c>
      <c r="E32" s="101">
        <v>3.8907333416666674</v>
      </c>
      <c r="F32" s="101">
        <v>3.8455630250000001</v>
      </c>
      <c r="G32" s="101">
        <v>3.8455630250000001</v>
      </c>
      <c r="H32" s="101">
        <v>3.9060623333333333</v>
      </c>
      <c r="I32" s="101">
        <v>3.9034230166666672</v>
      </c>
      <c r="J32" s="101">
        <v>4.0411124499999991</v>
      </c>
      <c r="K32" s="101">
        <v>3.8441928833333332</v>
      </c>
      <c r="L32" s="101"/>
      <c r="N32" s="14">
        <v>20</v>
      </c>
      <c r="O32" s="101">
        <v>3.8344317916666664</v>
      </c>
      <c r="P32" s="101">
        <v>3.9263072833333332</v>
      </c>
      <c r="Q32" s="101">
        <v>3.877728891666667</v>
      </c>
      <c r="R32" s="101">
        <v>3.8349119999999997</v>
      </c>
      <c r="S32" s="101">
        <v>3.8349119999999997</v>
      </c>
      <c r="T32" s="101">
        <v>3.7979050416666671</v>
      </c>
      <c r="U32" s="101">
        <v>3.8413748999999995</v>
      </c>
      <c r="V32" s="101">
        <v>3.8150102666666665</v>
      </c>
      <c r="W32" s="101">
        <v>3.8336619583333338</v>
      </c>
      <c r="X32" s="101"/>
      <c r="Z32" s="14">
        <v>20</v>
      </c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</row>
    <row r="33" spans="2:36" ht="24" customHeight="1" x14ac:dyDescent="0.3">
      <c r="B33" s="51">
        <v>21</v>
      </c>
      <c r="C33" s="101">
        <v>3.9479472416666668</v>
      </c>
      <c r="D33" s="101">
        <v>4.0041775583333346</v>
      </c>
      <c r="E33" s="101">
        <v>3.9938113500000001</v>
      </c>
      <c r="F33" s="101">
        <v>3.9483814916666664</v>
      </c>
      <c r="G33" s="101">
        <v>3.9483814916666664</v>
      </c>
      <c r="H33" s="101">
        <v>4.0162642833333342</v>
      </c>
      <c r="I33" s="101">
        <v>4.0139481833333335</v>
      </c>
      <c r="J33" s="101">
        <v>4.1685431583333328</v>
      </c>
      <c r="K33" s="101">
        <v>3.947253091666667</v>
      </c>
      <c r="L33" s="101"/>
      <c r="N33" s="14">
        <v>21</v>
      </c>
      <c r="O33" s="101">
        <v>4.7774009333333334</v>
      </c>
      <c r="P33" s="101">
        <v>4.8867892583333337</v>
      </c>
      <c r="Q33" s="101">
        <v>4.8314308666666665</v>
      </c>
      <c r="R33" s="101">
        <v>4.7779943749999996</v>
      </c>
      <c r="S33" s="101">
        <v>4.7779943749999996</v>
      </c>
      <c r="T33" s="101">
        <v>4.7380720999999992</v>
      </c>
      <c r="U33" s="101">
        <v>4.7994731083333333</v>
      </c>
      <c r="V33" s="101">
        <v>4.7969601750000006</v>
      </c>
      <c r="W33" s="101">
        <v>4.7765202083333342</v>
      </c>
      <c r="X33" s="101"/>
      <c r="Z33" s="14">
        <v>21</v>
      </c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</row>
    <row r="34" spans="2:36" ht="24" customHeight="1" x14ac:dyDescent="0.3">
      <c r="B34" s="51">
        <v>22</v>
      </c>
      <c r="C34" s="101">
        <v>7.4430826083333335</v>
      </c>
      <c r="D34" s="101">
        <v>7.561716875000001</v>
      </c>
      <c r="E34" s="101">
        <v>7.5299313916666675</v>
      </c>
      <c r="F34" s="101">
        <v>7.4438803666666669</v>
      </c>
      <c r="G34" s="101">
        <v>7.4438803666666669</v>
      </c>
      <c r="H34" s="101">
        <v>7.6492668749999986</v>
      </c>
      <c r="I34" s="101">
        <v>7.616180925000001</v>
      </c>
      <c r="J34" s="101">
        <v>8.095385649999999</v>
      </c>
      <c r="K34" s="101">
        <v>7.4418441000000009</v>
      </c>
      <c r="L34" s="101"/>
      <c r="N34" s="14">
        <v>22</v>
      </c>
      <c r="O34" s="101">
        <v>3.4477383166666673</v>
      </c>
      <c r="P34" s="101">
        <v>3.4923127916666665</v>
      </c>
      <c r="Q34" s="101">
        <v>3.481322225</v>
      </c>
      <c r="R34" s="101">
        <v>3.448084258333334</v>
      </c>
      <c r="S34" s="101">
        <v>3.448084258333334</v>
      </c>
      <c r="T34" s="101">
        <v>3.4134002666666672</v>
      </c>
      <c r="U34" s="101">
        <v>3.4595950666666671</v>
      </c>
      <c r="V34" s="101">
        <v>3.4613970416666673</v>
      </c>
      <c r="W34" s="101">
        <v>3.4473360333333334</v>
      </c>
      <c r="X34" s="101"/>
      <c r="Z34" s="14">
        <v>22</v>
      </c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</row>
    <row r="35" spans="2:36" ht="24" customHeight="1" x14ac:dyDescent="0.3">
      <c r="B35" s="51">
        <v>23</v>
      </c>
      <c r="C35" s="101">
        <v>5.0952571749999995</v>
      </c>
      <c r="D35" s="101">
        <v>5.2118493500000005</v>
      </c>
      <c r="E35" s="101">
        <v>5.1609406916666662</v>
      </c>
      <c r="F35" s="101">
        <v>5.0958899250000007</v>
      </c>
      <c r="G35" s="101">
        <v>5.0958899250000007</v>
      </c>
      <c r="H35" s="101">
        <v>5.5679747583333343</v>
      </c>
      <c r="I35" s="101">
        <v>5.2485644499999999</v>
      </c>
      <c r="J35" s="101">
        <v>5.6338494666666667</v>
      </c>
      <c r="K35" s="101">
        <v>5.0942947083333339</v>
      </c>
      <c r="L35" s="101"/>
      <c r="N35" s="14">
        <v>23</v>
      </c>
      <c r="O35" s="101">
        <v>3.3740451250000003</v>
      </c>
      <c r="P35" s="101">
        <v>3.393295358333333</v>
      </c>
      <c r="Q35" s="101">
        <v>3.4089688000000002</v>
      </c>
      <c r="R35" s="101">
        <v>3.3744253083333331</v>
      </c>
      <c r="S35" s="101">
        <v>3.3744253083333331</v>
      </c>
      <c r="T35" s="101">
        <v>3.3805198916666663</v>
      </c>
      <c r="U35" s="101">
        <v>3.4253791250000001</v>
      </c>
      <c r="V35" s="101">
        <v>3.4863934833333334</v>
      </c>
      <c r="W35" s="101">
        <v>3.3735639333333332</v>
      </c>
      <c r="X35" s="101"/>
      <c r="Z35" s="14">
        <v>23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2:36" ht="24" customHeight="1" x14ac:dyDescent="0.3">
      <c r="B36" s="51">
        <v>24</v>
      </c>
      <c r="C36" s="101">
        <v>3.818005041666666</v>
      </c>
      <c r="D36" s="101">
        <v>3.8814409083333326</v>
      </c>
      <c r="E36" s="101">
        <v>3.8621346083333337</v>
      </c>
      <c r="F36" s="101">
        <v>3.8184617750000003</v>
      </c>
      <c r="G36" s="101">
        <v>3.8184617750000003</v>
      </c>
      <c r="H36" s="101">
        <v>4.05628995</v>
      </c>
      <c r="I36" s="101">
        <v>3.9322862999999995</v>
      </c>
      <c r="J36" s="101">
        <v>4.2172365750000003</v>
      </c>
      <c r="K36" s="101">
        <v>3.8174400333333338</v>
      </c>
      <c r="L36" s="101"/>
      <c r="N36" s="14">
        <v>24</v>
      </c>
      <c r="O36" s="101">
        <v>2.9441648749999998</v>
      </c>
      <c r="P36" s="101">
        <v>2.9605735916666669</v>
      </c>
      <c r="Q36" s="101">
        <v>2.9674253333333329</v>
      </c>
      <c r="R36" s="101">
        <v>2.9443865999999996</v>
      </c>
      <c r="S36" s="101">
        <v>2.9443865999999996</v>
      </c>
      <c r="T36" s="101">
        <v>2.9216656000000003</v>
      </c>
      <c r="U36" s="101">
        <v>2.9630147916666671</v>
      </c>
      <c r="V36" s="101">
        <v>3.0220230916666666</v>
      </c>
      <c r="W36" s="101">
        <v>2.9438565666666667</v>
      </c>
      <c r="X36" s="101"/>
      <c r="Z36" s="14">
        <v>24</v>
      </c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</row>
    <row r="37" spans="2:36" ht="24" customHeight="1" x14ac:dyDescent="0.3">
      <c r="B37" s="51" t="s">
        <v>66</v>
      </c>
      <c r="C37" s="94">
        <f>IFERROR(AVERAGE(C13:C36),0)</f>
        <v>3.7402199840277777</v>
      </c>
      <c r="D37" s="94">
        <f t="shared" ref="D37:L37" si="0">IFERROR(AVERAGE(D13:D36),0)</f>
        <v>3.7988169697916674</v>
      </c>
      <c r="E37" s="94">
        <f t="shared" si="0"/>
        <v>3.7712501930555558</v>
      </c>
      <c r="F37" s="94">
        <f t="shared" si="0"/>
        <v>3.7405562402777774</v>
      </c>
      <c r="G37" s="94">
        <f t="shared" si="0"/>
        <v>3.7405562402777774</v>
      </c>
      <c r="H37" s="94">
        <f t="shared" si="0"/>
        <v>3.7423256940972216</v>
      </c>
      <c r="I37" s="94">
        <f t="shared" si="0"/>
        <v>3.7439762583333334</v>
      </c>
      <c r="J37" s="94">
        <f t="shared" si="0"/>
        <v>3.8256244552083332</v>
      </c>
      <c r="K37" s="94">
        <f t="shared" si="0"/>
        <v>3.7397682267361119</v>
      </c>
      <c r="L37" s="94">
        <f t="shared" si="0"/>
        <v>0</v>
      </c>
      <c r="N37" s="14" t="s">
        <v>66</v>
      </c>
      <c r="O37" s="94">
        <f>IFERROR(AVERAGE(O13:O36),0)</f>
        <v>3.4205839951388888</v>
      </c>
      <c r="P37" s="94">
        <f t="shared" ref="P37" si="1">IFERROR(AVERAGE(P13:P36),0)</f>
        <v>3.4602841440972223</v>
      </c>
      <c r="Q37" s="94">
        <f t="shared" ref="Q37" si="2">IFERROR(AVERAGE(Q13:Q36),0)</f>
        <v>3.4460547072916659</v>
      </c>
      <c r="R37" s="94">
        <f t="shared" ref="R37" si="3">IFERROR(AVERAGE(R13:R36),0)</f>
        <v>3.4208748937500011</v>
      </c>
      <c r="S37" s="94">
        <f t="shared" ref="S37" si="4">IFERROR(AVERAGE(S13:S36),0)</f>
        <v>3.4208748937500011</v>
      </c>
      <c r="T37" s="94">
        <f t="shared" ref="T37" si="5">IFERROR(AVERAGE(T13:T36),0)</f>
        <v>3.247160622569444</v>
      </c>
      <c r="U37" s="94">
        <f t="shared" ref="U37" si="6">IFERROR(AVERAGE(U13:U36),0)</f>
        <v>3.289919647569445</v>
      </c>
      <c r="V37" s="94">
        <f t="shared" ref="V37" si="7">IFERROR(AVERAGE(V13:V36),0)</f>
        <v>3.2584894288194448</v>
      </c>
      <c r="W37" s="94">
        <f t="shared" ref="W37" si="8">IFERROR(AVERAGE(W13:W36),0)</f>
        <v>3.4202025385416666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0</v>
      </c>
      <c r="AB37" s="94">
        <f t="shared" ref="AB37:AJ37" si="10">IFERROR(AVERAGE(AB13:AB36),0)</f>
        <v>0</v>
      </c>
      <c r="AC37" s="94">
        <f t="shared" si="10"/>
        <v>0</v>
      </c>
      <c r="AD37" s="94">
        <f t="shared" si="10"/>
        <v>0</v>
      </c>
      <c r="AE37" s="94">
        <f t="shared" si="10"/>
        <v>0</v>
      </c>
      <c r="AF37" s="94">
        <f t="shared" si="10"/>
        <v>0</v>
      </c>
      <c r="AG37" s="94">
        <f t="shared" si="10"/>
        <v>0</v>
      </c>
      <c r="AH37" s="94">
        <f t="shared" si="10"/>
        <v>0</v>
      </c>
      <c r="AI37" s="94">
        <f t="shared" si="10"/>
        <v>0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45674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Z11:Z12"/>
    <mergeCell ref="AA11:AE11"/>
    <mergeCell ref="AF11:AJ11"/>
    <mergeCell ref="O11:S11"/>
    <mergeCell ref="T11:X11"/>
    <mergeCell ref="C4:E4"/>
    <mergeCell ref="C11:G11"/>
    <mergeCell ref="B11:B12"/>
    <mergeCell ref="H11:L11"/>
    <mergeCell ref="N11:N12"/>
    <mergeCell ref="C6:E6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zoomScale="77" zoomScaleNormal="91" workbookViewId="0">
      <selection activeCell="T20" sqref="T20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84">
        <f>'1. Rates'!C4</f>
        <v>45674</v>
      </c>
      <c r="D2" s="185"/>
      <c r="E2" s="186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72" t="s">
        <v>52</v>
      </c>
      <c r="C7" s="178" t="s">
        <v>109</v>
      </c>
      <c r="D7" s="179"/>
      <c r="E7" s="179"/>
      <c r="F7" s="179"/>
      <c r="G7" s="180"/>
      <c r="H7" s="178" t="s">
        <v>110</v>
      </c>
      <c r="I7" s="179"/>
      <c r="J7" s="179"/>
      <c r="K7" s="179"/>
      <c r="L7" s="180"/>
      <c r="M7" s="181" t="s">
        <v>111</v>
      </c>
      <c r="N7" s="182"/>
      <c r="O7" s="182"/>
      <c r="P7" s="182"/>
      <c r="Q7" s="183"/>
      <c r="S7" s="181" t="s">
        <v>112</v>
      </c>
      <c r="T7" s="182"/>
      <c r="U7" s="182"/>
      <c r="V7" s="182"/>
      <c r="W7" s="183"/>
    </row>
    <row r="8" spans="2:24" ht="32.25" customHeight="1" x14ac:dyDescent="0.3">
      <c r="B8" s="173"/>
      <c r="C8" s="175">
        <f>C2-7</f>
        <v>45667</v>
      </c>
      <c r="D8" s="176"/>
      <c r="E8" s="176"/>
      <c r="F8" s="176"/>
      <c r="G8" s="177"/>
      <c r="H8" s="175">
        <f>C2-2</f>
        <v>45672</v>
      </c>
      <c r="I8" s="176"/>
      <c r="J8" s="176"/>
      <c r="K8" s="176"/>
      <c r="L8" s="177"/>
      <c r="M8" s="175">
        <f>C2</f>
        <v>45674</v>
      </c>
      <c r="N8" s="176"/>
      <c r="O8" s="176"/>
      <c r="P8" s="176"/>
      <c r="Q8" s="177"/>
      <c r="S8" s="175">
        <f>M8</f>
        <v>45674</v>
      </c>
      <c r="T8" s="176"/>
      <c r="U8" s="176"/>
      <c r="V8" s="176"/>
      <c r="W8" s="177"/>
    </row>
    <row r="9" spans="2:24" ht="45" customHeight="1" x14ac:dyDescent="0.3">
      <c r="B9" s="174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3.7843357316666668</v>
      </c>
      <c r="E10" s="116"/>
      <c r="F10" s="116">
        <v>5528.949999999998</v>
      </c>
      <c r="G10" s="107">
        <f>E10-F10</f>
        <v>-5528.949999999998</v>
      </c>
      <c r="H10" s="115"/>
      <c r="I10" s="106">
        <f>IFERROR(AVERAGE('1. Rates'!O13:S13),0)</f>
        <v>1.9084568883333337</v>
      </c>
      <c r="J10" s="116">
        <v>72116.992711331462</v>
      </c>
      <c r="K10" s="116">
        <v>5441.2205515130599</v>
      </c>
      <c r="L10" s="107">
        <f>J10-K10</f>
        <v>66675.7721598184</v>
      </c>
      <c r="M10" s="108" t="e">
        <f>IF(S10="",AVERAGE(C10,H10),S10)</f>
        <v>#DIV/0!</v>
      </c>
      <c r="N10" s="109">
        <f>IF(T10="",(IFERROR(AVERAGE('1. Rates'!AA13:AE13),0)),T10)</f>
        <v>2.7417177666666666</v>
      </c>
      <c r="O10" s="107">
        <f>IF(U10="",AVERAGE(E10,J10),U10)</f>
        <v>72116.992711331462</v>
      </c>
      <c r="P10" s="107">
        <f>IF(V10="",AVERAGE(F10,K10),V10)</f>
        <v>5485.085275756529</v>
      </c>
      <c r="Q10" s="107">
        <f>O10-P10</f>
        <v>66631.907435574933</v>
      </c>
      <c r="S10" s="117"/>
      <c r="T10" s="118">
        <v>2.7417177666666666</v>
      </c>
      <c r="U10" s="116"/>
      <c r="V10" s="116"/>
      <c r="W10" s="116"/>
    </row>
    <row r="11" spans="2:24" x14ac:dyDescent="0.3">
      <c r="B11" s="105">
        <v>2</v>
      </c>
      <c r="C11" s="115"/>
      <c r="D11" s="106">
        <f>IFERROR(AVERAGE('1. Rates'!C14:G14),0)</f>
        <v>3.5701725500000001</v>
      </c>
      <c r="E11" s="116"/>
      <c r="F11" s="116">
        <v>5461.8189999999977</v>
      </c>
      <c r="G11" s="107">
        <f t="shared" ref="G11:G33" si="0">E11-F11</f>
        <v>-5461.8189999999977</v>
      </c>
      <c r="H11" s="115"/>
      <c r="I11" s="106">
        <f>IFERROR(AVERAGE('1. Rates'!O14:S14),0)</f>
        <v>2.4978476933333331</v>
      </c>
      <c r="J11" s="116">
        <v>68834.868830708336</v>
      </c>
      <c r="K11" s="116">
        <v>5399.05527702786</v>
      </c>
      <c r="L11" s="107">
        <f t="shared" ref="L11:L33" si="1">J11-K11</f>
        <v>63435.813553680477</v>
      </c>
      <c r="M11" s="108" t="e">
        <f t="shared" ref="M11:M33" si="2">IF(S11="",AVERAGE(C11,H11),S11)</f>
        <v>#DIV/0!</v>
      </c>
      <c r="N11" s="109">
        <f>IF(T11="",(IFERROR(AVERAGE('1. Rates'!AA14:AE14),0)),T11)</f>
        <v>2.654378289285714</v>
      </c>
      <c r="O11" s="107">
        <f t="shared" ref="O11:O33" si="3">IF(U11="",AVERAGE(E11,J11),U11)</f>
        <v>68834.868830708336</v>
      </c>
      <c r="P11" s="107">
        <f t="shared" ref="P11:P33" si="4">IF(V11="",AVERAGE(F11,K11),V11)</f>
        <v>5430.4371385139293</v>
      </c>
      <c r="Q11" s="107">
        <f t="shared" ref="Q11:Q33" si="5">O11-P11</f>
        <v>63404.431692194405</v>
      </c>
      <c r="S11" s="117"/>
      <c r="T11" s="118">
        <v>2.654378289285714</v>
      </c>
      <c r="U11" s="116"/>
      <c r="V11" s="116"/>
      <c r="W11" s="116"/>
    </row>
    <row r="12" spans="2:24" x14ac:dyDescent="0.3">
      <c r="B12" s="105">
        <v>3</v>
      </c>
      <c r="C12" s="115"/>
      <c r="D12" s="106">
        <f>IFERROR(AVERAGE('1. Rates'!C15:G15),0)</f>
        <v>2.767274056666666</v>
      </c>
      <c r="E12" s="116"/>
      <c r="F12" s="116">
        <v>5404.1309999999976</v>
      </c>
      <c r="G12" s="107">
        <f t="shared" si="0"/>
        <v>-5404.1309999999976</v>
      </c>
      <c r="H12" s="115"/>
      <c r="I12" s="106">
        <f>IFERROR(AVERAGE('1. Rates'!O15:S15),0)</f>
        <v>1.7761938416666667</v>
      </c>
      <c r="J12" s="116">
        <v>66266.709147016329</v>
      </c>
      <c r="K12" s="116">
        <v>5352.319149428733</v>
      </c>
      <c r="L12" s="107">
        <f t="shared" si="1"/>
        <v>60914.389997587597</v>
      </c>
      <c r="M12" s="108" t="e">
        <f t="shared" si="2"/>
        <v>#DIV/0!</v>
      </c>
      <c r="N12" s="109">
        <f>IF(T12="",(IFERROR(AVERAGE('1. Rates'!AA15:AE15),0)),T12)</f>
        <v>1.8851294004761903</v>
      </c>
      <c r="O12" s="107">
        <f t="shared" si="3"/>
        <v>66266.709147016329</v>
      </c>
      <c r="P12" s="107">
        <f t="shared" si="4"/>
        <v>5378.2250747143653</v>
      </c>
      <c r="Q12" s="107">
        <f t="shared" si="5"/>
        <v>60888.484072301966</v>
      </c>
      <c r="S12" s="117"/>
      <c r="T12" s="118">
        <v>1.8851294004761903</v>
      </c>
      <c r="U12" s="116"/>
      <c r="V12" s="116"/>
      <c r="W12" s="116"/>
    </row>
    <row r="13" spans="2:24" x14ac:dyDescent="0.3">
      <c r="B13" s="105">
        <v>4</v>
      </c>
      <c r="C13" s="115"/>
      <c r="D13" s="106">
        <f>IFERROR(AVERAGE('1. Rates'!C16:G16),0)</f>
        <v>2.8224030383333334</v>
      </c>
      <c r="E13" s="116"/>
      <c r="F13" s="116">
        <v>5210.6269999999986</v>
      </c>
      <c r="G13" s="107">
        <f t="shared" si="0"/>
        <v>-5210.6269999999986</v>
      </c>
      <c r="H13" s="115"/>
      <c r="I13" s="106">
        <f>IFERROR(AVERAGE('1. Rates'!O16:S16),0)</f>
        <v>2.502776635</v>
      </c>
      <c r="J13" s="116">
        <v>64537.612427869361</v>
      </c>
      <c r="K13" s="116">
        <v>5354.9834390936576</v>
      </c>
      <c r="L13" s="107">
        <f t="shared" si="1"/>
        <v>59182.628988775701</v>
      </c>
      <c r="M13" s="108" t="e">
        <f t="shared" si="2"/>
        <v>#DIV/0!</v>
      </c>
      <c r="N13" s="109">
        <f>IF(T13="",(IFERROR(AVERAGE('1. Rates'!AA16:AE16),0)),T13)</f>
        <v>2.0984759630952379</v>
      </c>
      <c r="O13" s="107">
        <f t="shared" si="3"/>
        <v>64537.612427869361</v>
      </c>
      <c r="P13" s="107">
        <f t="shared" si="4"/>
        <v>5282.8052195468281</v>
      </c>
      <c r="Q13" s="107">
        <f t="shared" si="5"/>
        <v>59254.807208322534</v>
      </c>
      <c r="S13" s="117"/>
      <c r="T13" s="118">
        <v>2.0984759630952379</v>
      </c>
      <c r="U13" s="116"/>
      <c r="V13" s="116"/>
      <c r="W13" s="116"/>
    </row>
    <row r="14" spans="2:24" x14ac:dyDescent="0.3">
      <c r="B14" s="105">
        <v>5</v>
      </c>
      <c r="C14" s="115"/>
      <c r="D14" s="106">
        <f>IFERROR(AVERAGE('1. Rates'!C17:G17),0)</f>
        <v>3.227774721666667</v>
      </c>
      <c r="E14" s="116"/>
      <c r="F14" s="116">
        <v>5372.2719999999972</v>
      </c>
      <c r="G14" s="107">
        <f t="shared" si="0"/>
        <v>-5372.2719999999972</v>
      </c>
      <c r="H14" s="115"/>
      <c r="I14" s="106">
        <f>IFERROR(AVERAGE('1. Rates'!O17:S17),0)</f>
        <v>3.0148680766666667</v>
      </c>
      <c r="J14" s="116">
        <v>64751.013059891571</v>
      </c>
      <c r="K14" s="116">
        <v>5335.4441945005701</v>
      </c>
      <c r="L14" s="107">
        <f t="shared" si="1"/>
        <v>59415.568865391004</v>
      </c>
      <c r="M14" s="108" t="e">
        <f t="shared" si="2"/>
        <v>#DIV/0!</v>
      </c>
      <c r="N14" s="109">
        <f>IF(T14="",(IFERROR(AVERAGE('1. Rates'!AA17:AE17),0)),T14)</f>
        <v>2.9439233738095241</v>
      </c>
      <c r="O14" s="107">
        <f t="shared" si="3"/>
        <v>64751.013059891571</v>
      </c>
      <c r="P14" s="107">
        <f t="shared" si="4"/>
        <v>5353.8580972502841</v>
      </c>
      <c r="Q14" s="107">
        <f t="shared" si="5"/>
        <v>59397.154962641289</v>
      </c>
      <c r="S14" s="117"/>
      <c r="T14" s="118">
        <v>2.9439233738095241</v>
      </c>
      <c r="U14" s="116"/>
      <c r="V14" s="116"/>
      <c r="W14" s="116"/>
    </row>
    <row r="15" spans="2:24" x14ac:dyDescent="0.3">
      <c r="B15" s="105">
        <v>6</v>
      </c>
      <c r="C15" s="115"/>
      <c r="D15" s="106">
        <f>IFERROR(AVERAGE('1. Rates'!C18:G18),0)</f>
        <v>3.4149325416666665</v>
      </c>
      <c r="E15" s="116"/>
      <c r="F15" s="116">
        <v>5531.4119999999975</v>
      </c>
      <c r="G15" s="107">
        <f t="shared" si="0"/>
        <v>-5531.4119999999975</v>
      </c>
      <c r="H15" s="115"/>
      <c r="I15" s="106">
        <f>IFERROR(AVERAGE('1. Rates'!O18:S18),0)</f>
        <v>3.0104116849999998</v>
      </c>
      <c r="J15" s="116">
        <v>67486.728218519987</v>
      </c>
      <c r="K15" s="116">
        <v>5433.4412580999997</v>
      </c>
      <c r="L15" s="107">
        <f t="shared" si="1"/>
        <v>62053.286960419988</v>
      </c>
      <c r="M15" s="108" t="e">
        <f t="shared" si="2"/>
        <v>#DIV/0!</v>
      </c>
      <c r="N15" s="109">
        <f>IF(T15="",(IFERROR(AVERAGE('1. Rates'!AA18:AE18),0)),T15)</f>
        <v>3.2519501076190478</v>
      </c>
      <c r="O15" s="107">
        <f t="shared" si="3"/>
        <v>67486.728218519987</v>
      </c>
      <c r="P15" s="107">
        <f t="shared" si="4"/>
        <v>5482.4266290499982</v>
      </c>
      <c r="Q15" s="107">
        <f t="shared" si="5"/>
        <v>62004.301589469993</v>
      </c>
      <c r="S15" s="117"/>
      <c r="T15" s="118">
        <v>3.2519501076190478</v>
      </c>
      <c r="U15" s="116"/>
      <c r="V15" s="116"/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3.4744300066666667</v>
      </c>
      <c r="E16" s="116"/>
      <c r="F16" s="116">
        <v>6397.2109999999993</v>
      </c>
      <c r="G16" s="107">
        <f t="shared" si="0"/>
        <v>-6397.2109999999993</v>
      </c>
      <c r="H16" s="115"/>
      <c r="I16" s="106">
        <f>IFERROR(AVERAGE('1. Rates'!O19:S19),0)</f>
        <v>2.4512176099999996</v>
      </c>
      <c r="J16" s="116">
        <v>70564.928531504382</v>
      </c>
      <c r="K16" s="116">
        <v>6037.6709704999985</v>
      </c>
      <c r="L16" s="107">
        <f t="shared" si="1"/>
        <v>64527.257561004386</v>
      </c>
      <c r="M16" s="108" t="e">
        <f t="shared" si="2"/>
        <v>#DIV/0!</v>
      </c>
      <c r="N16" s="109">
        <f>IF(T16="",(IFERROR(AVERAGE('1. Rates'!AA19:AE19),0)),T16)</f>
        <v>2.8853791035714282</v>
      </c>
      <c r="O16" s="107">
        <f t="shared" si="3"/>
        <v>70564.928531504382</v>
      </c>
      <c r="P16" s="107">
        <f t="shared" si="4"/>
        <v>6217.4409852499994</v>
      </c>
      <c r="Q16" s="107">
        <f t="shared" si="5"/>
        <v>64347.487546254386</v>
      </c>
      <c r="R16" s="110"/>
      <c r="S16" s="117"/>
      <c r="T16" s="118">
        <v>2.8853791035714282</v>
      </c>
      <c r="U16" s="116"/>
      <c r="V16" s="116"/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2.6686039433333333</v>
      </c>
      <c r="E17" s="116"/>
      <c r="F17" s="116">
        <v>7176.5509999999977</v>
      </c>
      <c r="G17" s="107">
        <f t="shared" si="0"/>
        <v>-7176.5509999999977</v>
      </c>
      <c r="H17" s="115"/>
      <c r="I17" s="106">
        <f>IFERROR(AVERAGE('1. Rates'!O20:S20),0)</f>
        <v>2.4466745949999997</v>
      </c>
      <c r="J17" s="116">
        <v>75225.115852124349</v>
      </c>
      <c r="K17" s="116">
        <v>7337.8936213258748</v>
      </c>
      <c r="L17" s="107">
        <f t="shared" si="1"/>
        <v>67887.222230798478</v>
      </c>
      <c r="M17" s="108" t="e">
        <f t="shared" si="2"/>
        <v>#DIV/0!</v>
      </c>
      <c r="N17" s="109">
        <f>IF(T17="",(IFERROR(AVERAGE('1. Rates'!AA20:AE20),0)),T17)</f>
        <v>3.0053816290476187</v>
      </c>
      <c r="O17" s="107">
        <f t="shared" si="3"/>
        <v>75225.115852124349</v>
      </c>
      <c r="P17" s="107">
        <f t="shared" si="4"/>
        <v>7257.2223106629363</v>
      </c>
      <c r="Q17" s="107">
        <f t="shared" si="5"/>
        <v>67967.89354146141</v>
      </c>
      <c r="R17" s="110"/>
      <c r="S17" s="117"/>
      <c r="T17" s="118">
        <v>3.0053816290476187</v>
      </c>
      <c r="U17" s="116"/>
      <c r="V17" s="116"/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3.5165618366666664</v>
      </c>
      <c r="E18" s="116"/>
      <c r="F18" s="116">
        <v>8919.114999999998</v>
      </c>
      <c r="G18" s="107">
        <f t="shared" si="0"/>
        <v>-8919.114999999998</v>
      </c>
      <c r="H18" s="115"/>
      <c r="I18" s="106">
        <f>IFERROR(AVERAGE('1. Rates'!O21:S21),0)</f>
        <v>3.4243688733333335</v>
      </c>
      <c r="J18" s="116">
        <v>90567.640345724882</v>
      </c>
      <c r="K18" s="116">
        <v>9389.6659820406439</v>
      </c>
      <c r="L18" s="107">
        <f t="shared" si="1"/>
        <v>81177.974363684232</v>
      </c>
      <c r="M18" s="108" t="e">
        <f t="shared" si="2"/>
        <v>#DIV/0!</v>
      </c>
      <c r="N18" s="109">
        <f>IF(T18="",(IFERROR(AVERAGE('1. Rates'!AA21:AE21),0)),T18)</f>
        <v>3.1361541799999997</v>
      </c>
      <c r="O18" s="107">
        <f t="shared" si="3"/>
        <v>90567.640345724882</v>
      </c>
      <c r="P18" s="107">
        <f t="shared" si="4"/>
        <v>9154.39049102032</v>
      </c>
      <c r="Q18" s="107">
        <f t="shared" si="5"/>
        <v>81413.249854704569</v>
      </c>
      <c r="R18" s="110"/>
      <c r="S18" s="117"/>
      <c r="T18" s="118">
        <v>3.1361541799999997</v>
      </c>
      <c r="U18" s="116"/>
      <c r="V18" s="116"/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2.9814681599999999</v>
      </c>
      <c r="E19" s="116"/>
      <c r="F19" s="116">
        <v>14717.68399999999</v>
      </c>
      <c r="G19" s="107">
        <f t="shared" si="0"/>
        <v>-14717.68399999999</v>
      </c>
      <c r="H19" s="115"/>
      <c r="I19" s="106">
        <f>IFERROR(AVERAGE('1. Rates'!O22:S22),0)</f>
        <v>3.1611800316666665</v>
      </c>
      <c r="J19" s="116">
        <v>103835.52524227854</v>
      </c>
      <c r="K19" s="116">
        <v>15319.748023146494</v>
      </c>
      <c r="L19" s="107">
        <f t="shared" si="1"/>
        <v>88515.777219132055</v>
      </c>
      <c r="M19" s="108" t="e">
        <f t="shared" si="2"/>
        <v>#DIV/0!</v>
      </c>
      <c r="N19" s="109">
        <f>IF(T19="",(IFERROR(AVERAGE('1. Rates'!AA22:AE22),0)),T19)</f>
        <v>3.2838300461904764</v>
      </c>
      <c r="O19" s="107">
        <f t="shared" si="3"/>
        <v>103835.52524227854</v>
      </c>
      <c r="P19" s="107">
        <f t="shared" si="4"/>
        <v>15018.716011573242</v>
      </c>
      <c r="Q19" s="107">
        <f t="shared" si="5"/>
        <v>88816.809230705301</v>
      </c>
      <c r="R19" s="110"/>
      <c r="S19" s="117"/>
      <c r="T19" s="118">
        <v>3.2838300461904764</v>
      </c>
      <c r="U19" s="116"/>
      <c r="V19" s="116"/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2.8178889566666667</v>
      </c>
      <c r="E20" s="116"/>
      <c r="F20" s="116">
        <v>15897.727999999999</v>
      </c>
      <c r="G20" s="107">
        <f t="shared" si="0"/>
        <v>-15897.727999999999</v>
      </c>
      <c r="H20" s="115"/>
      <c r="I20" s="106">
        <f>IFERROR(AVERAGE('1. Rates'!O23:S23),0)</f>
        <v>5.868839883333334</v>
      </c>
      <c r="J20" s="116">
        <v>109758.54314001382</v>
      </c>
      <c r="K20" s="116">
        <v>15709.798054999999</v>
      </c>
      <c r="L20" s="107">
        <f t="shared" si="1"/>
        <v>94048.745085013827</v>
      </c>
      <c r="M20" s="108" t="e">
        <f t="shared" si="2"/>
        <v>#DIV/0!</v>
      </c>
      <c r="N20" s="109">
        <f>IF(T20="",(IFERROR(AVERAGE('1. Rates'!AA23:AE23),0)),T20)</f>
        <v>3.2840681697619041</v>
      </c>
      <c r="O20" s="107">
        <f t="shared" si="3"/>
        <v>109758.54314001382</v>
      </c>
      <c r="P20" s="107">
        <f t="shared" si="4"/>
        <v>15803.763027499999</v>
      </c>
      <c r="Q20" s="107">
        <f t="shared" si="5"/>
        <v>93954.780112513821</v>
      </c>
      <c r="R20" s="110"/>
      <c r="S20" s="117"/>
      <c r="T20" s="118">
        <v>3.2840681697619041</v>
      </c>
      <c r="U20" s="116"/>
      <c r="V20" s="116"/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2.8414285850000001</v>
      </c>
      <c r="E21" s="116"/>
      <c r="F21" s="116">
        <v>15119.626</v>
      </c>
      <c r="G21" s="107">
        <f t="shared" si="0"/>
        <v>-15119.626</v>
      </c>
      <c r="H21" s="115"/>
      <c r="I21" s="106">
        <f>IFERROR(AVERAGE('1. Rates'!O24:S24),0)</f>
        <v>3.0882291349999997</v>
      </c>
      <c r="J21" s="116">
        <v>110952.64180655002</v>
      </c>
      <c r="K21" s="116">
        <v>15593.906354104376</v>
      </c>
      <c r="L21" s="107">
        <f t="shared" si="1"/>
        <v>95358.735452445646</v>
      </c>
      <c r="M21" s="108" t="e">
        <f t="shared" si="2"/>
        <v>#DIV/0!</v>
      </c>
      <c r="N21" s="109">
        <f>IF(T21="",(IFERROR(AVERAGE('1. Rates'!AA24:AE24),0)),T21)</f>
        <v>2.736822844047619</v>
      </c>
      <c r="O21" s="107">
        <f t="shared" si="3"/>
        <v>110952.64180655002</v>
      </c>
      <c r="P21" s="107">
        <f t="shared" si="4"/>
        <v>15356.766177052188</v>
      </c>
      <c r="Q21" s="107">
        <f t="shared" si="5"/>
        <v>95595.875629497838</v>
      </c>
      <c r="R21" s="110"/>
      <c r="S21" s="117"/>
      <c r="T21" s="118">
        <v>2.736822844047619</v>
      </c>
      <c r="U21" s="116"/>
      <c r="V21" s="116"/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2.9950821750000003</v>
      </c>
      <c r="E22" s="116"/>
      <c r="F22" s="116">
        <v>15866.133999999987</v>
      </c>
      <c r="G22" s="107">
        <f t="shared" si="0"/>
        <v>-15866.133999999987</v>
      </c>
      <c r="H22" s="115"/>
      <c r="I22" s="106">
        <f>IFERROR(AVERAGE('1. Rates'!O25:S25),0)</f>
        <v>3.0224688166666667</v>
      </c>
      <c r="J22" s="116">
        <v>109732.66179467294</v>
      </c>
      <c r="K22" s="116">
        <v>15502.267193208847</v>
      </c>
      <c r="L22" s="107">
        <f t="shared" si="1"/>
        <v>94230.394601464097</v>
      </c>
      <c r="M22" s="108" t="e">
        <f t="shared" si="2"/>
        <v>#DIV/0!</v>
      </c>
      <c r="N22" s="109">
        <f>IF(T22="",(IFERROR(AVERAGE('1. Rates'!AA25:AE25),0)),T22)</f>
        <v>2.7785584073809528</v>
      </c>
      <c r="O22" s="107">
        <f t="shared" si="3"/>
        <v>109732.66179467294</v>
      </c>
      <c r="P22" s="107">
        <f t="shared" si="4"/>
        <v>15684.200596604416</v>
      </c>
      <c r="Q22" s="107">
        <f t="shared" si="5"/>
        <v>94048.461198068515</v>
      </c>
      <c r="R22" s="110"/>
      <c r="S22" s="117"/>
      <c r="T22" s="118">
        <v>2.7785584073809528</v>
      </c>
      <c r="U22" s="116"/>
      <c r="V22" s="116"/>
      <c r="W22" s="116"/>
    </row>
    <row r="23" spans="2:24" x14ac:dyDescent="0.3">
      <c r="B23" s="105">
        <v>14</v>
      </c>
      <c r="C23" s="115"/>
      <c r="D23" s="106">
        <f>IFERROR(AVERAGE('1. Rates'!C26:G26),0)</f>
        <v>3.461685871666667</v>
      </c>
      <c r="E23" s="116"/>
      <c r="F23" s="116">
        <v>15305.382000000001</v>
      </c>
      <c r="G23" s="107">
        <f t="shared" si="0"/>
        <v>-15305.382000000001</v>
      </c>
      <c r="H23" s="115"/>
      <c r="I23" s="106">
        <f>IFERROR(AVERAGE('1. Rates'!O26:S26),0)</f>
        <v>3.8067705699999999</v>
      </c>
      <c r="J23" s="116">
        <v>115326.998274841</v>
      </c>
      <c r="K23" s="116">
        <v>15472.980340149996</v>
      </c>
      <c r="L23" s="107">
        <f t="shared" si="1"/>
        <v>99854.017934691001</v>
      </c>
      <c r="M23" s="108" t="e">
        <f t="shared" si="2"/>
        <v>#DIV/0!</v>
      </c>
      <c r="N23" s="109">
        <f>IF(T23="",(IFERROR(AVERAGE('1. Rates'!AA26:AE26),0)),T23)</f>
        <v>3.3646959316666667</v>
      </c>
      <c r="O23" s="107">
        <f t="shared" si="3"/>
        <v>115326.998274841</v>
      </c>
      <c r="P23" s="107">
        <f t="shared" si="4"/>
        <v>15389.181170074999</v>
      </c>
      <c r="Q23" s="107">
        <f t="shared" si="5"/>
        <v>99937.817104766</v>
      </c>
      <c r="R23" s="110"/>
      <c r="S23" s="117"/>
      <c r="T23" s="118">
        <v>3.3646959316666667</v>
      </c>
      <c r="U23" s="116"/>
      <c r="V23" s="116"/>
      <c r="W23" s="116"/>
    </row>
    <row r="24" spans="2:24" x14ac:dyDescent="0.3">
      <c r="B24" s="105">
        <v>15</v>
      </c>
      <c r="C24" s="115"/>
      <c r="D24" s="106">
        <f>IFERROR(AVERAGE('1. Rates'!C27:G27),0)</f>
        <v>3.9111590666666673</v>
      </c>
      <c r="E24" s="116"/>
      <c r="F24" s="116">
        <v>15078.94299999999</v>
      </c>
      <c r="G24" s="107">
        <f t="shared" si="0"/>
        <v>-15078.94299999999</v>
      </c>
      <c r="H24" s="115"/>
      <c r="I24" s="106">
        <f>IFERROR(AVERAGE('1. Rates'!O27:S27),0)</f>
        <v>3.7331187083333335</v>
      </c>
      <c r="J24" s="116">
        <v>115652.62720632897</v>
      </c>
      <c r="K24" s="116">
        <v>15345.726499999995</v>
      </c>
      <c r="L24" s="107">
        <f t="shared" si="1"/>
        <v>100306.90070632898</v>
      </c>
      <c r="M24" s="108" t="e">
        <f t="shared" si="2"/>
        <v>#DIV/0!</v>
      </c>
      <c r="N24" s="109">
        <f>IF(T24="",(IFERROR(AVERAGE('1. Rates'!AA27:AE27),0)),T24)</f>
        <v>3.5202555054761899</v>
      </c>
      <c r="O24" s="107">
        <f t="shared" si="3"/>
        <v>115652.62720632897</v>
      </c>
      <c r="P24" s="107">
        <f t="shared" si="4"/>
        <v>15212.334749999993</v>
      </c>
      <c r="Q24" s="107">
        <f t="shared" si="5"/>
        <v>100440.29245632897</v>
      </c>
      <c r="R24" s="110"/>
      <c r="S24" s="117"/>
      <c r="T24" s="118">
        <v>3.5202555054761899</v>
      </c>
      <c r="U24" s="116"/>
      <c r="V24" s="116"/>
      <c r="W24" s="116"/>
    </row>
    <row r="25" spans="2:24" x14ac:dyDescent="0.3">
      <c r="B25" s="105">
        <v>16</v>
      </c>
      <c r="C25" s="115"/>
      <c r="D25" s="106">
        <f>IFERROR(AVERAGE('1. Rates'!C28:G28),0)</f>
        <v>3.9959631966666671</v>
      </c>
      <c r="E25" s="116"/>
      <c r="F25" s="116">
        <v>15320.38699999999</v>
      </c>
      <c r="G25" s="107">
        <f t="shared" si="0"/>
        <v>-15320.38699999999</v>
      </c>
      <c r="H25" s="115"/>
      <c r="I25" s="106">
        <f>IFERROR(AVERAGE('1. Rates'!O28:S28),0)</f>
        <v>3.5782836283333332</v>
      </c>
      <c r="J25" s="116">
        <v>115338.51355052638</v>
      </c>
      <c r="K25" s="116">
        <v>15645.280499999995</v>
      </c>
      <c r="L25" s="107">
        <f t="shared" si="1"/>
        <v>99693.233050526382</v>
      </c>
      <c r="M25" s="108" t="e">
        <f t="shared" si="2"/>
        <v>#DIV/0!</v>
      </c>
      <c r="N25" s="109">
        <f>IF(T25="",(IFERROR(AVERAGE('1. Rates'!AA28:AE28),0)),T25)</f>
        <v>3.7589928445238097</v>
      </c>
      <c r="O25" s="107">
        <f t="shared" si="3"/>
        <v>115338.51355052638</v>
      </c>
      <c r="P25" s="107">
        <f t="shared" si="4"/>
        <v>15482.833749999993</v>
      </c>
      <c r="Q25" s="107">
        <f t="shared" si="5"/>
        <v>99855.679800526384</v>
      </c>
      <c r="R25" s="110"/>
      <c r="S25" s="117"/>
      <c r="T25" s="118">
        <v>3.7589928445238097</v>
      </c>
      <c r="U25" s="116"/>
      <c r="V25" s="116"/>
      <c r="W25" s="116"/>
    </row>
    <row r="26" spans="2:24" x14ac:dyDescent="0.3">
      <c r="B26" s="105">
        <v>17</v>
      </c>
      <c r="C26" s="115"/>
      <c r="D26" s="106">
        <f>IFERROR(AVERAGE('1. Rates'!C29:G29),0)</f>
        <v>3.8327921733333334</v>
      </c>
      <c r="E26" s="116"/>
      <c r="F26" s="116">
        <v>15787.733999999999</v>
      </c>
      <c r="G26" s="107">
        <f t="shared" si="0"/>
        <v>-15787.733999999999</v>
      </c>
      <c r="H26" s="115"/>
      <c r="I26" s="106">
        <f>IFERROR(AVERAGE('1. Rates'!O29:S29),0)</f>
        <v>4.6436648416666664</v>
      </c>
      <c r="J26" s="116">
        <v>110969.11839188177</v>
      </c>
      <c r="K26" s="116">
        <v>15896.075999999997</v>
      </c>
      <c r="L26" s="107">
        <f t="shared" si="1"/>
        <v>95073.042391881769</v>
      </c>
      <c r="M26" s="108" t="e">
        <f t="shared" si="2"/>
        <v>#DIV/0!</v>
      </c>
      <c r="N26" s="109">
        <f>IF(T26="",(IFERROR(AVERAGE('1. Rates'!AA29:AE29),0)),T26)</f>
        <v>3.8529002795238094</v>
      </c>
      <c r="O26" s="107">
        <f t="shared" si="3"/>
        <v>110969.11839188177</v>
      </c>
      <c r="P26" s="107">
        <f t="shared" si="4"/>
        <v>15841.904999999999</v>
      </c>
      <c r="Q26" s="107">
        <f t="shared" si="5"/>
        <v>95127.213391881771</v>
      </c>
      <c r="R26" s="110"/>
      <c r="S26" s="117"/>
      <c r="T26" s="118">
        <v>3.8529002795238094</v>
      </c>
      <c r="U26" s="116"/>
      <c r="V26" s="116"/>
      <c r="W26" s="116"/>
    </row>
    <row r="27" spans="2:24" x14ac:dyDescent="0.3">
      <c r="B27" s="105">
        <v>18</v>
      </c>
      <c r="C27" s="115"/>
      <c r="D27" s="106">
        <f>IFERROR(AVERAGE('1. Rates'!C30:G30),0)</f>
        <v>4.1688476766666662</v>
      </c>
      <c r="E27" s="116"/>
      <c r="F27" s="116">
        <v>15613.687999999996</v>
      </c>
      <c r="G27" s="107">
        <f t="shared" si="0"/>
        <v>-15613.687999999996</v>
      </c>
      <c r="H27" s="115"/>
      <c r="I27" s="106">
        <f>IFERROR(AVERAGE('1. Rates'!O30:S30),0)</f>
        <v>5.2820436300000004</v>
      </c>
      <c r="J27" s="116">
        <v>104126.44579715612</v>
      </c>
      <c r="K27" s="116">
        <v>15794.36249999999</v>
      </c>
      <c r="L27" s="107">
        <f t="shared" si="1"/>
        <v>88332.083297156132</v>
      </c>
      <c r="M27" s="108" t="e">
        <f t="shared" si="2"/>
        <v>#DIV/0!</v>
      </c>
      <c r="N27" s="109">
        <f>IF(T27="",(IFERROR(AVERAGE('1. Rates'!AA30:AE30),0)),T27)</f>
        <v>4.5354405864285718</v>
      </c>
      <c r="O27" s="107">
        <f t="shared" si="3"/>
        <v>104126.44579715612</v>
      </c>
      <c r="P27" s="107">
        <f t="shared" si="4"/>
        <v>15704.025249999993</v>
      </c>
      <c r="Q27" s="107">
        <f t="shared" si="5"/>
        <v>88422.420547156129</v>
      </c>
      <c r="S27" s="117"/>
      <c r="T27" s="118">
        <v>4.5354405864285718</v>
      </c>
      <c r="U27" s="116"/>
      <c r="V27" s="116"/>
      <c r="W27" s="116"/>
    </row>
    <row r="28" spans="2:24" x14ac:dyDescent="0.3">
      <c r="B28" s="105">
        <v>19</v>
      </c>
      <c r="C28" s="115"/>
      <c r="D28" s="106">
        <f>IFERROR(AVERAGE('1. Rates'!C31:G31),0)</f>
        <v>5.6561967933333337</v>
      </c>
      <c r="E28" s="116"/>
      <c r="F28" s="116">
        <v>14597.855</v>
      </c>
      <c r="G28" s="107">
        <f t="shared" si="0"/>
        <v>-14597.855</v>
      </c>
      <c r="H28" s="115"/>
      <c r="I28" s="106">
        <f>IFERROR(AVERAGE('1. Rates'!O31:S31),0)</f>
        <v>4.7195053950000005</v>
      </c>
      <c r="J28" s="116">
        <v>103329.78747167872</v>
      </c>
      <c r="K28" s="116">
        <v>15242.719999999994</v>
      </c>
      <c r="L28" s="107">
        <f t="shared" si="1"/>
        <v>88087.067471678718</v>
      </c>
      <c r="M28" s="108" t="e">
        <f t="shared" si="2"/>
        <v>#DIV/0!</v>
      </c>
      <c r="N28" s="109">
        <f>IF(T28="",(IFERROR(AVERAGE('1. Rates'!AA31:AE31),0)),T28)</f>
        <v>4.3646456283333332</v>
      </c>
      <c r="O28" s="107">
        <f t="shared" si="3"/>
        <v>103329.78747167872</v>
      </c>
      <c r="P28" s="107">
        <f t="shared" si="4"/>
        <v>14920.287499999997</v>
      </c>
      <c r="Q28" s="107">
        <f t="shared" si="5"/>
        <v>88409.499971678728</v>
      </c>
      <c r="S28" s="117"/>
      <c r="T28" s="118">
        <v>4.3646456283333332</v>
      </c>
      <c r="U28" s="116"/>
      <c r="V28" s="116"/>
      <c r="W28" s="116"/>
    </row>
    <row r="29" spans="2:24" x14ac:dyDescent="0.3">
      <c r="B29" s="105">
        <v>20</v>
      </c>
      <c r="C29" s="115"/>
      <c r="D29" s="106">
        <f>IFERROR(AVERAGE('1. Rates'!C32:G32),0)</f>
        <v>3.8650127466666668</v>
      </c>
      <c r="E29" s="116"/>
      <c r="F29" s="116">
        <v>13497.847</v>
      </c>
      <c r="G29" s="107">
        <f t="shared" si="0"/>
        <v>-13497.847</v>
      </c>
      <c r="H29" s="115"/>
      <c r="I29" s="106">
        <f>IFERROR(AVERAGE('1. Rates'!O32:S32),0)</f>
        <v>3.8616583933333333</v>
      </c>
      <c r="J29" s="116">
        <v>97391.708733461855</v>
      </c>
      <c r="K29" s="116">
        <v>13508.240999999998</v>
      </c>
      <c r="L29" s="107">
        <f t="shared" si="1"/>
        <v>83883.467733461861</v>
      </c>
      <c r="M29" s="108" t="e">
        <f t="shared" si="2"/>
        <v>#DIV/0!</v>
      </c>
      <c r="N29" s="109">
        <f>IF(T29="",(IFERROR(AVERAGE('1. Rates'!AA32:AE32),0)),T29)</f>
        <v>3.6416085673809522</v>
      </c>
      <c r="O29" s="107">
        <f t="shared" si="3"/>
        <v>97391.708733461855</v>
      </c>
      <c r="P29" s="107">
        <f t="shared" si="4"/>
        <v>13503.043999999998</v>
      </c>
      <c r="Q29" s="107">
        <f t="shared" si="5"/>
        <v>83888.664733461861</v>
      </c>
      <c r="S29" s="117"/>
      <c r="T29" s="118">
        <v>3.6416085673809522</v>
      </c>
      <c r="U29" s="116"/>
      <c r="V29" s="116"/>
      <c r="W29" s="116"/>
    </row>
    <row r="30" spans="2:24" x14ac:dyDescent="0.3">
      <c r="B30" s="105">
        <v>21</v>
      </c>
      <c r="C30" s="115"/>
      <c r="D30" s="106">
        <f>IFERROR(AVERAGE('1. Rates'!C33:G33),0)</f>
        <v>3.9685398266666665</v>
      </c>
      <c r="E30" s="116"/>
      <c r="F30" s="116">
        <v>11821.516</v>
      </c>
      <c r="G30" s="107">
        <f t="shared" si="0"/>
        <v>-11821.516</v>
      </c>
      <c r="H30" s="115"/>
      <c r="I30" s="106">
        <f>IFERROR(AVERAGE('1. Rates'!O33:S33),0)</f>
        <v>4.8103219616666664</v>
      </c>
      <c r="J30" s="116">
        <v>94569.080657465325</v>
      </c>
      <c r="K30" s="116">
        <v>11749.593999999999</v>
      </c>
      <c r="L30" s="107">
        <f t="shared" si="1"/>
        <v>82819.486657465328</v>
      </c>
      <c r="M30" s="108" t="e">
        <f t="shared" si="2"/>
        <v>#DIV/0!</v>
      </c>
      <c r="N30" s="109">
        <f>IF(T30="",(IFERROR(AVERAGE('1. Rates'!AA33:AE33),0)),T30)</f>
        <v>3.7785735314285711</v>
      </c>
      <c r="O30" s="107">
        <f t="shared" si="3"/>
        <v>94569.080657465325</v>
      </c>
      <c r="P30" s="107">
        <f t="shared" si="4"/>
        <v>11785.555</v>
      </c>
      <c r="Q30" s="107">
        <f t="shared" si="5"/>
        <v>82783.525657465332</v>
      </c>
      <c r="S30" s="117"/>
      <c r="T30" s="118">
        <v>3.7785735314285711</v>
      </c>
      <c r="U30" s="116"/>
      <c r="V30" s="116"/>
      <c r="W30" s="116"/>
    </row>
    <row r="31" spans="2:24" x14ac:dyDescent="0.3">
      <c r="B31" s="105">
        <v>22</v>
      </c>
      <c r="C31" s="115"/>
      <c r="D31" s="106">
        <f>IFERROR(AVERAGE('1. Rates'!C34:G34),0)</f>
        <v>7.4844983216666678</v>
      </c>
      <c r="E31" s="116"/>
      <c r="F31" s="116">
        <v>8101.3099999999995</v>
      </c>
      <c r="G31" s="107">
        <f t="shared" si="0"/>
        <v>-8101.3099999999995</v>
      </c>
      <c r="H31" s="115"/>
      <c r="I31" s="106">
        <f>IFERROR(AVERAGE('1. Rates'!O34:S34),0)</f>
        <v>3.4635083700000004</v>
      </c>
      <c r="J31" s="116">
        <v>88841.263680646371</v>
      </c>
      <c r="K31" s="116">
        <v>8928.9679999999989</v>
      </c>
      <c r="L31" s="107">
        <f t="shared" si="1"/>
        <v>79912.295680646377</v>
      </c>
      <c r="M31" s="108" t="e">
        <f t="shared" si="2"/>
        <v>#DIV/0!</v>
      </c>
      <c r="N31" s="109">
        <f>IF(T31="",(IFERROR(AVERAGE('1. Rates'!AA34:AE34),0)),T31)</f>
        <v>3.5065381597619054</v>
      </c>
      <c r="O31" s="107">
        <f t="shared" si="3"/>
        <v>88841.263680646371</v>
      </c>
      <c r="P31" s="107">
        <f t="shared" si="4"/>
        <v>8515.1389999999992</v>
      </c>
      <c r="Q31" s="107">
        <f t="shared" si="5"/>
        <v>80326.124680646375</v>
      </c>
      <c r="S31" s="117"/>
      <c r="T31" s="118">
        <v>3.5065381597619054</v>
      </c>
      <c r="U31" s="116"/>
      <c r="V31" s="116"/>
      <c r="W31" s="116"/>
    </row>
    <row r="32" spans="2:24" x14ac:dyDescent="0.3">
      <c r="B32" s="105">
        <v>23</v>
      </c>
      <c r="C32" s="115"/>
      <c r="D32" s="106">
        <f>IFERROR(AVERAGE('1. Rates'!C35:G35),0)</f>
        <v>5.1319654133333339</v>
      </c>
      <c r="E32" s="116"/>
      <c r="F32" s="116">
        <v>6261.9199999999983</v>
      </c>
      <c r="G32" s="107">
        <f t="shared" si="0"/>
        <v>-6261.9199999999983</v>
      </c>
      <c r="H32" s="115"/>
      <c r="I32" s="106">
        <f>IFERROR(AVERAGE('1. Rates'!O35:S35),0)</f>
        <v>3.3850319799999999</v>
      </c>
      <c r="J32" s="116">
        <v>82961.811814918517</v>
      </c>
      <c r="K32" s="116">
        <v>6127.4390000000003</v>
      </c>
      <c r="L32" s="107">
        <f t="shared" si="1"/>
        <v>76834.372814918519</v>
      </c>
      <c r="M32" s="108" t="e">
        <f t="shared" si="2"/>
        <v>#DIV/0!</v>
      </c>
      <c r="N32" s="109">
        <f>IF(T32="",(IFERROR(AVERAGE('1. Rates'!AA35:AE35),0)),T32)</f>
        <v>3.3495737466666666</v>
      </c>
      <c r="O32" s="107">
        <f t="shared" si="3"/>
        <v>82961.811814918517</v>
      </c>
      <c r="P32" s="107">
        <f t="shared" si="4"/>
        <v>6194.6794999999993</v>
      </c>
      <c r="Q32" s="107">
        <f t="shared" si="5"/>
        <v>76767.132314918519</v>
      </c>
      <c r="S32" s="117"/>
      <c r="T32" s="118">
        <v>3.3495737466666666</v>
      </c>
      <c r="U32" s="116"/>
      <c r="V32" s="116"/>
      <c r="W32" s="116"/>
    </row>
    <row r="33" spans="2:24" x14ac:dyDescent="0.3">
      <c r="B33" s="105">
        <v>24</v>
      </c>
      <c r="C33" s="115"/>
      <c r="D33" s="106">
        <f>IFERROR(AVERAGE('1. Rates'!C36:G36),0)</f>
        <v>3.8397008216666664</v>
      </c>
      <c r="E33" s="116"/>
      <c r="F33" s="116">
        <v>5710.3049999999985</v>
      </c>
      <c r="G33" s="107">
        <f t="shared" si="0"/>
        <v>-5710.3049999999985</v>
      </c>
      <c r="H33" s="115"/>
      <c r="I33" s="106">
        <f>IFERROR(AVERAGE('1. Rates'!O36:S36),0)</f>
        <v>2.9521873999999997</v>
      </c>
      <c r="J33" s="116">
        <v>78646.160010168867</v>
      </c>
      <c r="K33" s="116">
        <v>5672.8039999999983</v>
      </c>
      <c r="L33" s="107">
        <f t="shared" si="1"/>
        <v>72973.356010168864</v>
      </c>
      <c r="M33" s="108" t="e">
        <f t="shared" si="2"/>
        <v>#DIV/0!</v>
      </c>
      <c r="N33" s="109">
        <f>IF(T33="",(IFERROR(AVERAGE('1. Rates'!AA36:AE36),0)),T33)</f>
        <v>2.8369945430952379</v>
      </c>
      <c r="O33" s="107">
        <f t="shared" si="3"/>
        <v>78646.160010168867</v>
      </c>
      <c r="P33" s="107">
        <f t="shared" si="4"/>
        <v>5691.5544999999984</v>
      </c>
      <c r="Q33" s="107">
        <f t="shared" si="5"/>
        <v>72954.605510168869</v>
      </c>
      <c r="S33" s="117"/>
      <c r="T33" s="118">
        <v>2.8369945430952379</v>
      </c>
      <c r="U33" s="116"/>
      <c r="V33" s="116"/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2.6686039433333333</v>
      </c>
      <c r="E34" s="114">
        <f t="shared" si="6"/>
        <v>0</v>
      </c>
      <c r="F34" s="114">
        <f t="shared" si="6"/>
        <v>5210.6269999999986</v>
      </c>
      <c r="G34" s="114">
        <f t="shared" ref="G34:K34" si="7">MIN(G10:G33)</f>
        <v>-15897.727999999999</v>
      </c>
      <c r="H34" s="112">
        <f t="shared" si="7"/>
        <v>0</v>
      </c>
      <c r="I34" s="113">
        <f t="shared" si="7"/>
        <v>1.7761938416666667</v>
      </c>
      <c r="J34" s="114">
        <f t="shared" si="7"/>
        <v>64537.612427869361</v>
      </c>
      <c r="K34" s="114">
        <f t="shared" si="7"/>
        <v>5335.4441945005701</v>
      </c>
      <c r="L34" s="114">
        <f t="shared" ref="L34:Q34" si="8">MIN(L10:L33)</f>
        <v>59182.628988775701</v>
      </c>
      <c r="M34" s="112" t="e">
        <f t="shared" si="8"/>
        <v>#DIV/0!</v>
      </c>
      <c r="N34" s="113">
        <f t="shared" si="8"/>
        <v>1.8851294004761903</v>
      </c>
      <c r="O34" s="114">
        <f t="shared" si="8"/>
        <v>64537.612427869361</v>
      </c>
      <c r="P34" s="114">
        <f t="shared" si="8"/>
        <v>5282.8052195468281</v>
      </c>
      <c r="Q34" s="114">
        <f t="shared" si="8"/>
        <v>59254.807208322534</v>
      </c>
      <c r="S34" s="112">
        <f>MIN(S10:S33)</f>
        <v>0</v>
      </c>
      <c r="T34" s="113">
        <f t="shared" ref="T34:W34" si="9">MIN(T10:T33)</f>
        <v>1.8851294004761903</v>
      </c>
      <c r="U34" s="114">
        <f t="shared" si="9"/>
        <v>0</v>
      </c>
      <c r="V34" s="114">
        <f t="shared" si="9"/>
        <v>0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3.7582799254861108</v>
      </c>
      <c r="E35" s="114" t="e">
        <f t="shared" si="10"/>
        <v>#DIV/0!</v>
      </c>
      <c r="F35" s="114">
        <f t="shared" si="10"/>
        <v>10570.839458333334</v>
      </c>
      <c r="G35" s="114">
        <f t="shared" ref="G35:K35" si="12">AVERAGE(G10:G33)</f>
        <v>-10570.839458333334</v>
      </c>
      <c r="H35" s="112" t="e">
        <f t="shared" si="12"/>
        <v>#DIV/0!</v>
      </c>
      <c r="I35" s="113">
        <f t="shared" si="12"/>
        <v>3.433734526805555</v>
      </c>
      <c r="J35" s="114">
        <f t="shared" si="12"/>
        <v>90907.687362386656</v>
      </c>
      <c r="K35" s="114">
        <f t="shared" si="12"/>
        <v>10691.316912880839</v>
      </c>
      <c r="L35" s="114">
        <f t="shared" ref="L35:Q35" si="13">AVERAGE(L10:L33)</f>
        <v>80216.370449505805</v>
      </c>
      <c r="M35" s="112" t="e">
        <f t="shared" si="13"/>
        <v>#DIV/0!</v>
      </c>
      <c r="N35" s="113">
        <f t="shared" si="13"/>
        <v>3.216499525218254</v>
      </c>
      <c r="O35" s="114">
        <f t="shared" si="13"/>
        <v>90907.687362386656</v>
      </c>
      <c r="P35" s="114">
        <f t="shared" si="13"/>
        <v>10631.078185607083</v>
      </c>
      <c r="Q35" s="114">
        <f t="shared" si="13"/>
        <v>80276.609176779573</v>
      </c>
      <c r="S35" s="112" t="str">
        <f>IFERROR(AVERAGE(S10:S33),"")</f>
        <v/>
      </c>
      <c r="T35" s="113">
        <f>IFERROR(AVERAGE(T10:T33),"")</f>
        <v>3.216499525218254</v>
      </c>
      <c r="U35" s="114" t="str">
        <f>IFERROR(AVERAGE(U10:U33),"")</f>
        <v/>
      </c>
      <c r="V35" s="114" t="str">
        <f t="shared" ref="V35:W35" si="14">IFERROR(AVERAGE(V10:V33),"")</f>
        <v/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7.4844983216666678</v>
      </c>
      <c r="E36" s="114">
        <f t="shared" si="15"/>
        <v>0</v>
      </c>
      <c r="F36" s="114">
        <f t="shared" si="15"/>
        <v>15897.727999999999</v>
      </c>
      <c r="G36" s="114">
        <f t="shared" ref="G36:K36" si="17">MAX(G10:G33)</f>
        <v>-5210.6269999999986</v>
      </c>
      <c r="H36" s="112">
        <f t="shared" si="17"/>
        <v>0</v>
      </c>
      <c r="I36" s="113">
        <f t="shared" si="17"/>
        <v>5.868839883333334</v>
      </c>
      <c r="J36" s="114">
        <f t="shared" si="17"/>
        <v>115652.62720632897</v>
      </c>
      <c r="K36" s="114">
        <f t="shared" si="17"/>
        <v>15896.075999999997</v>
      </c>
      <c r="L36" s="114">
        <f t="shared" ref="L36:Q36" si="18">MAX(L10:L33)</f>
        <v>100306.90070632898</v>
      </c>
      <c r="M36" s="112" t="e">
        <f t="shared" si="18"/>
        <v>#DIV/0!</v>
      </c>
      <c r="N36" s="113">
        <f t="shared" si="18"/>
        <v>4.5354405864285718</v>
      </c>
      <c r="O36" s="114">
        <f t="shared" si="18"/>
        <v>115652.62720632897</v>
      </c>
      <c r="P36" s="114">
        <f t="shared" si="18"/>
        <v>15841.904999999999</v>
      </c>
      <c r="Q36" s="114">
        <f t="shared" si="18"/>
        <v>100440.29245632897</v>
      </c>
      <c r="S36" s="112">
        <f t="shared" ref="S36:W36" si="19">MAX(S10:S33)</f>
        <v>0</v>
      </c>
      <c r="T36" s="113">
        <f t="shared" si="19"/>
        <v>4.5354405864285718</v>
      </c>
      <c r="U36" s="114">
        <f t="shared" si="19"/>
        <v>0</v>
      </c>
      <c r="V36" s="114">
        <f t="shared" si="19"/>
        <v>0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0</v>
      </c>
      <c r="F37" s="114">
        <f t="shared" ref="F37" si="20">SUM(F10:F33)</f>
        <v>253700.147</v>
      </c>
      <c r="G37" s="114">
        <f t="shared" ref="G37" si="21">SUM(G10:G33)</f>
        <v>-253700.147</v>
      </c>
      <c r="H37" s="112"/>
      <c r="I37" s="112"/>
      <c r="J37" s="114">
        <f t="shared" ref="J37:L37" si="22">SUM(J10:J33)</f>
        <v>2181784.4966972796</v>
      </c>
      <c r="K37" s="114">
        <f t="shared" si="22"/>
        <v>256591.60590914011</v>
      </c>
      <c r="L37" s="114">
        <f t="shared" si="22"/>
        <v>1925192.8907881393</v>
      </c>
      <c r="M37" s="112"/>
      <c r="N37" s="112"/>
      <c r="O37" s="114">
        <f t="shared" ref="O37:P37" si="23">SUM(O10:O33)</f>
        <v>2181784.4966972796</v>
      </c>
      <c r="P37" s="114">
        <f t="shared" si="23"/>
        <v>255145.87645456998</v>
      </c>
      <c r="Q37" s="114">
        <f>SUM(Q10:Q33)</f>
        <v>1926638.6202427098</v>
      </c>
      <c r="S37" s="112"/>
      <c r="T37" s="112"/>
      <c r="U37" s="114">
        <f t="shared" ref="U37:W37" si="24">SUM(U10:U33)</f>
        <v>0</v>
      </c>
      <c r="V37" s="114">
        <f t="shared" si="24"/>
        <v>0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S7:W7"/>
    <mergeCell ref="S8:W8"/>
    <mergeCell ref="C2:E2"/>
    <mergeCell ref="H8:L8"/>
    <mergeCell ref="M8:Q8"/>
    <mergeCell ref="B7:B9"/>
    <mergeCell ref="C8:G8"/>
    <mergeCell ref="C7:G7"/>
    <mergeCell ref="H7:L7"/>
    <mergeCell ref="M7:Q7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84" zoomScaleNormal="84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R27" sqref="R27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4.9148122384121402</v>
      </c>
      <c r="P2" s="4" t="s">
        <v>124</v>
      </c>
      <c r="R2" s="59">
        <f>'4.Projected'!BX29</f>
        <v>5.3326325040424676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71" t="s">
        <v>130</v>
      </c>
      <c r="O4" s="171"/>
      <c r="P4" s="171"/>
      <c r="Q4" s="171"/>
      <c r="R4" s="171"/>
      <c r="S4" s="171"/>
      <c r="T4" s="171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72116.992711331462</v>
      </c>
      <c r="D6" s="53">
        <f>'2. Energy'!P10</f>
        <v>5485.085275756529</v>
      </c>
      <c r="E6" s="53">
        <f>'2. Energy'!Q10</f>
        <v>66631.907435574933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44131.907435574933</v>
      </c>
      <c r="N6" s="119">
        <v>10000</v>
      </c>
      <c r="O6" s="119">
        <v>2500</v>
      </c>
      <c r="P6" s="119">
        <v>5000</v>
      </c>
      <c r="Q6" s="119">
        <v>5000</v>
      </c>
      <c r="R6" s="119">
        <v>0</v>
      </c>
      <c r="S6" s="119">
        <v>0</v>
      </c>
      <c r="T6" s="119"/>
      <c r="U6" s="53">
        <f>'2. Energy'!N10*(1+'1. Rates'!$J$60)</f>
        <v>2.9724763218125716</v>
      </c>
      <c r="V6" s="53">
        <f>(SUM('4.Projected'!W5:AC5)+SUM('4.Projected'!AF5:AK5))/(SUM('4.Projected'!F5:K5))</f>
        <v>4.2000355959605411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0</v>
      </c>
      <c r="AB6" s="53">
        <f t="shared" si="0"/>
        <v>0</v>
      </c>
      <c r="AC6" s="53">
        <f t="shared" si="0"/>
        <v>0</v>
      </c>
      <c r="AD6" s="53">
        <f>E6-(W6+X6+Y6+Z6+AA6+AB6+AC6)</f>
        <v>44131.907435574933</v>
      </c>
    </row>
    <row r="7" spans="2:30" ht="18" customHeight="1" x14ac:dyDescent="0.3">
      <c r="B7" s="14">
        <v>2</v>
      </c>
      <c r="C7" s="53">
        <f>'2. Energy'!O11</f>
        <v>68834.868830708336</v>
      </c>
      <c r="D7" s="53">
        <f>'2. Energy'!P11</f>
        <v>5430.4371385139293</v>
      </c>
      <c r="E7" s="53">
        <f>'2. Energy'!Q11</f>
        <v>63404.431692194405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40904.431692194405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2.8777858574508799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40904.431692194405</v>
      </c>
    </row>
    <row r="8" spans="2:30" ht="18" customHeight="1" x14ac:dyDescent="0.3">
      <c r="B8" s="14">
        <v>3</v>
      </c>
      <c r="C8" s="53">
        <f>'2. Energy'!O12</f>
        <v>66266.709147016329</v>
      </c>
      <c r="D8" s="53">
        <f>'2. Energy'!P12</f>
        <v>5378.2250747143653</v>
      </c>
      <c r="E8" s="53">
        <f>'2. Energy'!Q12</f>
        <v>60888.484072301966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38388.484072301966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2.0437926086319402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38388.484072301966</v>
      </c>
    </row>
    <row r="9" spans="2:30" ht="18" customHeight="1" x14ac:dyDescent="0.3">
      <c r="B9" s="14">
        <v>4</v>
      </c>
      <c r="C9" s="53">
        <f>'2. Energy'!O13</f>
        <v>64537.612427869361</v>
      </c>
      <c r="D9" s="53">
        <f>'2. Energy'!P13</f>
        <v>5282.8052195468281</v>
      </c>
      <c r="E9" s="53">
        <f>'2. Energy'!Q13</f>
        <v>59254.807208322534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36754.807208322534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2.2750956309325296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36754.807208322534</v>
      </c>
    </row>
    <row r="10" spans="2:30" ht="18" customHeight="1" x14ac:dyDescent="0.3">
      <c r="B10" s="14">
        <v>5</v>
      </c>
      <c r="C10" s="53">
        <f>'2. Energy'!O14</f>
        <v>64751.013059891571</v>
      </c>
      <c r="D10" s="53">
        <f>'2. Energy'!P14</f>
        <v>5353.8580972502841</v>
      </c>
      <c r="E10" s="53">
        <f>'2. Energy'!Q14</f>
        <v>59397.154962641289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36897.154962641289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3.1917007024827333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36897.154962641289</v>
      </c>
    </row>
    <row r="11" spans="2:30" ht="18" customHeight="1" x14ac:dyDescent="0.3">
      <c r="B11" s="14">
        <v>6</v>
      </c>
      <c r="C11" s="53">
        <f>'2. Energy'!O15</f>
        <v>67486.728218519987</v>
      </c>
      <c r="D11" s="53">
        <f>'2. Energy'!P15</f>
        <v>5482.4266290499982</v>
      </c>
      <c r="E11" s="53">
        <f>'2. Energy'!Q15</f>
        <v>62004.301589469993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39504.301589469993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10000</v>
      </c>
      <c r="S11" s="119">
        <v>0</v>
      </c>
      <c r="T11" s="119"/>
      <c r="U11" s="53">
        <f>'2. Energy'!N15*(1+'1. Rates'!$J$60)</f>
        <v>3.5256527174807051</v>
      </c>
      <c r="V11" s="53">
        <f>(SUM('4.Projected'!W10:AC10)+SUM('4.Projected'!AF10:AK10))/(SUM('4.Projected'!F10:K10))</f>
        <v>4.8096861818188366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10000</v>
      </c>
      <c r="AB11" s="53">
        <f t="shared" si="7"/>
        <v>0</v>
      </c>
      <c r="AC11" s="53">
        <f t="shared" si="8"/>
        <v>0</v>
      </c>
      <c r="AD11" s="53">
        <f t="shared" si="9"/>
        <v>29504.301589469993</v>
      </c>
    </row>
    <row r="12" spans="2:30" ht="18" customHeight="1" x14ac:dyDescent="0.3">
      <c r="B12" s="14">
        <v>7</v>
      </c>
      <c r="C12" s="53">
        <f>'2. Energy'!O16</f>
        <v>70564.928531504382</v>
      </c>
      <c r="D12" s="53">
        <f>'2. Energy'!P16</f>
        <v>6217.4409852499994</v>
      </c>
      <c r="E12" s="53">
        <f>'2. Energy'!Q16</f>
        <v>64347.487546254386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41847.487546254386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10000</v>
      </c>
      <c r="S12" s="119">
        <v>0</v>
      </c>
      <c r="T12" s="119"/>
      <c r="U12" s="53">
        <f>'2. Energy'!N16*(1+'1. Rates'!$J$60)</f>
        <v>3.1282290136107935</v>
      </c>
      <c r="V12" s="53">
        <f>(SUM('4.Projected'!W11:AC11)+SUM('4.Projected'!AF11:AK11))/(SUM('4.Projected'!F11:K11))</f>
        <v>4.8096861818188366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10000</v>
      </c>
      <c r="AB12" s="53">
        <f t="shared" si="7"/>
        <v>0</v>
      </c>
      <c r="AC12" s="53">
        <f t="shared" si="8"/>
        <v>0</v>
      </c>
      <c r="AD12" s="53">
        <f t="shared" si="9"/>
        <v>31847.487546254386</v>
      </c>
    </row>
    <row r="13" spans="2:30" ht="18" customHeight="1" x14ac:dyDescent="0.3">
      <c r="B13" s="14">
        <v>8</v>
      </c>
      <c r="C13" s="53">
        <f>'2. Energy'!O17</f>
        <v>75225.115852124349</v>
      </c>
      <c r="D13" s="53">
        <f>'2. Energy'!P17</f>
        <v>7257.2223106629363</v>
      </c>
      <c r="E13" s="53">
        <f>'2. Energy'!Q17</f>
        <v>67967.89354146141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45467.89354146141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20000</v>
      </c>
      <c r="S13" s="119">
        <v>0</v>
      </c>
      <c r="T13" s="119"/>
      <c r="U13" s="53">
        <f>'2. Energy'!N17*(1+'1. Rates'!$J$60)</f>
        <v>3.258331633899592</v>
      </c>
      <c r="V13" s="53">
        <f>(SUM('4.Projected'!W12:AC12)+SUM('4.Projected'!AF12:AK12))/(SUM('4.Projected'!F12:K12))</f>
        <v>5.1324423743320509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20000</v>
      </c>
      <c r="AB13" s="53">
        <f t="shared" si="7"/>
        <v>0</v>
      </c>
      <c r="AC13" s="53">
        <f t="shared" si="8"/>
        <v>0</v>
      </c>
      <c r="AD13" s="53">
        <f t="shared" si="9"/>
        <v>25467.89354146141</v>
      </c>
    </row>
    <row r="14" spans="2:30" ht="18" customHeight="1" x14ac:dyDescent="0.3">
      <c r="B14" s="14">
        <v>9</v>
      </c>
      <c r="C14" s="53">
        <f>'2. Energy'!O18</f>
        <v>90567.640345724882</v>
      </c>
      <c r="D14" s="53">
        <f>'2. Energy'!P18</f>
        <v>9154.39049102032</v>
      </c>
      <c r="E14" s="53">
        <f>'2. Energy'!Q18</f>
        <v>81413.249854704569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58913.249854704569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3.400110746241114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38913.249854704569</v>
      </c>
    </row>
    <row r="15" spans="2:30" ht="18" customHeight="1" x14ac:dyDescent="0.3">
      <c r="B15" s="14">
        <v>10</v>
      </c>
      <c r="C15" s="53">
        <f>'2. Energy'!O19</f>
        <v>103835.52524227854</v>
      </c>
      <c r="D15" s="53">
        <f>'2. Energy'!P19</f>
        <v>15018.716011573242</v>
      </c>
      <c r="E15" s="53">
        <f>'2. Energy'!Q19</f>
        <v>88816.809230705301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66316.809230705301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10000</v>
      </c>
      <c r="T15" s="119"/>
      <c r="U15" s="53">
        <f>'2. Energy'!N19*(1+'1. Rates'!$J$60)</f>
        <v>3.5602158529341481</v>
      </c>
      <c r="V15" s="53">
        <f>(SUM('4.Projected'!W14:AC14)+SUM('4.Projected'!AF14:AK14))/(SUM('4.Projected'!F14:K14))</f>
        <v>4.895147360982989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10000</v>
      </c>
      <c r="AC15" s="53">
        <f t="shared" si="8"/>
        <v>0</v>
      </c>
      <c r="AD15" s="53">
        <f t="shared" si="9"/>
        <v>36316.809230705301</v>
      </c>
    </row>
    <row r="16" spans="2:30" ht="18" customHeight="1" x14ac:dyDescent="0.3">
      <c r="B16" s="14">
        <v>11</v>
      </c>
      <c r="C16" s="53">
        <f>'2. Energy'!O20</f>
        <v>109758.54314001382</v>
      </c>
      <c r="D16" s="53">
        <f>'2. Energy'!P20</f>
        <v>15803.763027499999</v>
      </c>
      <c r="E16" s="53">
        <f>'2. Energy'!Q20</f>
        <v>93954.780112513821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71454.780112513821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10000</v>
      </c>
      <c r="T16" s="119"/>
      <c r="U16" s="53">
        <f>'2. Energy'!N20*(1+'1. Rates'!$J$60)</f>
        <v>3.5604740183391872</v>
      </c>
      <c r="V16" s="53">
        <f>(SUM('4.Projected'!W15:AC15)+SUM('4.Projected'!AF15:AK15))/(SUM('4.Projected'!F15:K15))</f>
        <v>4.895147360982989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10000</v>
      </c>
      <c r="AC16" s="53">
        <f t="shared" si="8"/>
        <v>0</v>
      </c>
      <c r="AD16" s="53">
        <f t="shared" si="9"/>
        <v>41454.780112513821</v>
      </c>
    </row>
    <row r="17" spans="2:30" ht="18" customHeight="1" x14ac:dyDescent="0.3">
      <c r="B17" s="14">
        <v>12</v>
      </c>
      <c r="C17" s="53">
        <f>'2. Energy'!O21</f>
        <v>110952.64180655002</v>
      </c>
      <c r="D17" s="53">
        <f>'2. Energy'!P21</f>
        <v>15356.766177052188</v>
      </c>
      <c r="E17" s="53">
        <f>'2. Energy'!Q21</f>
        <v>95595.875629497838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73095.875629497838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10000</v>
      </c>
      <c r="T17" s="119"/>
      <c r="U17" s="53">
        <f>'2. Energy'!N21*(1+'1. Rates'!$J$60)</f>
        <v>2.9671694146760599</v>
      </c>
      <c r="V17" s="53">
        <f>(SUM('4.Projected'!W16:AC16)+SUM('4.Projected'!AF16:AK16))/(SUM('4.Projected'!F16:K16))</f>
        <v>4.895147360982989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10000</v>
      </c>
      <c r="AC17" s="53">
        <f t="shared" si="8"/>
        <v>0</v>
      </c>
      <c r="AD17" s="53">
        <f t="shared" si="9"/>
        <v>43095.875629497838</v>
      </c>
    </row>
    <row r="18" spans="2:30" ht="18" customHeight="1" x14ac:dyDescent="0.3">
      <c r="B18" s="14">
        <v>13</v>
      </c>
      <c r="C18" s="53">
        <f>'2. Energy'!O22</f>
        <v>109732.66179467294</v>
      </c>
      <c r="D18" s="53">
        <f>'2. Energy'!P22</f>
        <v>15684.200596604416</v>
      </c>
      <c r="E18" s="53">
        <f>'2. Energy'!Q22</f>
        <v>94048.461198068515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71548.461198068515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10000</v>
      </c>
      <c r="T18" s="119"/>
      <c r="U18" s="53">
        <f>'2. Energy'!N22*(1+'1. Rates'!$J$60)</f>
        <v>3.0124176803050462</v>
      </c>
      <c r="V18" s="53">
        <f>(SUM('4.Projected'!W17:AC17)+SUM('4.Projected'!AF17:AK17))/(SUM('4.Projected'!F17:K17))</f>
        <v>4.895147360982989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10000</v>
      </c>
      <c r="AC18" s="53">
        <f t="shared" si="8"/>
        <v>0</v>
      </c>
      <c r="AD18" s="53">
        <f t="shared" si="9"/>
        <v>41548.461198068515</v>
      </c>
    </row>
    <row r="19" spans="2:30" ht="18" customHeight="1" x14ac:dyDescent="0.3">
      <c r="B19" s="14">
        <v>14</v>
      </c>
      <c r="C19" s="53">
        <f>'2. Energy'!O23</f>
        <v>115326.998274841</v>
      </c>
      <c r="D19" s="53">
        <f>'2. Energy'!P23</f>
        <v>15389.181170074999</v>
      </c>
      <c r="E19" s="53">
        <f>'2. Energy'!Q23</f>
        <v>99937.817104766</v>
      </c>
      <c r="F19" s="53">
        <f>IF('1. Rates'!$C$62&lt;'2. Energy'!N23*(1+'1. Rates'!$J$60),'1. Rates'!$C$41,'1. Rates'!$C$42)</f>
        <v>10000</v>
      </c>
      <c r="G19" s="53">
        <f>IF('1. Rates'!$D$62&lt;'2. Energy'!N23*(1+'1. Rates'!$J$60),'1. Rates'!$D$41,'1. Rates'!$D$42)</f>
        <v>2500</v>
      </c>
      <c r="H19" s="53">
        <f>IF('1. Rates'!$E$62&lt;'2. Energy'!N23*(1+'1. Rates'!$J$60),'1. Rates'!$E$41,'1. Rates'!$E$42)</f>
        <v>5000</v>
      </c>
      <c r="I19" s="53">
        <f>IF('1. Rates'!F$62&lt;'2. Energy'!$N23*(1+'1. Rates'!$J$60),'1. Rates'!F$41,'1. Rates'!F$42)</f>
        <v>5000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0</v>
      </c>
      <c r="L19" s="53">
        <f>IF('1. Rates'!Q54&lt;('2. Energy'!N23*(1+'1. Rates'!$J$60)),'1. Rates'!$I$42,0)</f>
        <v>0</v>
      </c>
      <c r="M19" s="53">
        <f t="shared" si="1"/>
        <v>77437.817104766</v>
      </c>
      <c r="N19" s="119">
        <v>10000</v>
      </c>
      <c r="O19" s="119">
        <v>2500</v>
      </c>
      <c r="P19" s="119">
        <v>5000</v>
      </c>
      <c r="Q19" s="119">
        <v>5000</v>
      </c>
      <c r="R19" s="119">
        <v>20000</v>
      </c>
      <c r="S19" s="119">
        <v>10000</v>
      </c>
      <c r="T19" s="119"/>
      <c r="U19" s="53">
        <f>'2. Energy'!N23*(1+'1. Rates'!$J$60)</f>
        <v>3.64788787109108</v>
      </c>
      <c r="V19" s="53">
        <f>(SUM('4.Projected'!W18:AC18)+SUM('4.Projected'!AF18:AK18))/(SUM('4.Projected'!F18:K18))</f>
        <v>4.895147360982989</v>
      </c>
      <c r="W19" s="53">
        <f t="shared" si="2"/>
        <v>10000</v>
      </c>
      <c r="X19" s="53">
        <f t="shared" si="3"/>
        <v>2500</v>
      </c>
      <c r="Y19" s="53">
        <f t="shared" si="4"/>
        <v>5000</v>
      </c>
      <c r="Z19" s="53">
        <f t="shared" si="5"/>
        <v>5000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47437.817104766</v>
      </c>
    </row>
    <row r="20" spans="2:30" ht="18" customHeight="1" x14ac:dyDescent="0.3">
      <c r="B20" s="14">
        <v>15</v>
      </c>
      <c r="C20" s="53">
        <f>'2. Energy'!O24</f>
        <v>115652.62720632897</v>
      </c>
      <c r="D20" s="53">
        <f>'2. Energy'!P24</f>
        <v>15212.334749999993</v>
      </c>
      <c r="E20" s="53">
        <f>'2. Energy'!Q24</f>
        <v>100440.29245632897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0</v>
      </c>
      <c r="L20" s="53">
        <f>IF('1. Rates'!Q55&lt;('2. Energy'!N24*(1+'1. Rates'!$J$60)),'1. Rates'!$I$42,0)</f>
        <v>0</v>
      </c>
      <c r="M20" s="53">
        <f t="shared" si="1"/>
        <v>55440.292456328971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3.8165402230588166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25440.292456328971</v>
      </c>
    </row>
    <row r="21" spans="2:30" ht="18" customHeight="1" x14ac:dyDescent="0.3">
      <c r="B21" s="14">
        <v>16</v>
      </c>
      <c r="C21" s="53">
        <f>'2. Energy'!O25</f>
        <v>115338.51355052638</v>
      </c>
      <c r="D21" s="53">
        <f>'2. Energy'!P25</f>
        <v>15482.833749999993</v>
      </c>
      <c r="E21" s="53">
        <f>'2. Energy'!Q25</f>
        <v>99855.679800526384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44855.679800526384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4.0753710538902332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24855.679800526384</v>
      </c>
    </row>
    <row r="22" spans="2:30" ht="18" customHeight="1" x14ac:dyDescent="0.3">
      <c r="B22" s="14">
        <v>17</v>
      </c>
      <c r="C22" s="53">
        <f>'2. Energy'!O26</f>
        <v>110969.11839188177</v>
      </c>
      <c r="D22" s="53">
        <f>'2. Energy'!P26</f>
        <v>15841.904999999999</v>
      </c>
      <c r="E22" s="53">
        <f>'2. Energy'!Q26</f>
        <v>95127.213391881771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40127.213391881771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4.1771822725259948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20127.213391881771</v>
      </c>
    </row>
    <row r="23" spans="2:30" ht="18" customHeight="1" x14ac:dyDescent="0.3">
      <c r="B23" s="14">
        <v>18</v>
      </c>
      <c r="C23" s="53">
        <f>'2. Energy'!O27</f>
        <v>104126.44579715612</v>
      </c>
      <c r="D23" s="53">
        <f>'2. Energy'!P27</f>
        <v>15704.025249999993</v>
      </c>
      <c r="E23" s="53">
        <f>'2. Energy'!Q27</f>
        <v>88422.420547156129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33422.420547156129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4.9171690522096361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13422.420547156129</v>
      </c>
    </row>
    <row r="24" spans="2:30" ht="18" customHeight="1" x14ac:dyDescent="0.3">
      <c r="B24" s="14">
        <v>19</v>
      </c>
      <c r="C24" s="53">
        <f>'2. Energy'!O28</f>
        <v>103329.78747167872</v>
      </c>
      <c r="D24" s="53">
        <f>'2. Energy'!P28</f>
        <v>14920.287499999997</v>
      </c>
      <c r="E24" s="53">
        <f>'2. Energy'!Q28</f>
        <v>88409.499971678728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33409.499971678728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4.7319990193946611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13409.499971678728</v>
      </c>
    </row>
    <row r="25" spans="2:30" ht="18" customHeight="1" x14ac:dyDescent="0.3">
      <c r="B25" s="14">
        <v>20</v>
      </c>
      <c r="C25" s="53">
        <f>'2. Energy'!O29</f>
        <v>97391.708733461855</v>
      </c>
      <c r="D25" s="53">
        <f>'2. Energy'!P29</f>
        <v>13503.043999999998</v>
      </c>
      <c r="E25" s="53">
        <f>'2. Energy'!Q29</f>
        <v>83888.664733461861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28888.664733461861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3.9481070486004244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8888.664733461861</v>
      </c>
    </row>
    <row r="26" spans="2:30" ht="18" customHeight="1" x14ac:dyDescent="0.3">
      <c r="B26" s="14">
        <v>21</v>
      </c>
      <c r="C26" s="53">
        <f>'2. Energy'!O30</f>
        <v>94569.080657465325</v>
      </c>
      <c r="D26" s="53">
        <f>'2. Energy'!P30</f>
        <v>11785.555</v>
      </c>
      <c r="E26" s="53">
        <f>'2. Energy'!Q30</f>
        <v>82783.525657465332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27783.525657465332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4.0965997627299435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7783.5256574653322</v>
      </c>
    </row>
    <row r="27" spans="2:30" ht="18" customHeight="1" x14ac:dyDescent="0.3">
      <c r="B27" s="14">
        <v>22</v>
      </c>
      <c r="C27" s="53">
        <f>'2. Energy'!O31</f>
        <v>88841.263680646371</v>
      </c>
      <c r="D27" s="53">
        <f>'2. Energy'!P31</f>
        <v>8515.1389999999992</v>
      </c>
      <c r="E27" s="53">
        <f>'2. Energy'!Q31</f>
        <v>80326.124680646375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0</v>
      </c>
      <c r="L27" s="53">
        <f>IF('1. Rates'!Q62&lt;('2. Energy'!N31*(1+'1. Rates'!$J$60)),'1. Rates'!$I$41,0)</f>
        <v>0</v>
      </c>
      <c r="M27" s="53">
        <f t="shared" si="1"/>
        <v>35326.124680646375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3.8016683475399149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5326.1246806463751</v>
      </c>
    </row>
    <row r="28" spans="2:30" ht="18" customHeight="1" x14ac:dyDescent="0.3">
      <c r="B28" s="14">
        <v>23</v>
      </c>
      <c r="C28" s="53">
        <f>'2. Energy'!O32</f>
        <v>82961.811814918517</v>
      </c>
      <c r="D28" s="53">
        <f>'2. Energy'!P32</f>
        <v>6194.6794999999993</v>
      </c>
      <c r="E28" s="53">
        <f>'2. Energy'!Q32</f>
        <v>76767.132314918519</v>
      </c>
      <c r="F28" s="53">
        <f>IF('1. Rates'!$C$62&lt;'2. Energy'!N32*(1+'1. Rates'!$J$60),'1. Rates'!$C$41,'1. Rates'!$C$42)</f>
        <v>10000</v>
      </c>
      <c r="G28" s="53">
        <f>IF('1. Rates'!$D$62&lt;'2. Energy'!N32*(1+'1. Rates'!$J$60),'1. Rates'!$D$41,'1. Rates'!$D$42)</f>
        <v>2500</v>
      </c>
      <c r="H28" s="53">
        <f>IF('1. Rates'!$E$62&lt;'2. Energy'!N32*(1+'1. Rates'!$J$60),'1. Rates'!$E$41,'1. Rates'!$E$42)</f>
        <v>5000</v>
      </c>
      <c r="I28" s="53">
        <f>IF('1. Rates'!F$62&lt;'2. Energy'!$N32*(1+'1. Rates'!$J$60),'1. Rates'!F$41,'1. Rates'!F$42)</f>
        <v>5000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0</v>
      </c>
      <c r="L28" s="53">
        <f>IF('1. Rates'!Q63&lt;('2. Energy'!N32*(1+'1. Rates'!$J$60)),'1. Rates'!$I$41,0)</f>
        <v>0</v>
      </c>
      <c r="M28" s="53">
        <f t="shared" si="1"/>
        <v>54267.132314918519</v>
      </c>
      <c r="N28" s="119">
        <v>10000</v>
      </c>
      <c r="O28" s="119">
        <v>2500</v>
      </c>
      <c r="P28" s="119">
        <v>5000</v>
      </c>
      <c r="Q28" s="119">
        <v>5000</v>
      </c>
      <c r="R28" s="119">
        <v>20000</v>
      </c>
      <c r="S28" s="119">
        <v>10000</v>
      </c>
      <c r="T28" s="119"/>
      <c r="U28" s="53">
        <f>'2. Energy'!N32*(1+'1. Rates'!$J$60)</f>
        <v>3.6314929170250312</v>
      </c>
      <c r="V28" s="53">
        <f>(SUM('4.Projected'!W27:AC27)+SUM('4.Projected'!AF27:AK27))/(SUM('4.Projected'!F27:K27))</f>
        <v>4.895147360982989</v>
      </c>
      <c r="W28" s="53">
        <f t="shared" si="2"/>
        <v>10000</v>
      </c>
      <c r="X28" s="53">
        <f t="shared" si="3"/>
        <v>2500</v>
      </c>
      <c r="Y28" s="53">
        <f t="shared" si="4"/>
        <v>5000</v>
      </c>
      <c r="Z28" s="53">
        <f t="shared" si="5"/>
        <v>5000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24267.132314918519</v>
      </c>
    </row>
    <row r="29" spans="2:30" ht="18" customHeight="1" x14ac:dyDescent="0.3">
      <c r="B29" s="14">
        <v>24</v>
      </c>
      <c r="C29" s="53">
        <f>'2. Energy'!O33</f>
        <v>78646.160010168867</v>
      </c>
      <c r="D29" s="53">
        <f>'2. Energy'!P33</f>
        <v>5691.5544999999984</v>
      </c>
      <c r="E29" s="53">
        <f>'2. Energy'!Q33</f>
        <v>72954.605510168869</v>
      </c>
      <c r="F29" s="53">
        <f>IF('1. Rates'!$C$62&lt;'2. Energy'!N33*(1+'1. Rates'!$J$60),'1. Rates'!$C$41,'1. Rates'!$C$42)</f>
        <v>10000</v>
      </c>
      <c r="G29" s="53">
        <f>IF('1. Rates'!$D$62&lt;'2. Energy'!N33*(1+'1. Rates'!$J$60),'1. Rates'!$D$41,'1. Rates'!$D$42)</f>
        <v>2500</v>
      </c>
      <c r="H29" s="53">
        <f>IF('1. Rates'!$E$62&lt;'2. Energy'!N33*(1+'1. Rates'!$J$60),'1. Rates'!$E$41,'1. Rates'!$E$42)</f>
        <v>5000</v>
      </c>
      <c r="I29" s="53">
        <f>IF('1. Rates'!F$62&lt;'2. Energy'!$N33*(1+'1. Rates'!$J$60),'1. Rates'!F$41,'1. Rates'!F$42)</f>
        <v>5000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50454.605510168869</v>
      </c>
      <c r="N29" s="119">
        <v>10000</v>
      </c>
      <c r="O29" s="119">
        <v>2500</v>
      </c>
      <c r="P29" s="119">
        <v>5000</v>
      </c>
      <c r="Q29" s="119">
        <v>5000</v>
      </c>
      <c r="R29" s="119">
        <v>0</v>
      </c>
      <c r="S29" s="119">
        <v>0</v>
      </c>
      <c r="T29" s="123"/>
      <c r="U29" s="53">
        <f>'2. Energy'!N33*(1+'1. Rates'!$J$60)</f>
        <v>3.0757721334368577</v>
      </c>
      <c r="V29" s="53">
        <f>(SUM('4.Projected'!W28:AC28)+SUM('4.Projected'!AF28:AK28))/(SUM('4.Projected'!F28:K28))</f>
        <v>4.2000355959605411</v>
      </c>
      <c r="W29" s="53">
        <f t="shared" si="2"/>
        <v>10000</v>
      </c>
      <c r="X29" s="53">
        <f t="shared" si="3"/>
        <v>2500</v>
      </c>
      <c r="Y29" s="53">
        <f t="shared" si="4"/>
        <v>5000</v>
      </c>
      <c r="Z29" s="53">
        <f t="shared" si="5"/>
        <v>5000</v>
      </c>
      <c r="AA29" s="53">
        <f t="shared" si="6"/>
        <v>0</v>
      </c>
      <c r="AB29" s="53">
        <f t="shared" si="7"/>
        <v>0</v>
      </c>
      <c r="AC29" s="53">
        <f t="shared" si="8"/>
        <v>0</v>
      </c>
      <c r="AD29" s="53">
        <f t="shared" si="9"/>
        <v>50454.605510168869</v>
      </c>
    </row>
    <row r="30" spans="2:30" ht="21" customHeight="1" x14ac:dyDescent="0.3">
      <c r="B30" s="55" t="s">
        <v>137</v>
      </c>
      <c r="C30" s="56">
        <f t="shared" ref="C30:D30" si="10">SUM(C6:C29)</f>
        <v>2181784.4966972796</v>
      </c>
      <c r="D30" s="56">
        <f t="shared" si="10"/>
        <v>255145.87645456998</v>
      </c>
      <c r="E30" s="56">
        <f>SUM(E6:E29)</f>
        <v>1926638.6202427098</v>
      </c>
      <c r="F30" s="56">
        <f t="shared" ref="F30:M30" si="11">SUM(F6:F29)</f>
        <v>320000</v>
      </c>
      <c r="G30" s="56">
        <f>SUM(G6:G29)</f>
        <v>80000</v>
      </c>
      <c r="H30" s="56">
        <f t="shared" si="11"/>
        <v>160000</v>
      </c>
      <c r="I30" s="56">
        <f t="shared" si="11"/>
        <v>160000</v>
      </c>
      <c r="J30" s="56">
        <f t="shared" si="11"/>
        <v>0</v>
      </c>
      <c r="K30" s="56">
        <f t="shared" si="11"/>
        <v>60000</v>
      </c>
      <c r="L30" s="56">
        <f t="shared" si="11"/>
        <v>0</v>
      </c>
      <c r="M30" s="56">
        <f t="shared" si="11"/>
        <v>1146638.62024271</v>
      </c>
      <c r="N30" s="56">
        <f t="shared" ref="N30:T30" si="12">SUM(N6:N29)</f>
        <v>320000</v>
      </c>
      <c r="O30" s="56">
        <f t="shared" si="12"/>
        <v>80000</v>
      </c>
      <c r="P30" s="56">
        <f t="shared" si="12"/>
        <v>160000</v>
      </c>
      <c r="Q30" s="56">
        <f t="shared" si="12"/>
        <v>160000</v>
      </c>
      <c r="R30" s="56">
        <f t="shared" si="12"/>
        <v>340000</v>
      </c>
      <c r="S30" s="56">
        <f t="shared" si="12"/>
        <v>140000</v>
      </c>
      <c r="T30" s="56">
        <f t="shared" si="12"/>
        <v>0</v>
      </c>
      <c r="U30" s="56">
        <f>AVERAGE(U6:U29)</f>
        <v>3.4872184125124952</v>
      </c>
      <c r="V30" s="56">
        <f>SUM('4.Projected'!W29:AC29)/SUM('4.Projected'!F29:K29)</f>
        <v>4.1320793490008505</v>
      </c>
      <c r="W30" s="56">
        <f t="shared" ref="W30:AD30" si="13">SUM(W6:W29)</f>
        <v>320000</v>
      </c>
      <c r="X30" s="56">
        <f t="shared" si="13"/>
        <v>80000</v>
      </c>
      <c r="Y30" s="56">
        <f t="shared" si="13"/>
        <v>160000</v>
      </c>
      <c r="Z30" s="56">
        <f t="shared" si="13"/>
        <v>160000</v>
      </c>
      <c r="AA30" s="56">
        <f t="shared" si="13"/>
        <v>340000</v>
      </c>
      <c r="AB30" s="56">
        <f t="shared" si="13"/>
        <v>140000</v>
      </c>
      <c r="AC30" s="56">
        <f t="shared" si="13"/>
        <v>0</v>
      </c>
      <c r="AD30" s="56">
        <f t="shared" si="13"/>
        <v>726638.62024270988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72116.992711331462</v>
      </c>
      <c r="D5" s="53">
        <f>'2. Energy'!P10</f>
        <v>5485.085275756529</v>
      </c>
      <c r="E5" s="53">
        <f>'2. Energy'!Q10</f>
        <v>66631.907435574933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0</v>
      </c>
      <c r="K5" s="53">
        <f>'3. Nomination'!AB6</f>
        <v>0</v>
      </c>
      <c r="L5" s="53">
        <f>'3. Nomination'!AC6</f>
        <v>0</v>
      </c>
      <c r="M5" s="53">
        <f>'3. Nomination'!AD6</f>
        <v>44131.907435574933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0</v>
      </c>
      <c r="AB5" s="53">
        <f>K5*'1. Rates'!H$56</f>
        <v>0</v>
      </c>
      <c r="AC5" s="53">
        <f>L5*'1. Rates'!Q41</f>
        <v>0</v>
      </c>
      <c r="AD5" s="53">
        <f>M5*'2. Energy'!N10</f>
        <v>120997.23469300456</v>
      </c>
      <c r="AE5" s="53">
        <f>W5+X5+Y5+Z5+AA5+AB5+AC5+AD5</f>
        <v>195090.63389674941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2769.72</v>
      </c>
      <c r="AL5" s="53">
        <f>(T5+AC5)*'1. Rates'!$I$60</f>
        <v>0</v>
      </c>
      <c r="AM5" s="53">
        <f>(U5+AD5)*'1. Rates'!$J$60</f>
        <v>10183.815195666077</v>
      </c>
      <c r="AN5" s="53">
        <f>AF5+AG5+AH5+AI5+AJ5+AK5+AL5+AM5</f>
        <v>30591.216901033396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0</v>
      </c>
      <c r="AT5" s="53">
        <f t="shared" si="0"/>
        <v>23081</v>
      </c>
      <c r="AU5" s="53">
        <f t="shared" si="0"/>
        <v>0</v>
      </c>
      <c r="AV5" s="53">
        <f t="shared" si="0"/>
        <v>120997.23469300456</v>
      </c>
      <c r="AW5" s="53">
        <f>AO5+AP5+AQ5+AR5+AS5+AT5+AU5+AV5</f>
        <v>291058.91557106556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0</v>
      </c>
      <c r="BC5" s="53">
        <f t="shared" si="1"/>
        <v>25850.720000000001</v>
      </c>
      <c r="BD5" s="53">
        <f t="shared" si="1"/>
        <v>0</v>
      </c>
      <c r="BE5" s="53">
        <f t="shared" si="1"/>
        <v>131181.04988867065</v>
      </c>
      <c r="BF5" s="53">
        <f>AX5+AY5+AZ5+BA5+BB5+BC5+BD5+BE5</f>
        <v>321650.13247209898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 t="e">
        <f t="shared" si="2"/>
        <v>#DIV/0!</v>
      </c>
      <c r="BL5" s="54" t="e">
        <f>AT5/K5</f>
        <v>#DIV/0!</v>
      </c>
      <c r="BM5" s="54"/>
      <c r="BN5" s="54">
        <f>AV5/M5</f>
        <v>2.7417177666666666</v>
      </c>
      <c r="BO5" s="54">
        <f>AW5/E5</f>
        <v>4.368161242457071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 t="e">
        <f t="shared" si="3"/>
        <v>#DIV/0!</v>
      </c>
      <c r="BU5" s="54" t="e">
        <f>BC5/K5</f>
        <v>#DIV/0!</v>
      </c>
      <c r="BV5" s="54"/>
      <c r="BW5" s="54">
        <f t="shared" ref="BW5:BW20" si="4">BE5/M5</f>
        <v>2.9724763218125716</v>
      </c>
      <c r="BX5" s="54">
        <f>BF5/E5</f>
        <v>4.8272688693940831</v>
      </c>
    </row>
    <row r="6" spans="2:76" ht="18" customHeight="1" x14ac:dyDescent="0.3">
      <c r="B6" s="14">
        <v>2</v>
      </c>
      <c r="C6" s="53">
        <f>'2. Energy'!O11</f>
        <v>68834.868830708336</v>
      </c>
      <c r="D6" s="53">
        <f>'2. Energy'!P11</f>
        <v>5430.4371385139293</v>
      </c>
      <c r="E6" s="53">
        <f>'2. Energy'!Q11</f>
        <v>63404.431692194405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40904.431692194405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108575.83541933133</v>
      </c>
      <c r="AE6" s="53">
        <f t="shared" ref="AE6:AE28" si="6">W6+X6+Y6+Z6+AA6+AB6+AC6+AD6</f>
        <v>182669.23462307619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9138.3596115312885</v>
      </c>
      <c r="AN6" s="53">
        <f t="shared" ref="AN6:AN28" si="7">AF6+AG6+AH6+AI6+AJ6+AK6+AL6+AM6</f>
        <v>29545.761316898606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108575.83541933133</v>
      </c>
      <c r="AW6" s="53">
        <f t="shared" ref="AW6:AW28" si="9">AO6+AP6+AQ6+AR6+AS6+AT6+AU6+AV6</f>
        <v>278637.51629739231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117714.19503086261</v>
      </c>
      <c r="BF6" s="53">
        <f t="shared" ref="BF6:BF28" si="17">AX6+AY6+AZ6+BA6+BB6+BC6+BD6+BE6</f>
        <v>308183.27761429094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2.654378289285714</v>
      </c>
      <c r="BO6" s="54">
        <f>AW6/E6</f>
        <v>4.3946063210546029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2.8777858574508794</v>
      </c>
      <c r="BX6" s="54">
        <f t="shared" ref="BX6:BX28" si="21">BF6/E6</f>
        <v>4.8605952200693059</v>
      </c>
    </row>
    <row r="7" spans="2:76" ht="18" customHeight="1" x14ac:dyDescent="0.3">
      <c r="B7" s="14">
        <v>3</v>
      </c>
      <c r="C7" s="53">
        <f>'2. Energy'!O12</f>
        <v>66266.709147016329</v>
      </c>
      <c r="D7" s="53">
        <f>'2. Energy'!P12</f>
        <v>5378.2250747143653</v>
      </c>
      <c r="E7" s="53">
        <f>'2. Energy'!Q12</f>
        <v>60888.484072301966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38388.484072301966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72367.259964408382</v>
      </c>
      <c r="AE7" s="53">
        <f t="shared" si="6"/>
        <v>146460.65916815324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6090.840039147336</v>
      </c>
      <c r="AN7" s="53">
        <f t="shared" si="7"/>
        <v>26498.241744514657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72367.259964408382</v>
      </c>
      <c r="AW7" s="53">
        <f t="shared" si="9"/>
        <v>242428.9408424694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78458.100003555723</v>
      </c>
      <c r="BF7" s="53">
        <f t="shared" si="17"/>
        <v>268927.18258698407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1.8851294004761903</v>
      </c>
      <c r="BO7" s="54">
        <f t="shared" ref="BO7:BO28" si="22">AW7/E7</f>
        <v>3.9815236745686984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2.0437926086319402</v>
      </c>
      <c r="BX7" s="54">
        <f t="shared" si="21"/>
        <v>4.4167166695700084</v>
      </c>
    </row>
    <row r="8" spans="2:76" ht="18" customHeight="1" x14ac:dyDescent="0.3">
      <c r="B8" s="14">
        <v>4</v>
      </c>
      <c r="C8" s="53">
        <f>'2. Energy'!O13</f>
        <v>64537.612427869361</v>
      </c>
      <c r="D8" s="53">
        <f>'2. Energy'!P13</f>
        <v>5282.8052195468281</v>
      </c>
      <c r="E8" s="53">
        <f>'2. Energy'!Q13</f>
        <v>59254.807208322534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36754.807208322534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77129.079454864419</v>
      </c>
      <c r="AE8" s="53">
        <f t="shared" si="6"/>
        <v>151222.47865860927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6491.6218405576192</v>
      </c>
      <c r="AN8" s="53">
        <f t="shared" si="7"/>
        <v>26899.023545924938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77129.079454864419</v>
      </c>
      <c r="AW8" s="53">
        <f t="shared" si="9"/>
        <v>247190.76033292542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83620.701295422041</v>
      </c>
      <c r="BF8" s="53">
        <f t="shared" si="17"/>
        <v>274089.7838788504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2.0984759630952379</v>
      </c>
      <c r="BO8" s="54">
        <f t="shared" si="22"/>
        <v>4.171657490402005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2.2750956309325296</v>
      </c>
      <c r="BX8" s="54">
        <f t="shared" si="21"/>
        <v>4.6256126176435117</v>
      </c>
    </row>
    <row r="9" spans="2:76" ht="18" customHeight="1" x14ac:dyDescent="0.3">
      <c r="B9" s="14">
        <v>5</v>
      </c>
      <c r="C9" s="53">
        <f>'2. Energy'!O14</f>
        <v>64751.013059891571</v>
      </c>
      <c r="D9" s="53">
        <f>'2. Energy'!P14</f>
        <v>5353.8580972502841</v>
      </c>
      <c r="E9" s="53">
        <f>'2. Energy'!Q14</f>
        <v>59397.154962641289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36897.154962641289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108622.39692159176</v>
      </c>
      <c r="AE9" s="53">
        <f t="shared" si="6"/>
        <v>182715.79612533661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9142.2784922846877</v>
      </c>
      <c r="AN9" s="53">
        <f t="shared" si="7"/>
        <v>29549.680197652007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108622.39692159176</v>
      </c>
      <c r="AW9" s="53">
        <f t="shared" si="9"/>
        <v>278684.07779965276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117764.67541387645</v>
      </c>
      <c r="BF9" s="53">
        <f t="shared" si="17"/>
        <v>308233.75799730478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2.9439233738095241</v>
      </c>
      <c r="BO9" s="54">
        <f t="shared" si="22"/>
        <v>4.6918758646762662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3.1917007024827329</v>
      </c>
      <c r="BX9" s="54">
        <f t="shared" si="21"/>
        <v>5.1893690563322927</v>
      </c>
    </row>
    <row r="10" spans="2:76" ht="18" customHeight="1" x14ac:dyDescent="0.3">
      <c r="B10" s="14">
        <v>6</v>
      </c>
      <c r="C10" s="53">
        <f>'2. Energy'!O15</f>
        <v>67486.728218519987</v>
      </c>
      <c r="D10" s="53">
        <f>'2. Energy'!P15</f>
        <v>5482.4266290499982</v>
      </c>
      <c r="E10" s="53">
        <f>'2. Energy'!Q15</f>
        <v>62004.301589469993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10000</v>
      </c>
      <c r="K10" s="53">
        <f>'3. Nomination'!AB11</f>
        <v>0</v>
      </c>
      <c r="L10" s="53">
        <f>'3. Nomination'!AC11</f>
        <v>0</v>
      </c>
      <c r="M10" s="53">
        <f>'3. Nomination'!AD11</f>
        <v>29504.301589469993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61814</v>
      </c>
      <c r="AB10" s="53">
        <f>K10*'1. Rates'!H$56</f>
        <v>0</v>
      </c>
      <c r="AC10" s="53">
        <f>L10*'1. Rates'!Q46</f>
        <v>0</v>
      </c>
      <c r="AD10" s="53">
        <f>M10*'2. Energy'!N15</f>
        <v>95946.516729101786</v>
      </c>
      <c r="AE10" s="53">
        <f t="shared" si="6"/>
        <v>231853.91593284666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8075.4043471833756</v>
      </c>
      <c r="AN10" s="53">
        <f t="shared" si="7"/>
        <v>28482.806052550695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61814</v>
      </c>
      <c r="AT10" s="53">
        <f t="shared" si="0"/>
        <v>23081</v>
      </c>
      <c r="AU10" s="53">
        <f t="shared" si="0"/>
        <v>0</v>
      </c>
      <c r="AV10" s="53">
        <f t="shared" si="0"/>
        <v>95946.516729101786</v>
      </c>
      <c r="AW10" s="53">
        <f t="shared" si="9"/>
        <v>327822.19760716282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61814</v>
      </c>
      <c r="BC10" s="53">
        <f t="shared" si="14"/>
        <v>25850.720000000001</v>
      </c>
      <c r="BD10" s="53">
        <f t="shared" si="15"/>
        <v>0</v>
      </c>
      <c r="BE10" s="53">
        <f t="shared" si="16"/>
        <v>104021.92107628516</v>
      </c>
      <c r="BF10" s="53">
        <f t="shared" si="17"/>
        <v>356305.00365971349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>
        <f t="shared" si="2"/>
        <v>6.1814</v>
      </c>
      <c r="BL10" s="54" t="e">
        <f t="shared" si="2"/>
        <v>#DIV/0!</v>
      </c>
      <c r="BM10" s="54"/>
      <c r="BN10" s="54">
        <f t="shared" si="19"/>
        <v>3.2519501076190478</v>
      </c>
      <c r="BO10" s="54">
        <f t="shared" si="22"/>
        <v>5.2870879794384438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>
        <f t="shared" si="3"/>
        <v>6.1814</v>
      </c>
      <c r="BU10" s="54" t="e">
        <f t="shared" si="3"/>
        <v>#DIV/0!</v>
      </c>
      <c r="BV10" s="54"/>
      <c r="BW10" s="54">
        <f t="shared" si="4"/>
        <v>3.5256527174807046</v>
      </c>
      <c r="BX10" s="54">
        <f t="shared" si="21"/>
        <v>5.7464562058743311</v>
      </c>
    </row>
    <row r="11" spans="2:76" ht="18" customHeight="1" x14ac:dyDescent="0.3">
      <c r="B11" s="14">
        <v>7</v>
      </c>
      <c r="C11" s="53">
        <f>'2. Energy'!O16</f>
        <v>70564.928531504382</v>
      </c>
      <c r="D11" s="53">
        <f>'2. Energy'!P16</f>
        <v>6217.4409852499994</v>
      </c>
      <c r="E11" s="53">
        <f>'2. Energy'!Q16</f>
        <v>64347.487546254386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10000</v>
      </c>
      <c r="K11" s="53">
        <f>'3. Nomination'!AB12</f>
        <v>0</v>
      </c>
      <c r="L11" s="53">
        <f>'3. Nomination'!AC12</f>
        <v>0</v>
      </c>
      <c r="M11" s="53">
        <f>'3. Nomination'!AD12</f>
        <v>31847.487546254386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61814</v>
      </c>
      <c r="AB11" s="53">
        <f>K11*'1. Rates'!H$56</f>
        <v>0</v>
      </c>
      <c r="AC11" s="53">
        <f>L11*'1. Rates'!Q47</f>
        <v>0</v>
      </c>
      <c r="AD11" s="53">
        <f>M11*'2. Energy'!N16</f>
        <v>91892.075067213707</v>
      </c>
      <c r="AE11" s="53">
        <f t="shared" si="6"/>
        <v>227799.47427095857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7734.1594855876701</v>
      </c>
      <c r="AN11" s="53">
        <f t="shared" si="7"/>
        <v>28141.561190954992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61814</v>
      </c>
      <c r="AT11" s="53">
        <f t="shared" si="0"/>
        <v>23081</v>
      </c>
      <c r="AU11" s="53">
        <f t="shared" si="0"/>
        <v>0</v>
      </c>
      <c r="AV11" s="53">
        <f t="shared" si="0"/>
        <v>91892.075067213707</v>
      </c>
      <c r="AW11" s="53">
        <f t="shared" si="9"/>
        <v>323767.75594527472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61814</v>
      </c>
      <c r="BC11" s="53">
        <f t="shared" si="14"/>
        <v>25850.720000000001</v>
      </c>
      <c r="BD11" s="53">
        <f t="shared" si="15"/>
        <v>0</v>
      </c>
      <c r="BE11" s="53">
        <f t="shared" si="16"/>
        <v>99626.234552801383</v>
      </c>
      <c r="BF11" s="53">
        <f t="shared" si="17"/>
        <v>351909.31713622971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>
        <f t="shared" si="2"/>
        <v>6.1814</v>
      </c>
      <c r="BL11" s="54" t="e">
        <f t="shared" si="2"/>
        <v>#DIV/0!</v>
      </c>
      <c r="BM11" s="54"/>
      <c r="BN11" s="54">
        <f t="shared" si="19"/>
        <v>2.8853791035714282</v>
      </c>
      <c r="BO11" s="54">
        <f t="shared" si="22"/>
        <v>5.0315524085154584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>
        <f t="shared" si="3"/>
        <v>6.1814</v>
      </c>
      <c r="BU11" s="54" t="e">
        <f t="shared" si="3"/>
        <v>#DIV/0!</v>
      </c>
      <c r="BV11" s="54"/>
      <c r="BW11" s="54">
        <f t="shared" si="4"/>
        <v>3.1282290136107935</v>
      </c>
      <c r="BX11" s="54">
        <f t="shared" si="21"/>
        <v>5.4688897819556601</v>
      </c>
    </row>
    <row r="12" spans="2:76" ht="18" customHeight="1" x14ac:dyDescent="0.3">
      <c r="B12" s="14">
        <v>8</v>
      </c>
      <c r="C12" s="53">
        <f>'2. Energy'!O17</f>
        <v>75225.115852124349</v>
      </c>
      <c r="D12" s="53">
        <f>'2. Energy'!P17</f>
        <v>7257.2223106629363</v>
      </c>
      <c r="E12" s="53">
        <f>'2. Energy'!Q17</f>
        <v>67967.89354146141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20000</v>
      </c>
      <c r="K12" s="53">
        <f>'3. Nomination'!AB13</f>
        <v>0</v>
      </c>
      <c r="L12" s="53">
        <f>'3. Nomination'!AC13</f>
        <v>0</v>
      </c>
      <c r="M12" s="53">
        <f>'3. Nomination'!AD13</f>
        <v>25467.89354146141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123628</v>
      </c>
      <c r="AB12" s="53">
        <f>K12*'1. Rates'!H$56</f>
        <v>0</v>
      </c>
      <c r="AC12" s="53">
        <f>L12*'1. Rates'!Q48</f>
        <v>0</v>
      </c>
      <c r="AD12" s="53">
        <f>M12*'2. Energy'!N17</f>
        <v>76540.739380048617</v>
      </c>
      <c r="AE12" s="53">
        <f t="shared" si="6"/>
        <v>274262.13858379348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6442.1037948821922</v>
      </c>
      <c r="AN12" s="53">
        <f t="shared" si="7"/>
        <v>26849.505500249514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123628</v>
      </c>
      <c r="AT12" s="53">
        <f t="shared" si="0"/>
        <v>23081</v>
      </c>
      <c r="AU12" s="53">
        <f t="shared" si="0"/>
        <v>0</v>
      </c>
      <c r="AV12" s="53">
        <f t="shared" si="0"/>
        <v>76540.739380048617</v>
      </c>
      <c r="AW12" s="53">
        <f t="shared" si="9"/>
        <v>370230.42025810957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123628</v>
      </c>
      <c r="BC12" s="53">
        <f t="shared" si="14"/>
        <v>25850.720000000001</v>
      </c>
      <c r="BD12" s="53">
        <f t="shared" si="15"/>
        <v>0</v>
      </c>
      <c r="BE12" s="53">
        <f t="shared" si="16"/>
        <v>82982.843174930807</v>
      </c>
      <c r="BF12" s="53">
        <f t="shared" si="17"/>
        <v>397079.92575835914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>
        <f t="shared" si="2"/>
        <v>6.1814</v>
      </c>
      <c r="BL12" s="54" t="e">
        <f t="shared" si="2"/>
        <v>#DIV/0!</v>
      </c>
      <c r="BM12" s="54"/>
      <c r="BN12" s="54">
        <f t="shared" si="19"/>
        <v>3.0053816290476187</v>
      </c>
      <c r="BO12" s="54">
        <f t="shared" si="22"/>
        <v>5.4471368901886539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>
        <f t="shared" si="3"/>
        <v>6.1814</v>
      </c>
      <c r="BU12" s="54" t="e">
        <f t="shared" si="3"/>
        <v>#DIV/0!</v>
      </c>
      <c r="BV12" s="54"/>
      <c r="BW12" s="54">
        <f t="shared" si="4"/>
        <v>3.2583316338995916</v>
      </c>
      <c r="BX12" s="54">
        <f t="shared" si="21"/>
        <v>5.842169075258079</v>
      </c>
    </row>
    <row r="13" spans="2:76" ht="18" customHeight="1" x14ac:dyDescent="0.3">
      <c r="B13" s="14">
        <v>9</v>
      </c>
      <c r="C13" s="53">
        <f>'2. Energy'!O18</f>
        <v>90567.640345724882</v>
      </c>
      <c r="D13" s="53">
        <f>'2. Energy'!P18</f>
        <v>9154.39049102032</v>
      </c>
      <c r="E13" s="53">
        <f>'2. Energy'!Q18</f>
        <v>81413.249854704569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38913.249854704569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122037.95118921611</v>
      </c>
      <c r="AE13" s="53">
        <f t="shared" si="6"/>
        <v>319759.35039296094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10271.407812930347</v>
      </c>
      <c r="AN13" s="53">
        <f t="shared" si="7"/>
        <v>30678.809518297669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122037.95118921611</v>
      </c>
      <c r="AW13" s="53">
        <f t="shared" si="9"/>
        <v>415727.6320672771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132309.35900214646</v>
      </c>
      <c r="BF13" s="53">
        <f t="shared" si="17"/>
        <v>446406.44158557482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3.1361541799999997</v>
      </c>
      <c r="BO13" s="54">
        <f t="shared" si="22"/>
        <v>5.1063878767794177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3.4001107462411135</v>
      </c>
      <c r="BX13" s="54">
        <f t="shared" si="21"/>
        <v>5.4832160905290115</v>
      </c>
    </row>
    <row r="14" spans="2:76" ht="18" customHeight="1" x14ac:dyDescent="0.3">
      <c r="B14" s="14">
        <v>10</v>
      </c>
      <c r="C14" s="53">
        <f>'2. Energy'!O19</f>
        <v>103835.52524227854</v>
      </c>
      <c r="D14" s="53">
        <f>'2. Energy'!P19</f>
        <v>15018.716011573242</v>
      </c>
      <c r="E14" s="53">
        <f>'2. Energy'!Q19</f>
        <v>88816.809230705301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10000</v>
      </c>
      <c r="L14" s="53">
        <f>'3. Nomination'!AC15</f>
        <v>0</v>
      </c>
      <c r="M14" s="53">
        <f>'3. Nomination'!AD15</f>
        <v>36316.809230705301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34702.174591513132</v>
      </c>
      <c r="AC14" s="53">
        <f>L14*'1. Rates'!Q50</f>
        <v>0</v>
      </c>
      <c r="AD14" s="53">
        <f>M14*'2. Energy'!N19</f>
        <v>119258.22933355771</v>
      </c>
      <c r="AE14" s="53">
        <f t="shared" si="6"/>
        <v>351681.80312881572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6933.9809509815759</v>
      </c>
      <c r="AL14" s="53">
        <f>(T14+AC14)*'1. Rates'!$I$60</f>
        <v>0</v>
      </c>
      <c r="AM14" s="53">
        <f>(U14+AD14)*'1. Rates'!$J$60</f>
        <v>10037.450617584496</v>
      </c>
      <c r="AN14" s="53">
        <f t="shared" si="7"/>
        <v>34609.113273933392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57783.174591513132</v>
      </c>
      <c r="AU14" s="53">
        <f t="shared" si="0"/>
        <v>0</v>
      </c>
      <c r="AV14" s="53">
        <f t="shared" si="0"/>
        <v>119258.22933355771</v>
      </c>
      <c r="AW14" s="53">
        <f t="shared" si="9"/>
        <v>447650.08480313182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64717.155542494707</v>
      </c>
      <c r="BD14" s="53">
        <f t="shared" si="15"/>
        <v>0</v>
      </c>
      <c r="BE14" s="53">
        <f t="shared" si="16"/>
        <v>129295.67995114221</v>
      </c>
      <c r="BF14" s="53">
        <f t="shared" si="17"/>
        <v>482259.19807706529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>
        <f t="shared" si="2"/>
        <v>5.7783174591513129</v>
      </c>
      <c r="BM14" s="54"/>
      <c r="BN14" s="54">
        <f t="shared" si="19"/>
        <v>3.2838300461904764</v>
      </c>
      <c r="BO14" s="54">
        <f t="shared" si="22"/>
        <v>5.0401504926881842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>
        <f t="shared" si="3"/>
        <v>6.4717155542494709</v>
      </c>
      <c r="BV14" s="54"/>
      <c r="BW14" s="54">
        <f t="shared" si="4"/>
        <v>3.5602158529341481</v>
      </c>
      <c r="BX14" s="54">
        <f t="shared" si="21"/>
        <v>5.4298189977122151</v>
      </c>
    </row>
    <row r="15" spans="2:76" ht="18" customHeight="1" x14ac:dyDescent="0.3">
      <c r="B15" s="14">
        <v>11</v>
      </c>
      <c r="C15" s="53">
        <f>'2. Energy'!O20</f>
        <v>109758.54314001382</v>
      </c>
      <c r="D15" s="53">
        <f>'2. Energy'!P20</f>
        <v>15803.763027499999</v>
      </c>
      <c r="E15" s="53">
        <f>'2. Energy'!Q20</f>
        <v>93954.780112513821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10000</v>
      </c>
      <c r="L15" s="53">
        <f>'3. Nomination'!AC16</f>
        <v>0</v>
      </c>
      <c r="M15" s="53">
        <f>'3. Nomination'!AD16</f>
        <v>41454.780112513821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34702.174591513132</v>
      </c>
      <c r="AC15" s="53">
        <f>L15*'1. Rates'!Q51</f>
        <v>0</v>
      </c>
      <c r="AD15" s="53">
        <f>M15*'2. Energy'!N20</f>
        <v>136140.32385198545</v>
      </c>
      <c r="AE15" s="53">
        <f t="shared" si="6"/>
        <v>368563.89764724346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6933.9809509815759</v>
      </c>
      <c r="AL15" s="53">
        <f>(T15+AC15)*'1. Rates'!$I$60</f>
        <v>0</v>
      </c>
      <c r="AM15" s="53">
        <f>(U15+AD15)*'1. Rates'!$J$60</f>
        <v>11458.343674584046</v>
      </c>
      <c r="AN15" s="53">
        <f t="shared" si="7"/>
        <v>36030.006330932942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57783.174591513132</v>
      </c>
      <c r="AU15" s="53">
        <f t="shared" si="0"/>
        <v>0</v>
      </c>
      <c r="AV15" s="53">
        <f t="shared" si="0"/>
        <v>136140.32385198545</v>
      </c>
      <c r="AW15" s="53">
        <f t="shared" si="9"/>
        <v>464532.17932155955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64717.155542494707</v>
      </c>
      <c r="BD15" s="53">
        <f t="shared" si="15"/>
        <v>0</v>
      </c>
      <c r="BE15" s="53">
        <f t="shared" si="16"/>
        <v>147598.66752656951</v>
      </c>
      <c r="BF15" s="53">
        <f t="shared" si="17"/>
        <v>500562.18565249257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>
        <f t="shared" si="2"/>
        <v>5.7783174591513129</v>
      </c>
      <c r="BM15" s="54"/>
      <c r="BN15" s="54">
        <f t="shared" si="19"/>
        <v>3.2840681697619041</v>
      </c>
      <c r="BO15" s="54">
        <f t="shared" si="22"/>
        <v>4.9442101696717033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>
        <f t="shared" si="3"/>
        <v>6.4717155542494709</v>
      </c>
      <c r="BV15" s="54"/>
      <c r="BW15" s="54">
        <f t="shared" si="4"/>
        <v>3.5604740183391872</v>
      </c>
      <c r="BX15" s="54">
        <f t="shared" si="21"/>
        <v>5.3276925884244903</v>
      </c>
    </row>
    <row r="16" spans="2:76" ht="18" customHeight="1" x14ac:dyDescent="0.3">
      <c r="B16" s="14">
        <v>12</v>
      </c>
      <c r="C16" s="53">
        <f>'2. Energy'!O21</f>
        <v>110952.64180655002</v>
      </c>
      <c r="D16" s="53">
        <f>'2. Energy'!P21</f>
        <v>15356.766177052188</v>
      </c>
      <c r="E16" s="53">
        <f>'2. Energy'!Q21</f>
        <v>95595.875629497838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10000</v>
      </c>
      <c r="L16" s="53">
        <f>'3. Nomination'!AC17</f>
        <v>0</v>
      </c>
      <c r="M16" s="53">
        <f>'3. Nomination'!AD17</f>
        <v>43095.875629497838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34702.174591513132</v>
      </c>
      <c r="AC16" s="53">
        <f>L16*'1. Rates'!Q52</f>
        <v>0</v>
      </c>
      <c r="AD16" s="53">
        <f>M16*'2. Energy'!N21</f>
        <v>117945.77690704474</v>
      </c>
      <c r="AE16" s="53">
        <f t="shared" si="6"/>
        <v>350369.35070230276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6933.9809509815759</v>
      </c>
      <c r="AL16" s="53">
        <f>(T16+AC16)*'1. Rates'!$I$60</f>
        <v>0</v>
      </c>
      <c r="AM16" s="53">
        <f>(U16+AD16)*'1. Rates'!$J$60</f>
        <v>9926.987159484619</v>
      </c>
      <c r="AN16" s="53">
        <f t="shared" si="7"/>
        <v>34498.649815833516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57783.174591513132</v>
      </c>
      <c r="AU16" s="53">
        <f t="shared" si="0"/>
        <v>0</v>
      </c>
      <c r="AV16" s="53">
        <f t="shared" si="0"/>
        <v>117945.77690704474</v>
      </c>
      <c r="AW16" s="53">
        <f t="shared" si="9"/>
        <v>446337.63237661886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64717.155542494707</v>
      </c>
      <c r="BD16" s="53">
        <f t="shared" si="15"/>
        <v>0</v>
      </c>
      <c r="BE16" s="53">
        <f t="shared" si="16"/>
        <v>127872.76406652936</v>
      </c>
      <c r="BF16" s="53">
        <f t="shared" si="17"/>
        <v>480836.2821924524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>
        <f t="shared" si="2"/>
        <v>5.7783174591513129</v>
      </c>
      <c r="BM16" s="54"/>
      <c r="BN16" s="54">
        <f t="shared" si="19"/>
        <v>2.736822844047619</v>
      </c>
      <c r="BO16" s="54">
        <f t="shared" si="22"/>
        <v>4.6690051159371704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>
        <f t="shared" si="3"/>
        <v>6.4717155542494709</v>
      </c>
      <c r="BV16" s="54"/>
      <c r="BW16" s="54">
        <f t="shared" si="4"/>
        <v>2.9671694146760594</v>
      </c>
      <c r="BX16" s="54">
        <f t="shared" si="21"/>
        <v>5.0298852228315347</v>
      </c>
    </row>
    <row r="17" spans="2:76" ht="18" customHeight="1" x14ac:dyDescent="0.3">
      <c r="B17" s="14">
        <v>13</v>
      </c>
      <c r="C17" s="53">
        <f>'2. Energy'!O22</f>
        <v>109732.66179467294</v>
      </c>
      <c r="D17" s="53">
        <f>'2. Energy'!P22</f>
        <v>15684.200596604416</v>
      </c>
      <c r="E17" s="53">
        <f>'2. Energy'!Q22</f>
        <v>94048.461198068515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10000</v>
      </c>
      <c r="L17" s="53">
        <f>'3. Nomination'!AC18</f>
        <v>0</v>
      </c>
      <c r="M17" s="53">
        <f>'3. Nomination'!AD18</f>
        <v>41548.461198068515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34702.174591513132</v>
      </c>
      <c r="AC17" s="53">
        <f>L17*'1. Rates'!Q53</f>
        <v>0</v>
      </c>
      <c r="AD17" s="53">
        <f>M17*'2. Energy'!N22</f>
        <v>115444.82617563457</v>
      </c>
      <c r="AE17" s="53">
        <f t="shared" si="6"/>
        <v>347868.39997089258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6933.9809509815759</v>
      </c>
      <c r="AL17" s="53">
        <f>(T17+AC17)*'1. Rates'!$I$60</f>
        <v>0</v>
      </c>
      <c r="AM17" s="53">
        <f>(U17+AD17)*'1. Rates'!$J$60</f>
        <v>9716.492926895191</v>
      </c>
      <c r="AN17" s="53">
        <f t="shared" si="7"/>
        <v>34288.155583244086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57783.174591513132</v>
      </c>
      <c r="AU17" s="53">
        <f t="shared" si="0"/>
        <v>0</v>
      </c>
      <c r="AV17" s="53">
        <f t="shared" si="0"/>
        <v>115444.82617563457</v>
      </c>
      <c r="AW17" s="53">
        <f t="shared" si="9"/>
        <v>443836.68164520868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64717.155542494707</v>
      </c>
      <c r="BD17" s="53">
        <f t="shared" si="15"/>
        <v>0</v>
      </c>
      <c r="BE17" s="53">
        <f t="shared" si="16"/>
        <v>125161.31910252977</v>
      </c>
      <c r="BF17" s="53">
        <f t="shared" si="17"/>
        <v>478124.83722845285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>
        <f t="shared" si="2"/>
        <v>5.7783174591513129</v>
      </c>
      <c r="BM17" s="54"/>
      <c r="BN17" s="54">
        <f t="shared" si="19"/>
        <v>2.7785584073809528</v>
      </c>
      <c r="BO17" s="54">
        <f t="shared" si="22"/>
        <v>4.7192338502006645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>
        <f t="shared" si="3"/>
        <v>6.4717155542494709</v>
      </c>
      <c r="BV17" s="54"/>
      <c r="BW17" s="54">
        <f t="shared" si="4"/>
        <v>3.0124176803050462</v>
      </c>
      <c r="BX17" s="54">
        <f t="shared" si="21"/>
        <v>5.0838135056937235</v>
      </c>
    </row>
    <row r="18" spans="2:76" ht="18" customHeight="1" x14ac:dyDescent="0.3">
      <c r="B18" s="14">
        <v>14</v>
      </c>
      <c r="C18" s="53">
        <f>'2. Energy'!O23</f>
        <v>115326.998274841</v>
      </c>
      <c r="D18" s="53">
        <f>'2. Energy'!P23</f>
        <v>15389.181170074999</v>
      </c>
      <c r="E18" s="53">
        <f>'2. Energy'!Q23</f>
        <v>99937.817104766</v>
      </c>
      <c r="F18" s="53">
        <f>'3. Nomination'!W19</f>
        <v>10000</v>
      </c>
      <c r="G18" s="53">
        <f>'3. Nomination'!X19</f>
        <v>2500</v>
      </c>
      <c r="H18" s="53">
        <f>'3. Nomination'!Y19</f>
        <v>5000</v>
      </c>
      <c r="I18" s="53">
        <f>'3. Nomination'!Z19</f>
        <v>5000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47437.817104766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32827.227958873475</v>
      </c>
      <c r="X18" s="53">
        <f>G18*'1. Rates'!D$56</f>
        <v>8206.8069897183686</v>
      </c>
      <c r="Y18" s="53">
        <f>H18*'1. Rates'!E$56</f>
        <v>16529.682127576514</v>
      </c>
      <c r="Z18" s="53">
        <f>I18*'1. Rates'!F$56</f>
        <v>16529.682127576514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159613.83021955358</v>
      </c>
      <c r="AE18" s="53">
        <f t="shared" si="6"/>
        <v>392037.40401481162</v>
      </c>
      <c r="AF18" s="53">
        <f>(N18+W18)*'1. Rates'!C$60</f>
        <v>7817.9181013334737</v>
      </c>
      <c r="AG18" s="53">
        <f>(O18+X18)*'1. Rates'!D$60</f>
        <v>1954.4795253333684</v>
      </c>
      <c r="AH18" s="53">
        <f>(P18+Y18)*'1. Rates'!E$60</f>
        <v>3906.122039350239</v>
      </c>
      <c r="AI18" s="53">
        <f>(Q18+Z18)*'1. Rates'!F$60</f>
        <v>3959.162039350239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13434.007427959275</v>
      </c>
      <c r="AN18" s="53">
        <f t="shared" si="7"/>
        <v>38005.670084308171</v>
      </c>
      <c r="AO18" s="53">
        <f t="shared" si="8"/>
        <v>65149.317511112284</v>
      </c>
      <c r="AP18" s="53">
        <f t="shared" si="0"/>
        <v>16287.329377778071</v>
      </c>
      <c r="AQ18" s="53">
        <f t="shared" si="0"/>
        <v>32551.016994585327</v>
      </c>
      <c r="AR18" s="53">
        <f t="shared" si="0"/>
        <v>32993.016994585327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159613.83021955358</v>
      </c>
      <c r="AW18" s="53">
        <f t="shared" si="9"/>
        <v>488005.68568912765</v>
      </c>
      <c r="AX18" s="53">
        <f t="shared" si="10"/>
        <v>72967.235612445758</v>
      </c>
      <c r="AY18" s="53">
        <f t="shared" si="11"/>
        <v>18241.80890311144</v>
      </c>
      <c r="AZ18" s="53">
        <f t="shared" si="12"/>
        <v>36457.139033935564</v>
      </c>
      <c r="BA18" s="53">
        <f t="shared" si="13"/>
        <v>36952.179033935565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173047.83764751285</v>
      </c>
      <c r="BF18" s="53">
        <f t="shared" si="17"/>
        <v>526011.35577343591</v>
      </c>
      <c r="BG18" s="54">
        <f t="shared" si="18"/>
        <v>6.5149317511112281</v>
      </c>
      <c r="BH18" s="54">
        <f t="shared" si="2"/>
        <v>6.5149317511112281</v>
      </c>
      <c r="BI18" s="54">
        <f t="shared" si="2"/>
        <v>6.5102033989170653</v>
      </c>
      <c r="BJ18" s="54">
        <f t="shared" si="2"/>
        <v>6.5986033989170654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3.3646959316666667</v>
      </c>
      <c r="BO18" s="54">
        <f t="shared" si="22"/>
        <v>4.8830933056857297</v>
      </c>
      <c r="BP18" s="54">
        <f t="shared" si="20"/>
        <v>7.2967235612445762</v>
      </c>
      <c r="BQ18" s="54">
        <f t="shared" si="3"/>
        <v>7.2967235612445762</v>
      </c>
      <c r="BR18" s="54">
        <f t="shared" si="3"/>
        <v>7.2914278067871132</v>
      </c>
      <c r="BS18" s="54">
        <f t="shared" si="3"/>
        <v>7.3904358067871128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3.6478878710910796</v>
      </c>
      <c r="BX18" s="54">
        <f t="shared" si="21"/>
        <v>5.2633864838373645</v>
      </c>
    </row>
    <row r="19" spans="2:76" ht="18" customHeight="1" x14ac:dyDescent="0.3">
      <c r="B19" s="14">
        <v>15</v>
      </c>
      <c r="C19" s="53">
        <f>'2. Energy'!O24</f>
        <v>115652.62720632897</v>
      </c>
      <c r="D19" s="53">
        <f>'2. Energy'!P24</f>
        <v>15212.334749999993</v>
      </c>
      <c r="E19" s="53">
        <f>'2. Energy'!Q24</f>
        <v>100440.29245632897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25440.292456328971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89556.329580316436</v>
      </c>
      <c r="AE19" s="53">
        <f t="shared" si="6"/>
        <v>396073.30257931928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7537.5698656428422</v>
      </c>
      <c r="AN19" s="53">
        <f t="shared" si="7"/>
        <v>41000.440426441121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89556.329580316436</v>
      </c>
      <c r="AW19" s="53">
        <f t="shared" si="9"/>
        <v>492041.58425363543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97093.89944595928</v>
      </c>
      <c r="BF19" s="53">
        <f t="shared" si="17"/>
        <v>533042.02468007652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3.5202555054761895</v>
      </c>
      <c r="BO19" s="54">
        <f t="shared" si="22"/>
        <v>4.8988465905510292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3.8165402230588157</v>
      </c>
      <c r="BX19" s="54">
        <f t="shared" si="21"/>
        <v>5.3070536897514611</v>
      </c>
    </row>
    <row r="20" spans="2:76" ht="18" customHeight="1" x14ac:dyDescent="0.3">
      <c r="B20" s="14">
        <v>16</v>
      </c>
      <c r="C20" s="53">
        <f>'2. Energy'!O25</f>
        <v>115338.51355052638</v>
      </c>
      <c r="D20" s="53">
        <f>'2. Energy'!P25</f>
        <v>15482.833749999993</v>
      </c>
      <c r="E20" s="53">
        <f>'2. Energy'!Q25</f>
        <v>99855.679800526384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24855.679800526384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93432.322515953667</v>
      </c>
      <c r="AE20" s="53">
        <f t="shared" si="6"/>
        <v>399949.29551495652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7863.7954678757078</v>
      </c>
      <c r="AN20" s="53">
        <f t="shared" si="7"/>
        <v>41326.666028673986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93432.322515953667</v>
      </c>
      <c r="AW20" s="53">
        <f t="shared" si="9"/>
        <v>495917.57718927268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101296.11798382938</v>
      </c>
      <c r="BF20" s="53">
        <f t="shared" si="17"/>
        <v>537244.24321794661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3.7589928445238097</v>
      </c>
      <c r="BO20" s="54">
        <f t="shared" si="22"/>
        <v>4.9663432083175145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4.0753710538902324</v>
      </c>
      <c r="BX20" s="54">
        <f t="shared" si="21"/>
        <v>5.3802071578818147</v>
      </c>
    </row>
    <row r="21" spans="2:76" ht="18" customHeight="1" x14ac:dyDescent="0.3">
      <c r="B21" s="14">
        <v>17</v>
      </c>
      <c r="C21" s="53">
        <f>'2. Energy'!O26</f>
        <v>110969.11839188177</v>
      </c>
      <c r="D21" s="53">
        <f>'2. Energy'!P26</f>
        <v>15841.904999999999</v>
      </c>
      <c r="E21" s="53">
        <f>'2. Energy'!Q26</f>
        <v>95127.213391881771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20127.213391881771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77548.146103616629</v>
      </c>
      <c r="AE21" s="53">
        <f t="shared" si="6"/>
        <v>384065.11910261947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6526.8928722996889</v>
      </c>
      <c r="AN21" s="53">
        <f t="shared" si="7"/>
        <v>39989.763433097964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77548.146103616629</v>
      </c>
      <c r="AW21" s="53">
        <f t="shared" si="9"/>
        <v>480033.40077693562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84075.038975916323</v>
      </c>
      <c r="BF21" s="53">
        <f t="shared" si="17"/>
        <v>520023.1642100336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3.852900279523809</v>
      </c>
      <c r="BO21" s="54">
        <f t="shared" si="22"/>
        <v>5.0462258239333861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4.1771822725259939</v>
      </c>
      <c r="BX21" s="54">
        <f t="shared" si="21"/>
        <v>5.4666077736112131</v>
      </c>
    </row>
    <row r="22" spans="2:76" ht="18" customHeight="1" x14ac:dyDescent="0.3">
      <c r="B22" s="14">
        <v>18</v>
      </c>
      <c r="C22" s="53">
        <f>'2. Energy'!O27</f>
        <v>104126.44579715612</v>
      </c>
      <c r="D22" s="53">
        <f>'2. Energy'!P27</f>
        <v>15704.025249999993</v>
      </c>
      <c r="E22" s="53">
        <f>'2. Energy'!Q27</f>
        <v>88422.420547156129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13422.420547156129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60876.590917684705</v>
      </c>
      <c r="AE22" s="53">
        <f t="shared" si="6"/>
        <v>367393.56391668756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5123.7200025341372</v>
      </c>
      <c r="AN22" s="53">
        <f t="shared" si="7"/>
        <v>38586.590563332415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60876.590917684705</v>
      </c>
      <c r="AW22" s="53">
        <f t="shared" si="9"/>
        <v>463361.84559100372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66000.31092021885</v>
      </c>
      <c r="BF22" s="53">
        <f t="shared" si="17"/>
        <v>501948.43615433609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4.5354405864285718</v>
      </c>
      <c r="BO22" s="54">
        <f t="shared" si="22"/>
        <v>5.2403207548914645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4.9171690522096361</v>
      </c>
      <c r="BX22" s="54">
        <f t="shared" si="21"/>
        <v>5.6767099684479279</v>
      </c>
    </row>
    <row r="23" spans="2:76" ht="18" customHeight="1" x14ac:dyDescent="0.3">
      <c r="B23" s="14">
        <v>19</v>
      </c>
      <c r="C23" s="53">
        <f>'2. Energy'!O28</f>
        <v>103329.78747167872</v>
      </c>
      <c r="D23" s="53">
        <f>'2. Energy'!P28</f>
        <v>14920.287499999997</v>
      </c>
      <c r="E23" s="53">
        <f>'2. Energy'!Q28</f>
        <v>88409.499971678728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13409.499971678728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58527.715429523516</v>
      </c>
      <c r="AE23" s="53">
        <f t="shared" si="6"/>
        <v>365044.68842852634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4926.0252870329541</v>
      </c>
      <c r="AN23" s="53">
        <f t="shared" si="7"/>
        <v>38388.895847831234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58527.715429523516</v>
      </c>
      <c r="AW23" s="53">
        <f t="shared" si="9"/>
        <v>461012.97010284249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63453.740716556473</v>
      </c>
      <c r="BF23" s="53">
        <f t="shared" si="17"/>
        <v>499401.86595067376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4.3646456283333332</v>
      </c>
      <c r="BO23" s="54">
        <f t="shared" si="22"/>
        <v>5.2145184652161172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4.7319990193946611</v>
      </c>
      <c r="BX23" s="54">
        <f t="shared" si="21"/>
        <v>5.6487353294685878</v>
      </c>
    </row>
    <row r="24" spans="2:76" ht="18" customHeight="1" x14ac:dyDescent="0.3">
      <c r="B24" s="14">
        <v>20</v>
      </c>
      <c r="C24" s="53">
        <f>'2. Energy'!O29</f>
        <v>97391.708733461855</v>
      </c>
      <c r="D24" s="53">
        <f>'2. Energy'!P29</f>
        <v>13503.043999999998</v>
      </c>
      <c r="E24" s="53">
        <f>'2. Energy'!Q29</f>
        <v>83888.664733461861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8888.664733461861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32369.037645951641</v>
      </c>
      <c r="AE24" s="53">
        <f t="shared" si="6"/>
        <v>338886.01064495451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2724.3622408751439</v>
      </c>
      <c r="AN24" s="53">
        <f t="shared" si="7"/>
        <v>36187.232801673425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32369.037645951641</v>
      </c>
      <c r="AW24" s="53">
        <f t="shared" si="9"/>
        <v>434854.29231927067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35093.399886826788</v>
      </c>
      <c r="BF24" s="53">
        <f t="shared" si="17"/>
        <v>471041.52512094408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3.6416085673809522</v>
      </c>
      <c r="BO24" s="54">
        <f t="shared" si="22"/>
        <v>5.1837074019586122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3.9481070486004248</v>
      </c>
      <c r="BX24" s="54">
        <f t="shared" si="21"/>
        <v>5.6150795416469785</v>
      </c>
    </row>
    <row r="25" spans="2:76" ht="18" customHeight="1" x14ac:dyDescent="0.3">
      <c r="B25" s="14">
        <v>21</v>
      </c>
      <c r="C25" s="53">
        <f>'2. Energy'!O30</f>
        <v>94569.080657465325</v>
      </c>
      <c r="D25" s="53">
        <f>'2. Energy'!P30</f>
        <v>11785.555</v>
      </c>
      <c r="E25" s="53">
        <f>'2. Energy'!Q30</f>
        <v>82783.525657465332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7783.5256574653322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29410.624030493673</v>
      </c>
      <c r="AE25" s="53">
        <f t="shared" si="6"/>
        <v>335927.59702949651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2475.3653310812365</v>
      </c>
      <c r="AN25" s="53">
        <f t="shared" si="7"/>
        <v>35938.235891879514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29410.624030493673</v>
      </c>
      <c r="AW25" s="53">
        <f t="shared" si="9"/>
        <v>431895.87870381266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31885.98936157491</v>
      </c>
      <c r="BF25" s="53">
        <f t="shared" si="17"/>
        <v>467834.1145956922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3.7785735314285716</v>
      </c>
      <c r="BO25" s="54">
        <f t="shared" si="22"/>
        <v>5.2171718379194783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4.0965997627299435</v>
      </c>
      <c r="BX25" s="54">
        <f t="shared" si="21"/>
        <v>5.6512948787836921</v>
      </c>
    </row>
    <row r="26" spans="2:76" ht="18" customHeight="1" x14ac:dyDescent="0.3">
      <c r="B26" s="14">
        <v>22</v>
      </c>
      <c r="C26" s="53">
        <f>'2. Energy'!O31</f>
        <v>88841.263680646371</v>
      </c>
      <c r="D26" s="53">
        <f>'2. Energy'!P31</f>
        <v>8515.1389999999992</v>
      </c>
      <c r="E26" s="53">
        <f>'2. Energy'!Q31</f>
        <v>80326.124680646375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5326.1246806463751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18676.259436336208</v>
      </c>
      <c r="AE26" s="53">
        <f t="shared" si="6"/>
        <v>325193.23243533907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1571.9001771282526</v>
      </c>
      <c r="AN26" s="53">
        <f t="shared" si="7"/>
        <v>35034.770737926527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18676.259436336208</v>
      </c>
      <c r="AW26" s="53">
        <f t="shared" si="9"/>
        <v>421161.51410965523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20248.159613464461</v>
      </c>
      <c r="BF26" s="53">
        <f t="shared" si="17"/>
        <v>456196.2848475817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3.5065381597619059</v>
      </c>
      <c r="BO26" s="54">
        <f t="shared" si="22"/>
        <v>5.2431449392594569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3.8016683475399149</v>
      </c>
      <c r="BX26" s="54">
        <f t="shared" si="21"/>
        <v>5.6793015555186717</v>
      </c>
    </row>
    <row r="27" spans="2:76" ht="18" customHeight="1" x14ac:dyDescent="0.3">
      <c r="B27" s="14">
        <v>23</v>
      </c>
      <c r="C27" s="53">
        <f>'2. Energy'!O32</f>
        <v>82961.811814918517</v>
      </c>
      <c r="D27" s="53">
        <f>'2. Energy'!P32</f>
        <v>6194.6794999999993</v>
      </c>
      <c r="E27" s="53">
        <f>'2. Energy'!Q32</f>
        <v>76767.132314918519</v>
      </c>
      <c r="F27" s="53">
        <f>'3. Nomination'!W28</f>
        <v>10000</v>
      </c>
      <c r="G27" s="53">
        <f>'3. Nomination'!X28</f>
        <v>2500</v>
      </c>
      <c r="H27" s="53">
        <f>'3. Nomination'!Y28</f>
        <v>5000</v>
      </c>
      <c r="I27" s="53">
        <f>'3. Nomination'!Z28</f>
        <v>5000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24267.132314918519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32827.227958873475</v>
      </c>
      <c r="X27" s="53">
        <f>G27*'1. Rates'!D$56</f>
        <v>8206.8069897183686</v>
      </c>
      <c r="Y27" s="53">
        <f>H27*'1. Rates'!E$56</f>
        <v>16529.682127576514</v>
      </c>
      <c r="Z27" s="53">
        <f>I27*'1. Rates'!F$56</f>
        <v>16529.682127576514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81284.549308937363</v>
      </c>
      <c r="AE27" s="53">
        <f t="shared" si="6"/>
        <v>313708.12310419534</v>
      </c>
      <c r="AF27" s="53">
        <f>(N27+W27)*'1. Rates'!C$60</f>
        <v>7817.9181013334737</v>
      </c>
      <c r="AG27" s="53">
        <f>(O27+X27)*'1. Rates'!D$60</f>
        <v>1954.4795253333684</v>
      </c>
      <c r="AH27" s="53">
        <f>(P27+Y27)*'1. Rates'!E$60</f>
        <v>3906.122039350239</v>
      </c>
      <c r="AI27" s="53">
        <f>(Q27+Z27)*'1. Rates'!F$60</f>
        <v>3959.162039350239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6841.3698091984843</v>
      </c>
      <c r="AN27" s="53">
        <f t="shared" si="7"/>
        <v>31413.032465547378</v>
      </c>
      <c r="AO27" s="53">
        <f t="shared" si="8"/>
        <v>65149.317511112284</v>
      </c>
      <c r="AP27" s="53">
        <f t="shared" si="23"/>
        <v>16287.329377778071</v>
      </c>
      <c r="AQ27" s="53">
        <f t="shared" si="24"/>
        <v>32551.016994585327</v>
      </c>
      <c r="AR27" s="53">
        <f t="shared" si="25"/>
        <v>32993.016994585327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81284.549308937363</v>
      </c>
      <c r="AW27" s="53">
        <f t="shared" si="9"/>
        <v>409676.4047785115</v>
      </c>
      <c r="AX27" s="53">
        <f t="shared" si="10"/>
        <v>72967.235612445758</v>
      </c>
      <c r="AY27" s="53">
        <f t="shared" si="11"/>
        <v>18241.80890311144</v>
      </c>
      <c r="AZ27" s="53">
        <f t="shared" si="12"/>
        <v>36457.139033935564</v>
      </c>
      <c r="BA27" s="53">
        <f t="shared" si="13"/>
        <v>36952.179033935565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88125.919118135847</v>
      </c>
      <c r="BF27" s="53">
        <f t="shared" si="17"/>
        <v>441089.43724405894</v>
      </c>
      <c r="BG27" s="54">
        <f t="shared" si="18"/>
        <v>6.5149317511112281</v>
      </c>
      <c r="BH27" s="54">
        <f t="shared" si="29"/>
        <v>6.5149317511112281</v>
      </c>
      <c r="BI27" s="54">
        <f t="shared" si="30"/>
        <v>6.5102033989170653</v>
      </c>
      <c r="BJ27" s="54">
        <f t="shared" si="31"/>
        <v>6.5986033989170654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3.3495737466666666</v>
      </c>
      <c r="BO27" s="54">
        <f t="shared" si="22"/>
        <v>5.3366120685336211</v>
      </c>
      <c r="BP27" s="54">
        <f t="shared" si="20"/>
        <v>7.2967235612445762</v>
      </c>
      <c r="BQ27" s="54">
        <f t="shared" si="32"/>
        <v>7.2967235612445762</v>
      </c>
      <c r="BR27" s="54">
        <f t="shared" si="33"/>
        <v>7.2914278067871132</v>
      </c>
      <c r="BS27" s="54">
        <f t="shared" si="34"/>
        <v>7.3904358067871128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3.6314929170250312</v>
      </c>
      <c r="BX27" s="54">
        <f t="shared" si="21"/>
        <v>5.7458110514614074</v>
      </c>
    </row>
    <row r="28" spans="2:76" ht="18" customHeight="1" x14ac:dyDescent="0.3">
      <c r="B28" s="14">
        <v>24</v>
      </c>
      <c r="C28" s="53">
        <f>'2. Energy'!O33</f>
        <v>78646.160010168867</v>
      </c>
      <c r="D28" s="53">
        <f>'2. Energy'!P33</f>
        <v>5691.5544999999984</v>
      </c>
      <c r="E28" s="53">
        <f>'2. Energy'!Q33</f>
        <v>72954.605510168869</v>
      </c>
      <c r="F28" s="53">
        <f>'3. Nomination'!W29</f>
        <v>10000</v>
      </c>
      <c r="G28" s="53">
        <f>'3. Nomination'!X29</f>
        <v>2500</v>
      </c>
      <c r="H28" s="53">
        <f>'3. Nomination'!Y29</f>
        <v>5000</v>
      </c>
      <c r="I28" s="53">
        <f>'3. Nomination'!Z29</f>
        <v>5000</v>
      </c>
      <c r="J28" s="53">
        <f>'3. Nomination'!AA29</f>
        <v>0</v>
      </c>
      <c r="K28" s="53">
        <f>'3. Nomination'!AB29</f>
        <v>0</v>
      </c>
      <c r="L28" s="53">
        <f>'3. Nomination'!AC29</f>
        <v>0</v>
      </c>
      <c r="M28" s="53">
        <f>'3. Nomination'!AD29</f>
        <v>50454.605510168869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32827.227958873475</v>
      </c>
      <c r="X28" s="53">
        <f>G28*'1. Rates'!D$56</f>
        <v>8206.8069897183686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0</v>
      </c>
      <c r="AB28" s="53">
        <f>K28*'1. Rates'!H$56</f>
        <v>0</v>
      </c>
      <c r="AC28" s="53">
        <f>L28*'1. Rates'!Q64</f>
        <v>0</v>
      </c>
      <c r="AD28" s="53">
        <f>M28*'2. Energy'!N33</f>
        <v>143139.44050637199</v>
      </c>
      <c r="AE28" s="53">
        <f t="shared" si="6"/>
        <v>217232.83971011685</v>
      </c>
      <c r="AF28" s="53">
        <f>(N28+W28)*'1. Rates'!C$60</f>
        <v>7817.9181013334737</v>
      </c>
      <c r="AG28" s="53">
        <f>(O28+X28)*'1. Rates'!D$60</f>
        <v>1954.4795253333684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2769.72</v>
      </c>
      <c r="AL28" s="53">
        <f>(T28+AC28)*'1. Rates'!$I$60</f>
        <v>0</v>
      </c>
      <c r="AM28" s="53">
        <f>(U28+AD28)*'1. Rates'!$J$60</f>
        <v>12047.429125355115</v>
      </c>
      <c r="AN28" s="53">
        <f t="shared" si="7"/>
        <v>32454.830830722436</v>
      </c>
      <c r="AO28" s="53">
        <f t="shared" si="8"/>
        <v>65149.317511112284</v>
      </c>
      <c r="AP28" s="53">
        <f t="shared" si="23"/>
        <v>16287.329377778071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0</v>
      </c>
      <c r="AT28" s="53">
        <f t="shared" si="26"/>
        <v>23081</v>
      </c>
      <c r="AU28" s="53">
        <f t="shared" si="27"/>
        <v>0</v>
      </c>
      <c r="AV28" s="53">
        <f t="shared" si="28"/>
        <v>143139.44050637199</v>
      </c>
      <c r="AW28" s="53">
        <f t="shared" si="9"/>
        <v>313201.12138443301</v>
      </c>
      <c r="AX28" s="53">
        <f t="shared" si="10"/>
        <v>72967.235612445758</v>
      </c>
      <c r="AY28" s="53">
        <f t="shared" si="11"/>
        <v>18241.80890311144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0</v>
      </c>
      <c r="BC28" s="53">
        <f t="shared" si="14"/>
        <v>25850.720000000001</v>
      </c>
      <c r="BD28" s="53">
        <f t="shared" si="15"/>
        <v>0</v>
      </c>
      <c r="BE28" s="53">
        <f t="shared" si="16"/>
        <v>155186.86963172711</v>
      </c>
      <c r="BF28" s="53">
        <f t="shared" si="17"/>
        <v>345655.95221515547</v>
      </c>
      <c r="BG28" s="54">
        <f t="shared" si="18"/>
        <v>6.5149317511112281</v>
      </c>
      <c r="BH28" s="54">
        <f t="shared" si="29"/>
        <v>6.5149317511112281</v>
      </c>
      <c r="BI28" s="54">
        <f t="shared" si="30"/>
        <v>6.5102033989170653</v>
      </c>
      <c r="BJ28" s="54">
        <f t="shared" si="31"/>
        <v>6.5986033989170654</v>
      </c>
      <c r="BK28" s="54" t="e">
        <f t="shared" si="31"/>
        <v>#DIV/0!</v>
      </c>
      <c r="BL28" s="54" t="e">
        <f t="shared" si="31"/>
        <v>#DIV/0!</v>
      </c>
      <c r="BM28" s="54"/>
      <c r="BN28" s="54">
        <f t="shared" si="19"/>
        <v>2.8369945430952375</v>
      </c>
      <c r="BO28" s="54">
        <f t="shared" si="22"/>
        <v>4.2930959491073812</v>
      </c>
      <c r="BP28" s="54">
        <f>AX28/F28</f>
        <v>7.2967235612445762</v>
      </c>
      <c r="BQ28" s="54">
        <f t="shared" si="32"/>
        <v>7.2967235612445762</v>
      </c>
      <c r="BR28" s="54">
        <f t="shared" si="33"/>
        <v>7.2914278067871132</v>
      </c>
      <c r="BS28" s="54">
        <f t="shared" si="34"/>
        <v>7.3904358067871128</v>
      </c>
      <c r="BT28" s="54" t="e">
        <f t="shared" si="34"/>
        <v>#DIV/0!</v>
      </c>
      <c r="BU28" s="54" t="e">
        <f t="shared" si="34"/>
        <v>#DIV/0!</v>
      </c>
      <c r="BV28" s="54"/>
      <c r="BW28" s="54">
        <f t="shared" si="35"/>
        <v>3.0757721334368573</v>
      </c>
      <c r="BX28" s="54">
        <f t="shared" si="21"/>
        <v>4.7379593076817583</v>
      </c>
    </row>
    <row r="29" spans="2:76" ht="21" customHeight="1" x14ac:dyDescent="0.3">
      <c r="B29" s="55" t="s">
        <v>137</v>
      </c>
      <c r="C29" s="56">
        <f t="shared" ref="C29:D29" si="36">SUM(C5:C28)</f>
        <v>2181784.4966972796</v>
      </c>
      <c r="D29" s="56">
        <f t="shared" si="36"/>
        <v>255145.87645456998</v>
      </c>
      <c r="E29" s="56">
        <f>SUM(E5:E28)</f>
        <v>1926638.6202427098</v>
      </c>
      <c r="F29" s="56">
        <f t="shared" ref="F29:L29" si="37">SUM(F5:F28)</f>
        <v>320000</v>
      </c>
      <c r="G29" s="56">
        <f t="shared" si="37"/>
        <v>80000</v>
      </c>
      <c r="H29" s="56">
        <f t="shared" si="37"/>
        <v>160000</v>
      </c>
      <c r="I29" s="56">
        <f t="shared" si="37"/>
        <v>160000</v>
      </c>
      <c r="J29" s="56">
        <f t="shared" si="37"/>
        <v>340000</v>
      </c>
      <c r="K29" s="56">
        <f t="shared" si="37"/>
        <v>140000</v>
      </c>
      <c r="L29" s="56">
        <f t="shared" si="37"/>
        <v>0</v>
      </c>
      <c r="M29" s="56">
        <f>SUM(M5:M28)</f>
        <v>726638.62024270988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1050471.2946839517</v>
      </c>
      <c r="X29" s="56">
        <f t="shared" ref="X29" si="45">SUM(X5:X28)</f>
        <v>262617.82367098791</v>
      </c>
      <c r="Y29" s="56">
        <f t="shared" ref="Y29" si="46">SUM(Y5:Y28)</f>
        <v>528949.82808244869</v>
      </c>
      <c r="Z29" s="56">
        <f t="shared" ref="Z29" si="47">SUM(Z5:Z28)</f>
        <v>528949.82808244869</v>
      </c>
      <c r="AA29" s="56">
        <f t="shared" ref="AA29" si="48">SUM(AA5:AA28)</f>
        <v>2101676</v>
      </c>
      <c r="AB29" s="56">
        <f t="shared" ref="AB29" si="49">SUM(AB5:AB28)</f>
        <v>485830.44428118371</v>
      </c>
      <c r="AC29" s="56">
        <f t="shared" ref="AC29" si="50">SUM(AC5:AC28)</f>
        <v>0</v>
      </c>
      <c r="AD29" s="56">
        <f t="shared" ref="AD29" si="51">SUM(AD5:AD28)</f>
        <v>2207333.0907817418</v>
      </c>
      <c r="AE29" s="56">
        <f t="shared" ref="AE29" si="52">SUM(AE5:AE28)</f>
        <v>7165828.3095827643</v>
      </c>
      <c r="AF29" s="56">
        <f t="shared" ref="AF29" si="53">SUM(AF5:AF28)</f>
        <v>219144.17327252188</v>
      </c>
      <c r="AG29" s="56">
        <f t="shared" ref="AG29" si="54">SUM(AG5:AG28)</f>
        <v>54786.043318130469</v>
      </c>
      <c r="AH29" s="56">
        <f t="shared" ref="AH29" si="55">SUM(AH5:AH28)</f>
        <v>109615.42378687918</v>
      </c>
      <c r="AI29" s="56">
        <f t="shared" ref="AI29" si="56">SUM(AI5:AI28)</f>
        <v>110888.38378687915</v>
      </c>
      <c r="AJ29" s="56">
        <f t="shared" ref="AJ29" si="57">SUM(AJ5:AJ28)</f>
        <v>0</v>
      </c>
      <c r="AK29" s="56">
        <f t="shared" ref="AK29" si="58">SUM(AK5:AK28)</f>
        <v>124772.93331374212</v>
      </c>
      <c r="AL29" s="56">
        <f t="shared" ref="AL29" si="59">SUM(AL5:AL28)</f>
        <v>0</v>
      </c>
      <c r="AM29" s="56">
        <f t="shared" ref="AM29" si="60">SUM(AM5:AM28)</f>
        <v>185781.70260530175</v>
      </c>
      <c r="AN29" s="56">
        <f t="shared" ref="AN29" si="61">SUM(AN5:AN28)</f>
        <v>804988.66008345468</v>
      </c>
      <c r="AO29" s="56">
        <f t="shared" ref="AO29" si="62">SUM(AO5:AO28)</f>
        <v>1826201.443937683</v>
      </c>
      <c r="AP29" s="56">
        <f t="shared" ref="AP29" si="63">SUM(AP5:AP28)</f>
        <v>456550.36098442075</v>
      </c>
      <c r="AQ29" s="56">
        <f t="shared" ref="AQ29" si="64">SUM(AQ5:AQ28)</f>
        <v>913461.86489066004</v>
      </c>
      <c r="AR29" s="56">
        <f t="shared" ref="AR29" si="65">SUM(AR5:AR28)</f>
        <v>924069.86489065993</v>
      </c>
      <c r="AS29" s="56">
        <f t="shared" ref="AS29" si="66">SUM(AS5:AS28)</f>
        <v>2101676</v>
      </c>
      <c r="AT29" s="56">
        <f t="shared" ref="AT29" si="67">SUM(AT5:AT28)</f>
        <v>1039774.4442811836</v>
      </c>
      <c r="AU29" s="56">
        <f t="shared" ref="AU29" si="68">SUM(AU5:AU28)</f>
        <v>0</v>
      </c>
      <c r="AV29" s="56">
        <f t="shared" ref="AV29" si="69">SUM(AV5:AV28)</f>
        <v>2207333.0907817418</v>
      </c>
      <c r="AW29" s="56">
        <f t="shared" ref="AW29" si="70">SUM(AW5:AW28)</f>
        <v>9469067.0697663501</v>
      </c>
      <c r="AX29" s="56">
        <f t="shared" ref="AX29" si="71">SUM(AX5:AX28)</f>
        <v>2045345.617210204</v>
      </c>
      <c r="AY29" s="56">
        <f t="shared" ref="AY29" si="72">SUM(AY5:AY28)</f>
        <v>511336.404302551</v>
      </c>
      <c r="AZ29" s="56">
        <f t="shared" ref="AZ29" si="73">SUM(AZ5:AZ28)</f>
        <v>1023077.288677539</v>
      </c>
      <c r="BA29" s="56">
        <f t="shared" ref="BA29" si="74">SUM(BA5:BA28)</f>
        <v>1034958.2486775389</v>
      </c>
      <c r="BB29" s="56">
        <f t="shared" ref="BB29" si="75">SUM(BB5:BB28)</f>
        <v>2101676</v>
      </c>
      <c r="BC29" s="56">
        <f t="shared" ref="BC29" si="76">SUM(BC5:BC28)</f>
        <v>1164547.3775949262</v>
      </c>
      <c r="BD29" s="56">
        <f t="shared" ref="BD29" si="77">SUM(BD5:BD28)</f>
        <v>0</v>
      </c>
      <c r="BE29" s="56">
        <f t="shared" ref="BE29" si="78">SUM(BE5:BE28)</f>
        <v>2393114.7933870447</v>
      </c>
      <c r="BF29" s="56">
        <f t="shared" ref="BF29" si="79">SUM(BF5:BF28)</f>
        <v>10274055.729849806</v>
      </c>
      <c r="BG29" s="58">
        <f t="shared" ref="BG29" si="80">AO29/F29</f>
        <v>5.7068795123052594</v>
      </c>
      <c r="BH29" s="58">
        <f t="shared" si="29"/>
        <v>5.7068795123052594</v>
      </c>
      <c r="BI29" s="58">
        <f t="shared" si="30"/>
        <v>5.709136655566625</v>
      </c>
      <c r="BJ29" s="58">
        <f t="shared" si="31"/>
        <v>5.7754366555666241</v>
      </c>
      <c r="BK29" s="58">
        <f t="shared" si="31"/>
        <v>6.1814</v>
      </c>
      <c r="BL29" s="58">
        <f t="shared" si="31"/>
        <v>7.4269603162941689</v>
      </c>
      <c r="BM29" s="58"/>
      <c r="BN29" s="58">
        <f t="shared" ref="BN29" si="81">AV29/M29</f>
        <v>3.0377315893895847</v>
      </c>
      <c r="BO29" s="59">
        <f t="shared" ref="BO29" si="82">AW29/E29</f>
        <v>4.9148122384121402</v>
      </c>
      <c r="BP29" s="58">
        <f>AX29/F29</f>
        <v>6.3917050537818874</v>
      </c>
      <c r="BQ29" s="58">
        <f t="shared" ref="BQ29:BV29" si="83">AY29/G29</f>
        <v>6.3917050537818874</v>
      </c>
      <c r="BR29" s="58">
        <f t="shared" si="83"/>
        <v>6.3942330542346184</v>
      </c>
      <c r="BS29" s="58">
        <f>BA29/I29</f>
        <v>6.4684890542346185</v>
      </c>
      <c r="BT29" s="58">
        <f t="shared" si="83"/>
        <v>6.1814</v>
      </c>
      <c r="BU29" s="58">
        <f t="shared" si="83"/>
        <v>8.3181955542494723</v>
      </c>
      <c r="BV29" s="58" t="e">
        <f t="shared" si="83"/>
        <v>#DIV/0!</v>
      </c>
      <c r="BW29" s="58">
        <f t="shared" ref="BW29" si="84">BE29/M29</f>
        <v>3.2934043508280677</v>
      </c>
      <c r="BX29" s="59">
        <f>BF29/E29</f>
        <v>5.3326325040424676</v>
      </c>
    </row>
  </sheetData>
  <mergeCells count="18">
    <mergeCell ref="AO3:AV3"/>
    <mergeCell ref="AW3:AW4"/>
    <mergeCell ref="BX3:BX4"/>
    <mergeCell ref="AX3:BE3"/>
    <mergeCell ref="BF3:BF4"/>
    <mergeCell ref="BG3:BN3"/>
    <mergeCell ref="BO3:BO4"/>
    <mergeCell ref="BP3:BW3"/>
    <mergeCell ref="V3:V4"/>
    <mergeCell ref="AE3:AE4"/>
    <mergeCell ref="AN3:AN4"/>
    <mergeCell ref="AF3:AM3"/>
    <mergeCell ref="W3:AD3"/>
    <mergeCell ref="C3:E3"/>
    <mergeCell ref="F3:L3"/>
    <mergeCell ref="M3:M4"/>
    <mergeCell ref="B3:B4"/>
    <mergeCell ref="N3:U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tabSelected="1" zoomScale="80" zoomScaleNormal="80" zoomScaleSheetLayoutView="70" workbookViewId="0">
      <selection activeCell="AK86" sqref="AK86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45674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72116.992711331462</v>
      </c>
      <c r="E11" s="65">
        <f>'4.Projected'!D5</f>
        <v>5485.085275756529</v>
      </c>
      <c r="F11" s="65">
        <f>'4.Projected'!E5</f>
        <v>66631.907435574933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0</v>
      </c>
      <c r="J11" s="80">
        <f>'4.Projected'!K5</f>
        <v>0</v>
      </c>
      <c r="K11" s="80">
        <f>'4.Projected'!L5</f>
        <v>0</v>
      </c>
      <c r="L11" s="65">
        <f>'4.Projected'!M5</f>
        <v>44131.907435574933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2.7417177666666666</v>
      </c>
      <c r="S11" s="77">
        <f>SUM('5. Actual'!AH5:AN5)/SUM('5. Actual'!Q5:V5)</f>
        <v>3.293039964610883</v>
      </c>
      <c r="T11" s="66">
        <f>'4.Projected'!AW5</f>
        <v>291058.91557106556</v>
      </c>
      <c r="U11" s="66">
        <f>'4.Projected'!BF5</f>
        <v>321650.13247209898</v>
      </c>
      <c r="V11" s="77">
        <f>T11/F11</f>
        <v>4.368161242457071</v>
      </c>
      <c r="W11" s="77">
        <f>U11/F11</f>
        <v>4.8272688693940831</v>
      </c>
    </row>
    <row r="12" spans="3:23" ht="19.350000000000001" customHeight="1" x14ac:dyDescent="0.3">
      <c r="C12" s="64">
        <v>2</v>
      </c>
      <c r="D12" s="65">
        <f>'4.Projected'!C6</f>
        <v>68834.868830708336</v>
      </c>
      <c r="E12" s="65">
        <f>'4.Projected'!D6</f>
        <v>5430.4371385139293</v>
      </c>
      <c r="F12" s="65">
        <f>'4.Projected'!E6</f>
        <v>63404.431692194405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40904.431692194405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2.654378289285714</v>
      </c>
      <c r="S12" s="77">
        <f>SUM('5. Actual'!AH6:AN6)/SUM('5. Actual'!Q6:V6)</f>
        <v>3.293039964610883</v>
      </c>
      <c r="T12" s="66">
        <f>'4.Projected'!AW6</f>
        <v>278637.51629739231</v>
      </c>
      <c r="U12" s="66">
        <f>'4.Projected'!BF6</f>
        <v>308183.27761429094</v>
      </c>
      <c r="V12" s="77">
        <f t="shared" ref="V12:V34" si="0">T12/F12</f>
        <v>4.3946063210546029</v>
      </c>
      <c r="W12" s="77">
        <f t="shared" ref="W12:W34" si="1">U12/F12</f>
        <v>4.8605952200693059</v>
      </c>
    </row>
    <row r="13" spans="3:23" ht="19.350000000000001" customHeight="1" x14ac:dyDescent="0.3">
      <c r="C13" s="64">
        <v>3</v>
      </c>
      <c r="D13" s="65">
        <f>'4.Projected'!C7</f>
        <v>66266.709147016329</v>
      </c>
      <c r="E13" s="65">
        <f>'4.Projected'!D7</f>
        <v>5378.2250747143653</v>
      </c>
      <c r="F13" s="65">
        <f>'4.Projected'!E7</f>
        <v>60888.484072301966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38388.484072301966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1.8851294004761903</v>
      </c>
      <c r="S13" s="77">
        <f>SUM('5. Actual'!AH7:AN7)/SUM('5. Actual'!Q7:V7)</f>
        <v>3.293039964610883</v>
      </c>
      <c r="T13" s="66">
        <f>'4.Projected'!AW7</f>
        <v>242428.9408424694</v>
      </c>
      <c r="U13" s="66">
        <f>'4.Projected'!BF7</f>
        <v>268927.18258698407</v>
      </c>
      <c r="V13" s="77">
        <f t="shared" si="0"/>
        <v>3.9815236745686984</v>
      </c>
      <c r="W13" s="77">
        <f t="shared" si="1"/>
        <v>4.4167166695700084</v>
      </c>
    </row>
    <row r="14" spans="3:23" ht="19.350000000000001" customHeight="1" x14ac:dyDescent="0.3">
      <c r="C14" s="64">
        <v>4</v>
      </c>
      <c r="D14" s="65">
        <f>'4.Projected'!C8</f>
        <v>64537.612427869361</v>
      </c>
      <c r="E14" s="65">
        <f>'4.Projected'!D8</f>
        <v>5282.8052195468281</v>
      </c>
      <c r="F14" s="65">
        <f>'4.Projected'!E8</f>
        <v>59254.807208322534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36754.807208322534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2.0984759630952379</v>
      </c>
      <c r="S14" s="77">
        <f>SUM('5. Actual'!AH8:AN8)/SUM('5. Actual'!Q8:V8)</f>
        <v>3.293039964610883</v>
      </c>
      <c r="T14" s="66">
        <f>'4.Projected'!AW8</f>
        <v>247190.76033292542</v>
      </c>
      <c r="U14" s="66">
        <f>'4.Projected'!BF8</f>
        <v>274089.7838788504</v>
      </c>
      <c r="V14" s="77">
        <f t="shared" si="0"/>
        <v>4.171657490402005</v>
      </c>
      <c r="W14" s="77">
        <f t="shared" si="1"/>
        <v>4.6256126176435117</v>
      </c>
    </row>
    <row r="15" spans="3:23" ht="19.350000000000001" customHeight="1" x14ac:dyDescent="0.3">
      <c r="C15" s="64">
        <v>5</v>
      </c>
      <c r="D15" s="65">
        <f>'4.Projected'!C9</f>
        <v>64751.013059891571</v>
      </c>
      <c r="E15" s="65">
        <f>'4.Projected'!D9</f>
        <v>5353.8580972502841</v>
      </c>
      <c r="F15" s="65">
        <f>'4.Projected'!E9</f>
        <v>59397.154962641289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36897.154962641289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2.9439233738095241</v>
      </c>
      <c r="S15" s="77">
        <f>SUM('5. Actual'!AH9:AN9)/SUM('5. Actual'!Q9:V9)</f>
        <v>3.293039964610883</v>
      </c>
      <c r="T15" s="66">
        <f>'4.Projected'!AW9</f>
        <v>278684.07779965276</v>
      </c>
      <c r="U15" s="66">
        <f>'4.Projected'!BF9</f>
        <v>308233.75799730478</v>
      </c>
      <c r="V15" s="77">
        <f t="shared" si="0"/>
        <v>4.6918758646762662</v>
      </c>
      <c r="W15" s="77">
        <f t="shared" si="1"/>
        <v>5.1893690563322927</v>
      </c>
    </row>
    <row r="16" spans="3:23" ht="19.350000000000001" customHeight="1" x14ac:dyDescent="0.3">
      <c r="C16" s="64">
        <v>6</v>
      </c>
      <c r="D16" s="65">
        <f>'4.Projected'!C10</f>
        <v>67486.728218519987</v>
      </c>
      <c r="E16" s="65">
        <f>'4.Projected'!D10</f>
        <v>5482.4266290499982</v>
      </c>
      <c r="F16" s="65">
        <f>'4.Projected'!E10</f>
        <v>62004.301589469993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10000</v>
      </c>
      <c r="J16" s="80">
        <f>'4.Projected'!K10</f>
        <v>0</v>
      </c>
      <c r="K16" s="80">
        <f>'4.Projected'!L10</f>
        <v>0</v>
      </c>
      <c r="L16" s="65">
        <f>'4.Projected'!M10</f>
        <v>29504.301589469993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3.2519501076190478</v>
      </c>
      <c r="S16" s="77">
        <f>SUM('5. Actual'!AH10:AN10)/SUM('5. Actual'!Q10:V10)</f>
        <v>4.1817661293459958</v>
      </c>
      <c r="T16" s="66">
        <f>'4.Projected'!AW10</f>
        <v>327822.19760716282</v>
      </c>
      <c r="U16" s="66">
        <f>'4.Projected'!BF10</f>
        <v>356305.00365971349</v>
      </c>
      <c r="V16" s="77">
        <f t="shared" si="0"/>
        <v>5.2870879794384438</v>
      </c>
      <c r="W16" s="77">
        <f t="shared" si="1"/>
        <v>5.7464562058743311</v>
      </c>
    </row>
    <row r="17" spans="3:23" ht="19.350000000000001" customHeight="1" x14ac:dyDescent="0.3">
      <c r="C17" s="64">
        <v>7</v>
      </c>
      <c r="D17" s="65">
        <f>'4.Projected'!C11</f>
        <v>70564.928531504382</v>
      </c>
      <c r="E17" s="65">
        <f>'4.Projected'!D11</f>
        <v>6217.4409852499994</v>
      </c>
      <c r="F17" s="65">
        <f>'4.Projected'!E11</f>
        <v>64347.487546254386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10000</v>
      </c>
      <c r="J17" s="80">
        <f>'4.Projected'!K11</f>
        <v>0</v>
      </c>
      <c r="K17" s="80">
        <f>'4.Projected'!L11</f>
        <v>0</v>
      </c>
      <c r="L17" s="65">
        <f>'4.Projected'!M11</f>
        <v>31847.487546254386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2.8853791035714282</v>
      </c>
      <c r="S17" s="77">
        <f>SUM('5. Actual'!AH11:AN11)/SUM('5. Actual'!Q11:V11)</f>
        <v>4.1817661293459958</v>
      </c>
      <c r="T17" s="66">
        <f>'4.Projected'!AW11</f>
        <v>323767.75594527472</v>
      </c>
      <c r="U17" s="66">
        <f>'4.Projected'!BF11</f>
        <v>351909.31713622971</v>
      </c>
      <c r="V17" s="77">
        <f t="shared" si="0"/>
        <v>5.0315524085154584</v>
      </c>
      <c r="W17" s="77">
        <f t="shared" si="1"/>
        <v>5.4688897819556601</v>
      </c>
    </row>
    <row r="18" spans="3:23" ht="19.350000000000001" customHeight="1" x14ac:dyDescent="0.3">
      <c r="C18" s="64">
        <v>8</v>
      </c>
      <c r="D18" s="65">
        <f>'4.Projected'!C12</f>
        <v>75225.115852124349</v>
      </c>
      <c r="E18" s="65">
        <f>'4.Projected'!D12</f>
        <v>7257.2223106629363</v>
      </c>
      <c r="F18" s="65">
        <f>'4.Projected'!E12</f>
        <v>67967.89354146141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20000</v>
      </c>
      <c r="J18" s="80">
        <f>'4.Projected'!K12</f>
        <v>0</v>
      </c>
      <c r="K18" s="80">
        <f>'4.Projected'!L12</f>
        <v>0</v>
      </c>
      <c r="L18" s="65">
        <f>'4.Projected'!M12</f>
        <v>25467.89354146141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3.0053816290476187</v>
      </c>
      <c r="S18" s="77">
        <f>SUM('5. Actual'!AH12:AN12)/SUM('5. Actual'!Q12:V12)</f>
        <v>4.6522682165587028</v>
      </c>
      <c r="T18" s="66">
        <f>'4.Projected'!AW12</f>
        <v>370230.42025810957</v>
      </c>
      <c r="U18" s="66">
        <f>'4.Projected'!BF12</f>
        <v>397079.92575835914</v>
      </c>
      <c r="V18" s="77">
        <f t="shared" si="0"/>
        <v>5.4471368901886539</v>
      </c>
      <c r="W18" s="77">
        <f t="shared" si="1"/>
        <v>5.842169075258079</v>
      </c>
    </row>
    <row r="19" spans="3:23" ht="19.350000000000001" customHeight="1" x14ac:dyDescent="0.3">
      <c r="C19" s="64">
        <v>9</v>
      </c>
      <c r="D19" s="65">
        <f>'4.Projected'!C13</f>
        <v>90567.640345724882</v>
      </c>
      <c r="E19" s="65">
        <f>'4.Projected'!D13</f>
        <v>9154.39049102032</v>
      </c>
      <c r="F19" s="65">
        <f>'4.Projected'!E13</f>
        <v>81413.249854704569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38913.249854704569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3.1361541799999997</v>
      </c>
      <c r="S19" s="77">
        <f>SUM('5. Actual'!AH13:AN13)/SUM('5. Actual'!Q13:V13)</f>
        <v>4.6522682165587028</v>
      </c>
      <c r="T19" s="66">
        <f>'4.Projected'!AW13</f>
        <v>415727.6320672771</v>
      </c>
      <c r="U19" s="66">
        <f>'4.Projected'!BF13</f>
        <v>446406.44158557482</v>
      </c>
      <c r="V19" s="77">
        <f t="shared" si="0"/>
        <v>5.1063878767794177</v>
      </c>
      <c r="W19" s="77">
        <f t="shared" si="1"/>
        <v>5.4832160905290115</v>
      </c>
    </row>
    <row r="20" spans="3:23" ht="19.350000000000001" customHeight="1" x14ac:dyDescent="0.3">
      <c r="C20" s="64">
        <v>10</v>
      </c>
      <c r="D20" s="65">
        <f>'4.Projected'!C14</f>
        <v>103835.52524227854</v>
      </c>
      <c r="E20" s="65">
        <f>'4.Projected'!D14</f>
        <v>15018.716011573242</v>
      </c>
      <c r="F20" s="65">
        <f>'4.Projected'!E14</f>
        <v>88816.809230705301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10000</v>
      </c>
      <c r="K20" s="80">
        <f>'4.Projected'!L14</f>
        <v>0</v>
      </c>
      <c r="L20" s="65">
        <f>'4.Projected'!M14</f>
        <v>36316.809230705301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3.2838300461904764</v>
      </c>
      <c r="S20" s="77">
        <f>SUM('5. Actual'!AH14:AN14)/SUM('5. Actual'!Q14:V14)</f>
        <v>4.4271156913382477</v>
      </c>
      <c r="T20" s="66">
        <f>'4.Projected'!AW14</f>
        <v>447650.08480313182</v>
      </c>
      <c r="U20" s="66">
        <f>'4.Projected'!BF14</f>
        <v>482259.19807706529</v>
      </c>
      <c r="V20" s="77">
        <f t="shared" si="0"/>
        <v>5.0401504926881842</v>
      </c>
      <c r="W20" s="77">
        <f t="shared" si="1"/>
        <v>5.4298189977122151</v>
      </c>
    </row>
    <row r="21" spans="3:23" ht="19.350000000000001" customHeight="1" x14ac:dyDescent="0.3">
      <c r="C21" s="64">
        <v>11</v>
      </c>
      <c r="D21" s="65">
        <f>'4.Projected'!C15</f>
        <v>109758.54314001382</v>
      </c>
      <c r="E21" s="65">
        <f>'4.Projected'!D15</f>
        <v>15803.763027499999</v>
      </c>
      <c r="F21" s="65">
        <f>'4.Projected'!E15</f>
        <v>93954.780112513821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10000</v>
      </c>
      <c r="K21" s="80">
        <f>'4.Projected'!L15</f>
        <v>0</v>
      </c>
      <c r="L21" s="65">
        <f>'4.Projected'!M15</f>
        <v>41454.780112513821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3.2840681697619041</v>
      </c>
      <c r="S21" s="77">
        <f>SUM('5. Actual'!AH15:AN15)/SUM('5. Actual'!Q15:V15)</f>
        <v>4.4271156913382477</v>
      </c>
      <c r="T21" s="66">
        <f>'4.Projected'!AW15</f>
        <v>464532.17932155955</v>
      </c>
      <c r="U21" s="66">
        <f>'4.Projected'!BF15</f>
        <v>500562.18565249257</v>
      </c>
      <c r="V21" s="77">
        <f t="shared" si="0"/>
        <v>4.9442101696717033</v>
      </c>
      <c r="W21" s="77">
        <f t="shared" si="1"/>
        <v>5.3276925884244903</v>
      </c>
    </row>
    <row r="22" spans="3:23" ht="19.350000000000001" customHeight="1" x14ac:dyDescent="0.3">
      <c r="C22" s="64">
        <v>12</v>
      </c>
      <c r="D22" s="65">
        <f>'4.Projected'!C16</f>
        <v>110952.64180655002</v>
      </c>
      <c r="E22" s="65">
        <f>'4.Projected'!D16</f>
        <v>15356.766177052188</v>
      </c>
      <c r="F22" s="65">
        <f>'4.Projected'!E16</f>
        <v>95595.875629497838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10000</v>
      </c>
      <c r="K22" s="80">
        <f>'4.Projected'!L16</f>
        <v>0</v>
      </c>
      <c r="L22" s="65">
        <f>'4.Projected'!M16</f>
        <v>43095.875629497838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2.736822844047619</v>
      </c>
      <c r="S22" s="77">
        <f>SUM('5. Actual'!AH16:AN16)/SUM('5. Actual'!Q16:V16)</f>
        <v>4.4271156913382477</v>
      </c>
      <c r="T22" s="66">
        <f>'4.Projected'!AW16</f>
        <v>446337.63237661886</v>
      </c>
      <c r="U22" s="66">
        <f>'4.Projected'!BF16</f>
        <v>480836.2821924524</v>
      </c>
      <c r="V22" s="77">
        <f t="shared" si="0"/>
        <v>4.6690051159371704</v>
      </c>
      <c r="W22" s="77">
        <f t="shared" si="1"/>
        <v>5.0298852228315347</v>
      </c>
    </row>
    <row r="23" spans="3:23" ht="19.350000000000001" customHeight="1" x14ac:dyDescent="0.3">
      <c r="C23" s="64">
        <v>13</v>
      </c>
      <c r="D23" s="65">
        <f>'4.Projected'!C17</f>
        <v>109732.66179467294</v>
      </c>
      <c r="E23" s="65">
        <f>'4.Projected'!D17</f>
        <v>15684.200596604416</v>
      </c>
      <c r="F23" s="65">
        <f>'4.Projected'!E17</f>
        <v>94048.461198068515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10000</v>
      </c>
      <c r="K23" s="80">
        <f>'4.Projected'!L17</f>
        <v>0</v>
      </c>
      <c r="L23" s="65">
        <f>'4.Projected'!M17</f>
        <v>41548.461198068515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2.7785584073809528</v>
      </c>
      <c r="S23" s="77">
        <f>SUM('5. Actual'!AH17:AN17)/SUM('5. Actual'!Q17:V17)</f>
        <v>4.4271156913382477</v>
      </c>
      <c r="T23" s="66">
        <f>'4.Projected'!AW17</f>
        <v>443836.68164520868</v>
      </c>
      <c r="U23" s="66">
        <f>'4.Projected'!BF17</f>
        <v>478124.83722845285</v>
      </c>
      <c r="V23" s="77">
        <f t="shared" si="0"/>
        <v>4.7192338502006645</v>
      </c>
      <c r="W23" s="77">
        <f t="shared" si="1"/>
        <v>5.0838135056937235</v>
      </c>
    </row>
    <row r="24" spans="3:23" ht="19.350000000000001" customHeight="1" x14ac:dyDescent="0.3">
      <c r="C24" s="64">
        <v>14</v>
      </c>
      <c r="D24" s="65">
        <f>'4.Projected'!C18</f>
        <v>115326.998274841</v>
      </c>
      <c r="E24" s="65">
        <f>'4.Projected'!D18</f>
        <v>15389.181170074999</v>
      </c>
      <c r="F24" s="65">
        <f>'4.Projected'!E18</f>
        <v>99937.817104766</v>
      </c>
      <c r="G24" s="80">
        <f>'4.Projected'!F18+'4.Projected'!G18</f>
        <v>12500</v>
      </c>
      <c r="H24" s="80">
        <f>'4.Projected'!H18+'4.Projected'!I18</f>
        <v>10000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47437.817104766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3.3646959316666667</v>
      </c>
      <c r="S24" s="77">
        <f>SUM('5. Actual'!AH18:AN18)/SUM('5. Actual'!Q18:V18)</f>
        <v>4.4271156913382477</v>
      </c>
      <c r="T24" s="66">
        <f>'4.Projected'!AW18</f>
        <v>488005.68568912765</v>
      </c>
      <c r="U24" s="66">
        <f>'4.Projected'!BF18</f>
        <v>526011.35577343591</v>
      </c>
      <c r="V24" s="77">
        <f t="shared" si="0"/>
        <v>4.8830933056857297</v>
      </c>
      <c r="W24" s="77">
        <f t="shared" si="1"/>
        <v>5.2633864838373645</v>
      </c>
    </row>
    <row r="25" spans="3:23" ht="19.350000000000001" customHeight="1" x14ac:dyDescent="0.3">
      <c r="C25" s="64">
        <v>15</v>
      </c>
      <c r="D25" s="65">
        <f>'4.Projected'!C19</f>
        <v>115652.62720632897</v>
      </c>
      <c r="E25" s="65">
        <f>'4.Projected'!D19</f>
        <v>15212.334749999993</v>
      </c>
      <c r="F25" s="65">
        <f>'4.Projected'!E19</f>
        <v>100440.29245632897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25440.292456328971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3.5202555054761899</v>
      </c>
      <c r="S25" s="77">
        <f>SUM('5. Actual'!AH19:AN19)/SUM('5. Actual'!Q19:V19)</f>
        <v>4.0868929733200376</v>
      </c>
      <c r="T25" s="66">
        <f>'4.Projected'!AW19</f>
        <v>492041.58425363543</v>
      </c>
      <c r="U25" s="66">
        <f>'4.Projected'!BF19</f>
        <v>533042.02468007652</v>
      </c>
      <c r="V25" s="77">
        <f t="shared" si="0"/>
        <v>4.8988465905510292</v>
      </c>
      <c r="W25" s="77">
        <f t="shared" si="1"/>
        <v>5.3070536897514611</v>
      </c>
    </row>
    <row r="26" spans="3:23" ht="19.350000000000001" customHeight="1" x14ac:dyDescent="0.3">
      <c r="C26" s="64">
        <v>16</v>
      </c>
      <c r="D26" s="65">
        <f>'4.Projected'!C20</f>
        <v>115338.51355052638</v>
      </c>
      <c r="E26" s="65">
        <f>'4.Projected'!D20</f>
        <v>15482.833749999993</v>
      </c>
      <c r="F26" s="65">
        <f>'4.Projected'!E20</f>
        <v>99855.679800526384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24855.679800526384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3.7589928445238097</v>
      </c>
      <c r="S26" s="77">
        <f>SUM('5. Actual'!AH20:AN20)/SUM('5. Actual'!Q20:V20)</f>
        <v>4.0868929733200376</v>
      </c>
      <c r="T26" s="66">
        <f>'4.Projected'!AW20</f>
        <v>495917.57718927268</v>
      </c>
      <c r="U26" s="66">
        <f>'4.Projected'!BF20</f>
        <v>537244.24321794661</v>
      </c>
      <c r="V26" s="77">
        <f t="shared" si="0"/>
        <v>4.9663432083175145</v>
      </c>
      <c r="W26" s="77">
        <f t="shared" si="1"/>
        <v>5.3802071578818147</v>
      </c>
    </row>
    <row r="27" spans="3:23" ht="19.350000000000001" customHeight="1" x14ac:dyDescent="0.3">
      <c r="C27" s="64">
        <v>17</v>
      </c>
      <c r="D27" s="65">
        <f>'4.Projected'!C21</f>
        <v>110969.11839188177</v>
      </c>
      <c r="E27" s="65">
        <f>'4.Projected'!D21</f>
        <v>15841.904999999999</v>
      </c>
      <c r="F27" s="65">
        <f>'4.Projected'!E21</f>
        <v>95127.213391881771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20127.213391881771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3.8529002795238094</v>
      </c>
      <c r="S27" s="77">
        <f>SUM('5. Actual'!AH21:AN21)/SUM('5. Actual'!Q21:V21)</f>
        <v>4.0868929733200376</v>
      </c>
      <c r="T27" s="66">
        <f>'4.Projected'!AW21</f>
        <v>480033.40077693562</v>
      </c>
      <c r="U27" s="66">
        <f>'4.Projected'!BF21</f>
        <v>520023.1642100336</v>
      </c>
      <c r="V27" s="77">
        <f t="shared" si="0"/>
        <v>5.0462258239333861</v>
      </c>
      <c r="W27" s="77">
        <f t="shared" si="1"/>
        <v>5.4666077736112131</v>
      </c>
    </row>
    <row r="28" spans="3:23" ht="19.350000000000001" customHeight="1" x14ac:dyDescent="0.3">
      <c r="C28" s="64">
        <v>18</v>
      </c>
      <c r="D28" s="65">
        <f>'4.Projected'!C22</f>
        <v>104126.44579715612</v>
      </c>
      <c r="E28" s="65">
        <f>'4.Projected'!D22</f>
        <v>15704.025249999993</v>
      </c>
      <c r="F28" s="65">
        <f>'4.Projected'!E22</f>
        <v>88422.420547156129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13422.420547156129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4.5354405864285718</v>
      </c>
      <c r="S28" s="77">
        <f>SUM('5. Actual'!AH22:AN22)/SUM('5. Actual'!Q22:V22)</f>
        <v>4.0868929733200376</v>
      </c>
      <c r="T28" s="66">
        <f>'4.Projected'!AW22</f>
        <v>463361.84559100372</v>
      </c>
      <c r="U28" s="66">
        <f>'4.Projected'!BF22</f>
        <v>501948.43615433609</v>
      </c>
      <c r="V28" s="77">
        <f t="shared" si="0"/>
        <v>5.2403207548914645</v>
      </c>
      <c r="W28" s="77">
        <f t="shared" si="1"/>
        <v>5.6767099684479279</v>
      </c>
    </row>
    <row r="29" spans="3:23" ht="19.350000000000001" customHeight="1" x14ac:dyDescent="0.3">
      <c r="C29" s="64">
        <v>19</v>
      </c>
      <c r="D29" s="65">
        <f>'4.Projected'!C23</f>
        <v>103329.78747167872</v>
      </c>
      <c r="E29" s="65">
        <f>'4.Projected'!D23</f>
        <v>14920.287499999997</v>
      </c>
      <c r="F29" s="65">
        <f>'4.Projected'!E23</f>
        <v>88409.499971678728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13409.499971678728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4.3646456283333332</v>
      </c>
      <c r="S29" s="77">
        <f>SUM('5. Actual'!AH23:AN23)/SUM('5. Actual'!Q23:V23)</f>
        <v>4.0868929733200376</v>
      </c>
      <c r="T29" s="66">
        <f>'4.Projected'!AW23</f>
        <v>461012.97010284249</v>
      </c>
      <c r="U29" s="66">
        <f>'4.Projected'!BF23</f>
        <v>499401.86595067376</v>
      </c>
      <c r="V29" s="77">
        <f t="shared" si="0"/>
        <v>5.2145184652161172</v>
      </c>
      <c r="W29" s="77">
        <f t="shared" si="1"/>
        <v>5.6487353294685878</v>
      </c>
    </row>
    <row r="30" spans="3:23" ht="19.350000000000001" customHeight="1" x14ac:dyDescent="0.3">
      <c r="C30" s="64">
        <v>20</v>
      </c>
      <c r="D30" s="65">
        <f>'4.Projected'!C24</f>
        <v>97391.708733461855</v>
      </c>
      <c r="E30" s="65">
        <f>'4.Projected'!D24</f>
        <v>13503.043999999998</v>
      </c>
      <c r="F30" s="65">
        <f>'4.Projected'!E24</f>
        <v>83888.664733461861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8888.664733461861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3.6416085673809522</v>
      </c>
      <c r="S30" s="77">
        <f>SUM('5. Actual'!AH24:AN24)/SUM('5. Actual'!Q24:V24)</f>
        <v>4.0868929733200376</v>
      </c>
      <c r="T30" s="66">
        <f>'4.Projected'!AW24</f>
        <v>434854.29231927067</v>
      </c>
      <c r="U30" s="66">
        <f>'4.Projected'!BF24</f>
        <v>471041.52512094408</v>
      </c>
      <c r="V30" s="77">
        <f t="shared" si="0"/>
        <v>5.1837074019586122</v>
      </c>
      <c r="W30" s="77">
        <f t="shared" si="1"/>
        <v>5.6150795416469785</v>
      </c>
    </row>
    <row r="31" spans="3:23" ht="19.350000000000001" customHeight="1" x14ac:dyDescent="0.3">
      <c r="C31" s="64">
        <v>21</v>
      </c>
      <c r="D31" s="65">
        <f>'4.Projected'!C25</f>
        <v>94569.080657465325</v>
      </c>
      <c r="E31" s="65">
        <f>'4.Projected'!D25</f>
        <v>11785.555</v>
      </c>
      <c r="F31" s="65">
        <f>'4.Projected'!E25</f>
        <v>82783.525657465332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7783.5256574653322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3.7785735314285711</v>
      </c>
      <c r="S31" s="77">
        <f>SUM('5. Actual'!AH25:AN25)/SUM('5. Actual'!Q25:V25)</f>
        <v>4.0868929733200376</v>
      </c>
      <c r="T31" s="66">
        <f>'4.Projected'!AW25</f>
        <v>431895.87870381266</v>
      </c>
      <c r="U31" s="66">
        <f>'4.Projected'!BF25</f>
        <v>467834.1145956922</v>
      </c>
      <c r="V31" s="77">
        <f t="shared" si="0"/>
        <v>5.2171718379194783</v>
      </c>
      <c r="W31" s="77">
        <f t="shared" si="1"/>
        <v>5.6512948787836921</v>
      </c>
    </row>
    <row r="32" spans="3:23" ht="19.350000000000001" customHeight="1" x14ac:dyDescent="0.3">
      <c r="C32" s="64">
        <v>22</v>
      </c>
      <c r="D32" s="65">
        <f>'4.Projected'!C26</f>
        <v>88841.263680646371</v>
      </c>
      <c r="E32" s="65">
        <f>'4.Projected'!D26</f>
        <v>8515.1389999999992</v>
      </c>
      <c r="F32" s="65">
        <f>'4.Projected'!E26</f>
        <v>80326.124680646375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5326.1246806463751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3.5065381597619054</v>
      </c>
      <c r="S32" s="77">
        <f>SUM('5. Actual'!AH26:AN26)/SUM('5. Actual'!Q26:V26)</f>
        <v>4.0868929733200376</v>
      </c>
      <c r="T32" s="66">
        <f>'4.Projected'!AW26</f>
        <v>421161.51410965523</v>
      </c>
      <c r="U32" s="66">
        <f>'4.Projected'!BF26</f>
        <v>456196.2848475817</v>
      </c>
      <c r="V32" s="77">
        <f t="shared" si="0"/>
        <v>5.2431449392594569</v>
      </c>
      <c r="W32" s="77">
        <f t="shared" si="1"/>
        <v>5.6793015555186717</v>
      </c>
    </row>
    <row r="33" spans="1:27" ht="19.350000000000001" customHeight="1" x14ac:dyDescent="0.3">
      <c r="C33" s="64">
        <v>23</v>
      </c>
      <c r="D33" s="65">
        <f>'4.Projected'!C27</f>
        <v>82961.811814918517</v>
      </c>
      <c r="E33" s="65">
        <f>'4.Projected'!D27</f>
        <v>6194.6794999999993</v>
      </c>
      <c r="F33" s="65">
        <f>'4.Projected'!E27</f>
        <v>76767.132314918519</v>
      </c>
      <c r="G33" s="80">
        <f>'4.Projected'!F27+'4.Projected'!G27</f>
        <v>12500</v>
      </c>
      <c r="H33" s="80">
        <f>'4.Projected'!H27+'4.Projected'!I27</f>
        <v>10000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24267.132314918519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3.3495737466666666</v>
      </c>
      <c r="S33" s="77">
        <f>SUM('5. Actual'!AH27:AN27)/SUM('5. Actual'!Q27:V27)</f>
        <v>4.4271156913382477</v>
      </c>
      <c r="T33" s="66">
        <f>'4.Projected'!AW27</f>
        <v>409676.4047785115</v>
      </c>
      <c r="U33" s="66">
        <f>'4.Projected'!BF27</f>
        <v>441089.43724405894</v>
      </c>
      <c r="V33" s="77">
        <f t="shared" si="0"/>
        <v>5.3366120685336211</v>
      </c>
      <c r="W33" s="77">
        <f t="shared" si="1"/>
        <v>5.7458110514614074</v>
      </c>
    </row>
    <row r="34" spans="1:27" ht="20.85" customHeight="1" x14ac:dyDescent="0.3">
      <c r="C34" s="64">
        <v>24</v>
      </c>
      <c r="D34" s="65">
        <f>'4.Projected'!C28</f>
        <v>78646.160010168867</v>
      </c>
      <c r="E34" s="65">
        <f>'4.Projected'!D28</f>
        <v>5691.5544999999984</v>
      </c>
      <c r="F34" s="65">
        <f>'4.Projected'!E28</f>
        <v>72954.605510168869</v>
      </c>
      <c r="G34" s="80">
        <f>'4.Projected'!F28+'4.Projected'!G28</f>
        <v>12500</v>
      </c>
      <c r="H34" s="80">
        <f>'4.Projected'!H28+'4.Projected'!I28</f>
        <v>10000</v>
      </c>
      <c r="I34" s="80">
        <f>'4.Projected'!J28</f>
        <v>0</v>
      </c>
      <c r="J34" s="80">
        <f>'4.Projected'!K28</f>
        <v>0</v>
      </c>
      <c r="K34" s="80">
        <f>'4.Projected'!L28</f>
        <v>0</v>
      </c>
      <c r="L34" s="65">
        <f>'4.Projected'!M28</f>
        <v>50454.605510168869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2.8369945430952379</v>
      </c>
      <c r="S34" s="77">
        <f>SUM('5. Actual'!AH28:AN28)/SUM('5. Actual'!Q28:V28)</f>
        <v>3.293039964610883</v>
      </c>
      <c r="T34" s="66">
        <f>'4.Projected'!AW28</f>
        <v>313201.12138443301</v>
      </c>
      <c r="U34" s="66">
        <f>'4.Projected'!BF28</f>
        <v>345655.95221515547</v>
      </c>
      <c r="V34" s="77">
        <f t="shared" si="0"/>
        <v>4.2930959491073812</v>
      </c>
      <c r="W34" s="77">
        <f t="shared" si="1"/>
        <v>4.7379593076817583</v>
      </c>
    </row>
    <row r="35" spans="1:27" ht="23.85" customHeight="1" x14ac:dyDescent="0.3">
      <c r="C35" s="67" t="s">
        <v>92</v>
      </c>
      <c r="D35" s="68">
        <f>SUM(D11:D34)</f>
        <v>2181784.4966972796</v>
      </c>
      <c r="E35" s="68">
        <f>SUM(E11:E34)</f>
        <v>255145.87645456998</v>
      </c>
      <c r="F35" s="68">
        <f t="shared" ref="F35:L35" si="2">SUM(F11:F34)</f>
        <v>1926638.6202427098</v>
      </c>
      <c r="G35" s="82">
        <f t="shared" si="2"/>
        <v>400000</v>
      </c>
      <c r="H35" s="82">
        <f t="shared" si="2"/>
        <v>320000</v>
      </c>
      <c r="I35" s="82">
        <f t="shared" si="2"/>
        <v>340000</v>
      </c>
      <c r="J35" s="82">
        <f t="shared" ref="J35" si="3">SUM(J11:J34)</f>
        <v>140000</v>
      </c>
      <c r="K35" s="82">
        <f t="shared" si="2"/>
        <v>0</v>
      </c>
      <c r="L35" s="68">
        <f t="shared" si="2"/>
        <v>726638.62024270988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3.216499525218254</v>
      </c>
      <c r="S35" s="79">
        <f>'3. Nomination'!V30</f>
        <v>4.1320793490008505</v>
      </c>
      <c r="T35" s="68">
        <f>SUM(T11:T34)</f>
        <v>9469067.0697663501</v>
      </c>
      <c r="U35" s="68">
        <f t="shared" ref="U35" si="6">SUM(U11:U34)</f>
        <v>10274055.729849806</v>
      </c>
      <c r="V35" s="79">
        <f t="shared" ref="V35" si="7">T35/F35</f>
        <v>4.9148122384121402</v>
      </c>
      <c r="W35" s="79">
        <f t="shared" ref="W35" si="8">U35/F35</f>
        <v>5.3326325040424676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0.66666666666666663</v>
      </c>
      <c r="H38" s="124">
        <f>H35/(20*24*1000)</f>
        <v>0.66666666666666663</v>
      </c>
      <c r="I38" s="124">
        <f>I35/(20*24*1000)</f>
        <v>0.70833333333333337</v>
      </c>
      <c r="J38" s="124">
        <f>J35/(10*24*1000)</f>
        <v>0.58333333333333337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0.2076154789991751</v>
      </c>
      <c r="H39" s="126">
        <f t="shared" si="9"/>
        <v>0.16609238319934008</v>
      </c>
      <c r="I39" s="126">
        <f t="shared" si="9"/>
        <v>0.17647315714929884</v>
      </c>
      <c r="J39" s="126">
        <f>J35/$F$35</f>
        <v>7.2665417649711281E-2</v>
      </c>
      <c r="K39" s="126">
        <f t="shared" si="9"/>
        <v>0</v>
      </c>
      <c r="L39" s="127">
        <f t="shared" si="9"/>
        <v>0.37715356300247477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6" t="s">
        <v>187</v>
      </c>
      <c r="G3" s="167"/>
      <c r="H3" s="167"/>
      <c r="I3" s="167"/>
      <c r="J3" s="167"/>
      <c r="K3" s="169">
        <f>'1. Rates'!C4</f>
        <v>45674</v>
      </c>
      <c r="L3" s="169"/>
      <c r="M3" s="169"/>
      <c r="N3" s="169"/>
      <c r="O3" s="170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0</v>
      </c>
      <c r="V5" s="53">
        <f>'3. Nomination'!AB6</f>
        <v>0</v>
      </c>
      <c r="W5" s="53">
        <f>'3. Nomination'!AC6</f>
        <v>0</v>
      </c>
      <c r="X5" s="53">
        <f>E5-Q5-R5-S5-T5-U5-V5-W5</f>
        <v>-22500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0</v>
      </c>
      <c r="AM5" s="53">
        <f>V5*'1. Rates'!H$56</f>
        <v>0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2769.72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0</v>
      </c>
      <c r="BE5" s="53">
        <f t="shared" si="0"/>
        <v>23081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0</v>
      </c>
      <c r="BN5" s="53">
        <f t="shared" si="1"/>
        <v>25850.720000000001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 t="e">
        <f t="shared" si="2"/>
        <v>#DIV/0!</v>
      </c>
      <c r="BW5" s="54" t="e">
        <f t="shared" si="2"/>
        <v>#DIV/0!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 t="e">
        <f t="shared" si="5"/>
        <v>#DIV/0!</v>
      </c>
      <c r="CF5" s="54" t="e">
        <f t="shared" si="5"/>
        <v>#DIV/0!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10000</v>
      </c>
      <c r="V10" s="53">
        <f>'3. Nomination'!AB11</f>
        <v>0</v>
      </c>
      <c r="W10" s="53">
        <f>'3. Nomination'!AC11</f>
        <v>0</v>
      </c>
      <c r="X10" s="53">
        <f t="shared" si="19"/>
        <v>-32500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61814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61814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61814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>
        <f t="shared" si="2"/>
        <v>6.1814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>
        <f t="shared" si="5"/>
        <v>6.1814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10000</v>
      </c>
      <c r="V11" s="53">
        <f>'3. Nomination'!AB12</f>
        <v>0</v>
      </c>
      <c r="W11" s="53">
        <f>'3. Nomination'!AC12</f>
        <v>0</v>
      </c>
      <c r="X11" s="53">
        <f t="shared" si="19"/>
        <v>-32500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61814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61814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61814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>
        <f t="shared" si="2"/>
        <v>6.1814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>
        <f t="shared" si="5"/>
        <v>6.1814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20000</v>
      </c>
      <c r="V12" s="53">
        <f>'3. Nomination'!AB13</f>
        <v>0</v>
      </c>
      <c r="W12" s="53">
        <f>'3. Nomination'!AC13</f>
        <v>0</v>
      </c>
      <c r="X12" s="53">
        <f t="shared" si="19"/>
        <v>-42500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123628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123628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123628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>
        <f t="shared" si="2"/>
        <v>6.1814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>
        <f t="shared" si="5"/>
        <v>6.1814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10000</v>
      </c>
      <c r="W14" s="53">
        <f>'3. Nomination'!AC15</f>
        <v>0</v>
      </c>
      <c r="X14" s="53">
        <f t="shared" si="19"/>
        <v>-52500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34702.174591513132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6933.9809509815759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57783.174591513132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64717.155542494707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>
        <f t="shared" si="2"/>
        <v>5.7783174591513129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>
        <f t="shared" si="5"/>
        <v>6.4717155542494709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10000</v>
      </c>
      <c r="W15" s="53">
        <f>'3. Nomination'!AC16</f>
        <v>0</v>
      </c>
      <c r="X15" s="53">
        <f t="shared" si="19"/>
        <v>-52500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34702.174591513132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6933.9809509815759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57783.174591513132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64717.155542494707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>
        <f t="shared" si="2"/>
        <v>5.7783174591513129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>
        <f t="shared" si="5"/>
        <v>6.4717155542494709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10000</v>
      </c>
      <c r="W16" s="53">
        <f>'3. Nomination'!AC17</f>
        <v>0</v>
      </c>
      <c r="X16" s="53">
        <f t="shared" si="19"/>
        <v>-52500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34702.174591513132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6933.9809509815759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57783.174591513132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64717.155542494707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>
        <f t="shared" si="2"/>
        <v>5.7783174591513129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>
        <f t="shared" si="5"/>
        <v>6.4717155542494709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10000</v>
      </c>
      <c r="W17" s="53">
        <f>'3. Nomination'!AC18</f>
        <v>0</v>
      </c>
      <c r="X17" s="53">
        <f t="shared" si="19"/>
        <v>-52500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34702.174591513132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6933.9809509815759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57783.174591513132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64717.155542494707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>
        <f t="shared" si="2"/>
        <v>5.7783174591513129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>
        <f t="shared" si="5"/>
        <v>6.4717155542494709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10000</v>
      </c>
      <c r="R18" s="53">
        <f>'3. Nomination'!X19</f>
        <v>2500</v>
      </c>
      <c r="S18" s="53">
        <f>'3. Nomination'!Y19</f>
        <v>5000</v>
      </c>
      <c r="T18" s="53">
        <f>'3. Nomination'!Z19</f>
        <v>5000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-52500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32827.227958873475</v>
      </c>
      <c r="AI18" s="53">
        <f>R18*'1. Rates'!D$56</f>
        <v>8206.8069897183686</v>
      </c>
      <c r="AJ18" s="53">
        <f>S18*'1. Rates'!E$56</f>
        <v>16529.682127576514</v>
      </c>
      <c r="AK18" s="53">
        <f>T18*'1. Rates'!F$56</f>
        <v>16529.682127576514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7817.9181013334737</v>
      </c>
      <c r="AR18" s="53">
        <f>(Z18+AI18)*'1. Rates'!D$60</f>
        <v>1954.4795253333684</v>
      </c>
      <c r="AS18" s="53">
        <f>(AA18+AJ18)*'1. Rates'!E$60</f>
        <v>3906.122039350239</v>
      </c>
      <c r="AT18" s="53">
        <f>(AB18+AK18)*'1. Rates'!F$60</f>
        <v>3959.162039350239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65149.317511112284</v>
      </c>
      <c r="BA18" s="53">
        <f t="shared" si="0"/>
        <v>16287.329377778071</v>
      </c>
      <c r="BB18" s="53">
        <f t="shared" si="0"/>
        <v>32551.016994585327</v>
      </c>
      <c r="BC18" s="53">
        <f t="shared" si="0"/>
        <v>32993.016994585327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72967.235612445758</v>
      </c>
      <c r="BJ18" s="53">
        <f t="shared" si="1"/>
        <v>18241.80890311144</v>
      </c>
      <c r="BK18" s="53">
        <f t="shared" si="1"/>
        <v>36457.139033935564</v>
      </c>
      <c r="BL18" s="53">
        <f t="shared" si="1"/>
        <v>36952.179033935565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6.5149317511112281</v>
      </c>
      <c r="BS18" s="54">
        <f t="shared" si="2"/>
        <v>6.5149317511112281</v>
      </c>
      <c r="BT18" s="54">
        <f t="shared" si="2"/>
        <v>6.5102033989170653</v>
      </c>
      <c r="BU18" s="54">
        <f t="shared" si="2"/>
        <v>6.5986033989170654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7.2967235612445762</v>
      </c>
      <c r="CB18" s="54">
        <f t="shared" si="5"/>
        <v>7.2967235612445762</v>
      </c>
      <c r="CC18" s="54">
        <f t="shared" si="5"/>
        <v>7.2914278067871132</v>
      </c>
      <c r="CD18" s="54">
        <f t="shared" si="5"/>
        <v>7.3904358067871128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10000</v>
      </c>
      <c r="R27" s="53">
        <f>'3. Nomination'!X28</f>
        <v>2500</v>
      </c>
      <c r="S27" s="53">
        <f>'3. Nomination'!Y28</f>
        <v>5000</v>
      </c>
      <c r="T27" s="53">
        <f>'3. Nomination'!Z28</f>
        <v>5000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-52500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32827.227958873475</v>
      </c>
      <c r="AI27" s="53">
        <f>R27*'1. Rates'!D$56</f>
        <v>8206.8069897183686</v>
      </c>
      <c r="AJ27" s="53">
        <f>S27*'1. Rates'!E$56</f>
        <v>16529.682127576514</v>
      </c>
      <c r="AK27" s="53">
        <f>T27*'1. Rates'!F$56</f>
        <v>16529.682127576514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7817.9181013334737</v>
      </c>
      <c r="AR27" s="53">
        <f>(Z27+AI27)*'1. Rates'!D$60</f>
        <v>1954.4795253333684</v>
      </c>
      <c r="AS27" s="53">
        <f>(AA27+AJ27)*'1. Rates'!E$60</f>
        <v>3906.122039350239</v>
      </c>
      <c r="AT27" s="53">
        <f>(AB27+AK27)*'1. Rates'!F$60</f>
        <v>3959.162039350239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65149.317511112284</v>
      </c>
      <c r="BA27" s="53">
        <f t="shared" si="12"/>
        <v>16287.329377778071</v>
      </c>
      <c r="BB27" s="53">
        <f t="shared" si="12"/>
        <v>32551.016994585327</v>
      </c>
      <c r="BC27" s="53">
        <f t="shared" si="12"/>
        <v>32993.016994585327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72967.235612445758</v>
      </c>
      <c r="BJ27" s="53">
        <f t="shared" si="14"/>
        <v>18241.80890311144</v>
      </c>
      <c r="BK27" s="53">
        <f t="shared" si="14"/>
        <v>36457.139033935564</v>
      </c>
      <c r="BL27" s="53">
        <f t="shared" si="14"/>
        <v>36952.179033935565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6.5149317511112281</v>
      </c>
      <c r="BS27" s="54">
        <f t="shared" si="20"/>
        <v>6.5149317511112281</v>
      </c>
      <c r="BT27" s="54">
        <f t="shared" si="21"/>
        <v>6.5102033989170653</v>
      </c>
      <c r="BU27" s="54">
        <f t="shared" si="22"/>
        <v>6.5986033989170654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7.2967235612445762</v>
      </c>
      <c r="CB27" s="54">
        <f t="shared" si="23"/>
        <v>7.2967235612445762</v>
      </c>
      <c r="CC27" s="54">
        <f t="shared" si="24"/>
        <v>7.2914278067871132</v>
      </c>
      <c r="CD27" s="54">
        <f t="shared" si="25"/>
        <v>7.3904358067871128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10000</v>
      </c>
      <c r="R28" s="53">
        <f>'3. Nomination'!X29</f>
        <v>2500</v>
      </c>
      <c r="S28" s="53">
        <f>'3. Nomination'!Y29</f>
        <v>5000</v>
      </c>
      <c r="T28" s="53">
        <f>'3. Nomination'!Z29</f>
        <v>5000</v>
      </c>
      <c r="U28" s="53">
        <f>'3. Nomination'!AA29</f>
        <v>0</v>
      </c>
      <c r="V28" s="53">
        <f>'3. Nomination'!AB29</f>
        <v>0</v>
      </c>
      <c r="W28" s="53">
        <f>'3. Nomination'!AC29</f>
        <v>0</v>
      </c>
      <c r="X28" s="53">
        <f t="shared" si="19"/>
        <v>-22500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32827.227958873475</v>
      </c>
      <c r="AI28" s="53">
        <f>R28*'1. Rates'!D$56</f>
        <v>8206.8069897183686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0</v>
      </c>
      <c r="AM28" s="53">
        <f>V28*'1. Rates'!H$56</f>
        <v>0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7817.9181013334737</v>
      </c>
      <c r="AR28" s="53">
        <f>(Z28+AI28)*'1. Rates'!D$60</f>
        <v>1954.4795253333684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2769.72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65149.317511112284</v>
      </c>
      <c r="BA28" s="53">
        <f t="shared" si="12"/>
        <v>16287.329377778071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0</v>
      </c>
      <c r="BE28" s="53">
        <f t="shared" si="12"/>
        <v>23081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72967.235612445758</v>
      </c>
      <c r="BJ28" s="53">
        <f t="shared" si="14"/>
        <v>18241.80890311144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0</v>
      </c>
      <c r="BN28" s="53">
        <f t="shared" si="14"/>
        <v>25850.720000000001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6.5149317511112281</v>
      </c>
      <c r="BS28" s="54">
        <f t="shared" si="20"/>
        <v>6.5149317511112281</v>
      </c>
      <c r="BT28" s="54">
        <f t="shared" si="21"/>
        <v>6.5102033989170653</v>
      </c>
      <c r="BU28" s="54">
        <f t="shared" si="22"/>
        <v>6.5986033989170654</v>
      </c>
      <c r="BV28" s="54" t="e">
        <f t="shared" si="22"/>
        <v>#DIV/0!</v>
      </c>
      <c r="BW28" s="54" t="e">
        <f t="shared" si="22"/>
        <v>#DIV/0!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7.2967235612445762</v>
      </c>
      <c r="CB28" s="54">
        <f t="shared" si="23"/>
        <v>7.2967235612445762</v>
      </c>
      <c r="CC28" s="54">
        <f t="shared" si="24"/>
        <v>7.2914278067871132</v>
      </c>
      <c r="CD28" s="54">
        <f t="shared" si="25"/>
        <v>7.3904358067871128</v>
      </c>
      <c r="CE28" s="54" t="e">
        <f t="shared" si="25"/>
        <v>#DIV/0!</v>
      </c>
      <c r="CF28" s="54" t="e">
        <f t="shared" si="25"/>
        <v>#DIV/0!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320000</v>
      </c>
      <c r="R29" s="56">
        <f t="shared" si="28"/>
        <v>80000</v>
      </c>
      <c r="S29" s="56">
        <f t="shared" si="28"/>
        <v>160000</v>
      </c>
      <c r="T29" s="56">
        <f t="shared" si="28"/>
        <v>160000</v>
      </c>
      <c r="U29" s="56">
        <f t="shared" si="28"/>
        <v>340000</v>
      </c>
      <c r="V29" s="56">
        <f t="shared" si="28"/>
        <v>140000</v>
      </c>
      <c r="W29" s="56">
        <f t="shared" si="28"/>
        <v>0</v>
      </c>
      <c r="X29" s="56">
        <f>SUM(X5:X28)</f>
        <v>-1200000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1050471.2946839517</v>
      </c>
      <c r="AI29" s="56">
        <f t="shared" si="29"/>
        <v>262617.82367098791</v>
      </c>
      <c r="AJ29" s="56">
        <f t="shared" si="29"/>
        <v>528949.82808244869</v>
      </c>
      <c r="AK29" s="56">
        <f t="shared" si="29"/>
        <v>528949.82808244869</v>
      </c>
      <c r="AL29" s="56">
        <f t="shared" si="29"/>
        <v>2101676</v>
      </c>
      <c r="AM29" s="56">
        <f t="shared" si="29"/>
        <v>485830.44428118371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219144.17327252188</v>
      </c>
      <c r="AR29" s="56">
        <f t="shared" si="29"/>
        <v>54786.043318130469</v>
      </c>
      <c r="AS29" s="56">
        <f t="shared" si="29"/>
        <v>109615.42378687918</v>
      </c>
      <c r="AT29" s="56">
        <f t="shared" si="29"/>
        <v>110888.38378687915</v>
      </c>
      <c r="AU29" s="56">
        <f t="shared" si="29"/>
        <v>0</v>
      </c>
      <c r="AV29" s="56">
        <f t="shared" si="29"/>
        <v>124772.93331374212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1826201.443937683</v>
      </c>
      <c r="BA29" s="56">
        <f t="shared" si="29"/>
        <v>456550.36098442075</v>
      </c>
      <c r="BB29" s="56">
        <f t="shared" si="29"/>
        <v>913461.86489066004</v>
      </c>
      <c r="BC29" s="56">
        <f t="shared" si="29"/>
        <v>924069.86489065993</v>
      </c>
      <c r="BD29" s="56">
        <f t="shared" si="29"/>
        <v>2101676</v>
      </c>
      <c r="BE29" s="56">
        <f t="shared" si="29"/>
        <v>1039774.4442811836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2045345.617210204</v>
      </c>
      <c r="BJ29" s="56">
        <f t="shared" si="29"/>
        <v>511336.404302551</v>
      </c>
      <c r="BK29" s="56">
        <f t="shared" si="29"/>
        <v>1023077.288677539</v>
      </c>
      <c r="BL29" s="56">
        <f t="shared" si="29"/>
        <v>1034958.2486775389</v>
      </c>
      <c r="BM29" s="56">
        <f t="shared" si="29"/>
        <v>2101676</v>
      </c>
      <c r="BN29" s="56">
        <f t="shared" si="29"/>
        <v>1164547.3775949262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5.7068795123052594</v>
      </c>
      <c r="BS29" s="58">
        <f t="shared" si="20"/>
        <v>5.7068795123052594</v>
      </c>
      <c r="BT29" s="58">
        <f t="shared" si="21"/>
        <v>5.709136655566625</v>
      </c>
      <c r="BU29" s="58">
        <f t="shared" si="22"/>
        <v>5.7754366555666241</v>
      </c>
      <c r="BV29" s="58">
        <f t="shared" si="22"/>
        <v>6.1814</v>
      </c>
      <c r="BW29" s="58">
        <f t="shared" si="22"/>
        <v>7.4269603162941689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6.3917050537818874</v>
      </c>
      <c r="CB29" s="58">
        <f>BJ29/R29</f>
        <v>6.3917050537818874</v>
      </c>
      <c r="CC29" s="58">
        <f t="shared" ref="CC29:CG29" si="31">BK29/S29</f>
        <v>6.3942330542346184</v>
      </c>
      <c r="CD29" s="58">
        <f>BL29/T29</f>
        <v>6.4684890542346185</v>
      </c>
      <c r="CE29" s="58">
        <f>BM29/U29</f>
        <v>6.1814</v>
      </c>
      <c r="CF29" s="58">
        <f t="shared" si="31"/>
        <v>8.3181955542494723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  <mergeCell ref="AG3:AG4"/>
    <mergeCell ref="F3:J3"/>
    <mergeCell ref="K3:O3"/>
    <mergeCell ref="P3:P4"/>
    <mergeCell ref="B3:B4"/>
    <mergeCell ref="C3:E3"/>
    <mergeCell ref="Q3:W3"/>
    <mergeCell ref="X3:X4"/>
    <mergeCell ref="Y3:A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45674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45674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0</v>
      </c>
      <c r="J11" s="80">
        <f>'5. Actual'!V5</f>
        <v>0</v>
      </c>
      <c r="K11" s="81">
        <f>'5. Actual'!W5</f>
        <v>0</v>
      </c>
      <c r="L11" s="65">
        <f>'5. Actual'!X5</f>
        <v>-22500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3.293039964610883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10000</v>
      </c>
      <c r="J16" s="80">
        <f>'5. Actual'!V10</f>
        <v>0</v>
      </c>
      <c r="K16" s="81">
        <f>'5. Actual'!W10</f>
        <v>0</v>
      </c>
      <c r="L16" s="65">
        <f>'5. Actual'!X10</f>
        <v>-32500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4.1817661293459958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10000</v>
      </c>
      <c r="J17" s="80">
        <f>'5. Actual'!V11</f>
        <v>0</v>
      </c>
      <c r="K17" s="81">
        <f>'5. Actual'!W11</f>
        <v>0</v>
      </c>
      <c r="L17" s="65">
        <f>'5. Actual'!X11</f>
        <v>-32500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4.1817661293459958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20000</v>
      </c>
      <c r="J18" s="80">
        <f>'5. Actual'!V12</f>
        <v>0</v>
      </c>
      <c r="K18" s="81">
        <f>'5. Actual'!W12</f>
        <v>0</v>
      </c>
      <c r="L18" s="65">
        <f>'5. Actual'!X12</f>
        <v>-42500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4.6522682165587028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10000</v>
      </c>
      <c r="K20" s="81">
        <f>'5. Actual'!W14</f>
        <v>0</v>
      </c>
      <c r="L20" s="65">
        <f>'5. Actual'!X14</f>
        <v>-52500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4.4271156913382477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10000</v>
      </c>
      <c r="K21" s="81">
        <f>'5. Actual'!W15</f>
        <v>0</v>
      </c>
      <c r="L21" s="65">
        <f>'5. Actual'!X15</f>
        <v>-52500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4.4271156913382477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10000</v>
      </c>
      <c r="K22" s="81">
        <f>'5. Actual'!W16</f>
        <v>0</v>
      </c>
      <c r="L22" s="65">
        <f>'5. Actual'!X16</f>
        <v>-52500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4.4271156913382477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10000</v>
      </c>
      <c r="K23" s="81">
        <f>'5. Actual'!W17</f>
        <v>0</v>
      </c>
      <c r="L23" s="65">
        <f>'5. Actual'!X17</f>
        <v>-52500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4.4271156913382477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12500</v>
      </c>
      <c r="H24" s="80">
        <f>'5. Actual'!S18+'5. Actual'!T18</f>
        <v>10000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-52500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4.4271156913382477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4.9148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12500</v>
      </c>
      <c r="H33" s="80">
        <f>'5. Actual'!S27+'5. Actual'!T27</f>
        <v>10000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-52500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4.4271156913382477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12500</v>
      </c>
      <c r="H34" s="80">
        <f>'5. Actual'!S28+'5. Actual'!T28</f>
        <v>10000</v>
      </c>
      <c r="I34" s="80">
        <f>'5. Actual'!U28</f>
        <v>0</v>
      </c>
      <c r="J34" s="80">
        <f>'5. Actual'!V28</f>
        <v>0</v>
      </c>
      <c r="K34" s="81">
        <f>'5. Actual'!W28</f>
        <v>0</v>
      </c>
      <c r="L34" s="65">
        <f>'5. Actual'!X28</f>
        <v>-22500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3.293039964610883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400000</v>
      </c>
      <c r="H35" s="82">
        <f t="shared" si="2"/>
        <v>320000</v>
      </c>
      <c r="I35" s="82">
        <f t="shared" si="2"/>
        <v>340000</v>
      </c>
      <c r="J35" s="82">
        <f t="shared" ref="J35" si="3">SUM(J11:J34)</f>
        <v>140000</v>
      </c>
      <c r="K35" s="82">
        <f t="shared" si="2"/>
        <v>0</v>
      </c>
      <c r="L35" s="68">
        <f t="shared" si="2"/>
        <v>-1200000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4.1320793490008505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0.66666666666666663</v>
      </c>
      <c r="H38" s="124">
        <f>H35/(20*24*1000)</f>
        <v>0.66666666666666663</v>
      </c>
      <c r="I38" s="124">
        <f>I35/(20*24*1000)</f>
        <v>0.70833333333333337</v>
      </c>
      <c r="J38" s="124">
        <f>J35/(10*24*1000)</f>
        <v>0.58333333333333337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customXml/itemProps3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2025-01-16T06:14:27Z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