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56" documentId="8_{FB95D749-EC42-4D04-A167-8A3D92A6F725}" xr6:coauthVersionLast="47" xr6:coauthVersionMax="47" xr10:uidLastSave="{7A4775F7-845E-4150-BCC8-7705C816AEEC}"/>
  <bookViews>
    <workbookView xWindow="-108" yWindow="-108" windowWidth="23256" windowHeight="12456" tabRatio="674" firstSheet="1" activeTab="6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<sst xmlns="http://schemas.openxmlformats.org/spreadsheetml/2006/main" count="599" uniqueCount="194">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</sst>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0" fontId="37" fillId="40" borderId="1" xfId="0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1.431919713123919</c:v>
                </c:pt>
                <c:pt idx="1">
                  <c:v>2.5724965725158326</c:v>
                </c:pt>
                <c:pt idx="2">
                  <c:v>2.4622194792292453</c:v>
                </c:pt>
                <c:pt idx="3">
                  <c:v>2.3870020856083562</c:v>
                </c:pt>
                <c:pt idx="4">
                  <c:v>2.3858171395365422</c:v>
                </c:pt>
                <c:pt idx="5">
                  <c:v>2.5171103650462312</c:v>
                </c:pt>
                <c:pt idx="6">
                  <c:v>2.5976376026443089</c:v>
                </c:pt>
                <c:pt idx="7">
                  <c:v>2.8063433551154229</c:v>
                </c:pt>
                <c:pt idx="8">
                  <c:v>1.8051057843535563</c:v>
                </c:pt>
                <c:pt idx="9">
                  <c:v>1.964508351160297</c:v>
                </c:pt>
                <c:pt idx="10">
                  <c:v>1.6678794087577116</c:v>
                </c:pt>
                <c:pt idx="11">
                  <c:v>1.7200737639404651</c:v>
                </c:pt>
                <c:pt idx="12">
                  <c:v>1.7174366661625333</c:v>
                </c:pt>
                <c:pt idx="13">
                  <c:v>1.2515301188942671</c:v>
                </c:pt>
                <c:pt idx="14">
                  <c:v>1.2597695503461341</c:v>
                </c:pt>
                <c:pt idx="15">
                  <c:v>1.2390249300484673</c:v>
                </c:pt>
                <c:pt idx="16">
                  <c:v>1.1973948403133254</c:v>
                </c:pt>
                <c:pt idx="17">
                  <c:v>1.1157543428884249</c:v>
                </c:pt>
                <c:pt idx="18">
                  <c:v>1.1161934695976956</c:v>
                </c:pt>
                <c:pt idx="19">
                  <c:v>1.0590339586133615</c:v>
                </c:pt>
                <c:pt idx="20">
                  <c:v>1.0206542493453383</c:v>
                </c:pt>
                <c:pt idx="21">
                  <c:v>1.0052216272441226</c:v>
                </c:pt>
                <c:pt idx="22">
                  <c:v>1.0076068022077667</c:v>
                </c:pt>
                <c:pt idx="23">
                  <c:v>1.0035661336834318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63063.120420454252</c:v>
                </c:pt>
                <c:pt idx="1">
                  <c:v>59533.92640641347</c:v>
                </c:pt>
                <c:pt idx="2">
                  <c:v>56849.705057487678</c:v>
                </c:pt>
                <c:pt idx="3">
                  <c:v>55174.007277409473</c:v>
                </c:pt>
                <c:pt idx="4">
                  <c:v>55114.624725620473</c:v>
                </c:pt>
                <c:pt idx="5">
                  <c:v>57854.049393147558</c:v>
                </c:pt>
                <c:pt idx="6">
                  <c:v>59287.353765581385</c:v>
                </c:pt>
                <c:pt idx="7">
                  <c:v>64345.80438797133</c:v>
                </c:pt>
                <c:pt idx="8">
                  <c:v>78510.630864230159</c:v>
                </c:pt>
                <c:pt idx="9">
                  <c:v>87621.236863895174</c:v>
                </c:pt>
                <c:pt idx="10">
                  <c:v>92897.645704378941</c:v>
                </c:pt>
                <c:pt idx="11">
                  <c:v>94914.109621410025</c:v>
                </c:pt>
                <c:pt idx="12">
                  <c:v>94900.651242768843</c:v>
                </c:pt>
                <c:pt idx="13">
                  <c:v>100515.21382648445</c:v>
                </c:pt>
                <c:pt idx="14">
                  <c:v>102105.79700151162</c:v>
                </c:pt>
                <c:pt idx="15">
                  <c:v>102214.63667166328</c:v>
                </c:pt>
                <c:pt idx="16">
                  <c:v>97274.108187739825</c:v>
                </c:pt>
                <c:pt idx="17">
                  <c:v>89695.411153298366</c:v>
                </c:pt>
                <c:pt idx="18">
                  <c:v>89772.828127664834</c:v>
                </c:pt>
                <c:pt idx="19">
                  <c:v>85404.562322559854</c:v>
                </c:pt>
                <c:pt idx="20">
                  <c:v>82667.082319421883</c:v>
                </c:pt>
                <c:pt idx="21">
                  <c:v>80353.970561692608</c:v>
                </c:pt>
                <c:pt idx="22">
                  <c:v>76550.033402591376</c:v>
                </c:pt>
                <c:pt idx="23">
                  <c:v>71981.896727078289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60671.786789665581</c:v>
                </c:pt>
                <c:pt idx="1">
                  <c:v>58137.990122505398</c:v>
                </c:pt>
                <c:pt idx="2">
                  <c:v>55766.399894574897</c:v>
                </c:pt>
                <c:pt idx="3">
                  <c:v>53994.016244017155</c:v>
                </c:pt>
                <c:pt idx="4">
                  <c:v>53993.914804558575</c:v>
                </c:pt>
                <c:pt idx="5">
                  <c:v>57272.45966428145</c:v>
                </c:pt>
                <c:pt idx="6">
                  <c:v>59514.705366111513</c:v>
                </c:pt>
                <c:pt idx="7">
                  <c:v>63966.767694487091</c:v>
                </c:pt>
                <c:pt idx="8">
                  <c:v>77648.621835301616</c:v>
                </c:pt>
                <c:pt idx="9">
                  <c:v>83257.724181702579</c:v>
                </c:pt>
                <c:pt idx="10">
                  <c:v>86340.672093571964</c:v>
                </c:pt>
                <c:pt idx="11">
                  <c:v>89909.678696613788</c:v>
                </c:pt>
                <c:pt idx="12">
                  <c:v>91750.103114298516</c:v>
                </c:pt>
                <c:pt idx="13">
                  <c:v>92660.034817192543</c:v>
                </c:pt>
                <c:pt idx="14">
                  <c:v>93511.225582076513</c:v>
                </c:pt>
                <c:pt idx="15">
                  <c:v>90210.07206332637</c:v>
                </c:pt>
                <c:pt idx="16">
                  <c:v>88742.332042678361</c:v>
                </c:pt>
                <c:pt idx="17">
                  <c:v>83704.526590249909</c:v>
                </c:pt>
                <c:pt idx="18">
                  <c:v>83642.107507667082</c:v>
                </c:pt>
                <c:pt idx="19">
                  <c:v>79085.960666362924</c:v>
                </c:pt>
                <c:pt idx="20">
                  <c:v>75776.491515713235</c:v>
                </c:pt>
                <c:pt idx="21">
                  <c:v>73457.851084167836</c:v>
                </c:pt>
                <c:pt idx="22">
                  <c:v>71222.644476499263</c:v>
                </c:pt>
                <c:pt idx="23">
                  <c:v>67937.241269212347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60856.587807766555</c:v>
                </c:pt>
                <c:pt idx="1">
                  <c:v>57881.172881606239</c:v>
                </c:pt>
                <c:pt idx="2">
                  <c:v>55399.938282658019</c:v>
                </c:pt>
                <c:pt idx="3">
                  <c:v>53707.546926188013</c:v>
                </c:pt>
                <c:pt idx="4">
                  <c:v>53680.885639572203</c:v>
                </c:pt>
                <c:pt idx="5">
                  <c:v>56634.983213540203</c:v>
                </c:pt>
                <c:pt idx="6">
                  <c:v>58446.846059496951</c:v>
                </c:pt>
                <c:pt idx="7">
                  <c:v>63142.725490097015</c:v>
                </c:pt>
                <c:pt idx="8">
                  <c:v>76716.995835026144</c:v>
                </c:pt>
                <c:pt idx="9">
                  <c:v>83491.604924312618</c:v>
                </c:pt>
                <c:pt idx="10">
                  <c:v>87563.668959779854</c:v>
                </c:pt>
                <c:pt idx="11">
                  <c:v>90303.872606874414</c:v>
                </c:pt>
                <c:pt idx="12">
                  <c:v>90165.424973532994</c:v>
                </c:pt>
                <c:pt idx="13">
                  <c:v>93864.758917070038</c:v>
                </c:pt>
                <c:pt idx="14">
                  <c:v>94482.716275960061</c:v>
                </c:pt>
                <c:pt idx="15">
                  <c:v>92926.869753635052</c:v>
                </c:pt>
                <c:pt idx="16">
                  <c:v>89804.613023499405</c:v>
                </c:pt>
                <c:pt idx="17">
                  <c:v>83681.575716631865</c:v>
                </c:pt>
                <c:pt idx="18">
                  <c:v>83714.510219827178</c:v>
                </c:pt>
                <c:pt idx="19">
                  <c:v>79427.54689600211</c:v>
                </c:pt>
                <c:pt idx="20">
                  <c:v>76549.068700900374</c:v>
                </c:pt>
                <c:pt idx="21">
                  <c:v>74386.400416065066</c:v>
                </c:pt>
                <c:pt idx="22">
                  <c:v>71540.08295675143</c:v>
                </c:pt>
                <c:pt idx="23">
                  <c:v>67740.714023631648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2.844006733333333</c:v>
                </c:pt>
                <c:pt idx="1">
                  <c:v>0.97057045166666678</c:v>
                </c:pt>
                <c:pt idx="2">
                  <c:v>0.34209850999999997</c:v>
                </c:pt>
                <c:pt idx="3">
                  <c:v>0.19418662833333333</c:v>
                </c:pt>
                <c:pt idx="4">
                  <c:v>1.6187821183333333</c:v>
                </c:pt>
                <c:pt idx="5">
                  <c:v>3.0946927333333334</c:v>
                </c:pt>
                <c:pt idx="6">
                  <c:v>2.8033951733333331</c:v>
                </c:pt>
                <c:pt idx="7">
                  <c:v>1.6471523583333334</c:v>
                </c:pt>
                <c:pt idx="8">
                  <c:v>3.385848086666666</c:v>
                </c:pt>
                <c:pt idx="9">
                  <c:v>2.2373205849999995</c:v>
                </c:pt>
                <c:pt idx="10">
                  <c:v>2.3562070566666669</c:v>
                </c:pt>
                <c:pt idx="11">
                  <c:v>2.8224308300000005</c:v>
                </c:pt>
                <c:pt idx="12">
                  <c:v>3.0231999416666668</c:v>
                </c:pt>
                <c:pt idx="13">
                  <c:v>3.6397556236363635</c:v>
                </c:pt>
                <c:pt idx="14">
                  <c:v>3.5405745883333339</c:v>
                </c:pt>
                <c:pt idx="15">
                  <c:v>3.3390500450000005</c:v>
                </c:pt>
                <c:pt idx="16">
                  <c:v>3.6485820783333329</c:v>
                </c:pt>
                <c:pt idx="17">
                  <c:v>6.3005253016666662</c:v>
                </c:pt>
                <c:pt idx="18">
                  <c:v>4.2411155999999997</c:v>
                </c:pt>
                <c:pt idx="19">
                  <c:v>3.3506889766666665</c:v>
                </c:pt>
                <c:pt idx="20">
                  <c:v>3.636912123333333</c:v>
                </c:pt>
                <c:pt idx="21">
                  <c:v>3.5498922849999999</c:v>
                </c:pt>
                <c:pt idx="22">
                  <c:v>3.2517956583333336</c:v>
                </c:pt>
                <c:pt idx="23">
                  <c:v>3.0277988000000002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3.7843357316666668</c:v>
                </c:pt>
                <c:pt idx="1">
                  <c:v>3.5701725500000001</c:v>
                </c:pt>
                <c:pt idx="2">
                  <c:v>2.767274056666666</c:v>
                </c:pt>
                <c:pt idx="3">
                  <c:v>2.8224030383333334</c:v>
                </c:pt>
                <c:pt idx="4">
                  <c:v>3.227774721666667</c:v>
                </c:pt>
                <c:pt idx="5">
                  <c:v>3.4149325416666665</c:v>
                </c:pt>
                <c:pt idx="6">
                  <c:v>3.4744300066666667</c:v>
                </c:pt>
                <c:pt idx="7">
                  <c:v>2.6686039433333333</c:v>
                </c:pt>
                <c:pt idx="8">
                  <c:v>3.5165618366666664</c:v>
                </c:pt>
                <c:pt idx="9">
                  <c:v>2.9814681599999999</c:v>
                </c:pt>
                <c:pt idx="10">
                  <c:v>2.8178889566666667</c:v>
                </c:pt>
                <c:pt idx="11">
                  <c:v>2.8414285850000001</c:v>
                </c:pt>
                <c:pt idx="12">
                  <c:v>2.9950821750000003</c:v>
                </c:pt>
                <c:pt idx="13">
                  <c:v>3.461685871666667</c:v>
                </c:pt>
                <c:pt idx="14">
                  <c:v>3.9111590666666673</c:v>
                </c:pt>
                <c:pt idx="15">
                  <c:v>3.9959631966666671</c:v>
                </c:pt>
                <c:pt idx="16">
                  <c:v>3.8327921733333334</c:v>
                </c:pt>
                <c:pt idx="17">
                  <c:v>4.1688476766666662</c:v>
                </c:pt>
                <c:pt idx="18">
                  <c:v>5.6561967933333337</c:v>
                </c:pt>
                <c:pt idx="19">
                  <c:v>3.8650127466666668</c:v>
                </c:pt>
                <c:pt idx="20">
                  <c:v>3.9685398266666665</c:v>
                </c:pt>
                <c:pt idx="21">
                  <c:v>7.4844983216666678</c:v>
                </c:pt>
                <c:pt idx="22">
                  <c:v>5.1319654133333339</c:v>
                </c:pt>
                <c:pt idx="23">
                  <c:v>3.8397008216666664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3.1328678599999993</c:v>
                </c:pt>
                <c:pt idx="1">
                  <c:v>2.8314455359259258</c:v>
                </c:pt>
                <c:pt idx="2">
                  <c:v>2.0293190425925922</c:v>
                </c:pt>
                <c:pt idx="3">
                  <c:v>1.7503275450000002</c:v>
                </c:pt>
                <c:pt idx="4">
                  <c:v>2.5552770903703701</c:v>
                </c:pt>
                <c:pt idx="5">
                  <c:v>3.0233716246296289</c:v>
                </c:pt>
                <c:pt idx="6">
                  <c:v>3.0570743346296294</c:v>
                </c:pt>
                <c:pt idx="7">
                  <c:v>2.6742204266666665</c:v>
                </c:pt>
                <c:pt idx="8">
                  <c:v>3.2845029233333336</c:v>
                </c:pt>
                <c:pt idx="9">
                  <c:v>3.1639791661904755</c:v>
                </c:pt>
                <c:pt idx="10">
                  <c:v>3.2441583407142858</c:v>
                </c:pt>
                <c:pt idx="11">
                  <c:v>3.1751355445238096</c:v>
                </c:pt>
                <c:pt idx="12">
                  <c:v>3.2419404342857141</c:v>
                </c:pt>
                <c:pt idx="13">
                  <c:v>3.9709151876623383</c:v>
                </c:pt>
                <c:pt idx="14">
                  <c:v>4.1599276626190482</c:v>
                </c:pt>
                <c:pt idx="15">
                  <c:v>3.9587429409523809</c:v>
                </c:pt>
                <c:pt idx="16">
                  <c:v>3.8238461240476194</c:v>
                </c:pt>
                <c:pt idx="17">
                  <c:v>6.5057291216666666</c:v>
                </c:pt>
                <c:pt idx="18">
                  <c:v>5.8423170969047629</c:v>
                </c:pt>
                <c:pt idx="19">
                  <c:v>3.9874010492857148</c:v>
                </c:pt>
                <c:pt idx="20">
                  <c:v>3.8914016909523808</c:v>
                </c:pt>
                <c:pt idx="21">
                  <c:v>4.3240001235714285</c:v>
                </c:pt>
                <c:pt idx="22">
                  <c:v>4.1981628385714282</c:v>
                </c:pt>
                <c:pt idx="23">
                  <c:v>3.5845979973809525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5031.9380000000001</c:v>
                </c:pt>
                <c:pt idx="1">
                  <c:v>4993.8339999999998</c:v>
                </c:pt>
                <c:pt idx="2">
                  <c:v>4873.9769999999999</c:v>
                </c:pt>
                <c:pt idx="3">
                  <c:v>4773.2899999999991</c:v>
                </c:pt>
                <c:pt idx="4">
                  <c:v>4896.2899999999991</c:v>
                </c:pt>
                <c:pt idx="5">
                  <c:v>5061.93</c:v>
                </c:pt>
                <c:pt idx="6">
                  <c:v>5251.0730000000003</c:v>
                </c:pt>
                <c:pt idx="7">
                  <c:v>5978.6309999999994</c:v>
                </c:pt>
                <c:pt idx="8">
                  <c:v>8100.898000000001</c:v>
                </c:pt>
                <c:pt idx="9">
                  <c:v>13389.862000000001</c:v>
                </c:pt>
                <c:pt idx="10">
                  <c:v>15177.5</c:v>
                </c:pt>
                <c:pt idx="11">
                  <c:v>15406.305</c:v>
                </c:pt>
                <c:pt idx="12">
                  <c:v>14662.028000000002</c:v>
                </c:pt>
                <c:pt idx="13">
                  <c:v>14710.583999999999</c:v>
                </c:pt>
                <c:pt idx="14">
                  <c:v>15630.437999999998</c:v>
                </c:pt>
                <c:pt idx="15">
                  <c:v>16293.724000000002</c:v>
                </c:pt>
                <c:pt idx="16">
                  <c:v>16372.42</c:v>
                </c:pt>
                <c:pt idx="17">
                  <c:v>16252.956999999999</c:v>
                </c:pt>
                <c:pt idx="18">
                  <c:v>15461.123</c:v>
                </c:pt>
                <c:pt idx="19">
                  <c:v>14138.869999999999</c:v>
                </c:pt>
                <c:pt idx="20">
                  <c:v>11892.035</c:v>
                </c:pt>
                <c:pt idx="21">
                  <c:v>8924.5570000000007</c:v>
                </c:pt>
                <c:pt idx="22">
                  <c:v>6168.2849999999999</c:v>
                </c:pt>
                <c:pt idx="23">
                  <c:v>5721.7929999999997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5591.78</c:v>
                </c:pt>
                <c:pt idx="1">
                  <c:v>5453.3310000000001</c:v>
                </c:pt>
                <c:pt idx="2">
                  <c:v>5421.0679999999993</c:v>
                </c:pt>
                <c:pt idx="3">
                  <c:v>5408.5230000000001</c:v>
                </c:pt>
                <c:pt idx="4">
                  <c:v>5416.7309999999998</c:v>
                </c:pt>
                <c:pt idx="5">
                  <c:v>5467.1419999999998</c:v>
                </c:pt>
                <c:pt idx="6">
                  <c:v>5809.7909999999993</c:v>
                </c:pt>
                <c:pt idx="7">
                  <c:v>6861.2420000000002</c:v>
                </c:pt>
                <c:pt idx="8">
                  <c:v>9413.4610000000011</c:v>
                </c:pt>
                <c:pt idx="9">
                  <c:v>14414.487999999999</c:v>
                </c:pt>
                <c:pt idx="10">
                  <c:v>15244.155999999999</c:v>
                </c:pt>
                <c:pt idx="11">
                  <c:v>14788.105</c:v>
                </c:pt>
                <c:pt idx="12">
                  <c:v>14275.48</c:v>
                </c:pt>
                <c:pt idx="13">
                  <c:v>14521.285</c:v>
                </c:pt>
                <c:pt idx="14">
                  <c:v>15655.455</c:v>
                </c:pt>
                <c:pt idx="15">
                  <c:v>15434.298999999999</c:v>
                </c:pt>
                <c:pt idx="16">
                  <c:v>16177.763999999999</c:v>
                </c:pt>
                <c:pt idx="17">
                  <c:v>16277.477999999999</c:v>
                </c:pt>
                <c:pt idx="18">
                  <c:v>15318.969000000001</c:v>
                </c:pt>
                <c:pt idx="19">
                  <c:v>13609.652</c:v>
                </c:pt>
                <c:pt idx="20">
                  <c:v>12011.034</c:v>
                </c:pt>
                <c:pt idx="21">
                  <c:v>9157.6360000000004</c:v>
                </c:pt>
                <c:pt idx="22">
                  <c:v>6132.74</c:v>
                </c:pt>
                <c:pt idx="23">
                  <c:v>5740.817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5005.4833736647297</c:v>
                </c:pt>
                <c:pt idx="1">
                  <c:v>4922.2984560990872</c:v>
                </c:pt>
                <c:pt idx="2">
                  <c:v>4850.625419333438</c:v>
                </c:pt>
                <c:pt idx="3">
                  <c:v>4797.2748980407223</c:v>
                </c:pt>
                <c:pt idx="4">
                  <c:v>4859.0950124763467</c:v>
                </c:pt>
                <c:pt idx="5">
                  <c:v>4960.8898538269586</c:v>
                </c:pt>
                <c:pt idx="6">
                  <c:v>5211.4495932936807</c:v>
                </c:pt>
                <c:pt idx="7">
                  <c:v>6049.649550323782</c:v>
                </c:pt>
                <c:pt idx="8">
                  <c:v>8417.1275470972723</c:v>
                </c:pt>
                <c:pt idx="9">
                  <c:v>13902.174999999999</c:v>
                </c:pt>
                <c:pt idx="10">
                  <c:v>15210.828</c:v>
                </c:pt>
                <c:pt idx="11">
                  <c:v>15097.205</c:v>
                </c:pt>
                <c:pt idx="12">
                  <c:v>14468.754000000001</c:v>
                </c:pt>
                <c:pt idx="13">
                  <c:v>14615.934499999999</c:v>
                </c:pt>
                <c:pt idx="14">
                  <c:v>15642.946499999998</c:v>
                </c:pt>
                <c:pt idx="15">
                  <c:v>15864.011500000001</c:v>
                </c:pt>
                <c:pt idx="16">
                  <c:v>16275.092000000001</c:v>
                </c:pt>
                <c:pt idx="17">
                  <c:v>16265.217499999999</c:v>
                </c:pt>
                <c:pt idx="18">
                  <c:v>15390.046</c:v>
                </c:pt>
                <c:pt idx="19">
                  <c:v>13874.260999999999</c:v>
                </c:pt>
                <c:pt idx="20">
                  <c:v>11951.5345</c:v>
                </c:pt>
                <c:pt idx="21">
                  <c:v>9041.0964999999997</c:v>
                </c:pt>
                <c:pt idx="22">
                  <c:v>6150.5124999999998</c:v>
                </c:pt>
                <c:pt idx="23">
                  <c:v>5731.3050000000003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24000</c:v>
                </c:pt>
                <c:pt idx="22">
                  <c:v>21000</c:v>
                </c:pt>
                <c:pt idx="23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18356.587807766555</c:v>
                </c:pt>
                <c:pt idx="1">
                  <c:v>35381.172881606239</c:v>
                </c:pt>
                <c:pt idx="2">
                  <c:v>32899.938282658019</c:v>
                </c:pt>
                <c:pt idx="3">
                  <c:v>31207.546926188013</c:v>
                </c:pt>
                <c:pt idx="4">
                  <c:v>31180.885639572203</c:v>
                </c:pt>
                <c:pt idx="5">
                  <c:v>34134.983213540203</c:v>
                </c:pt>
                <c:pt idx="6">
                  <c:v>35946.846059496951</c:v>
                </c:pt>
                <c:pt idx="7">
                  <c:v>40642.725490097015</c:v>
                </c:pt>
                <c:pt idx="8">
                  <c:v>34216.995835026144</c:v>
                </c:pt>
                <c:pt idx="9">
                  <c:v>40991.604924312618</c:v>
                </c:pt>
                <c:pt idx="10">
                  <c:v>35063.668959779854</c:v>
                </c:pt>
                <c:pt idx="11">
                  <c:v>37803.872606874414</c:v>
                </c:pt>
                <c:pt idx="12">
                  <c:v>37665.424973532994</c:v>
                </c:pt>
                <c:pt idx="13">
                  <c:v>18864.758917070038</c:v>
                </c:pt>
                <c:pt idx="14">
                  <c:v>19482.716275960061</c:v>
                </c:pt>
                <c:pt idx="15">
                  <c:v>17926.869753635052</c:v>
                </c:pt>
                <c:pt idx="16">
                  <c:v>14804.613023499405</c:v>
                </c:pt>
                <c:pt idx="17">
                  <c:v>8681.5757166318654</c:v>
                </c:pt>
                <c:pt idx="18">
                  <c:v>8714.5102198271779</c:v>
                </c:pt>
                <c:pt idx="19">
                  <c:v>4427.5468960021099</c:v>
                </c:pt>
                <c:pt idx="20">
                  <c:v>1549.0687009003741</c:v>
                </c:pt>
                <c:pt idx="21">
                  <c:v>386.40041606506566</c:v>
                </c:pt>
                <c:pt idx="22">
                  <c:v>540.08295675143017</c:v>
                </c:pt>
                <c:pt idx="23">
                  <c:v>240.71402363164816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60856.587807766555</c:v>
                </c:pt>
                <c:pt idx="1">
                  <c:v>57881.172881606239</c:v>
                </c:pt>
                <c:pt idx="2">
                  <c:v>55399.938282658019</c:v>
                </c:pt>
                <c:pt idx="3">
                  <c:v>53707.546926188013</c:v>
                </c:pt>
                <c:pt idx="4">
                  <c:v>53680.885639572203</c:v>
                </c:pt>
                <c:pt idx="5">
                  <c:v>56634.983213540203</c:v>
                </c:pt>
                <c:pt idx="6">
                  <c:v>58446.846059496951</c:v>
                </c:pt>
                <c:pt idx="7">
                  <c:v>63142.725490097015</c:v>
                </c:pt>
                <c:pt idx="8">
                  <c:v>76716.995835026144</c:v>
                </c:pt>
                <c:pt idx="9">
                  <c:v>83491.604924312618</c:v>
                </c:pt>
                <c:pt idx="10">
                  <c:v>87563.668959779854</c:v>
                </c:pt>
                <c:pt idx="11">
                  <c:v>90303.872606874414</c:v>
                </c:pt>
                <c:pt idx="12">
                  <c:v>90165.424973532994</c:v>
                </c:pt>
                <c:pt idx="13">
                  <c:v>93864.758917070038</c:v>
                </c:pt>
                <c:pt idx="14">
                  <c:v>94482.716275960061</c:v>
                </c:pt>
                <c:pt idx="15">
                  <c:v>92926.869753635052</c:v>
                </c:pt>
                <c:pt idx="16">
                  <c:v>89804.613023499405</c:v>
                </c:pt>
                <c:pt idx="17">
                  <c:v>83681.575716631865</c:v>
                </c:pt>
                <c:pt idx="18">
                  <c:v>83714.510219827178</c:v>
                </c:pt>
                <c:pt idx="19">
                  <c:v>79427.54689600211</c:v>
                </c:pt>
                <c:pt idx="20">
                  <c:v>76549.068700900374</c:v>
                </c:pt>
                <c:pt idx="21">
                  <c:v>74386.400416065066</c:v>
                </c:pt>
                <c:pt idx="22">
                  <c:v>71540.08295675143</c:v>
                </c:pt>
                <c:pt idx="23">
                  <c:v>67740.714023631648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18356.587807766555</c:v>
                </c:pt>
                <c:pt idx="1">
                  <c:v>35381.172881606239</c:v>
                </c:pt>
                <c:pt idx="2">
                  <c:v>32899.938282658019</c:v>
                </c:pt>
                <c:pt idx="3">
                  <c:v>31207.546926188013</c:v>
                </c:pt>
                <c:pt idx="4">
                  <c:v>31180.885639572203</c:v>
                </c:pt>
                <c:pt idx="5">
                  <c:v>34134.983213540203</c:v>
                </c:pt>
                <c:pt idx="6">
                  <c:v>35946.846059496951</c:v>
                </c:pt>
                <c:pt idx="7">
                  <c:v>40642.725490097015</c:v>
                </c:pt>
                <c:pt idx="8">
                  <c:v>34216.995835026144</c:v>
                </c:pt>
                <c:pt idx="9">
                  <c:v>40991.604924312618</c:v>
                </c:pt>
                <c:pt idx="10">
                  <c:v>35063.668959779854</c:v>
                </c:pt>
                <c:pt idx="11">
                  <c:v>37803.872606874414</c:v>
                </c:pt>
                <c:pt idx="12">
                  <c:v>37665.424973532994</c:v>
                </c:pt>
                <c:pt idx="13">
                  <c:v>18864.758917070038</c:v>
                </c:pt>
                <c:pt idx="14">
                  <c:v>19482.716275960061</c:v>
                </c:pt>
                <c:pt idx="15">
                  <c:v>17926.869753635052</c:v>
                </c:pt>
                <c:pt idx="16">
                  <c:v>14804.613023499405</c:v>
                </c:pt>
                <c:pt idx="17">
                  <c:v>8681.5757166318654</c:v>
                </c:pt>
                <c:pt idx="18">
                  <c:v>8714.5102198271779</c:v>
                </c:pt>
                <c:pt idx="19">
                  <c:v>4427.5468960021099</c:v>
                </c:pt>
                <c:pt idx="20">
                  <c:v>1549.0687009003741</c:v>
                </c:pt>
                <c:pt idx="21">
                  <c:v>386.40041606506566</c:v>
                </c:pt>
                <c:pt idx="22">
                  <c:v>540.08295675143017</c:v>
                </c:pt>
                <c:pt idx="23">
                  <c:v>240.71402363164816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3.1328678599999993</c:v>
                </c:pt>
                <c:pt idx="1">
                  <c:v>2.8314455359259258</c:v>
                </c:pt>
                <c:pt idx="2">
                  <c:v>2.0293190425925922</c:v>
                </c:pt>
                <c:pt idx="3">
                  <c:v>1.7503275450000002</c:v>
                </c:pt>
                <c:pt idx="4">
                  <c:v>2.5552770903703701</c:v>
                </c:pt>
                <c:pt idx="5">
                  <c:v>3.0233716246296289</c:v>
                </c:pt>
                <c:pt idx="6">
                  <c:v>3.0570743346296294</c:v>
                </c:pt>
                <c:pt idx="7">
                  <c:v>2.6742204266666665</c:v>
                </c:pt>
                <c:pt idx="8">
                  <c:v>3.2845029233333336</c:v>
                </c:pt>
                <c:pt idx="9">
                  <c:v>3.1639791661904755</c:v>
                </c:pt>
                <c:pt idx="10">
                  <c:v>3.2441583407142858</c:v>
                </c:pt>
                <c:pt idx="11">
                  <c:v>3.1751355445238096</c:v>
                </c:pt>
                <c:pt idx="12">
                  <c:v>3.2419404342857141</c:v>
                </c:pt>
                <c:pt idx="13">
                  <c:v>3.9709151876623383</c:v>
                </c:pt>
                <c:pt idx="14">
                  <c:v>4.1599276626190482</c:v>
                </c:pt>
                <c:pt idx="15">
                  <c:v>3.9587429409523809</c:v>
                </c:pt>
                <c:pt idx="16">
                  <c:v>3.8238461240476194</c:v>
                </c:pt>
                <c:pt idx="17">
                  <c:v>6.5057291216666666</c:v>
                </c:pt>
                <c:pt idx="18">
                  <c:v>5.8423170969047629</c:v>
                </c:pt>
                <c:pt idx="19">
                  <c:v>3.9874010492857148</c:v>
                </c:pt>
                <c:pt idx="20">
                  <c:v>3.8914016909523808</c:v>
                </c:pt>
                <c:pt idx="21">
                  <c:v>4.3240001235714285</c:v>
                </c:pt>
                <c:pt idx="22">
                  <c:v>4.1981628385714282</c:v>
                </c:pt>
                <c:pt idx="23">
                  <c:v>3.5845979973809525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60856.587807766555</c:v>
                </c:pt>
                <c:pt idx="1">
                  <c:v>57881.172881606239</c:v>
                </c:pt>
                <c:pt idx="2">
                  <c:v>55399.938282658019</c:v>
                </c:pt>
                <c:pt idx="3">
                  <c:v>53707.546926188013</c:v>
                </c:pt>
                <c:pt idx="4">
                  <c:v>53680.885639572203</c:v>
                </c:pt>
                <c:pt idx="5">
                  <c:v>56634.983213540203</c:v>
                </c:pt>
                <c:pt idx="6">
                  <c:v>58446.846059496951</c:v>
                </c:pt>
                <c:pt idx="7">
                  <c:v>63142.725490097015</c:v>
                </c:pt>
                <c:pt idx="8">
                  <c:v>76716.995835026144</c:v>
                </c:pt>
                <c:pt idx="9">
                  <c:v>83491.604924312618</c:v>
                </c:pt>
                <c:pt idx="10">
                  <c:v>87563.668959779854</c:v>
                </c:pt>
                <c:pt idx="11">
                  <c:v>90303.872606874414</c:v>
                </c:pt>
                <c:pt idx="12">
                  <c:v>90165.424973532994</c:v>
                </c:pt>
                <c:pt idx="13">
                  <c:v>93864.758917070038</c:v>
                </c:pt>
                <c:pt idx="14">
                  <c:v>94482.716275960061</c:v>
                </c:pt>
                <c:pt idx="15">
                  <c:v>92926.869753635052</c:v>
                </c:pt>
                <c:pt idx="16">
                  <c:v>89804.613023499405</c:v>
                </c:pt>
                <c:pt idx="17">
                  <c:v>83681.575716631865</c:v>
                </c:pt>
                <c:pt idx="18">
                  <c:v>83714.510219827178</c:v>
                </c:pt>
                <c:pt idx="19">
                  <c:v>79427.54689600211</c:v>
                </c:pt>
                <c:pt idx="20">
                  <c:v>76549.068700900374</c:v>
                </c:pt>
                <c:pt idx="21">
                  <c:v>74386.400416065066</c:v>
                </c:pt>
                <c:pt idx="22">
                  <c:v>71540.08295675143</c:v>
                </c:pt>
                <c:pt idx="23">
                  <c:v>67740.714023631648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-42500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-22500</c:v>
                </c:pt>
                <c:pt idx="6">
                  <c:v>-22500</c:v>
                </c:pt>
                <c:pt idx="7">
                  <c:v>-22500</c:v>
                </c:pt>
                <c:pt idx="8">
                  <c:v>-42500</c:v>
                </c:pt>
                <c:pt idx="9">
                  <c:v>-42500</c:v>
                </c:pt>
                <c:pt idx="10">
                  <c:v>-52500</c:v>
                </c:pt>
                <c:pt idx="11">
                  <c:v>-52500</c:v>
                </c:pt>
                <c:pt idx="12">
                  <c:v>-52500</c:v>
                </c:pt>
                <c:pt idx="13">
                  <c:v>-75000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-74000</c:v>
                </c:pt>
                <c:pt idx="22">
                  <c:v>-71000</c:v>
                </c:pt>
                <c:pt idx="23">
                  <c:v>-67500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18356.587807766555</c:v>
                </c:pt>
                <c:pt idx="1">
                  <c:v>35381.172881606239</c:v>
                </c:pt>
                <c:pt idx="2">
                  <c:v>32899.938282658019</c:v>
                </c:pt>
                <c:pt idx="3">
                  <c:v>31207.546926188013</c:v>
                </c:pt>
                <c:pt idx="4">
                  <c:v>31180.885639572203</c:v>
                </c:pt>
                <c:pt idx="5">
                  <c:v>34134.983213540203</c:v>
                </c:pt>
                <c:pt idx="6">
                  <c:v>35946.846059496951</c:v>
                </c:pt>
                <c:pt idx="7">
                  <c:v>40642.725490097015</c:v>
                </c:pt>
                <c:pt idx="8">
                  <c:v>34216.995835026144</c:v>
                </c:pt>
                <c:pt idx="9">
                  <c:v>40991.604924312618</c:v>
                </c:pt>
                <c:pt idx="10">
                  <c:v>35063.668959779854</c:v>
                </c:pt>
                <c:pt idx="11">
                  <c:v>37803.872606874414</c:v>
                </c:pt>
                <c:pt idx="12">
                  <c:v>37665.424973532994</c:v>
                </c:pt>
                <c:pt idx="13">
                  <c:v>18864.758917070038</c:v>
                </c:pt>
                <c:pt idx="14">
                  <c:v>19482.716275960061</c:v>
                </c:pt>
                <c:pt idx="15">
                  <c:v>17926.869753635052</c:v>
                </c:pt>
                <c:pt idx="16">
                  <c:v>14804.613023499405</c:v>
                </c:pt>
                <c:pt idx="17">
                  <c:v>8681.5757166318654</c:v>
                </c:pt>
                <c:pt idx="18">
                  <c:v>8714.5102198271779</c:v>
                </c:pt>
                <c:pt idx="19">
                  <c:v>4427.5468960021099</c:v>
                </c:pt>
                <c:pt idx="20">
                  <c:v>1549.0687009003741</c:v>
                </c:pt>
                <c:pt idx="21">
                  <c:v>386.40041606506566</c:v>
                </c:pt>
                <c:pt idx="22">
                  <c:v>540.08295675143017</c:v>
                </c:pt>
                <c:pt idx="23">
                  <c:v>240.71402363164816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3.1328678599999993</c:v>
                </c:pt>
                <c:pt idx="1">
                  <c:v>2.8314455359259258</c:v>
                </c:pt>
                <c:pt idx="2">
                  <c:v>2.0293190425925922</c:v>
                </c:pt>
                <c:pt idx="3">
                  <c:v>1.7503275450000002</c:v>
                </c:pt>
                <c:pt idx="4">
                  <c:v>2.5552770903703701</c:v>
                </c:pt>
                <c:pt idx="5">
                  <c:v>3.0233716246296289</c:v>
                </c:pt>
                <c:pt idx="6">
                  <c:v>3.0570743346296294</c:v>
                </c:pt>
                <c:pt idx="7">
                  <c:v>2.6742204266666665</c:v>
                </c:pt>
                <c:pt idx="8">
                  <c:v>3.2845029233333336</c:v>
                </c:pt>
                <c:pt idx="9">
                  <c:v>3.1639791661904755</c:v>
                </c:pt>
                <c:pt idx="10">
                  <c:v>3.2441583407142858</c:v>
                </c:pt>
                <c:pt idx="11">
                  <c:v>3.1751355445238096</c:v>
                </c:pt>
                <c:pt idx="12">
                  <c:v>3.2419404342857141</c:v>
                </c:pt>
                <c:pt idx="13">
                  <c:v>3.9709151876623383</c:v>
                </c:pt>
                <c:pt idx="14">
                  <c:v>4.1599276626190482</c:v>
                </c:pt>
                <c:pt idx="15">
                  <c:v>3.9587429409523809</c:v>
                </c:pt>
                <c:pt idx="16">
                  <c:v>3.8238461240476194</c:v>
                </c:pt>
                <c:pt idx="17">
                  <c:v>6.5057291216666666</c:v>
                </c:pt>
                <c:pt idx="18">
                  <c:v>5.8423170969047629</c:v>
                </c:pt>
                <c:pt idx="19">
                  <c:v>3.9874010492857148</c:v>
                </c:pt>
                <c:pt idx="20">
                  <c:v>3.8914016909523808</c:v>
                </c:pt>
                <c:pt idx="21">
                  <c:v>4.3240001235714285</c:v>
                </c:pt>
                <c:pt idx="22">
                  <c:v>4.1981628385714282</c:v>
                </c:pt>
                <c:pt idx="23">
                  <c:v>3.5845979973809525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4.6522682165587028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3.293039964610883</c:v>
                </c:pt>
                <c:pt idx="6">
                  <c:v>3.293039964610883</c:v>
                </c:pt>
                <c:pt idx="7">
                  <c:v>3.293039964610883</c:v>
                </c:pt>
                <c:pt idx="8">
                  <c:v>4.6522682165587028</c:v>
                </c:pt>
                <c:pt idx="9">
                  <c:v>4.6522682165587028</c:v>
                </c:pt>
                <c:pt idx="10">
                  <c:v>4.4271156913382477</c:v>
                </c:pt>
                <c:pt idx="11">
                  <c:v>4.4271156913382477</c:v>
                </c:pt>
                <c:pt idx="12">
                  <c:v>4.4271156913382477</c:v>
                </c:pt>
                <c:pt idx="13">
                  <c:v>4.0868929733200376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4.0977601378799395</c:v>
                </c:pt>
                <c:pt idx="22">
                  <c:v>4.1321983354289227</c:v>
                </c:pt>
                <c:pt idx="23">
                  <c:v>4.176245215257004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5.0893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43" t="s">
        <v>1</v>
      </c>
      <c r="H1" s="143"/>
      <c r="I1" s="143"/>
      <c r="J1" s="143"/>
      <c r="K1" s="143"/>
    </row>
    <row r="2" spans="2:39" ht="10.35" customHeight="1" x14ac:dyDescent="0.3"/>
    <row r="3" spans="2:39" ht="22.5" customHeight="1" x14ac:dyDescent="0.3">
      <c r="B3" s="47" t="s">
        <v>2</v>
      </c>
      <c r="G3" s="144" t="s">
        <v>3</v>
      </c>
      <c r="H3" s="144"/>
      <c r="I3" s="144"/>
      <c r="J3" s="45" t="e">
        <f>AM46</f>
        <v>#REF!</v>
      </c>
      <c r="L3" s="144" t="s">
        <v>4</v>
      </c>
      <c r="M3" s="144"/>
      <c r="N3" s="144"/>
      <c r="O3" s="45" t="e">
        <f>AM47</f>
        <v>#REF!</v>
      </c>
      <c r="Q3" s="144" t="s">
        <v>5</v>
      </c>
      <c r="R3" s="144"/>
      <c r="S3" s="144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44" t="s">
        <v>3</v>
      </c>
      <c r="H5" s="144"/>
      <c r="I5" s="144"/>
      <c r="J5" s="45" t="e">
        <f>AM51</f>
        <v>#REF!</v>
      </c>
      <c r="L5" s="144" t="s">
        <v>4</v>
      </c>
      <c r="M5" s="144"/>
      <c r="N5" s="144"/>
      <c r="O5" s="45" t="e">
        <f>AM47</f>
        <v>#REF!</v>
      </c>
      <c r="Q5" s="144" t="s">
        <v>5</v>
      </c>
      <c r="R5" s="144"/>
      <c r="S5" s="144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58" t="s">
        <v>9</v>
      </c>
      <c r="C8" s="150" t="s">
        <v>10</v>
      </c>
      <c r="D8" s="151"/>
      <c r="E8" s="152"/>
      <c r="F8" s="158" t="s">
        <v>11</v>
      </c>
      <c r="G8" s="162" t="s">
        <v>12</v>
      </c>
      <c r="H8" s="162"/>
      <c r="I8" s="162" t="s">
        <v>13</v>
      </c>
      <c r="J8" s="162"/>
      <c r="K8" s="162" t="s">
        <v>14</v>
      </c>
      <c r="L8" s="162"/>
      <c r="M8" s="160" t="s">
        <v>15</v>
      </c>
      <c r="N8" s="160" t="s">
        <v>16</v>
      </c>
      <c r="O8" s="160" t="s">
        <v>17</v>
      </c>
      <c r="P8" s="150" t="s">
        <v>18</v>
      </c>
      <c r="Q8" s="151"/>
      <c r="R8" s="152"/>
      <c r="S8" s="153" t="s">
        <v>19</v>
      </c>
      <c r="T8" s="154"/>
      <c r="U8" s="155"/>
      <c r="V8" s="153" t="s">
        <v>20</v>
      </c>
      <c r="W8" s="154"/>
      <c r="X8" s="155"/>
      <c r="Y8" s="145" t="s">
        <v>21</v>
      </c>
      <c r="Z8" s="146"/>
      <c r="AA8" s="147"/>
      <c r="AB8" s="148" t="s">
        <v>22</v>
      </c>
      <c r="AC8" s="1"/>
      <c r="AE8" s="158" t="s">
        <v>12</v>
      </c>
      <c r="AF8" s="158" t="s">
        <v>23</v>
      </c>
      <c r="AG8" s="158" t="s">
        <v>14</v>
      </c>
      <c r="AH8" s="158" t="s">
        <v>15</v>
      </c>
      <c r="AI8" s="158" t="s">
        <v>16</v>
      </c>
      <c r="AJ8" s="158" t="s">
        <v>17</v>
      </c>
      <c r="AK8" s="148" t="s">
        <v>24</v>
      </c>
      <c r="AL8" s="148" t="s">
        <v>25</v>
      </c>
      <c r="AM8" s="156" t="s">
        <v>26</v>
      </c>
    </row>
    <row r="9" spans="2:39" s="12" customFormat="1" ht="17.850000000000001" customHeight="1" x14ac:dyDescent="0.3">
      <c r="B9" s="159"/>
      <c r="C9" s="13" t="s">
        <v>27</v>
      </c>
      <c r="D9" s="13" t="s">
        <v>28</v>
      </c>
      <c r="E9" s="13" t="s">
        <v>29</v>
      </c>
      <c r="F9" s="159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61"/>
      <c r="N9" s="161"/>
      <c r="O9" s="161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49"/>
      <c r="AC9" s="1"/>
      <c r="AE9" s="159" t="s">
        <v>30</v>
      </c>
      <c r="AF9" s="159" t="s">
        <v>13</v>
      </c>
      <c r="AG9" s="159" t="s">
        <v>14</v>
      </c>
      <c r="AH9" s="159" t="s">
        <v>15</v>
      </c>
      <c r="AI9" s="159" t="s">
        <v>16</v>
      </c>
      <c r="AJ9" s="159"/>
      <c r="AK9" s="149"/>
      <c r="AL9" s="149"/>
      <c r="AM9" s="157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G1:K1"/>
    <mergeCell ref="L3:N3"/>
    <mergeCell ref="Q3:S3"/>
    <mergeCell ref="G5:I5"/>
    <mergeCell ref="L5:N5"/>
    <mergeCell ref="Q5:S5"/>
    <mergeCell ref="G3:I3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45670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-65862.071181431282</v>
      </c>
      <c r="E11" s="65">
        <f>'7. EOD Report'!E11-'6. DAP Report'!E11</f>
        <v>-5005.4833736647297</v>
      </c>
      <c r="F11" s="65">
        <f>'7. EOD Report'!F11-'6. DAP Report'!F11</f>
        <v>-60856.587807766555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-60856.587807766555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-62803.471337705327</v>
      </c>
      <c r="E12" s="65">
        <f>'7. EOD Report'!E12-'6. DAP Report'!E12</f>
        <v>-4922.2984560990872</v>
      </c>
      <c r="F12" s="65">
        <f>'7. EOD Report'!F12-'6. DAP Report'!F12</f>
        <v>-57881.172881606239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-57881.172881606239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-60250.563701991457</v>
      </c>
      <c r="E13" s="65">
        <f>'7. EOD Report'!E13-'6. DAP Report'!E13</f>
        <v>-4850.625419333438</v>
      </c>
      <c r="F13" s="65">
        <f>'7. EOD Report'!F13-'6. DAP Report'!F13</f>
        <v>-55399.938282658019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-55399.938282658019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-58504.821824228733</v>
      </c>
      <c r="E14" s="65">
        <f>'7. EOD Report'!E14-'6. DAP Report'!E14</f>
        <v>-4797.2748980407223</v>
      </c>
      <c r="F14" s="65">
        <f>'7. EOD Report'!F14-'6. DAP Report'!F14</f>
        <v>-53707.546926188013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-53707.546926188013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-58539.980652048551</v>
      </c>
      <c r="E15" s="65">
        <f>'7. EOD Report'!E15-'6. DAP Report'!E15</f>
        <v>-4859.0950124763467</v>
      </c>
      <c r="F15" s="65">
        <f>'7. EOD Report'!F15-'6. DAP Report'!F15</f>
        <v>-53680.885639572203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-53680.885639572203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-61595.87306736716</v>
      </c>
      <c r="E16" s="65">
        <f>'7. EOD Report'!E16-'6. DAP Report'!E16</f>
        <v>-4960.8898538269586</v>
      </c>
      <c r="F16" s="65">
        <f>'7. EOD Report'!F16-'6. DAP Report'!F16</f>
        <v>-56634.983213540203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-56634.983213540203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-63658.295652790635</v>
      </c>
      <c r="E17" s="65">
        <f>'7. EOD Report'!E17-'6. DAP Report'!E17</f>
        <v>-5211.4495932936807</v>
      </c>
      <c r="F17" s="65">
        <f>'7. EOD Report'!F17-'6. DAP Report'!F17</f>
        <v>-58446.846059496951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-58446.846059496951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-69192.375040420797</v>
      </c>
      <c r="E18" s="65">
        <f>'7. EOD Report'!E18-'6. DAP Report'!E18</f>
        <v>-6049.649550323782</v>
      </c>
      <c r="F18" s="65">
        <f>'7. EOD Report'!F18-'6. DAP Report'!F18</f>
        <v>-63142.725490097015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-63142.725490097015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-85134.12338212342</v>
      </c>
      <c r="E19" s="65">
        <f>'7. EOD Report'!E19-'6. DAP Report'!E19</f>
        <v>-8417.1275470972723</v>
      </c>
      <c r="F19" s="65">
        <f>'7. EOD Report'!F19-'6. DAP Report'!F19</f>
        <v>-76716.995835026144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-76716.995835026144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-97393.779924312621</v>
      </c>
      <c r="E20" s="65">
        <f>'7. EOD Report'!E20-'6. DAP Report'!E20</f>
        <v>-13902.174999999999</v>
      </c>
      <c r="F20" s="65">
        <f>'7. EOD Report'!F20-'6. DAP Report'!F20</f>
        <v>-83491.604924312618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-83491.604924312618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-102774.49695977985</v>
      </c>
      <c r="E21" s="65">
        <f>'7. EOD Report'!E21-'6. DAP Report'!E21</f>
        <v>-15210.828</v>
      </c>
      <c r="F21" s="65">
        <f>'7. EOD Report'!F21-'6. DAP Report'!F21</f>
        <v>-87563.668959779854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-87563.668959779854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-105401.07760687442</v>
      </c>
      <c r="E22" s="65">
        <f>'7. EOD Report'!E22-'6. DAP Report'!E22</f>
        <v>-15097.205</v>
      </c>
      <c r="F22" s="65">
        <f>'7. EOD Report'!F22-'6. DAP Report'!F22</f>
        <v>-90303.872606874414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-90303.872606874414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-104634.17897353299</v>
      </c>
      <c r="E23" s="65">
        <f>'7. EOD Report'!E23-'6. DAP Report'!E23</f>
        <v>-14468.754000000001</v>
      </c>
      <c r="F23" s="65">
        <f>'7. EOD Report'!F23-'6. DAP Report'!F23</f>
        <v>-90165.424973532994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-90165.424973532994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-108480.69341707004</v>
      </c>
      <c r="E24" s="65">
        <f>'7. EOD Report'!E24-'6. DAP Report'!E24</f>
        <v>-14615.934499999999</v>
      </c>
      <c r="F24" s="65">
        <f>'7. EOD Report'!F24-'6. DAP Report'!F24</f>
        <v>-93864.758917070038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-93864.758917070038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-110125.66277596007</v>
      </c>
      <c r="E25" s="65">
        <f>'7. EOD Report'!E25-'6. DAP Report'!E25</f>
        <v>-15642.946499999998</v>
      </c>
      <c r="F25" s="65">
        <f>'7. EOD Report'!F25-'6. DAP Report'!F25</f>
        <v>-94482.716275960061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-94482.716275960061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-108790.88125363505</v>
      </c>
      <c r="E26" s="65">
        <f>'7. EOD Report'!E26-'6. DAP Report'!E26</f>
        <v>-15864.011500000001</v>
      </c>
      <c r="F26" s="65">
        <f>'7. EOD Report'!F26-'6. DAP Report'!F26</f>
        <v>-92926.869753635052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-92926.869753635052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-106079.70502349941</v>
      </c>
      <c r="E27" s="65">
        <f>'7. EOD Report'!E27-'6. DAP Report'!E27</f>
        <v>-16275.092000000001</v>
      </c>
      <c r="F27" s="65">
        <f>'7. EOD Report'!F27-'6. DAP Report'!F27</f>
        <v>-89804.613023499405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-89804.613023499405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-99946.793216631864</v>
      </c>
      <c r="E28" s="65">
        <f>'7. EOD Report'!E28-'6. DAP Report'!E28</f>
        <v>-16265.217499999999</v>
      </c>
      <c r="F28" s="65">
        <f>'7. EOD Report'!F28-'6. DAP Report'!F28</f>
        <v>-83681.575716631865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-83681.575716631865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-99104.55621982718</v>
      </c>
      <c r="E29" s="65">
        <f>'7. EOD Report'!E29-'6. DAP Report'!E29</f>
        <v>-15390.046</v>
      </c>
      <c r="F29" s="65">
        <f>'7. EOD Report'!F29-'6. DAP Report'!F29</f>
        <v>-83714.510219827178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-83714.510219827178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-93301.807896002108</v>
      </c>
      <c r="E30" s="65">
        <f>'7. EOD Report'!E30-'6. DAP Report'!E30</f>
        <v>-13874.260999999999</v>
      </c>
      <c r="F30" s="65">
        <f>'7. EOD Report'!F30-'6. DAP Report'!F30</f>
        <v>-79427.54689600211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-79427.54689600211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-88500.603200900368</v>
      </c>
      <c r="E31" s="65">
        <f>'7. EOD Report'!E31-'6. DAP Report'!E31</f>
        <v>-11951.5345</v>
      </c>
      <c r="F31" s="65">
        <f>'7. EOD Report'!F31-'6. DAP Report'!F31</f>
        <v>-76549.068700900374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-76549.068700900374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-83427.496916065065</v>
      </c>
      <c r="E32" s="65">
        <f>'7. EOD Report'!E32-'6. DAP Report'!E32</f>
        <v>-9041.0964999999997</v>
      </c>
      <c r="F32" s="65">
        <f>'7. EOD Report'!F32-'6. DAP Report'!F32</f>
        <v>-74386.400416065066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-74386.400416065066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-77690.595456751427</v>
      </c>
      <c r="E33" s="65">
        <f>'7. EOD Report'!E33-'6. DAP Report'!E33</f>
        <v>-6150.5124999999998</v>
      </c>
      <c r="F33" s="65">
        <f>'7. EOD Report'!F33-'6. DAP Report'!F33</f>
        <v>-71540.08295675143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-71540.08295675143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-73472.019023631641</v>
      </c>
      <c r="E34" s="65">
        <f>'7. EOD Report'!E34-'6. DAP Report'!E34</f>
        <v>-5731.3050000000003</v>
      </c>
      <c r="F34" s="65">
        <f>'7. EOD Report'!F34-'6. DAP Report'!F34</f>
        <v>-67740.714023631648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-67740.714023631648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-2044665.9237045816</v>
      </c>
      <c r="E35" s="68">
        <f>SUM(E11:E34)</f>
        <v>-248554.81320415606</v>
      </c>
      <c r="F35" s="68">
        <f>SUM(F11:F34)</f>
        <v>-1796111.1105004256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-1796111.1105004256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45670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1.431919713123919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2.5724965725158326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2.4622194792292453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2.3870020856083562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2.3858171395365422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2.5171103650462312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2.5976376026443089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2.8063433551154229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1.8051057843535563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1.964508351160297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1.6678794087577116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1.7200737639404651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1.7174366661625333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1.2515301188942671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1.2597695503461341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1.2390249300484673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1.1973948403133254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1.1157543428884249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1.1161934695976956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1.0590339586133615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1.0206542493453383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1.0052216272441226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1.0076068022077667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1.0035661336834318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1.4311642314744426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topLeftCell="S1" zoomScale="55" zoomScaleNormal="50" workbookViewId="0">
      <selection activeCell="AJ13" sqref="AJ13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8">
        <v>45670</v>
      </c>
      <c r="D4" s="169"/>
      <c r="E4" s="170"/>
      <c r="J4" s="88"/>
      <c r="K4" s="89" t="s">
        <v>47</v>
      </c>
      <c r="L4" s="100" t="s">
        <v>99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8" t="s">
        <v>102</v>
      </c>
      <c r="D6" s="169"/>
      <c r="E6" s="170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71" t="s">
        <v>52</v>
      </c>
      <c r="C11" s="164" t="s">
        <v>53</v>
      </c>
      <c r="D11" s="165"/>
      <c r="E11" s="165"/>
      <c r="F11" s="165"/>
      <c r="G11" s="165"/>
      <c r="H11" s="166">
        <f>C4-7</f>
        <v>45663</v>
      </c>
      <c r="I11" s="166"/>
      <c r="J11" s="166"/>
      <c r="K11" s="166"/>
      <c r="L11" s="167"/>
      <c r="N11" s="163" t="s">
        <v>52</v>
      </c>
      <c r="O11" s="164" t="s">
        <v>54</v>
      </c>
      <c r="P11" s="165"/>
      <c r="Q11" s="165"/>
      <c r="R11" s="165"/>
      <c r="S11" s="165"/>
      <c r="T11" s="166">
        <f>C4-2</f>
        <v>45668</v>
      </c>
      <c r="U11" s="166"/>
      <c r="V11" s="166"/>
      <c r="W11" s="166"/>
      <c r="X11" s="167"/>
      <c r="Z11" s="163" t="s">
        <v>52</v>
      </c>
      <c r="AA11" s="164" t="s">
        <v>55</v>
      </c>
      <c r="AB11" s="165"/>
      <c r="AC11" s="165"/>
      <c r="AD11" s="165"/>
      <c r="AE11" s="165"/>
      <c r="AF11" s="166">
        <f>C4</f>
        <v>45670</v>
      </c>
      <c r="AG11" s="166"/>
      <c r="AH11" s="166"/>
      <c r="AI11" s="166"/>
      <c r="AJ11" s="167"/>
    </row>
    <row r="12" spans="2:36" ht="45" customHeight="1" x14ac:dyDescent="0.3">
      <c r="B12" s="171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63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63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2.8295872333333336</v>
      </c>
      <c r="D13" s="101">
        <v>2.8844085416666663</v>
      </c>
      <c r="E13" s="101">
        <v>2.8463525416666666</v>
      </c>
      <c r="F13" s="101">
        <v>2.8298426750000001</v>
      </c>
      <c r="G13" s="101">
        <v>2.8298426750000001</v>
      </c>
      <c r="H13" s="101">
        <v>2.7945809583333325</v>
      </c>
      <c r="I13" s="101">
        <v>2.7929042000000006</v>
      </c>
      <c r="J13" s="101">
        <v>2.8418055333333339</v>
      </c>
      <c r="K13" s="101">
        <v>2.8294926416666661</v>
      </c>
      <c r="L13" s="101"/>
      <c r="N13" s="14">
        <v>1</v>
      </c>
      <c r="O13" s="101">
        <v>3.7625713583333331</v>
      </c>
      <c r="P13" s="101">
        <v>3.8431535916666668</v>
      </c>
      <c r="Q13" s="101">
        <v>3.7902706749999999</v>
      </c>
      <c r="R13" s="101">
        <v>3.7628415166666667</v>
      </c>
      <c r="S13" s="101">
        <v>3.7628415166666667</v>
      </c>
      <c r="T13" s="101">
        <v>3.7594260416666669</v>
      </c>
      <c r="U13" s="101">
        <v>3.7567628333333327</v>
      </c>
      <c r="V13" s="101">
        <v>3.9805010750000003</v>
      </c>
      <c r="W13" s="101">
        <v>3.7621954166666658</v>
      </c>
      <c r="X13" s="101"/>
      <c r="Z13" s="14">
        <v>1</v>
      </c>
      <c r="AA13" s="101">
        <v>2.6957800000000001</v>
      </c>
      <c r="AB13" s="101">
        <v>2.7178100000000001</v>
      </c>
      <c r="AC13" s="101">
        <v>2.7104699999999999</v>
      </c>
      <c r="AD13" s="101">
        <v>2.6957800000000001</v>
      </c>
      <c r="AE13" s="101">
        <v>2.6957800000000001</v>
      </c>
      <c r="AF13" s="101">
        <v>2.7071999999999998</v>
      </c>
      <c r="AG13" s="101">
        <v>2.7189000000000001</v>
      </c>
      <c r="AH13" s="101">
        <v>2.7441900000000001</v>
      </c>
      <c r="AI13" s="101">
        <v>2.6957800000000001</v>
      </c>
      <c r="AJ13" s="101"/>
    </row>
    <row r="14" spans="2:36" ht="24" customHeight="1" x14ac:dyDescent="0.3">
      <c r="B14" s="51">
        <v>2</v>
      </c>
      <c r="C14" s="101">
        <v>0.96573680833333342</v>
      </c>
      <c r="D14" s="101">
        <v>0.98387529166666665</v>
      </c>
      <c r="E14" s="101">
        <v>0.97168650833333359</v>
      </c>
      <c r="F14" s="101">
        <v>0.96577682500000028</v>
      </c>
      <c r="G14" s="101">
        <v>0.96577682500000028</v>
      </c>
      <c r="H14" s="101">
        <v>0.95737480833333344</v>
      </c>
      <c r="I14" s="101">
        <v>0.95680037499999993</v>
      </c>
      <c r="J14" s="101">
        <v>0.97330574999999997</v>
      </c>
      <c r="K14" s="101">
        <v>0.9656709</v>
      </c>
      <c r="L14" s="101"/>
      <c r="N14" s="14">
        <v>2</v>
      </c>
      <c r="O14" s="101">
        <v>3.5535732583333339</v>
      </c>
      <c r="P14" s="101">
        <v>3.6144114333333341</v>
      </c>
      <c r="Q14" s="101">
        <v>3.5752594416666668</v>
      </c>
      <c r="R14" s="101">
        <v>3.5538093083333333</v>
      </c>
      <c r="S14" s="101">
        <v>3.5538093083333333</v>
      </c>
      <c r="T14" s="101">
        <v>3.5433060999999997</v>
      </c>
      <c r="U14" s="101">
        <v>3.5404714416666665</v>
      </c>
      <c r="V14" s="101">
        <v>3.7756752333333332</v>
      </c>
      <c r="W14" s="101">
        <v>3.5533659500000008</v>
      </c>
      <c r="X14" s="101"/>
      <c r="Z14" s="14">
        <v>2</v>
      </c>
      <c r="AA14" s="101">
        <v>2.6830700000000003</v>
      </c>
      <c r="AB14" s="101">
        <v>2.7004699999999997</v>
      </c>
      <c r="AC14" s="101">
        <v>2.6983000000000001</v>
      </c>
      <c r="AD14" s="101">
        <v>2.6830700000000003</v>
      </c>
      <c r="AE14" s="101">
        <v>2.6830700000000003</v>
      </c>
      <c r="AF14" s="101">
        <v>2.7042800000000002</v>
      </c>
      <c r="AG14" s="101">
        <v>2.7192399999999997</v>
      </c>
      <c r="AH14" s="101">
        <v>2.7728200000000003</v>
      </c>
      <c r="AI14" s="101">
        <v>2.6830700000000003</v>
      </c>
      <c r="AJ14" s="101"/>
    </row>
    <row r="15" spans="2:36" ht="24" customHeight="1" x14ac:dyDescent="0.3">
      <c r="B15" s="51">
        <v>3</v>
      </c>
      <c r="C15" s="101">
        <v>0.34041547500000002</v>
      </c>
      <c r="D15" s="101">
        <v>0.34669566666666668</v>
      </c>
      <c r="E15" s="101">
        <v>0.34252112499999998</v>
      </c>
      <c r="F15" s="101">
        <v>0.34043014166666663</v>
      </c>
      <c r="G15" s="101">
        <v>0.34043014166666663</v>
      </c>
      <c r="H15" s="101">
        <v>0.33797947500000003</v>
      </c>
      <c r="I15" s="101">
        <v>0.33778440833333334</v>
      </c>
      <c r="J15" s="101">
        <v>0.34263232500000002</v>
      </c>
      <c r="K15" s="101">
        <v>0.34038907499999999</v>
      </c>
      <c r="L15" s="101"/>
      <c r="N15" s="14">
        <v>3</v>
      </c>
      <c r="O15" s="101">
        <v>2.756813208333333</v>
      </c>
      <c r="P15" s="101">
        <v>2.793960175</v>
      </c>
      <c r="Q15" s="101">
        <v>2.7715442833333341</v>
      </c>
      <c r="R15" s="101">
        <v>2.7570263083333324</v>
      </c>
      <c r="S15" s="101">
        <v>2.7570263083333324</v>
      </c>
      <c r="T15" s="101">
        <v>2.7442270583333332</v>
      </c>
      <c r="U15" s="101">
        <v>2.7423061083333335</v>
      </c>
      <c r="V15" s="101">
        <v>2.8870535166666662</v>
      </c>
      <c r="W15" s="101">
        <v>2.7566081749999998</v>
      </c>
      <c r="X15" s="101"/>
      <c r="Z15" s="14">
        <v>3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/>
    </row>
    <row r="16" spans="2:36" ht="24" customHeight="1" x14ac:dyDescent="0.3">
      <c r="B16" s="51">
        <v>4</v>
      </c>
      <c r="C16" s="101">
        <v>0.19326290000000004</v>
      </c>
      <c r="D16" s="101">
        <v>0.19662510833333333</v>
      </c>
      <c r="E16" s="101">
        <v>0.19450188333333335</v>
      </c>
      <c r="F16" s="101">
        <v>0.193271625</v>
      </c>
      <c r="G16" s="101">
        <v>0.193271625</v>
      </c>
      <c r="H16" s="101">
        <v>0.19273743333333335</v>
      </c>
      <c r="I16" s="101">
        <v>0.19265620833333333</v>
      </c>
      <c r="J16" s="101">
        <v>0.19578621666666662</v>
      </c>
      <c r="K16" s="101">
        <v>0.19325073333333334</v>
      </c>
      <c r="L16" s="101"/>
      <c r="N16" s="14">
        <v>4</v>
      </c>
      <c r="O16" s="101">
        <v>2.8107936499999999</v>
      </c>
      <c r="P16" s="101">
        <v>2.853023316666667</v>
      </c>
      <c r="Q16" s="101">
        <v>2.8262360416666668</v>
      </c>
      <c r="R16" s="101">
        <v>2.8109810916666667</v>
      </c>
      <c r="S16" s="101">
        <v>2.8109810916666667</v>
      </c>
      <c r="T16" s="101">
        <v>2.8034749166666666</v>
      </c>
      <c r="U16" s="101">
        <v>2.8015124749999996</v>
      </c>
      <c r="V16" s="101">
        <v>2.960984508333333</v>
      </c>
      <c r="W16" s="101">
        <v>2.8106063833333335</v>
      </c>
      <c r="X16" s="101"/>
      <c r="Z16" s="14">
        <v>4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/>
    </row>
    <row r="17" spans="2:36" ht="24" customHeight="1" x14ac:dyDescent="0.3">
      <c r="B17" s="51">
        <v>5</v>
      </c>
      <c r="C17" s="101">
        <v>1.6101136250000001</v>
      </c>
      <c r="D17" s="101">
        <v>1.6431943499999997</v>
      </c>
      <c r="E17" s="101">
        <v>1.6202904666666667</v>
      </c>
      <c r="F17" s="101">
        <v>1.6101560750000001</v>
      </c>
      <c r="G17" s="101">
        <v>1.6101560750000001</v>
      </c>
      <c r="H17" s="101">
        <v>1.5955420499999999</v>
      </c>
      <c r="I17" s="101">
        <v>1.5949038249999996</v>
      </c>
      <c r="J17" s="101">
        <v>1.6089445500000001</v>
      </c>
      <c r="K17" s="101">
        <v>1.6099892583333333</v>
      </c>
      <c r="L17" s="101"/>
      <c r="N17" s="14">
        <v>5</v>
      </c>
      <c r="O17" s="101">
        <v>3.212045925</v>
      </c>
      <c r="P17" s="101">
        <v>3.2720453166666665</v>
      </c>
      <c r="Q17" s="101">
        <v>3.2303752999999995</v>
      </c>
      <c r="R17" s="101">
        <v>3.2122035333333332</v>
      </c>
      <c r="S17" s="101">
        <v>3.2122035333333332</v>
      </c>
      <c r="T17" s="101">
        <v>3.2048879333333331</v>
      </c>
      <c r="U17" s="101">
        <v>3.1949320250000004</v>
      </c>
      <c r="V17" s="101">
        <v>3.3923933083333329</v>
      </c>
      <c r="W17" s="101">
        <v>3.2118049833333333</v>
      </c>
      <c r="X17" s="101"/>
      <c r="Z17" s="14">
        <v>5</v>
      </c>
      <c r="AA17" s="101">
        <v>2.1047699999999998</v>
      </c>
      <c r="AB17" s="101">
        <v>2.1194499999999996</v>
      </c>
      <c r="AC17" s="101">
        <v>2.1166900000000002</v>
      </c>
      <c r="AD17" s="101">
        <v>2.1045599999999998</v>
      </c>
      <c r="AE17" s="101">
        <v>2.1045599999999998</v>
      </c>
      <c r="AF17" s="101">
        <v>2.1122199999999998</v>
      </c>
      <c r="AG17" s="101">
        <v>2.1271100000000001</v>
      </c>
      <c r="AH17" s="101">
        <v>2.1539200000000003</v>
      </c>
      <c r="AI17" s="101">
        <v>2.1047699999999998</v>
      </c>
      <c r="AJ17" s="101"/>
    </row>
    <row r="18" spans="2:36" ht="24" customHeight="1" x14ac:dyDescent="0.3">
      <c r="B18" s="51">
        <v>6</v>
      </c>
      <c r="C18" s="101">
        <v>3.0759549166666669</v>
      </c>
      <c r="D18" s="101">
        <v>3.1498964666666671</v>
      </c>
      <c r="E18" s="101">
        <v>3.0954461666666671</v>
      </c>
      <c r="F18" s="101">
        <v>3.076083058333333</v>
      </c>
      <c r="G18" s="101">
        <v>3.076083058333333</v>
      </c>
      <c r="H18" s="101">
        <v>3.0280471666666657</v>
      </c>
      <c r="I18" s="101">
        <v>3.0266794999999997</v>
      </c>
      <c r="J18" s="101">
        <v>3.0686180666666663</v>
      </c>
      <c r="K18" s="101">
        <v>3.0757802500000002</v>
      </c>
      <c r="L18" s="101"/>
      <c r="N18" s="14">
        <v>6</v>
      </c>
      <c r="O18" s="101">
        <v>3.3939433416666667</v>
      </c>
      <c r="P18" s="101">
        <v>3.4717730499999995</v>
      </c>
      <c r="Q18" s="101">
        <v>3.4206728833333329</v>
      </c>
      <c r="R18" s="101">
        <v>3.3941367166666661</v>
      </c>
      <c r="S18" s="101">
        <v>3.3941367166666661</v>
      </c>
      <c r="T18" s="101">
        <v>3.3943615166666672</v>
      </c>
      <c r="U18" s="101">
        <v>3.3919854583333331</v>
      </c>
      <c r="V18" s="101">
        <v>3.5907990250000004</v>
      </c>
      <c r="W18" s="101">
        <v>3.3936328500000004</v>
      </c>
      <c r="X18" s="101"/>
      <c r="Z18" s="14">
        <v>6</v>
      </c>
      <c r="AA18" s="101">
        <v>2.8073899999999998</v>
      </c>
      <c r="AB18" s="101">
        <v>2.8344</v>
      </c>
      <c r="AC18" s="101">
        <v>2.8225799999999999</v>
      </c>
      <c r="AD18" s="101">
        <v>2.8073899999999998</v>
      </c>
      <c r="AE18" s="101">
        <v>2.8073899999999998</v>
      </c>
      <c r="AF18" s="101">
        <v>2.7941599999999998</v>
      </c>
      <c r="AG18" s="101">
        <v>2.8133000000000004</v>
      </c>
      <c r="AH18" s="101">
        <v>2.7879699999999996</v>
      </c>
      <c r="AI18" s="101">
        <v>2.8073899999999998</v>
      </c>
      <c r="AJ18" s="101"/>
    </row>
    <row r="19" spans="2:36" ht="24" customHeight="1" x14ac:dyDescent="0.3">
      <c r="B19" s="51">
        <v>7</v>
      </c>
      <c r="C19" s="101">
        <v>2.7882774333333331</v>
      </c>
      <c r="D19" s="101">
        <v>2.8478898333333333</v>
      </c>
      <c r="E19" s="101">
        <v>2.8039995333333336</v>
      </c>
      <c r="F19" s="101">
        <v>2.7884045333333329</v>
      </c>
      <c r="G19" s="101">
        <v>2.7884045333333329</v>
      </c>
      <c r="H19" s="101">
        <v>2.7448248916666671</v>
      </c>
      <c r="I19" s="101">
        <v>2.7433733749999996</v>
      </c>
      <c r="J19" s="101">
        <v>2.7527938333333331</v>
      </c>
      <c r="K19" s="101">
        <v>2.7881540249999999</v>
      </c>
      <c r="L19" s="101"/>
      <c r="N19" s="14">
        <v>7</v>
      </c>
      <c r="O19" s="101">
        <v>3.4513257500000001</v>
      </c>
      <c r="P19" s="101">
        <v>3.5307358499999997</v>
      </c>
      <c r="Q19" s="101">
        <v>3.4867900666666665</v>
      </c>
      <c r="R19" s="101">
        <v>3.4516491833333336</v>
      </c>
      <c r="S19" s="101">
        <v>3.4516491833333336</v>
      </c>
      <c r="T19" s="101">
        <v>3.5695697500000003</v>
      </c>
      <c r="U19" s="101">
        <v>3.5087911499999995</v>
      </c>
      <c r="V19" s="101">
        <v>3.7440187166666661</v>
      </c>
      <c r="W19" s="101">
        <v>3.4509133499999995</v>
      </c>
      <c r="X19" s="101"/>
      <c r="Z19" s="14">
        <v>7</v>
      </c>
      <c r="AA19" s="101">
        <v>2.70316</v>
      </c>
      <c r="AB19" s="101">
        <v>2.72038</v>
      </c>
      <c r="AC19" s="101">
        <v>2.7173699999999998</v>
      </c>
      <c r="AD19" s="101">
        <v>2.70316</v>
      </c>
      <c r="AE19" s="101">
        <v>2.70316</v>
      </c>
      <c r="AF19" s="101">
        <v>2.7170999999999998</v>
      </c>
      <c r="AG19" s="101">
        <v>2.7337800000000003</v>
      </c>
      <c r="AH19" s="101">
        <v>2.7961199999999997</v>
      </c>
      <c r="AI19" s="101">
        <v>2.70316</v>
      </c>
      <c r="AJ19" s="101"/>
    </row>
    <row r="20" spans="2:36" ht="24" customHeight="1" x14ac:dyDescent="0.3">
      <c r="B20" s="51">
        <v>8</v>
      </c>
      <c r="C20" s="101">
        <v>1.6378985666666668</v>
      </c>
      <c r="D20" s="101">
        <v>1.6749605250000001</v>
      </c>
      <c r="E20" s="101">
        <v>1.6469542500000001</v>
      </c>
      <c r="F20" s="101">
        <v>1.637974225</v>
      </c>
      <c r="G20" s="101">
        <v>1.637974225</v>
      </c>
      <c r="H20" s="101">
        <v>1.6106137249999999</v>
      </c>
      <c r="I20" s="101">
        <v>1.6096473666666664</v>
      </c>
      <c r="J20" s="101">
        <v>1.6168779416666665</v>
      </c>
      <c r="K20" s="101">
        <v>1.6378004333333336</v>
      </c>
      <c r="L20" s="101"/>
      <c r="N20" s="14">
        <v>8</v>
      </c>
      <c r="O20" s="101">
        <v>2.6580129916666659</v>
      </c>
      <c r="P20" s="101">
        <v>2.695809941666667</v>
      </c>
      <c r="Q20" s="101">
        <v>2.6727468000000001</v>
      </c>
      <c r="R20" s="101">
        <v>2.6582249916666667</v>
      </c>
      <c r="S20" s="101">
        <v>2.6582249916666667</v>
      </c>
      <c r="T20" s="101">
        <v>2.65054225</v>
      </c>
      <c r="U20" s="101">
        <v>2.6486868583333329</v>
      </c>
      <c r="V20" s="101">
        <v>2.7487404750000004</v>
      </c>
      <c r="W20" s="101">
        <v>2.6579236916666669</v>
      </c>
      <c r="X20" s="101"/>
      <c r="Z20" s="14">
        <v>8</v>
      </c>
      <c r="AA20" s="101">
        <v>3.14785</v>
      </c>
      <c r="AB20" s="101">
        <v>3.1696999999999997</v>
      </c>
      <c r="AC20" s="101">
        <v>3.1627399999999999</v>
      </c>
      <c r="AD20" s="101">
        <v>3.14785</v>
      </c>
      <c r="AE20" s="101">
        <v>3.14785</v>
      </c>
      <c r="AF20" s="101">
        <v>3.1570399999999998</v>
      </c>
      <c r="AG20" s="101">
        <v>3.1662199999999996</v>
      </c>
      <c r="AH20" s="101">
        <v>3.1472199999999999</v>
      </c>
      <c r="AI20" s="101">
        <v>3.14785</v>
      </c>
      <c r="AJ20" s="101"/>
    </row>
    <row r="21" spans="2:36" ht="24" customHeight="1" x14ac:dyDescent="0.3">
      <c r="B21" s="51">
        <v>9</v>
      </c>
      <c r="C21" s="101">
        <v>3.3665449166666663</v>
      </c>
      <c r="D21" s="101">
        <v>3.447423933333333</v>
      </c>
      <c r="E21" s="101">
        <v>3.3816950833333328</v>
      </c>
      <c r="F21" s="101">
        <v>3.3667882499999999</v>
      </c>
      <c r="G21" s="101">
        <v>3.3667882499999999</v>
      </c>
      <c r="H21" s="101">
        <v>3.274435725</v>
      </c>
      <c r="I21" s="101">
        <v>3.2722781083333334</v>
      </c>
      <c r="J21" s="101">
        <v>3.2899722666666671</v>
      </c>
      <c r="K21" s="101">
        <v>3.3663214750000008</v>
      </c>
      <c r="L21" s="101"/>
      <c r="N21" s="14">
        <v>9</v>
      </c>
      <c r="O21" s="101">
        <v>3.5007674833333335</v>
      </c>
      <c r="P21" s="101">
        <v>3.5574414249999995</v>
      </c>
      <c r="Q21" s="101">
        <v>3.5226431416666659</v>
      </c>
      <c r="R21" s="101">
        <v>3.5009785666666673</v>
      </c>
      <c r="S21" s="101">
        <v>3.5009785666666673</v>
      </c>
      <c r="T21" s="101">
        <v>3.492187266666666</v>
      </c>
      <c r="U21" s="101">
        <v>3.4897427416666664</v>
      </c>
      <c r="V21" s="101">
        <v>3.5900387749999996</v>
      </c>
      <c r="W21" s="101">
        <v>3.5005371833333334</v>
      </c>
      <c r="X21" s="101"/>
      <c r="Z21" s="14">
        <v>9</v>
      </c>
      <c r="AA21" s="101">
        <v>3.5594899999999998</v>
      </c>
      <c r="AB21" s="101">
        <v>3.5951900000000001</v>
      </c>
      <c r="AC21" s="101">
        <v>3.5937399999999999</v>
      </c>
      <c r="AD21" s="101">
        <v>3.55986</v>
      </c>
      <c r="AE21" s="101">
        <v>3.55986</v>
      </c>
      <c r="AF21" s="101">
        <v>3.6538400000000002</v>
      </c>
      <c r="AG21" s="101">
        <v>3.6421900000000003</v>
      </c>
      <c r="AH21" s="101">
        <v>3.62907</v>
      </c>
      <c r="AI21" s="101">
        <v>3.5591300000000001</v>
      </c>
      <c r="AJ21" s="101"/>
    </row>
    <row r="22" spans="2:36" ht="24" customHeight="1" x14ac:dyDescent="0.3">
      <c r="B22" s="51">
        <v>10</v>
      </c>
      <c r="C22" s="101">
        <v>2.2248411999999997</v>
      </c>
      <c r="D22" s="101">
        <v>2.2781806666666666</v>
      </c>
      <c r="E22" s="101">
        <v>2.2337461250000001</v>
      </c>
      <c r="F22" s="101">
        <v>2.2249174666666662</v>
      </c>
      <c r="G22" s="101">
        <v>2.2249174666666662</v>
      </c>
      <c r="H22" s="101">
        <v>2.1446196333333334</v>
      </c>
      <c r="I22" s="101">
        <v>2.1433212416666665</v>
      </c>
      <c r="J22" s="101">
        <v>2.064133383333334</v>
      </c>
      <c r="K22" s="101">
        <v>2.2247030166666666</v>
      </c>
      <c r="L22" s="101"/>
      <c r="N22" s="14">
        <v>10</v>
      </c>
      <c r="O22" s="101">
        <v>2.9694684083333338</v>
      </c>
      <c r="P22" s="101">
        <v>3.0128998166666667</v>
      </c>
      <c r="Q22" s="101">
        <v>2.9855547583333331</v>
      </c>
      <c r="R22" s="101">
        <v>2.9697089083333337</v>
      </c>
      <c r="S22" s="101">
        <v>2.9697089083333337</v>
      </c>
      <c r="T22" s="101">
        <v>2.9155386166666664</v>
      </c>
      <c r="U22" s="101">
        <v>2.9137597333333329</v>
      </c>
      <c r="V22" s="101">
        <v>2.8759216583333331</v>
      </c>
      <c r="W22" s="101">
        <v>2.9693338666666662</v>
      </c>
      <c r="X22" s="101"/>
      <c r="Z22" s="14">
        <v>10</v>
      </c>
      <c r="AA22" s="101">
        <v>3.6906999999999996</v>
      </c>
      <c r="AB22" s="101">
        <v>3.69617</v>
      </c>
      <c r="AC22" s="101">
        <v>3.7034600000000002</v>
      </c>
      <c r="AD22" s="101">
        <v>3.6910599999999998</v>
      </c>
      <c r="AE22" s="101">
        <v>3.6910599999999998</v>
      </c>
      <c r="AF22" s="101">
        <v>3.6648100000000001</v>
      </c>
      <c r="AG22" s="101">
        <v>3.64513</v>
      </c>
      <c r="AH22" s="101">
        <v>3.4540799999999998</v>
      </c>
      <c r="AI22" s="101">
        <v>3.6906999999999996</v>
      </c>
      <c r="AJ22" s="101"/>
    </row>
    <row r="23" spans="2:36" ht="24" customHeight="1" x14ac:dyDescent="0.3">
      <c r="B23" s="51">
        <v>11</v>
      </c>
      <c r="C23" s="101">
        <v>2.3429451916666673</v>
      </c>
      <c r="D23" s="101">
        <v>2.4011105083333333</v>
      </c>
      <c r="E23" s="101">
        <v>2.3509504166666666</v>
      </c>
      <c r="F23" s="101">
        <v>2.3430145833333338</v>
      </c>
      <c r="G23" s="101">
        <v>2.3430145833333338</v>
      </c>
      <c r="H23" s="101">
        <v>1.931924058333333</v>
      </c>
      <c r="I23" s="101">
        <v>2.2361317249999999</v>
      </c>
      <c r="J23" s="101">
        <v>2.0736461083333331</v>
      </c>
      <c r="K23" s="101">
        <v>2.3427908166666671</v>
      </c>
      <c r="L23" s="101"/>
      <c r="N23" s="14">
        <v>11</v>
      </c>
      <c r="O23" s="101">
        <v>2.8137863583333331</v>
      </c>
      <c r="P23" s="101">
        <v>2.8260865916666669</v>
      </c>
      <c r="Q23" s="101">
        <v>2.8217755333333336</v>
      </c>
      <c r="R23" s="101">
        <v>2.8138981500000004</v>
      </c>
      <c r="S23" s="101">
        <v>2.8138981500000004</v>
      </c>
      <c r="T23" s="101">
        <v>2.7259837166666667</v>
      </c>
      <c r="U23" s="101">
        <v>2.7243481083333334</v>
      </c>
      <c r="V23" s="101">
        <v>2.6236927250000002</v>
      </c>
      <c r="W23" s="101">
        <v>2.8136152833333341</v>
      </c>
      <c r="X23" s="101"/>
      <c r="Z23" s="14">
        <v>11</v>
      </c>
      <c r="AA23" s="101">
        <v>3.6704599999999998</v>
      </c>
      <c r="AB23" s="101">
        <v>3.7386999999999997</v>
      </c>
      <c r="AC23" s="101">
        <v>3.7031000000000001</v>
      </c>
      <c r="AD23" s="101">
        <v>3.6708400000000001</v>
      </c>
      <c r="AE23" s="101">
        <v>3.6708400000000001</v>
      </c>
      <c r="AF23" s="101">
        <v>3.7398200000000004</v>
      </c>
      <c r="AG23" s="101">
        <v>3.7079200000000001</v>
      </c>
      <c r="AH23" s="101">
        <v>3.4616700000000002</v>
      </c>
      <c r="AI23" s="101">
        <v>3.6700900000000001</v>
      </c>
      <c r="AJ23" s="101"/>
    </row>
    <row r="24" spans="2:36" ht="24" customHeight="1" x14ac:dyDescent="0.3">
      <c r="B24" s="51">
        <v>12</v>
      </c>
      <c r="C24" s="101">
        <v>2.8067666000000004</v>
      </c>
      <c r="D24" s="101">
        <v>2.8759125166666668</v>
      </c>
      <c r="E24" s="101">
        <v>2.8157258833333341</v>
      </c>
      <c r="F24" s="101">
        <v>2.8068745750000001</v>
      </c>
      <c r="G24" s="101">
        <v>2.8068745750000001</v>
      </c>
      <c r="H24" s="101">
        <v>2.1183457583333332</v>
      </c>
      <c r="I24" s="101">
        <v>2.6756544249999998</v>
      </c>
      <c r="J24" s="101">
        <v>2.4802268083333328</v>
      </c>
      <c r="K24" s="101">
        <v>2.8065825499999995</v>
      </c>
      <c r="L24" s="101"/>
      <c r="N24" s="14">
        <v>12</v>
      </c>
      <c r="O24" s="101">
        <v>2.8387057499999995</v>
      </c>
      <c r="P24" s="101">
        <v>2.844603333333334</v>
      </c>
      <c r="Q24" s="101">
        <v>2.8462619583333337</v>
      </c>
      <c r="R24" s="101">
        <v>2.8387859416666665</v>
      </c>
      <c r="S24" s="101">
        <v>2.8387859416666665</v>
      </c>
      <c r="T24" s="101">
        <v>2.4273557416666667</v>
      </c>
      <c r="U24" s="101">
        <v>2.7467674999999998</v>
      </c>
      <c r="V24" s="101">
        <v>2.5500000333333332</v>
      </c>
      <c r="W24" s="101">
        <v>2.8385824749999995</v>
      </c>
      <c r="X24" s="101"/>
      <c r="Z24" s="14">
        <v>12</v>
      </c>
      <c r="AA24" s="101">
        <v>3.6107300000000002</v>
      </c>
      <c r="AB24" s="101">
        <v>3.6792500000000001</v>
      </c>
      <c r="AC24" s="101">
        <v>3.6428000000000003</v>
      </c>
      <c r="AD24" s="101">
        <v>3.6110900000000004</v>
      </c>
      <c r="AE24" s="101">
        <v>3.6110900000000004</v>
      </c>
      <c r="AF24" s="101">
        <v>3.65171</v>
      </c>
      <c r="AG24" s="101">
        <v>3.6442600000000001</v>
      </c>
      <c r="AH24" s="101">
        <v>3.4233800000000003</v>
      </c>
      <c r="AI24" s="101">
        <v>3.61036</v>
      </c>
      <c r="AJ24" s="101"/>
    </row>
    <row r="25" spans="2:36" ht="24" customHeight="1" x14ac:dyDescent="0.3">
      <c r="B25" s="51">
        <v>13</v>
      </c>
      <c r="C25" s="101">
        <v>3.0061403666666666</v>
      </c>
      <c r="D25" s="101">
        <v>3.0818224249999999</v>
      </c>
      <c r="E25" s="101">
        <v>3.0155424000000002</v>
      </c>
      <c r="F25" s="101">
        <v>3.0062472583333335</v>
      </c>
      <c r="G25" s="101">
        <v>3.0062472583333335</v>
      </c>
      <c r="H25" s="101">
        <v>2.866896675</v>
      </c>
      <c r="I25" s="101">
        <v>2.8648898416666673</v>
      </c>
      <c r="J25" s="101">
        <v>2.6737204999999999</v>
      </c>
      <c r="K25" s="101">
        <v>3.0059605916666663</v>
      </c>
      <c r="L25" s="101"/>
      <c r="N25" s="14">
        <v>13</v>
      </c>
      <c r="O25" s="101">
        <v>2.9894175083333336</v>
      </c>
      <c r="P25" s="101">
        <v>3.0093410916666667</v>
      </c>
      <c r="Q25" s="101">
        <v>2.9975752249999998</v>
      </c>
      <c r="R25" s="101">
        <v>2.9895385249999999</v>
      </c>
      <c r="S25" s="101">
        <v>2.9895385249999999</v>
      </c>
      <c r="T25" s="101">
        <v>2.5865433166666665</v>
      </c>
      <c r="U25" s="101">
        <v>2.8932275583333333</v>
      </c>
      <c r="V25" s="101">
        <v>2.6928533333333333</v>
      </c>
      <c r="W25" s="101">
        <v>2.9892759916666667</v>
      </c>
      <c r="X25" s="101"/>
      <c r="Z25" s="14">
        <v>13</v>
      </c>
      <c r="AA25" s="101">
        <v>3.7501500000000001</v>
      </c>
      <c r="AB25" s="101">
        <v>3.7744</v>
      </c>
      <c r="AC25" s="101">
        <v>3.78274</v>
      </c>
      <c r="AD25" s="101">
        <v>3.7505300000000004</v>
      </c>
      <c r="AE25" s="101">
        <v>3.7505300000000004</v>
      </c>
      <c r="AF25" s="101">
        <v>3.6598800000000002</v>
      </c>
      <c r="AG25" s="101">
        <v>3.7888000000000002</v>
      </c>
      <c r="AH25" s="101">
        <v>3.4943499999999998</v>
      </c>
      <c r="AI25" s="101">
        <v>3.7497699999999998</v>
      </c>
      <c r="AJ25" s="101"/>
    </row>
    <row r="26" spans="2:36" ht="24" customHeight="1" x14ac:dyDescent="0.3">
      <c r="B26" s="51">
        <v>14</v>
      </c>
      <c r="C26" s="101">
        <v>3.6180072000000001</v>
      </c>
      <c r="D26" s="101">
        <v>3.7152875636363634</v>
      </c>
      <c r="E26" s="101">
        <v>3.6291281727272726</v>
      </c>
      <c r="F26" s="101">
        <v>3.6181775909090912</v>
      </c>
      <c r="G26" s="101">
        <v>3.6181775909090912</v>
      </c>
      <c r="H26" s="101">
        <v>3.4438277999999998</v>
      </c>
      <c r="I26" s="101">
        <v>3.4414171181818185</v>
      </c>
      <c r="J26" s="101">
        <v>3.2774893999999999</v>
      </c>
      <c r="K26" s="101">
        <v>3.6177819090909087</v>
      </c>
      <c r="L26" s="101"/>
      <c r="N26" s="14">
        <v>14</v>
      </c>
      <c r="O26" s="101">
        <v>3.4554484416666673</v>
      </c>
      <c r="P26" s="101">
        <v>3.4746918000000004</v>
      </c>
      <c r="Q26" s="101">
        <v>3.4669788833333337</v>
      </c>
      <c r="R26" s="101">
        <v>3.4556551166666667</v>
      </c>
      <c r="S26" s="101">
        <v>3.4556551166666667</v>
      </c>
      <c r="T26" s="101">
        <v>3.3459633833333333</v>
      </c>
      <c r="U26" s="101">
        <v>3.3442860666666663</v>
      </c>
      <c r="V26" s="101">
        <v>3.1457779333333331</v>
      </c>
      <c r="W26" s="101">
        <v>3.4553165833333335</v>
      </c>
      <c r="X26" s="101"/>
      <c r="Z26" s="14">
        <v>14</v>
      </c>
      <c r="AA26" s="101">
        <v>5.0209799999999998</v>
      </c>
      <c r="AB26" s="101">
        <v>5.0901999999999994</v>
      </c>
      <c r="AC26" s="101">
        <v>5.0953999999999997</v>
      </c>
      <c r="AD26" s="101">
        <v>5.0220200000000004</v>
      </c>
      <c r="AE26" s="101">
        <v>5.0220200000000004</v>
      </c>
      <c r="AF26" s="101">
        <v>3.7870300000000001</v>
      </c>
      <c r="AG26" s="101">
        <v>5.2036600000000002</v>
      </c>
      <c r="AH26" s="101">
        <v>4.8055000000000003</v>
      </c>
      <c r="AI26" s="101">
        <v>5.0194099999999997</v>
      </c>
      <c r="AJ26" s="101"/>
    </row>
    <row r="27" spans="2:36" ht="24" customHeight="1" x14ac:dyDescent="0.3">
      <c r="B27" s="51">
        <v>15</v>
      </c>
      <c r="C27" s="101">
        <v>3.5187134833333329</v>
      </c>
      <c r="D27" s="101">
        <v>3.6171104166666668</v>
      </c>
      <c r="E27" s="101">
        <v>3.5292269749999998</v>
      </c>
      <c r="F27" s="101">
        <v>3.5189110333333335</v>
      </c>
      <c r="G27" s="101">
        <v>3.5189110333333335</v>
      </c>
      <c r="H27" s="101">
        <v>3.3415238499999997</v>
      </c>
      <c r="I27" s="101">
        <v>3.3391847833333328</v>
      </c>
      <c r="J27" s="101">
        <v>3.1672607416666665</v>
      </c>
      <c r="K27" s="101">
        <v>3.5185214583333329</v>
      </c>
      <c r="L27" s="101"/>
      <c r="N27" s="14">
        <v>15</v>
      </c>
      <c r="O27" s="101">
        <v>3.8944348749999995</v>
      </c>
      <c r="P27" s="101">
        <v>3.9521667500000004</v>
      </c>
      <c r="Q27" s="101">
        <v>3.9195494583333335</v>
      </c>
      <c r="R27" s="101">
        <v>3.8948221250000006</v>
      </c>
      <c r="S27" s="101">
        <v>3.8948221250000006</v>
      </c>
      <c r="T27" s="101">
        <v>3.8347456916666669</v>
      </c>
      <c r="U27" s="101">
        <v>3.8323482333333327</v>
      </c>
      <c r="V27" s="101">
        <v>3.631205183333333</v>
      </c>
      <c r="W27" s="101">
        <v>3.8941079166666674</v>
      </c>
      <c r="X27" s="101"/>
      <c r="Z27" s="14">
        <v>15</v>
      </c>
      <c r="AA27" s="101">
        <v>5.0909799999999992</v>
      </c>
      <c r="AB27" s="101">
        <v>5.1653100000000007</v>
      </c>
      <c r="AC27" s="101">
        <v>5.1653100000000007</v>
      </c>
      <c r="AD27" s="101">
        <v>5.0915100000000004</v>
      </c>
      <c r="AE27" s="101">
        <v>5.0915100000000004</v>
      </c>
      <c r="AF27" s="101">
        <v>3.9110100000000001</v>
      </c>
      <c r="AG27" s="101">
        <v>5.2707499999999996</v>
      </c>
      <c r="AH27" s="101">
        <v>4.8748399999999998</v>
      </c>
      <c r="AI27" s="101">
        <v>5.0893999999999995</v>
      </c>
      <c r="AJ27" s="101"/>
    </row>
    <row r="28" spans="2:36" ht="24" customHeight="1" x14ac:dyDescent="0.3">
      <c r="B28" s="51">
        <v>16</v>
      </c>
      <c r="C28" s="101">
        <v>3.3189913083333336</v>
      </c>
      <c r="D28" s="101">
        <v>3.4077592833333328</v>
      </c>
      <c r="E28" s="101">
        <v>3.3300426833333332</v>
      </c>
      <c r="F28" s="101">
        <v>3.3192284750000005</v>
      </c>
      <c r="G28" s="101">
        <v>3.3192284750000005</v>
      </c>
      <c r="H28" s="101">
        <v>3.1654818916666669</v>
      </c>
      <c r="I28" s="101">
        <v>3.1632660666666665</v>
      </c>
      <c r="J28" s="101">
        <v>2.9859367249999997</v>
      </c>
      <c r="K28" s="101">
        <v>3.3188059083333332</v>
      </c>
      <c r="L28" s="101"/>
      <c r="N28" s="14">
        <v>16</v>
      </c>
      <c r="O28" s="101">
        <v>3.9702725249999999</v>
      </c>
      <c r="P28" s="101">
        <v>4.0602795916666672</v>
      </c>
      <c r="Q28" s="101">
        <v>4.0077169999999995</v>
      </c>
      <c r="R28" s="101">
        <v>3.9707734333333335</v>
      </c>
      <c r="S28" s="101">
        <v>3.9707734333333335</v>
      </c>
      <c r="T28" s="101">
        <v>3.9677372500000003</v>
      </c>
      <c r="U28" s="101">
        <v>3.9653565833333326</v>
      </c>
      <c r="V28" s="101">
        <v>3.8686728583333334</v>
      </c>
      <c r="W28" s="101">
        <v>3.969638583333333</v>
      </c>
      <c r="X28" s="101"/>
      <c r="Z28" s="14">
        <v>16</v>
      </c>
      <c r="AA28" s="101">
        <v>4.1161199999999996</v>
      </c>
      <c r="AB28" s="101">
        <v>4.1779200000000003</v>
      </c>
      <c r="AC28" s="101">
        <v>4.1757900000000001</v>
      </c>
      <c r="AD28" s="101">
        <v>4.1169700000000002</v>
      </c>
      <c r="AE28" s="101">
        <v>4.1169700000000002</v>
      </c>
      <c r="AF28" s="101">
        <v>4.3147200000000003</v>
      </c>
      <c r="AG28" s="101">
        <v>4.2610200000000003</v>
      </c>
      <c r="AH28" s="101">
        <v>3.9571499999999999</v>
      </c>
      <c r="AI28" s="101">
        <v>4.1148400000000001</v>
      </c>
      <c r="AJ28" s="101"/>
    </row>
    <row r="29" spans="2:36" ht="24" customHeight="1" x14ac:dyDescent="0.3">
      <c r="B29" s="51">
        <v>17</v>
      </c>
      <c r="C29" s="101">
        <v>3.6272556249999997</v>
      </c>
      <c r="D29" s="101">
        <v>3.7171588583333337</v>
      </c>
      <c r="E29" s="101">
        <v>3.6435840583333334</v>
      </c>
      <c r="F29" s="101">
        <v>3.6274559249999987</v>
      </c>
      <c r="G29" s="101">
        <v>3.6274559249999987</v>
      </c>
      <c r="H29" s="101">
        <v>3.4736548916666665</v>
      </c>
      <c r="I29" s="101">
        <v>3.4936734333333335</v>
      </c>
      <c r="J29" s="101">
        <v>3.4075423250000001</v>
      </c>
      <c r="K29" s="101">
        <v>3.627017416666666</v>
      </c>
      <c r="L29" s="101"/>
      <c r="N29" s="14">
        <v>17</v>
      </c>
      <c r="O29" s="101">
        <v>3.8128274416666663</v>
      </c>
      <c r="P29" s="101">
        <v>3.8753573416666662</v>
      </c>
      <c r="Q29" s="101">
        <v>3.8492916166666671</v>
      </c>
      <c r="R29" s="101">
        <v>3.8132422333333338</v>
      </c>
      <c r="S29" s="101">
        <v>3.8132422333333338</v>
      </c>
      <c r="T29" s="101">
        <v>3.8242136583333335</v>
      </c>
      <c r="U29" s="101">
        <v>3.8219191500000003</v>
      </c>
      <c r="V29" s="101">
        <v>3.807712225</v>
      </c>
      <c r="W29" s="101">
        <v>3.8122214583333336</v>
      </c>
      <c r="X29" s="101"/>
      <c r="Z29" s="14">
        <v>17</v>
      </c>
      <c r="AA29" s="101">
        <v>3.80078</v>
      </c>
      <c r="AB29" s="101">
        <v>3.8492299999999999</v>
      </c>
      <c r="AC29" s="101">
        <v>3.8496199999999998</v>
      </c>
      <c r="AD29" s="101">
        <v>3.8015599999999998</v>
      </c>
      <c r="AE29" s="101">
        <v>3.8015599999999998</v>
      </c>
      <c r="AF29" s="101">
        <v>3.93832</v>
      </c>
      <c r="AG29" s="101">
        <v>3.9066700000000001</v>
      </c>
      <c r="AH29" s="101">
        <v>3.6409699999999998</v>
      </c>
      <c r="AI29" s="101">
        <v>3.8</v>
      </c>
      <c r="AJ29" s="101"/>
    </row>
    <row r="30" spans="2:36" ht="24" customHeight="1" x14ac:dyDescent="0.3">
      <c r="B30" s="51">
        <v>18</v>
      </c>
      <c r="C30" s="101">
        <v>6.2604594833333334</v>
      </c>
      <c r="D30" s="101">
        <v>6.416852633333332</v>
      </c>
      <c r="E30" s="101">
        <v>6.3033195916666651</v>
      </c>
      <c r="F30" s="101">
        <v>6.2609973999999999</v>
      </c>
      <c r="G30" s="101">
        <v>6.2609973999999999</v>
      </c>
      <c r="H30" s="101">
        <v>6.0764220583333337</v>
      </c>
      <c r="I30" s="101">
        <v>6.0825067666666666</v>
      </c>
      <c r="J30" s="101">
        <v>5.989670508333333</v>
      </c>
      <c r="K30" s="101">
        <v>6.2598548916666656</v>
      </c>
      <c r="L30" s="101"/>
      <c r="N30" s="14">
        <v>18</v>
      </c>
      <c r="O30" s="101">
        <v>4.1457732833333329</v>
      </c>
      <c r="P30" s="101">
        <v>4.2167530583333335</v>
      </c>
      <c r="Q30" s="101">
        <v>4.1893340416666662</v>
      </c>
      <c r="R30" s="101">
        <v>4.1461890000000006</v>
      </c>
      <c r="S30" s="101">
        <v>4.1461890000000006</v>
      </c>
      <c r="T30" s="101">
        <v>4.1572729833333337</v>
      </c>
      <c r="U30" s="101">
        <v>4.1547786333333345</v>
      </c>
      <c r="V30" s="101">
        <v>4.1586230666666664</v>
      </c>
      <c r="W30" s="101">
        <v>4.145036366666667</v>
      </c>
      <c r="X30" s="101"/>
      <c r="Z30" s="14">
        <v>18</v>
      </c>
      <c r="AA30" s="101">
        <v>12.27116</v>
      </c>
      <c r="AB30" s="101">
        <v>12.514610000000001</v>
      </c>
      <c r="AC30" s="101">
        <v>12.45407</v>
      </c>
      <c r="AD30" s="101">
        <v>12.273680000000001</v>
      </c>
      <c r="AE30" s="101">
        <v>12.273680000000001</v>
      </c>
      <c r="AF30" s="101">
        <v>4.6023800000000001</v>
      </c>
      <c r="AG30" s="101">
        <v>12.611739999999999</v>
      </c>
      <c r="AH30" s="101">
        <v>11.7729</v>
      </c>
      <c r="AI30" s="101">
        <v>12.267379999999999</v>
      </c>
      <c r="AJ30" s="101"/>
    </row>
    <row r="31" spans="2:36" ht="24" customHeight="1" x14ac:dyDescent="0.3">
      <c r="B31" s="51">
        <v>19</v>
      </c>
      <c r="C31" s="101">
        <v>4.2125124833333327</v>
      </c>
      <c r="D31" s="101">
        <v>4.3210131416666666</v>
      </c>
      <c r="E31" s="101">
        <v>4.2461151083333331</v>
      </c>
      <c r="F31" s="101">
        <v>4.2129686333333334</v>
      </c>
      <c r="G31" s="101">
        <v>4.2129686333333334</v>
      </c>
      <c r="H31" s="101">
        <v>4.0956062416666672</v>
      </c>
      <c r="I31" s="101">
        <v>4.1037637916666672</v>
      </c>
      <c r="J31" s="101">
        <v>4.021921691666666</v>
      </c>
      <c r="K31" s="101">
        <v>4.2119805166666664</v>
      </c>
      <c r="L31" s="101"/>
      <c r="N31" s="14">
        <v>19</v>
      </c>
      <c r="O31" s="101">
        <v>5.6259961083333332</v>
      </c>
      <c r="P31" s="101">
        <v>5.7096946500000003</v>
      </c>
      <c r="Q31" s="101">
        <v>5.6918761416666666</v>
      </c>
      <c r="R31" s="101">
        <v>5.6267085333333338</v>
      </c>
      <c r="S31" s="101">
        <v>5.6267085333333338</v>
      </c>
      <c r="T31" s="101">
        <v>5.672621266666666</v>
      </c>
      <c r="U31" s="101">
        <v>5.6690446666666672</v>
      </c>
      <c r="V31" s="101">
        <v>5.6341959749999999</v>
      </c>
      <c r="W31" s="101">
        <v>5.6246961166666658</v>
      </c>
      <c r="X31" s="101"/>
      <c r="Z31" s="14">
        <v>19</v>
      </c>
      <c r="AA31" s="101">
        <v>8.2721299999999989</v>
      </c>
      <c r="AB31" s="101">
        <v>8.4429300000000005</v>
      </c>
      <c r="AC31" s="101">
        <v>8.3976699999999997</v>
      </c>
      <c r="AD31" s="101">
        <v>8.2729800000000004</v>
      </c>
      <c r="AE31" s="101">
        <v>8.2729800000000004</v>
      </c>
      <c r="AF31" s="101">
        <v>4.5959500000000002</v>
      </c>
      <c r="AG31" s="101">
        <v>8.5385799999999996</v>
      </c>
      <c r="AH31" s="101">
        <v>7.9424700000000001</v>
      </c>
      <c r="AI31" s="101">
        <v>8.2695699999999999</v>
      </c>
      <c r="AJ31" s="101"/>
    </row>
    <row r="32" spans="2:36" ht="24" customHeight="1" x14ac:dyDescent="0.3">
      <c r="B32" s="51">
        <v>20</v>
      </c>
      <c r="C32" s="101">
        <v>3.332400475</v>
      </c>
      <c r="D32" s="101">
        <v>3.4125771166666667</v>
      </c>
      <c r="E32" s="101">
        <v>3.3434607916666663</v>
      </c>
      <c r="F32" s="101">
        <v>3.3325032500000002</v>
      </c>
      <c r="G32" s="101">
        <v>3.3325032500000002</v>
      </c>
      <c r="H32" s="101">
        <v>3.1736516833333335</v>
      </c>
      <c r="I32" s="101">
        <v>3.1714301333333337</v>
      </c>
      <c r="J32" s="101">
        <v>3.0342920666666671</v>
      </c>
      <c r="K32" s="101">
        <v>3.3322117416666663</v>
      </c>
      <c r="L32" s="101"/>
      <c r="N32" s="14">
        <v>20</v>
      </c>
      <c r="O32" s="101">
        <v>3.8450098833333328</v>
      </c>
      <c r="P32" s="101">
        <v>3.8981944583333332</v>
      </c>
      <c r="Q32" s="101">
        <v>3.8907333416666674</v>
      </c>
      <c r="R32" s="101">
        <v>3.8455630250000001</v>
      </c>
      <c r="S32" s="101">
        <v>3.8455630250000001</v>
      </c>
      <c r="T32" s="101">
        <v>3.9060623333333333</v>
      </c>
      <c r="U32" s="101">
        <v>3.9034230166666672</v>
      </c>
      <c r="V32" s="101">
        <v>4.0411124499999991</v>
      </c>
      <c r="W32" s="101">
        <v>3.8441928833333332</v>
      </c>
      <c r="X32" s="101"/>
      <c r="Z32" s="14">
        <v>20</v>
      </c>
      <c r="AA32" s="101">
        <v>3.8245200000000001</v>
      </c>
      <c r="AB32" s="101">
        <v>3.88463</v>
      </c>
      <c r="AC32" s="101">
        <v>3.86151</v>
      </c>
      <c r="AD32" s="101">
        <v>3.8249</v>
      </c>
      <c r="AE32" s="101">
        <v>3.8249</v>
      </c>
      <c r="AF32" s="101">
        <v>3.86998</v>
      </c>
      <c r="AG32" s="101">
        <v>3.8522600000000002</v>
      </c>
      <c r="AH32" s="101">
        <v>3.5713699999999999</v>
      </c>
      <c r="AI32" s="101">
        <v>3.8241300000000003</v>
      </c>
      <c r="AJ32" s="101"/>
    </row>
    <row r="33" spans="2:36" ht="24" customHeight="1" x14ac:dyDescent="0.3">
      <c r="B33" s="51">
        <v>21</v>
      </c>
      <c r="C33" s="101">
        <v>3.6170263250000003</v>
      </c>
      <c r="D33" s="101">
        <v>3.7009541333333331</v>
      </c>
      <c r="E33" s="101">
        <v>3.6319903416666661</v>
      </c>
      <c r="F33" s="101">
        <v>3.6172949083333328</v>
      </c>
      <c r="G33" s="101">
        <v>3.6172949083333328</v>
      </c>
      <c r="H33" s="101">
        <v>3.3774149333333336</v>
      </c>
      <c r="I33" s="101">
        <v>3.4777489416666669</v>
      </c>
      <c r="J33" s="101">
        <v>3.4119929749999995</v>
      </c>
      <c r="K33" s="101">
        <v>3.6169469083333339</v>
      </c>
      <c r="L33" s="101"/>
      <c r="N33" s="14">
        <v>21</v>
      </c>
      <c r="O33" s="101">
        <v>3.9479472416666668</v>
      </c>
      <c r="P33" s="101">
        <v>4.0041775583333346</v>
      </c>
      <c r="Q33" s="101">
        <v>3.9938113500000001</v>
      </c>
      <c r="R33" s="101">
        <v>3.9483814916666664</v>
      </c>
      <c r="S33" s="101">
        <v>3.9483814916666664</v>
      </c>
      <c r="T33" s="101">
        <v>4.0162642833333342</v>
      </c>
      <c r="U33" s="101">
        <v>4.0139481833333335</v>
      </c>
      <c r="V33" s="101">
        <v>4.1685431583333328</v>
      </c>
      <c r="W33" s="101">
        <v>3.947253091666667</v>
      </c>
      <c r="X33" s="101"/>
      <c r="Z33" s="14">
        <v>21</v>
      </c>
      <c r="AA33" s="101">
        <v>3.7524199999999999</v>
      </c>
      <c r="AB33" s="101">
        <v>3.80775</v>
      </c>
      <c r="AC33" s="101">
        <v>3.7884199999999999</v>
      </c>
      <c r="AD33" s="101">
        <v>3.7528000000000001</v>
      </c>
      <c r="AE33" s="101">
        <v>3.7528000000000001</v>
      </c>
      <c r="AF33" s="101">
        <v>3.8024400000000003</v>
      </c>
      <c r="AG33" s="101">
        <v>3.7888000000000002</v>
      </c>
      <c r="AH33" s="101">
        <v>3.5871999999999997</v>
      </c>
      <c r="AI33" s="101">
        <v>3.75204</v>
      </c>
      <c r="AJ33" s="101"/>
    </row>
    <row r="34" spans="2:36" ht="24" customHeight="1" x14ac:dyDescent="0.3">
      <c r="B34" s="51">
        <v>22</v>
      </c>
      <c r="C34" s="101">
        <v>3.5286929083333329</v>
      </c>
      <c r="D34" s="101">
        <v>3.6144880916666664</v>
      </c>
      <c r="E34" s="101">
        <v>3.5486209416666665</v>
      </c>
      <c r="F34" s="101">
        <v>3.5288297416666663</v>
      </c>
      <c r="G34" s="101">
        <v>3.5288297416666663</v>
      </c>
      <c r="H34" s="101">
        <v>3.4396713833333337</v>
      </c>
      <c r="I34" s="101">
        <v>3.4373424583333332</v>
      </c>
      <c r="J34" s="101">
        <v>3.4411810833333334</v>
      </c>
      <c r="K34" s="101">
        <v>3.5283551499999999</v>
      </c>
      <c r="L34" s="101"/>
      <c r="N34" s="14">
        <v>22</v>
      </c>
      <c r="O34" s="101">
        <v>7.4430826083333335</v>
      </c>
      <c r="P34" s="101">
        <v>7.561716875000001</v>
      </c>
      <c r="Q34" s="101">
        <v>7.5299313916666675</v>
      </c>
      <c r="R34" s="101">
        <v>7.4438803666666669</v>
      </c>
      <c r="S34" s="101">
        <v>7.4438803666666669</v>
      </c>
      <c r="T34" s="101">
        <v>7.6492668749999986</v>
      </c>
      <c r="U34" s="101">
        <v>7.616180925000001</v>
      </c>
      <c r="V34" s="101">
        <v>8.095385649999999</v>
      </c>
      <c r="W34" s="101">
        <v>7.4418441000000009</v>
      </c>
      <c r="X34" s="101"/>
      <c r="Z34" s="14">
        <v>22</v>
      </c>
      <c r="AA34" s="101">
        <v>3.7112699999999998</v>
      </c>
      <c r="AB34" s="101">
        <v>3.7409599999999998</v>
      </c>
      <c r="AC34" s="101">
        <v>3.72593</v>
      </c>
      <c r="AD34" s="101">
        <v>3.7112699999999998</v>
      </c>
      <c r="AE34" s="101">
        <v>3.7112699999999998</v>
      </c>
      <c r="AF34" s="101">
        <v>3.6617800000000003</v>
      </c>
      <c r="AG34" s="101">
        <v>3.66472</v>
      </c>
      <c r="AH34" s="101">
        <v>3.5349599999999999</v>
      </c>
      <c r="AI34" s="101">
        <v>3.7112699999999998</v>
      </c>
      <c r="AJ34" s="101"/>
    </row>
    <row r="35" spans="2:36" ht="24" customHeight="1" x14ac:dyDescent="0.3">
      <c r="B35" s="51">
        <v>23</v>
      </c>
      <c r="C35" s="101">
        <v>3.2307719083333337</v>
      </c>
      <c r="D35" s="101">
        <v>3.3119075333333337</v>
      </c>
      <c r="E35" s="101">
        <v>3.2542465833333329</v>
      </c>
      <c r="F35" s="101">
        <v>3.2310261333333328</v>
      </c>
      <c r="G35" s="101">
        <v>3.2310261333333328</v>
      </c>
      <c r="H35" s="101">
        <v>3.1975213916666667</v>
      </c>
      <c r="I35" s="101">
        <v>3.1953268499999998</v>
      </c>
      <c r="J35" s="101">
        <v>3.2676354916666663</v>
      </c>
      <c r="K35" s="101">
        <v>3.2303866249999995</v>
      </c>
      <c r="L35" s="101"/>
      <c r="N35" s="14">
        <v>23</v>
      </c>
      <c r="O35" s="101">
        <v>5.0952571749999995</v>
      </c>
      <c r="P35" s="101">
        <v>5.2118493500000005</v>
      </c>
      <c r="Q35" s="101">
        <v>5.1609406916666662</v>
      </c>
      <c r="R35" s="101">
        <v>5.0958899250000007</v>
      </c>
      <c r="S35" s="101">
        <v>5.0958899250000007</v>
      </c>
      <c r="T35" s="101">
        <v>5.5679747583333343</v>
      </c>
      <c r="U35" s="101">
        <v>5.2485644499999999</v>
      </c>
      <c r="V35" s="101">
        <v>5.6338494666666667</v>
      </c>
      <c r="W35" s="101">
        <v>5.0942947083333339</v>
      </c>
      <c r="X35" s="101"/>
      <c r="Z35" s="14">
        <v>23</v>
      </c>
      <c r="AA35" s="101">
        <v>3.6875</v>
      </c>
      <c r="AB35" s="101">
        <v>3.7135500000000001</v>
      </c>
      <c r="AC35" s="101">
        <v>3.7032800000000003</v>
      </c>
      <c r="AD35" s="101">
        <v>3.6875</v>
      </c>
      <c r="AE35" s="101">
        <v>3.6875</v>
      </c>
      <c r="AF35" s="101">
        <v>3.6489799999999999</v>
      </c>
      <c r="AG35" s="101">
        <v>3.6676899999999999</v>
      </c>
      <c r="AH35" s="101">
        <v>3.6049600000000002</v>
      </c>
      <c r="AI35" s="101">
        <v>3.6875</v>
      </c>
      <c r="AJ35" s="101"/>
    </row>
    <row r="36" spans="2:36" ht="24" customHeight="1" x14ac:dyDescent="0.3">
      <c r="B36" s="51">
        <v>24</v>
      </c>
      <c r="C36" s="101">
        <v>3.0095736666666668</v>
      </c>
      <c r="D36" s="101">
        <v>3.0791411416666667</v>
      </c>
      <c r="E36" s="101">
        <v>3.030738841666667</v>
      </c>
      <c r="F36" s="101">
        <v>3.0097701750000003</v>
      </c>
      <c r="G36" s="101">
        <v>3.0097701750000003</v>
      </c>
      <c r="H36" s="101">
        <v>2.9893187083333337</v>
      </c>
      <c r="I36" s="101">
        <v>2.9872262083333334</v>
      </c>
      <c r="J36" s="101">
        <v>3.1075357166666668</v>
      </c>
      <c r="K36" s="101">
        <v>3.0092186500000002</v>
      </c>
      <c r="L36" s="101"/>
      <c r="N36" s="14">
        <v>24</v>
      </c>
      <c r="O36" s="101">
        <v>3.818005041666666</v>
      </c>
      <c r="P36" s="101">
        <v>3.8814409083333326</v>
      </c>
      <c r="Q36" s="101">
        <v>3.8621346083333337</v>
      </c>
      <c r="R36" s="101">
        <v>3.8184617750000003</v>
      </c>
      <c r="S36" s="101">
        <v>3.8184617750000003</v>
      </c>
      <c r="T36" s="101">
        <v>4.05628995</v>
      </c>
      <c r="U36" s="101">
        <v>3.9322862999999995</v>
      </c>
      <c r="V36" s="101">
        <v>4.2172365750000003</v>
      </c>
      <c r="W36" s="101">
        <v>3.8174400333333338</v>
      </c>
      <c r="X36" s="101"/>
      <c r="Z36" s="14">
        <v>24</v>
      </c>
      <c r="AA36" s="101">
        <v>3.5756300000000003</v>
      </c>
      <c r="AB36" s="101">
        <v>3.6081699999999999</v>
      </c>
      <c r="AC36" s="101">
        <v>3.5991300000000002</v>
      </c>
      <c r="AD36" s="101">
        <v>3.5756300000000003</v>
      </c>
      <c r="AE36" s="101">
        <v>3.5756300000000003</v>
      </c>
      <c r="AF36" s="101">
        <v>3.6038299999999999</v>
      </c>
      <c r="AG36" s="101">
        <v>3.61504</v>
      </c>
      <c r="AH36" s="101">
        <v>3.6255300000000004</v>
      </c>
      <c r="AI36" s="101">
        <v>3.5756300000000003</v>
      </c>
      <c r="AJ36" s="101"/>
    </row>
    <row r="37" spans="2:36" ht="24" customHeight="1" x14ac:dyDescent="0.3">
      <c r="B37" s="51" t="s">
        <v>66</v>
      </c>
      <c r="C37" s="94">
        <f>IFERROR(AVERAGE(C13:C36),0)</f>
        <v>2.852620420833333</v>
      </c>
      <c r="D37" s="94">
        <f t="shared" ref="D37:L37" si="0">IFERROR(AVERAGE(D13:D36),0)</f>
        <v>2.9219269061237374</v>
      </c>
      <c r="E37" s="94">
        <f t="shared" si="0"/>
        <v>2.8670786030303024</v>
      </c>
      <c r="F37" s="94">
        <f t="shared" si="0"/>
        <v>2.852789356565657</v>
      </c>
      <c r="G37" s="94">
        <f t="shared" si="0"/>
        <v>2.852789356565657</v>
      </c>
      <c r="H37" s="94">
        <f t="shared" si="0"/>
        <v>2.723834049652778</v>
      </c>
      <c r="I37" s="94">
        <f t="shared" si="0"/>
        <v>2.7641629646464647</v>
      </c>
      <c r="J37" s="94">
        <f t="shared" si="0"/>
        <v>2.7122884170138892</v>
      </c>
      <c r="K37" s="94">
        <f t="shared" si="0"/>
        <v>2.8524152892676766</v>
      </c>
      <c r="L37" s="94">
        <f t="shared" si="0"/>
        <v>0</v>
      </c>
      <c r="N37" s="14" t="s">
        <v>66</v>
      </c>
      <c r="O37" s="94">
        <f>IFERROR(AVERAGE(O13:O36),0)</f>
        <v>3.7402199840277777</v>
      </c>
      <c r="P37" s="94">
        <f t="shared" ref="P37" si="1">IFERROR(AVERAGE(P13:P36),0)</f>
        <v>3.7988169697916674</v>
      </c>
      <c r="Q37" s="94">
        <f t="shared" ref="Q37" si="2">IFERROR(AVERAGE(Q13:Q36),0)</f>
        <v>3.7712501930555558</v>
      </c>
      <c r="R37" s="94">
        <f t="shared" ref="R37" si="3">IFERROR(AVERAGE(R13:R36),0)</f>
        <v>3.7405562402777774</v>
      </c>
      <c r="S37" s="94">
        <f t="shared" ref="S37" si="4">IFERROR(AVERAGE(S13:S36),0)</f>
        <v>3.7405562402777774</v>
      </c>
      <c r="T37" s="94">
        <f t="shared" ref="T37" si="5">IFERROR(AVERAGE(T13:T36),0)</f>
        <v>3.7423256940972216</v>
      </c>
      <c r="U37" s="94">
        <f t="shared" ref="U37" si="6">IFERROR(AVERAGE(U13:U36),0)</f>
        <v>3.7439762583333334</v>
      </c>
      <c r="V37" s="94">
        <f t="shared" ref="V37" si="7">IFERROR(AVERAGE(V13:V36),0)</f>
        <v>3.8256244552083332</v>
      </c>
      <c r="W37" s="94">
        <f t="shared" ref="W37" si="8">IFERROR(AVERAGE(W13:W36),0)</f>
        <v>3.7397682267361119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3.8144600000000008</v>
      </c>
      <c r="AB37" s="94">
        <f t="shared" ref="AB37:AJ37" si="10">IFERROR(AVERAGE(AB13:AB36),0)</f>
        <v>3.8642158333333332</v>
      </c>
      <c r="AC37" s="94">
        <f t="shared" si="10"/>
        <v>3.852921666666667</v>
      </c>
      <c r="AD37" s="94">
        <f t="shared" si="10"/>
        <v>3.81483375</v>
      </c>
      <c r="AE37" s="94">
        <f t="shared" si="10"/>
        <v>3.81483375</v>
      </c>
      <c r="AF37" s="94">
        <f t="shared" si="10"/>
        <v>3.2624366666666664</v>
      </c>
      <c r="AG37" s="94">
        <f t="shared" si="10"/>
        <v>3.8786574999999992</v>
      </c>
      <c r="AH37" s="94">
        <f t="shared" si="10"/>
        <v>3.6992766666666665</v>
      </c>
      <c r="AI37" s="94">
        <f t="shared" si="10"/>
        <v>3.8138849999999995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45670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C4:E4"/>
    <mergeCell ref="C11:G11"/>
    <mergeCell ref="B11:B12"/>
    <mergeCell ref="H11:L11"/>
    <mergeCell ref="N11:N12"/>
    <mergeCell ref="C6:E6"/>
    <mergeCell ref="Z11:Z12"/>
    <mergeCell ref="AA11:AE11"/>
    <mergeCell ref="AF11:AJ11"/>
    <mergeCell ref="O11:S11"/>
    <mergeCell ref="T11:X11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opLeftCell="A5" zoomScale="59" zoomScaleNormal="91" workbookViewId="0">
      <selection activeCell="T10" sqref="T10: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78">
        <f>'1. Rates'!C4</f>
        <v>45670</v>
      </c>
      <c r="D2" s="179"/>
      <c r="E2" s="180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81" t="s">
        <v>52</v>
      </c>
      <c r="C7" s="184" t="s">
        <v>109</v>
      </c>
      <c r="D7" s="185"/>
      <c r="E7" s="185"/>
      <c r="F7" s="185"/>
      <c r="G7" s="186"/>
      <c r="H7" s="184" t="s">
        <v>110</v>
      </c>
      <c r="I7" s="185"/>
      <c r="J7" s="185"/>
      <c r="K7" s="185"/>
      <c r="L7" s="186"/>
      <c r="M7" s="172" t="s">
        <v>111</v>
      </c>
      <c r="N7" s="173"/>
      <c r="O7" s="173"/>
      <c r="P7" s="173"/>
      <c r="Q7" s="174"/>
      <c r="S7" s="172" t="s">
        <v>112</v>
      </c>
      <c r="T7" s="173"/>
      <c r="U7" s="173"/>
      <c r="V7" s="173"/>
      <c r="W7" s="174"/>
    </row>
    <row r="8" spans="2:24" ht="32.25" customHeight="1" x14ac:dyDescent="0.3">
      <c r="B8" s="182"/>
      <c r="C8" s="175">
        <f>C2-7</f>
        <v>45663</v>
      </c>
      <c r="D8" s="176"/>
      <c r="E8" s="176"/>
      <c r="F8" s="176"/>
      <c r="G8" s="177"/>
      <c r="H8" s="175">
        <f>C2-2</f>
        <v>45668</v>
      </c>
      <c r="I8" s="176"/>
      <c r="J8" s="176"/>
      <c r="K8" s="176"/>
      <c r="L8" s="177"/>
      <c r="M8" s="175">
        <f>C2</f>
        <v>45670</v>
      </c>
      <c r="N8" s="176"/>
      <c r="O8" s="176"/>
      <c r="P8" s="176"/>
      <c r="Q8" s="177"/>
      <c r="S8" s="175">
        <f>M8</f>
        <v>45670</v>
      </c>
      <c r="T8" s="176"/>
      <c r="U8" s="176"/>
      <c r="V8" s="176"/>
      <c r="W8" s="177"/>
    </row>
    <row r="9" spans="2:24" ht="45" customHeight="1" x14ac:dyDescent="0.3">
      <c r="B9" s="183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2.844006733333333</v>
      </c>
      <c r="E10" s="116">
        <v>68095.058420454254</v>
      </c>
      <c r="F10" s="116">
        <v>5031.9380000000001</v>
      </c>
      <c r="G10" s="107">
        <f>E10-F10</f>
        <v>63063.120420454252</v>
      </c>
      <c r="H10" s="115"/>
      <c r="I10" s="106">
        <f>IFERROR(AVERAGE('1. Rates'!O13:S13),0)</f>
        <v>3.7843357316666668</v>
      </c>
      <c r="J10" s="116">
        <v>66263.56678966558</v>
      </c>
      <c r="K10" s="116">
        <v>5591.78</v>
      </c>
      <c r="L10" s="107">
        <f>J10-K10</f>
        <v>60671.786789665581</v>
      </c>
      <c r="M10" s="108" t="e">
        <f>IF(S10="",AVERAGE(C10,H10),S10)</f>
        <v>#DIV/0!</v>
      </c>
      <c r="N10" s="109">
        <f>IF(T10="",(IFERROR(AVERAGE('1. Rates'!AA13:AE13),0)),T10)</f>
        <v>3.1328678599999993</v>
      </c>
      <c r="O10" s="107">
        <f>IF(U10="",AVERAGE(E10,J10),U10)</f>
        <v>65862.071181431282</v>
      </c>
      <c r="P10" s="107">
        <f>IF(V10="",AVERAGE(F10,K10),V10)</f>
        <v>5005.4833736647297</v>
      </c>
      <c r="Q10" s="107">
        <f>O10-P10</f>
        <v>60856.587807766555</v>
      </c>
      <c r="S10" s="117"/>
      <c r="T10" s="118">
        <v>3.1328678599999993</v>
      </c>
      <c r="U10" s="116">
        <v>65862.071181431282</v>
      </c>
      <c r="V10" s="116">
        <v>5005.4833736647297</v>
      </c>
      <c r="W10" s="116"/>
    </row>
    <row r="11" spans="2:24" x14ac:dyDescent="0.3">
      <c r="B11" s="105">
        <v>2</v>
      </c>
      <c r="C11" s="115"/>
      <c r="D11" s="106">
        <f>IFERROR(AVERAGE('1. Rates'!C14:G14),0)</f>
        <v>0.97057045166666678</v>
      </c>
      <c r="E11" s="116">
        <v>64527.760406413472</v>
      </c>
      <c r="F11" s="116">
        <v>4993.8339999999998</v>
      </c>
      <c r="G11" s="107">
        <f t="shared" ref="G11:G33" si="0">E11-F11</f>
        <v>59533.92640641347</v>
      </c>
      <c r="H11" s="115"/>
      <c r="I11" s="106">
        <f>IFERROR(AVERAGE('1. Rates'!O14:S14),0)</f>
        <v>3.5701725500000001</v>
      </c>
      <c r="J11" s="116">
        <v>63591.321122505396</v>
      </c>
      <c r="K11" s="116">
        <v>5453.3310000000001</v>
      </c>
      <c r="L11" s="107">
        <f t="shared" ref="L11:L33" si="1">J11-K11</f>
        <v>58137.990122505398</v>
      </c>
      <c r="M11" s="108" t="e">
        <f t="shared" ref="M11:M33" si="2">IF(S11="",AVERAGE(C11,H11),S11)</f>
        <v>#DIV/0!</v>
      </c>
      <c r="N11" s="109">
        <f>IF(T11="",(IFERROR(AVERAGE('1. Rates'!AA14:AE14),0)),T11)</f>
        <v>2.8314455359259258</v>
      </c>
      <c r="O11" s="107">
        <f t="shared" ref="O11:O33" si="3">IF(U11="",AVERAGE(E11,J11),U11)</f>
        <v>62803.471337705327</v>
      </c>
      <c r="P11" s="107">
        <f t="shared" ref="P11:P33" si="4">IF(V11="",AVERAGE(F11,K11),V11)</f>
        <v>4922.2984560990872</v>
      </c>
      <c r="Q11" s="107">
        <f t="shared" ref="Q11:Q33" si="5">O11-P11</f>
        <v>57881.172881606239</v>
      </c>
      <c r="S11" s="117"/>
      <c r="T11" s="118">
        <v>2.8314455359259258</v>
      </c>
      <c r="U11" s="116">
        <v>62803.471337705327</v>
      </c>
      <c r="V11" s="116">
        <v>4922.2984560990872</v>
      </c>
      <c r="W11" s="116"/>
    </row>
    <row r="12" spans="2:24" x14ac:dyDescent="0.3">
      <c r="B12" s="105">
        <v>3</v>
      </c>
      <c r="C12" s="115"/>
      <c r="D12" s="106">
        <f>IFERROR(AVERAGE('1. Rates'!C15:G15),0)</f>
        <v>0.34209850999999997</v>
      </c>
      <c r="E12" s="116">
        <v>61723.682057487677</v>
      </c>
      <c r="F12" s="116">
        <v>4873.9769999999999</v>
      </c>
      <c r="G12" s="107">
        <f t="shared" si="0"/>
        <v>56849.705057487678</v>
      </c>
      <c r="H12" s="115"/>
      <c r="I12" s="106">
        <f>IFERROR(AVERAGE('1. Rates'!O15:S15),0)</f>
        <v>2.767274056666666</v>
      </c>
      <c r="J12" s="116">
        <v>61187.467894574896</v>
      </c>
      <c r="K12" s="116">
        <v>5421.0679999999993</v>
      </c>
      <c r="L12" s="107">
        <f t="shared" si="1"/>
        <v>55766.399894574897</v>
      </c>
      <c r="M12" s="108" t="e">
        <f t="shared" si="2"/>
        <v>#DIV/0!</v>
      </c>
      <c r="N12" s="109">
        <f>IF(T12="",(IFERROR(AVERAGE('1. Rates'!AA15:AE15),0)),T12)</f>
        <v>2.0293190425925922</v>
      </c>
      <c r="O12" s="107">
        <f t="shared" si="3"/>
        <v>60250.563701991457</v>
      </c>
      <c r="P12" s="107">
        <f t="shared" si="4"/>
        <v>4850.625419333438</v>
      </c>
      <c r="Q12" s="107">
        <f t="shared" si="5"/>
        <v>55399.938282658019</v>
      </c>
      <c r="S12" s="117"/>
      <c r="T12" s="118">
        <v>2.0293190425925922</v>
      </c>
      <c r="U12" s="116">
        <v>60250.563701991457</v>
      </c>
      <c r="V12" s="116">
        <v>4850.625419333438</v>
      </c>
      <c r="W12" s="116"/>
    </row>
    <row r="13" spans="2:24" x14ac:dyDescent="0.3">
      <c r="B13" s="105">
        <v>4</v>
      </c>
      <c r="C13" s="115"/>
      <c r="D13" s="106">
        <f>IFERROR(AVERAGE('1. Rates'!C16:G16),0)</f>
        <v>0.19418662833333333</v>
      </c>
      <c r="E13" s="116">
        <v>59947.297277409474</v>
      </c>
      <c r="F13" s="116">
        <v>4773.2899999999991</v>
      </c>
      <c r="G13" s="107">
        <f t="shared" si="0"/>
        <v>55174.007277409473</v>
      </c>
      <c r="H13" s="115"/>
      <c r="I13" s="106">
        <f>IFERROR(AVERAGE('1. Rates'!O16:S16),0)</f>
        <v>2.8224030383333334</v>
      </c>
      <c r="J13" s="116">
        <v>59402.539244017156</v>
      </c>
      <c r="K13" s="116">
        <v>5408.5230000000001</v>
      </c>
      <c r="L13" s="107">
        <f t="shared" si="1"/>
        <v>53994.016244017155</v>
      </c>
      <c r="M13" s="108" t="e">
        <f t="shared" si="2"/>
        <v>#DIV/0!</v>
      </c>
      <c r="N13" s="109">
        <f>IF(T13="",(IFERROR(AVERAGE('1. Rates'!AA16:AE16),0)),T13)</f>
        <v>1.7503275450000002</v>
      </c>
      <c r="O13" s="107">
        <f t="shared" si="3"/>
        <v>58504.821824228733</v>
      </c>
      <c r="P13" s="107">
        <f t="shared" si="4"/>
        <v>4797.2748980407223</v>
      </c>
      <c r="Q13" s="107">
        <f t="shared" si="5"/>
        <v>53707.546926188013</v>
      </c>
      <c r="S13" s="117"/>
      <c r="T13" s="118">
        <v>1.7503275450000002</v>
      </c>
      <c r="U13" s="116">
        <v>58504.821824228733</v>
      </c>
      <c r="V13" s="116">
        <v>4797.2748980407223</v>
      </c>
      <c r="W13" s="116"/>
    </row>
    <row r="14" spans="2:24" x14ac:dyDescent="0.3">
      <c r="B14" s="105">
        <v>5</v>
      </c>
      <c r="C14" s="115"/>
      <c r="D14" s="106">
        <f>IFERROR(AVERAGE('1. Rates'!C17:G17),0)</f>
        <v>1.6187821183333333</v>
      </c>
      <c r="E14" s="116">
        <v>60010.914725620474</v>
      </c>
      <c r="F14" s="116">
        <v>4896.2899999999991</v>
      </c>
      <c r="G14" s="107">
        <f t="shared" si="0"/>
        <v>55114.624725620473</v>
      </c>
      <c r="H14" s="115"/>
      <c r="I14" s="106">
        <f>IFERROR(AVERAGE('1. Rates'!O17:S17),0)</f>
        <v>3.227774721666667</v>
      </c>
      <c r="J14" s="116">
        <v>59410.645804558575</v>
      </c>
      <c r="K14" s="116">
        <v>5416.7309999999998</v>
      </c>
      <c r="L14" s="107">
        <f t="shared" si="1"/>
        <v>53993.914804558575</v>
      </c>
      <c r="M14" s="108" t="e">
        <f t="shared" si="2"/>
        <v>#DIV/0!</v>
      </c>
      <c r="N14" s="109">
        <f>IF(T14="",(IFERROR(AVERAGE('1. Rates'!AA17:AE17),0)),T14)</f>
        <v>2.5552770903703701</v>
      </c>
      <c r="O14" s="107">
        <f t="shared" si="3"/>
        <v>58539.980652048551</v>
      </c>
      <c r="P14" s="107">
        <f t="shared" si="4"/>
        <v>4859.0950124763467</v>
      </c>
      <c r="Q14" s="107">
        <f t="shared" si="5"/>
        <v>53680.885639572203</v>
      </c>
      <c r="S14" s="117"/>
      <c r="T14" s="118">
        <v>2.5552770903703701</v>
      </c>
      <c r="U14" s="116">
        <v>58539.980652048551</v>
      </c>
      <c r="V14" s="116">
        <v>4859.0950124763467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3.0946927333333334</v>
      </c>
      <c r="E15" s="116">
        <v>62915.979393147558</v>
      </c>
      <c r="F15" s="116">
        <v>5061.93</v>
      </c>
      <c r="G15" s="107">
        <f t="shared" si="0"/>
        <v>57854.049393147558</v>
      </c>
      <c r="H15" s="115"/>
      <c r="I15" s="106">
        <f>IFERROR(AVERAGE('1. Rates'!O18:S18),0)</f>
        <v>3.4149325416666665</v>
      </c>
      <c r="J15" s="116">
        <v>62739.60166428145</v>
      </c>
      <c r="K15" s="116">
        <v>5467.1419999999998</v>
      </c>
      <c r="L15" s="107">
        <f t="shared" si="1"/>
        <v>57272.45966428145</v>
      </c>
      <c r="M15" s="108" t="e">
        <f t="shared" si="2"/>
        <v>#DIV/0!</v>
      </c>
      <c r="N15" s="109">
        <f>IF(T15="",(IFERROR(AVERAGE('1. Rates'!AA18:AE18),0)),T15)</f>
        <v>3.0233716246296289</v>
      </c>
      <c r="O15" s="107">
        <f t="shared" si="3"/>
        <v>61595.87306736716</v>
      </c>
      <c r="P15" s="107">
        <f t="shared" si="4"/>
        <v>4960.8898538269586</v>
      </c>
      <c r="Q15" s="107">
        <f t="shared" si="5"/>
        <v>56634.983213540203</v>
      </c>
      <c r="S15" s="117"/>
      <c r="T15" s="118">
        <v>3.0233716246296289</v>
      </c>
      <c r="U15" s="116">
        <v>61595.87306736716</v>
      </c>
      <c r="V15" s="116">
        <v>4960.8898538269586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2.8033951733333331</v>
      </c>
      <c r="E16" s="116">
        <v>64538.426765581389</v>
      </c>
      <c r="F16" s="116">
        <v>5251.0730000000003</v>
      </c>
      <c r="G16" s="107">
        <f t="shared" si="0"/>
        <v>59287.353765581385</v>
      </c>
      <c r="H16" s="115"/>
      <c r="I16" s="106">
        <f>IFERROR(AVERAGE('1. Rates'!O19:S19),0)</f>
        <v>3.4744300066666667</v>
      </c>
      <c r="J16" s="116">
        <v>65324.496366111511</v>
      </c>
      <c r="K16" s="116">
        <v>5809.7909999999993</v>
      </c>
      <c r="L16" s="107">
        <f t="shared" si="1"/>
        <v>59514.705366111513</v>
      </c>
      <c r="M16" s="108" t="e">
        <f t="shared" si="2"/>
        <v>#DIV/0!</v>
      </c>
      <c r="N16" s="109">
        <f>IF(T16="",(IFERROR(AVERAGE('1. Rates'!AA19:AE19),0)),T16)</f>
        <v>3.0570743346296294</v>
      </c>
      <c r="O16" s="107">
        <f t="shared" si="3"/>
        <v>63658.295652790635</v>
      </c>
      <c r="P16" s="107">
        <f t="shared" si="4"/>
        <v>5211.4495932936807</v>
      </c>
      <c r="Q16" s="107">
        <f t="shared" si="5"/>
        <v>58446.846059496951</v>
      </c>
      <c r="R16" s="110"/>
      <c r="S16" s="117"/>
      <c r="T16" s="118">
        <v>3.0570743346296294</v>
      </c>
      <c r="U16" s="116">
        <v>63658.295652790635</v>
      </c>
      <c r="V16" s="116">
        <v>5211.4495932936807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1.6471523583333334</v>
      </c>
      <c r="E17" s="116">
        <v>70324.435387971331</v>
      </c>
      <c r="F17" s="116">
        <v>5978.6309999999994</v>
      </c>
      <c r="G17" s="107">
        <f t="shared" si="0"/>
        <v>64345.80438797133</v>
      </c>
      <c r="H17" s="115"/>
      <c r="I17" s="106">
        <f>IFERROR(AVERAGE('1. Rates'!O20:S20),0)</f>
        <v>2.6686039433333333</v>
      </c>
      <c r="J17" s="116">
        <v>70828.009694487089</v>
      </c>
      <c r="K17" s="116">
        <v>6861.2420000000002</v>
      </c>
      <c r="L17" s="107">
        <f t="shared" si="1"/>
        <v>63966.767694487091</v>
      </c>
      <c r="M17" s="108" t="e">
        <f t="shared" si="2"/>
        <v>#DIV/0!</v>
      </c>
      <c r="N17" s="109">
        <f>IF(T17="",(IFERROR(AVERAGE('1. Rates'!AA20:AE20),0)),T17)</f>
        <v>2.6742204266666665</v>
      </c>
      <c r="O17" s="107">
        <f t="shared" si="3"/>
        <v>69192.375040420797</v>
      </c>
      <c r="P17" s="107">
        <f t="shared" si="4"/>
        <v>6049.649550323782</v>
      </c>
      <c r="Q17" s="107">
        <f t="shared" si="5"/>
        <v>63142.725490097015</v>
      </c>
      <c r="R17" s="110"/>
      <c r="S17" s="117"/>
      <c r="T17" s="118">
        <v>2.6742204266666665</v>
      </c>
      <c r="U17" s="116">
        <v>69192.375040420797</v>
      </c>
      <c r="V17" s="116">
        <v>6049.649550323782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3.385848086666666</v>
      </c>
      <c r="E18" s="116">
        <v>86611.52886423016</v>
      </c>
      <c r="F18" s="116">
        <v>8100.898000000001</v>
      </c>
      <c r="G18" s="107">
        <f t="shared" si="0"/>
        <v>78510.630864230159</v>
      </c>
      <c r="H18" s="115"/>
      <c r="I18" s="106">
        <f>IFERROR(AVERAGE('1. Rates'!O21:S21),0)</f>
        <v>3.5165618366666664</v>
      </c>
      <c r="J18" s="116">
        <v>87062.082835301611</v>
      </c>
      <c r="K18" s="116">
        <v>9413.4610000000011</v>
      </c>
      <c r="L18" s="107">
        <f t="shared" si="1"/>
        <v>77648.621835301616</v>
      </c>
      <c r="M18" s="108" t="e">
        <f t="shared" si="2"/>
        <v>#DIV/0!</v>
      </c>
      <c r="N18" s="109">
        <f>IF(T18="",(IFERROR(AVERAGE('1. Rates'!AA21:AE21),0)),T18)</f>
        <v>3.2845029233333336</v>
      </c>
      <c r="O18" s="107">
        <f t="shared" si="3"/>
        <v>85134.12338212342</v>
      </c>
      <c r="P18" s="107">
        <f t="shared" si="4"/>
        <v>8417.1275470972723</v>
      </c>
      <c r="Q18" s="107">
        <f t="shared" si="5"/>
        <v>76716.995835026144</v>
      </c>
      <c r="R18" s="110"/>
      <c r="S18" s="117"/>
      <c r="T18" s="118">
        <v>3.2845029233333336</v>
      </c>
      <c r="U18" s="116">
        <v>85134.12338212342</v>
      </c>
      <c r="V18" s="116">
        <v>8417.1275470972723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2.2373205849999995</v>
      </c>
      <c r="E19" s="116">
        <v>101011.09886389517</v>
      </c>
      <c r="F19" s="116">
        <v>13389.862000000001</v>
      </c>
      <c r="G19" s="107">
        <f t="shared" si="0"/>
        <v>87621.236863895174</v>
      </c>
      <c r="H19" s="115"/>
      <c r="I19" s="106">
        <f>IFERROR(AVERAGE('1. Rates'!O22:S22),0)</f>
        <v>2.9814681599999999</v>
      </c>
      <c r="J19" s="116">
        <v>97672.212181702576</v>
      </c>
      <c r="K19" s="116">
        <v>14414.487999999999</v>
      </c>
      <c r="L19" s="107">
        <f t="shared" si="1"/>
        <v>83257.724181702579</v>
      </c>
      <c r="M19" s="108" t="e">
        <f t="shared" si="2"/>
        <v>#DIV/0!</v>
      </c>
      <c r="N19" s="109">
        <f>IF(T19="",(IFERROR(AVERAGE('1. Rates'!AA22:AE22),0)),T19)</f>
        <v>3.1639791661904755</v>
      </c>
      <c r="O19" s="107">
        <f t="shared" si="3"/>
        <v>97393.779924312621</v>
      </c>
      <c r="P19" s="107">
        <f t="shared" si="4"/>
        <v>13902.174999999999</v>
      </c>
      <c r="Q19" s="107">
        <f t="shared" si="5"/>
        <v>83491.604924312618</v>
      </c>
      <c r="R19" s="110"/>
      <c r="S19" s="117"/>
      <c r="T19" s="118">
        <v>3.1639791661904755</v>
      </c>
      <c r="U19" s="116">
        <v>97393.779924312621</v>
      </c>
      <c r="V19" s="116">
        <v>13902.174999999999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2.3562070566666669</v>
      </c>
      <c r="E20" s="116">
        <v>108075.14570437894</v>
      </c>
      <c r="F20" s="116">
        <v>15177.5</v>
      </c>
      <c r="G20" s="107">
        <f t="shared" si="0"/>
        <v>92897.645704378941</v>
      </c>
      <c r="H20" s="115"/>
      <c r="I20" s="106">
        <f>IFERROR(AVERAGE('1. Rates'!O23:S23),0)</f>
        <v>2.8178889566666667</v>
      </c>
      <c r="J20" s="116">
        <v>101584.82809357197</v>
      </c>
      <c r="K20" s="116">
        <v>15244.155999999999</v>
      </c>
      <c r="L20" s="107">
        <f t="shared" si="1"/>
        <v>86340.672093571964</v>
      </c>
      <c r="M20" s="108" t="e">
        <f t="shared" si="2"/>
        <v>#DIV/0!</v>
      </c>
      <c r="N20" s="109">
        <f>IF(T20="",(IFERROR(AVERAGE('1. Rates'!AA23:AE23),0)),T20)</f>
        <v>3.2441583407142858</v>
      </c>
      <c r="O20" s="107">
        <f t="shared" si="3"/>
        <v>102774.49695977985</v>
      </c>
      <c r="P20" s="107">
        <f t="shared" si="4"/>
        <v>15210.828</v>
      </c>
      <c r="Q20" s="107">
        <f t="shared" si="5"/>
        <v>87563.668959779854</v>
      </c>
      <c r="R20" s="110"/>
      <c r="S20" s="117"/>
      <c r="T20" s="118">
        <v>3.2441583407142858</v>
      </c>
      <c r="U20" s="116">
        <v>102774.49695977985</v>
      </c>
      <c r="V20" s="116">
        <v>15210.828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2.8224308300000005</v>
      </c>
      <c r="E21" s="116">
        <v>110320.41462141002</v>
      </c>
      <c r="F21" s="116">
        <v>15406.305</v>
      </c>
      <c r="G21" s="107">
        <f t="shared" si="0"/>
        <v>94914.109621410025</v>
      </c>
      <c r="H21" s="115"/>
      <c r="I21" s="106">
        <f>IFERROR(AVERAGE('1. Rates'!O24:S24),0)</f>
        <v>2.8414285850000001</v>
      </c>
      <c r="J21" s="116">
        <v>104697.78369661378</v>
      </c>
      <c r="K21" s="116">
        <v>14788.105</v>
      </c>
      <c r="L21" s="107">
        <f t="shared" si="1"/>
        <v>89909.678696613788</v>
      </c>
      <c r="M21" s="108" t="e">
        <f t="shared" si="2"/>
        <v>#DIV/0!</v>
      </c>
      <c r="N21" s="109">
        <f>IF(T21="",(IFERROR(AVERAGE('1. Rates'!AA24:AE24),0)),T21)</f>
        <v>3.1751355445238096</v>
      </c>
      <c r="O21" s="107">
        <f t="shared" si="3"/>
        <v>105401.07760687442</v>
      </c>
      <c r="P21" s="107">
        <f t="shared" si="4"/>
        <v>15097.205</v>
      </c>
      <c r="Q21" s="107">
        <f t="shared" si="5"/>
        <v>90303.872606874414</v>
      </c>
      <c r="R21" s="110"/>
      <c r="S21" s="117"/>
      <c r="T21" s="118">
        <v>3.1751355445238096</v>
      </c>
      <c r="U21" s="116">
        <v>105401.07760687442</v>
      </c>
      <c r="V21" s="116">
        <v>15097.205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3.0231999416666668</v>
      </c>
      <c r="E22" s="116">
        <v>109562.67924276885</v>
      </c>
      <c r="F22" s="116">
        <v>14662.028000000002</v>
      </c>
      <c r="G22" s="107">
        <f t="shared" si="0"/>
        <v>94900.651242768843</v>
      </c>
      <c r="H22" s="115"/>
      <c r="I22" s="106">
        <f>IFERROR(AVERAGE('1. Rates'!O25:S25),0)</f>
        <v>2.9950821750000003</v>
      </c>
      <c r="J22" s="116">
        <v>106025.58311429851</v>
      </c>
      <c r="K22" s="116">
        <v>14275.48</v>
      </c>
      <c r="L22" s="107">
        <f t="shared" si="1"/>
        <v>91750.103114298516</v>
      </c>
      <c r="M22" s="108" t="e">
        <f t="shared" si="2"/>
        <v>#DIV/0!</v>
      </c>
      <c r="N22" s="109">
        <f>IF(T22="",(IFERROR(AVERAGE('1. Rates'!AA25:AE25),0)),T22)</f>
        <v>3.2419404342857141</v>
      </c>
      <c r="O22" s="107">
        <f t="shared" si="3"/>
        <v>104634.17897353299</v>
      </c>
      <c r="P22" s="107">
        <f t="shared" si="4"/>
        <v>14468.754000000001</v>
      </c>
      <c r="Q22" s="107">
        <f t="shared" si="5"/>
        <v>90165.424973532994</v>
      </c>
      <c r="R22" s="110"/>
      <c r="S22" s="117"/>
      <c r="T22" s="118">
        <v>3.2419404342857141</v>
      </c>
      <c r="U22" s="116">
        <v>104634.17897353299</v>
      </c>
      <c r="V22" s="116">
        <v>14468.754000000001</v>
      </c>
      <c r="W22" s="116"/>
    </row>
    <row r="23" spans="2:24" x14ac:dyDescent="0.3">
      <c r="B23" s="105">
        <v>14</v>
      </c>
      <c r="C23" s="115"/>
      <c r="D23" s="106">
        <f>IFERROR(AVERAGE('1. Rates'!C26:G26),0)</f>
        <v>3.6397556236363635</v>
      </c>
      <c r="E23" s="116">
        <v>115225.79782648446</v>
      </c>
      <c r="F23" s="116">
        <v>14710.583999999999</v>
      </c>
      <c r="G23" s="107">
        <f t="shared" si="0"/>
        <v>100515.21382648445</v>
      </c>
      <c r="H23" s="115"/>
      <c r="I23" s="106">
        <f>IFERROR(AVERAGE('1. Rates'!O26:S26),0)</f>
        <v>3.461685871666667</v>
      </c>
      <c r="J23" s="116">
        <v>107181.31981719255</v>
      </c>
      <c r="K23" s="116">
        <v>14521.285</v>
      </c>
      <c r="L23" s="107">
        <f t="shared" si="1"/>
        <v>92660.034817192543</v>
      </c>
      <c r="M23" s="108" t="e">
        <f t="shared" si="2"/>
        <v>#DIV/0!</v>
      </c>
      <c r="N23" s="109">
        <f>IF(T23="",(IFERROR(AVERAGE('1. Rates'!AA26:AE26),0)),T23)</f>
        <v>3.9709151876623383</v>
      </c>
      <c r="O23" s="107">
        <f t="shared" si="3"/>
        <v>108480.69341707004</v>
      </c>
      <c r="P23" s="107">
        <f t="shared" si="4"/>
        <v>14615.934499999999</v>
      </c>
      <c r="Q23" s="107">
        <f t="shared" si="5"/>
        <v>93864.758917070038</v>
      </c>
      <c r="R23" s="110"/>
      <c r="S23" s="117"/>
      <c r="T23" s="118">
        <v>3.9709151876623383</v>
      </c>
      <c r="U23" s="116">
        <v>108480.69341707004</v>
      </c>
      <c r="V23" s="116">
        <v>14615.934499999999</v>
      </c>
      <c r="W23" s="116"/>
    </row>
    <row r="24" spans="2:24" x14ac:dyDescent="0.3">
      <c r="B24" s="105">
        <v>15</v>
      </c>
      <c r="C24" s="115"/>
      <c r="D24" s="106">
        <f>IFERROR(AVERAGE('1. Rates'!C27:G27),0)</f>
        <v>3.5405745883333339</v>
      </c>
      <c r="E24" s="116">
        <v>117736.23500151161</v>
      </c>
      <c r="F24" s="116">
        <v>15630.437999999998</v>
      </c>
      <c r="G24" s="107">
        <f t="shared" si="0"/>
        <v>102105.79700151162</v>
      </c>
      <c r="H24" s="115"/>
      <c r="I24" s="106">
        <f>IFERROR(AVERAGE('1. Rates'!O27:S27),0)</f>
        <v>3.9111590666666673</v>
      </c>
      <c r="J24" s="116">
        <v>109166.68058207651</v>
      </c>
      <c r="K24" s="116">
        <v>15655.455</v>
      </c>
      <c r="L24" s="107">
        <f t="shared" si="1"/>
        <v>93511.225582076513</v>
      </c>
      <c r="M24" s="108" t="e">
        <f t="shared" si="2"/>
        <v>#DIV/0!</v>
      </c>
      <c r="N24" s="109">
        <f>IF(T24="",(IFERROR(AVERAGE('1. Rates'!AA27:AE27),0)),T24)</f>
        <v>4.1599276626190482</v>
      </c>
      <c r="O24" s="107">
        <f t="shared" si="3"/>
        <v>110125.66277596007</v>
      </c>
      <c r="P24" s="107">
        <f t="shared" si="4"/>
        <v>15642.946499999998</v>
      </c>
      <c r="Q24" s="107">
        <f t="shared" si="5"/>
        <v>94482.716275960061</v>
      </c>
      <c r="R24" s="110"/>
      <c r="S24" s="117"/>
      <c r="T24" s="118">
        <v>4.1599276626190482</v>
      </c>
      <c r="U24" s="116">
        <v>110125.66277596007</v>
      </c>
      <c r="V24" s="116">
        <v>15642.946499999998</v>
      </c>
      <c r="W24" s="116"/>
    </row>
    <row r="25" spans="2:24" x14ac:dyDescent="0.3">
      <c r="B25" s="105">
        <v>16</v>
      </c>
      <c r="C25" s="115"/>
      <c r="D25" s="106">
        <f>IFERROR(AVERAGE('1. Rates'!C28:G28),0)</f>
        <v>3.3390500450000005</v>
      </c>
      <c r="E25" s="116">
        <v>118508.36067166328</v>
      </c>
      <c r="F25" s="116">
        <v>16293.724000000002</v>
      </c>
      <c r="G25" s="107">
        <f t="shared" si="0"/>
        <v>102214.63667166328</v>
      </c>
      <c r="H25" s="115"/>
      <c r="I25" s="106">
        <f>IFERROR(AVERAGE('1. Rates'!O28:S28),0)</f>
        <v>3.9959631966666671</v>
      </c>
      <c r="J25" s="116">
        <v>105644.37106332637</v>
      </c>
      <c r="K25" s="116">
        <v>15434.298999999999</v>
      </c>
      <c r="L25" s="107">
        <f t="shared" si="1"/>
        <v>90210.07206332637</v>
      </c>
      <c r="M25" s="108" t="e">
        <f t="shared" si="2"/>
        <v>#DIV/0!</v>
      </c>
      <c r="N25" s="109">
        <f>IF(T25="",(IFERROR(AVERAGE('1. Rates'!AA28:AE28),0)),T25)</f>
        <v>3.9587429409523809</v>
      </c>
      <c r="O25" s="107">
        <f t="shared" si="3"/>
        <v>108790.88125363505</v>
      </c>
      <c r="P25" s="107">
        <f t="shared" si="4"/>
        <v>15864.011500000001</v>
      </c>
      <c r="Q25" s="107">
        <f t="shared" si="5"/>
        <v>92926.869753635052</v>
      </c>
      <c r="R25" s="110"/>
      <c r="S25" s="117"/>
      <c r="T25" s="118">
        <v>3.9587429409523809</v>
      </c>
      <c r="U25" s="116">
        <v>108790.88125363505</v>
      </c>
      <c r="V25" s="116">
        <v>15864.011500000001</v>
      </c>
      <c r="W25" s="116"/>
    </row>
    <row r="26" spans="2:24" x14ac:dyDescent="0.3">
      <c r="B26" s="105">
        <v>17</v>
      </c>
      <c r="C26" s="115"/>
      <c r="D26" s="106">
        <f>IFERROR(AVERAGE('1. Rates'!C29:G29),0)</f>
        <v>3.6485820783333329</v>
      </c>
      <c r="E26" s="116">
        <v>113646.52818773982</v>
      </c>
      <c r="F26" s="116">
        <v>16372.42</v>
      </c>
      <c r="G26" s="107">
        <f t="shared" si="0"/>
        <v>97274.108187739825</v>
      </c>
      <c r="H26" s="115"/>
      <c r="I26" s="106">
        <f>IFERROR(AVERAGE('1. Rates'!O29:S29),0)</f>
        <v>3.8327921733333334</v>
      </c>
      <c r="J26" s="116">
        <v>104920.09604267836</v>
      </c>
      <c r="K26" s="116">
        <v>16177.763999999999</v>
      </c>
      <c r="L26" s="107">
        <f t="shared" si="1"/>
        <v>88742.332042678361</v>
      </c>
      <c r="M26" s="108" t="e">
        <f t="shared" si="2"/>
        <v>#DIV/0!</v>
      </c>
      <c r="N26" s="109">
        <f>IF(T26="",(IFERROR(AVERAGE('1. Rates'!AA29:AE29),0)),T26)</f>
        <v>3.8238461240476194</v>
      </c>
      <c r="O26" s="107">
        <f t="shared" si="3"/>
        <v>106079.70502349941</v>
      </c>
      <c r="P26" s="107">
        <f t="shared" si="4"/>
        <v>16275.092000000001</v>
      </c>
      <c r="Q26" s="107">
        <f t="shared" si="5"/>
        <v>89804.613023499405</v>
      </c>
      <c r="R26" s="110"/>
      <c r="S26" s="117"/>
      <c r="T26" s="118">
        <v>3.8238461240476194</v>
      </c>
      <c r="U26" s="116">
        <v>106079.70502349941</v>
      </c>
      <c r="V26" s="116">
        <v>16275.092000000001</v>
      </c>
      <c r="W26" s="116"/>
    </row>
    <row r="27" spans="2:24" x14ac:dyDescent="0.3">
      <c r="B27" s="105">
        <v>18</v>
      </c>
      <c r="C27" s="115"/>
      <c r="D27" s="106">
        <f>IFERROR(AVERAGE('1. Rates'!C30:G30),0)</f>
        <v>6.3005253016666662</v>
      </c>
      <c r="E27" s="116">
        <v>105948.36815329836</v>
      </c>
      <c r="F27" s="116">
        <v>16252.956999999999</v>
      </c>
      <c r="G27" s="107">
        <f t="shared" si="0"/>
        <v>89695.411153298366</v>
      </c>
      <c r="H27" s="115"/>
      <c r="I27" s="106">
        <f>IFERROR(AVERAGE('1. Rates'!O30:S30),0)</f>
        <v>4.1688476766666662</v>
      </c>
      <c r="J27" s="116">
        <v>99982.004590249911</v>
      </c>
      <c r="K27" s="116">
        <v>16277.477999999999</v>
      </c>
      <c r="L27" s="107">
        <f t="shared" si="1"/>
        <v>83704.526590249909</v>
      </c>
      <c r="M27" s="108" t="e">
        <f t="shared" si="2"/>
        <v>#DIV/0!</v>
      </c>
      <c r="N27" s="109">
        <f>IF(T27="",(IFERROR(AVERAGE('1. Rates'!AA30:AE30),0)),T27)</f>
        <v>6.5057291216666666</v>
      </c>
      <c r="O27" s="107">
        <f t="shared" si="3"/>
        <v>99946.793216631864</v>
      </c>
      <c r="P27" s="107">
        <f t="shared" si="4"/>
        <v>16265.217499999999</v>
      </c>
      <c r="Q27" s="107">
        <f t="shared" si="5"/>
        <v>83681.575716631865</v>
      </c>
      <c r="S27" s="117"/>
      <c r="T27" s="118">
        <v>6.5057291216666666</v>
      </c>
      <c r="U27" s="116">
        <v>99946.793216631864</v>
      </c>
      <c r="V27" s="116">
        <v>16265.217499999999</v>
      </c>
      <c r="W27" s="116"/>
    </row>
    <row r="28" spans="2:24" x14ac:dyDescent="0.3">
      <c r="B28" s="105">
        <v>19</v>
      </c>
      <c r="C28" s="115"/>
      <c r="D28" s="106">
        <f>IFERROR(AVERAGE('1. Rates'!C31:G31),0)</f>
        <v>4.2411155999999997</v>
      </c>
      <c r="E28" s="116">
        <v>105233.95112766483</v>
      </c>
      <c r="F28" s="116">
        <v>15461.123</v>
      </c>
      <c r="G28" s="107">
        <f t="shared" si="0"/>
        <v>89772.828127664834</v>
      </c>
      <c r="H28" s="115"/>
      <c r="I28" s="106">
        <f>IFERROR(AVERAGE('1. Rates'!O31:S31),0)</f>
        <v>5.6561967933333337</v>
      </c>
      <c r="J28" s="116">
        <v>98961.07650766708</v>
      </c>
      <c r="K28" s="116">
        <v>15318.969000000001</v>
      </c>
      <c r="L28" s="107">
        <f t="shared" si="1"/>
        <v>83642.107507667082</v>
      </c>
      <c r="M28" s="108" t="e">
        <f t="shared" si="2"/>
        <v>#DIV/0!</v>
      </c>
      <c r="N28" s="109">
        <f>IF(T28="",(IFERROR(AVERAGE('1. Rates'!AA31:AE31),0)),T28)</f>
        <v>5.8423170969047629</v>
      </c>
      <c r="O28" s="107">
        <f t="shared" si="3"/>
        <v>99104.55621982718</v>
      </c>
      <c r="P28" s="107">
        <f t="shared" si="4"/>
        <v>15390.046</v>
      </c>
      <c r="Q28" s="107">
        <f t="shared" si="5"/>
        <v>83714.510219827178</v>
      </c>
      <c r="S28" s="117"/>
      <c r="T28" s="118">
        <v>5.8423170969047629</v>
      </c>
      <c r="U28" s="116">
        <v>99104.55621982718</v>
      </c>
      <c r="V28" s="116">
        <v>15390.046</v>
      </c>
      <c r="W28" s="116"/>
    </row>
    <row r="29" spans="2:24" x14ac:dyDescent="0.3">
      <c r="B29" s="105">
        <v>20</v>
      </c>
      <c r="C29" s="115"/>
      <c r="D29" s="106">
        <f>IFERROR(AVERAGE('1. Rates'!C32:G32),0)</f>
        <v>3.3506889766666665</v>
      </c>
      <c r="E29" s="116">
        <v>99543.432322559849</v>
      </c>
      <c r="F29" s="116">
        <v>14138.869999999999</v>
      </c>
      <c r="G29" s="107">
        <f t="shared" si="0"/>
        <v>85404.562322559854</v>
      </c>
      <c r="H29" s="115"/>
      <c r="I29" s="106">
        <f>IFERROR(AVERAGE('1. Rates'!O32:S32),0)</f>
        <v>3.8650127466666668</v>
      </c>
      <c r="J29" s="116">
        <v>92695.612666362926</v>
      </c>
      <c r="K29" s="116">
        <v>13609.652</v>
      </c>
      <c r="L29" s="107">
        <f t="shared" si="1"/>
        <v>79085.960666362924</v>
      </c>
      <c r="M29" s="108" t="e">
        <f t="shared" si="2"/>
        <v>#DIV/0!</v>
      </c>
      <c r="N29" s="109">
        <f>IF(T29="",(IFERROR(AVERAGE('1. Rates'!AA32:AE32),0)),T29)</f>
        <v>3.9874010492857148</v>
      </c>
      <c r="O29" s="107">
        <f t="shared" si="3"/>
        <v>93301.807896002108</v>
      </c>
      <c r="P29" s="107">
        <f t="shared" si="4"/>
        <v>13874.260999999999</v>
      </c>
      <c r="Q29" s="107">
        <f t="shared" si="5"/>
        <v>79427.54689600211</v>
      </c>
      <c r="S29" s="117"/>
      <c r="T29" s="118">
        <v>3.9874010492857148</v>
      </c>
      <c r="U29" s="116">
        <v>93301.807896002108</v>
      </c>
      <c r="V29" s="116">
        <v>13874.260999999999</v>
      </c>
      <c r="W29" s="116"/>
    </row>
    <row r="30" spans="2:24" x14ac:dyDescent="0.3">
      <c r="B30" s="105">
        <v>21</v>
      </c>
      <c r="C30" s="115"/>
      <c r="D30" s="106">
        <f>IFERROR(AVERAGE('1. Rates'!C33:G33),0)</f>
        <v>3.636912123333333</v>
      </c>
      <c r="E30" s="116">
        <v>94559.117319421886</v>
      </c>
      <c r="F30" s="116">
        <v>11892.035</v>
      </c>
      <c r="G30" s="107">
        <f t="shared" si="0"/>
        <v>82667.082319421883</v>
      </c>
      <c r="H30" s="115"/>
      <c r="I30" s="106">
        <f>IFERROR(AVERAGE('1. Rates'!O33:S33),0)</f>
        <v>3.9685398266666665</v>
      </c>
      <c r="J30" s="116">
        <v>87787.525515713234</v>
      </c>
      <c r="K30" s="116">
        <v>12011.034</v>
      </c>
      <c r="L30" s="107">
        <f t="shared" si="1"/>
        <v>75776.491515713235</v>
      </c>
      <c r="M30" s="108" t="e">
        <f t="shared" si="2"/>
        <v>#DIV/0!</v>
      </c>
      <c r="N30" s="109">
        <f>IF(T30="",(IFERROR(AVERAGE('1. Rates'!AA33:AE33),0)),T30)</f>
        <v>3.8914016909523808</v>
      </c>
      <c r="O30" s="107">
        <f t="shared" si="3"/>
        <v>88500.603200900368</v>
      </c>
      <c r="P30" s="107">
        <f t="shared" si="4"/>
        <v>11951.5345</v>
      </c>
      <c r="Q30" s="107">
        <f t="shared" si="5"/>
        <v>76549.068700900374</v>
      </c>
      <c r="S30" s="117"/>
      <c r="T30" s="118">
        <v>3.8914016909523808</v>
      </c>
      <c r="U30" s="116">
        <v>88500.603200900368</v>
      </c>
      <c r="V30" s="116">
        <v>11951.5345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3.5498922849999999</v>
      </c>
      <c r="E31" s="116">
        <v>89278.527561692608</v>
      </c>
      <c r="F31" s="116">
        <v>8924.5570000000007</v>
      </c>
      <c r="G31" s="107">
        <f t="shared" si="0"/>
        <v>80353.970561692608</v>
      </c>
      <c r="H31" s="115"/>
      <c r="I31" s="106">
        <f>IFERROR(AVERAGE('1. Rates'!O34:S34),0)</f>
        <v>7.4844983216666678</v>
      </c>
      <c r="J31" s="116">
        <v>82615.487084167835</v>
      </c>
      <c r="K31" s="116">
        <v>9157.6360000000004</v>
      </c>
      <c r="L31" s="107">
        <f t="shared" si="1"/>
        <v>73457.851084167836</v>
      </c>
      <c r="M31" s="108" t="e">
        <f t="shared" si="2"/>
        <v>#DIV/0!</v>
      </c>
      <c r="N31" s="109">
        <f>IF(T31="",(IFERROR(AVERAGE('1. Rates'!AA34:AE34),0)),T31)</f>
        <v>4.3240001235714285</v>
      </c>
      <c r="O31" s="107">
        <f t="shared" si="3"/>
        <v>83427.496916065065</v>
      </c>
      <c r="P31" s="107">
        <f t="shared" si="4"/>
        <v>9041.0964999999997</v>
      </c>
      <c r="Q31" s="107">
        <f t="shared" si="5"/>
        <v>74386.400416065066</v>
      </c>
      <c r="S31" s="117"/>
      <c r="T31" s="118">
        <v>4.3240001235714285</v>
      </c>
      <c r="U31" s="116">
        <v>83427.496916065065</v>
      </c>
      <c r="V31" s="116">
        <v>9041.0964999999997</v>
      </c>
      <c r="W31" s="116"/>
    </row>
    <row r="32" spans="2:24" x14ac:dyDescent="0.3">
      <c r="B32" s="105">
        <v>23</v>
      </c>
      <c r="C32" s="115"/>
      <c r="D32" s="106">
        <f>IFERROR(AVERAGE('1. Rates'!C35:G35),0)</f>
        <v>3.2517956583333336</v>
      </c>
      <c r="E32" s="116">
        <v>82718.31840259138</v>
      </c>
      <c r="F32" s="116">
        <v>6168.2849999999999</v>
      </c>
      <c r="G32" s="107">
        <f t="shared" si="0"/>
        <v>76550.033402591376</v>
      </c>
      <c r="H32" s="115"/>
      <c r="I32" s="106">
        <f>IFERROR(AVERAGE('1. Rates'!O35:S35),0)</f>
        <v>5.1319654133333339</v>
      </c>
      <c r="J32" s="116">
        <v>77355.384476499268</v>
      </c>
      <c r="K32" s="116">
        <v>6132.74</v>
      </c>
      <c r="L32" s="107">
        <f t="shared" si="1"/>
        <v>71222.644476499263</v>
      </c>
      <c r="M32" s="108" t="e">
        <f t="shared" si="2"/>
        <v>#DIV/0!</v>
      </c>
      <c r="N32" s="109">
        <f>IF(T32="",(IFERROR(AVERAGE('1. Rates'!AA35:AE35),0)),T32)</f>
        <v>4.1981628385714282</v>
      </c>
      <c r="O32" s="107">
        <f t="shared" si="3"/>
        <v>77690.595456751427</v>
      </c>
      <c r="P32" s="107">
        <f t="shared" si="4"/>
        <v>6150.5124999999998</v>
      </c>
      <c r="Q32" s="107">
        <f t="shared" si="5"/>
        <v>71540.08295675143</v>
      </c>
      <c r="S32" s="117"/>
      <c r="T32" s="118">
        <v>4.1981628385714282</v>
      </c>
      <c r="U32" s="116">
        <v>77690.595456751427</v>
      </c>
      <c r="V32" s="116">
        <v>6150.5124999999998</v>
      </c>
      <c r="W32" s="116"/>
    </row>
    <row r="33" spans="2:24" x14ac:dyDescent="0.3">
      <c r="B33" s="105">
        <v>24</v>
      </c>
      <c r="C33" s="115"/>
      <c r="D33" s="106">
        <f>IFERROR(AVERAGE('1. Rates'!C36:G36),0)</f>
        <v>3.0277988000000002</v>
      </c>
      <c r="E33" s="116">
        <v>77703.689727078294</v>
      </c>
      <c r="F33" s="116">
        <v>5721.7929999999997</v>
      </c>
      <c r="G33" s="107">
        <f t="shared" si="0"/>
        <v>71981.896727078289</v>
      </c>
      <c r="H33" s="115"/>
      <c r="I33" s="106">
        <f>IFERROR(AVERAGE('1. Rates'!O36:S36),0)</f>
        <v>3.8397008216666664</v>
      </c>
      <c r="J33" s="116">
        <v>73678.058269212343</v>
      </c>
      <c r="K33" s="116">
        <v>5740.817</v>
      </c>
      <c r="L33" s="107">
        <f t="shared" si="1"/>
        <v>67937.241269212347</v>
      </c>
      <c r="M33" s="108" t="e">
        <f t="shared" si="2"/>
        <v>#DIV/0!</v>
      </c>
      <c r="N33" s="109">
        <f>IF(T33="",(IFERROR(AVERAGE('1. Rates'!AA36:AE36),0)),T33)</f>
        <v>3.5845979973809525</v>
      </c>
      <c r="O33" s="107">
        <f t="shared" si="3"/>
        <v>73472.019023631641</v>
      </c>
      <c r="P33" s="107">
        <f t="shared" si="4"/>
        <v>5731.3050000000003</v>
      </c>
      <c r="Q33" s="107">
        <f t="shared" si="5"/>
        <v>67740.714023631648</v>
      </c>
      <c r="S33" s="117"/>
      <c r="T33" s="118">
        <v>3.5845979973809525</v>
      </c>
      <c r="U33" s="116">
        <v>73472.019023631641</v>
      </c>
      <c r="V33" s="116">
        <v>5731.3050000000003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0.19418662833333333</v>
      </c>
      <c r="E34" s="114">
        <f t="shared" si="6"/>
        <v>59947.297277409474</v>
      </c>
      <c r="F34" s="114">
        <f t="shared" si="6"/>
        <v>4773.2899999999991</v>
      </c>
      <c r="G34" s="114">
        <f t="shared" ref="G34:K34" si="7">MIN(G10:G33)</f>
        <v>55114.624725620473</v>
      </c>
      <c r="H34" s="112">
        <f t="shared" si="7"/>
        <v>0</v>
      </c>
      <c r="I34" s="113">
        <f t="shared" si="7"/>
        <v>2.6686039433333333</v>
      </c>
      <c r="J34" s="114">
        <f t="shared" si="7"/>
        <v>59402.539244017156</v>
      </c>
      <c r="K34" s="114">
        <f t="shared" si="7"/>
        <v>5408.5230000000001</v>
      </c>
      <c r="L34" s="114">
        <f t="shared" ref="L34:Q34" si="8">MIN(L10:L33)</f>
        <v>53993.914804558575</v>
      </c>
      <c r="M34" s="112" t="e">
        <f t="shared" si="8"/>
        <v>#DIV/0!</v>
      </c>
      <c r="N34" s="113">
        <f t="shared" si="8"/>
        <v>1.7503275450000002</v>
      </c>
      <c r="O34" s="114">
        <f t="shared" si="8"/>
        <v>58504.821824228733</v>
      </c>
      <c r="P34" s="114">
        <f t="shared" si="8"/>
        <v>4797.2748980407223</v>
      </c>
      <c r="Q34" s="114">
        <f t="shared" si="8"/>
        <v>53680.885639572203</v>
      </c>
      <c r="S34" s="112">
        <f>MIN(S10:S33)</f>
        <v>0</v>
      </c>
      <c r="T34" s="113">
        <f t="shared" ref="T34:W34" si="9">MIN(T10:T33)</f>
        <v>1.7503275450000002</v>
      </c>
      <c r="U34" s="114">
        <f t="shared" si="9"/>
        <v>58504.821824228733</v>
      </c>
      <c r="V34" s="114">
        <f t="shared" si="9"/>
        <v>4797.2748980407223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2.8694409286237375</v>
      </c>
      <c r="E35" s="114">
        <f t="shared" si="10"/>
        <v>89490.281168019792</v>
      </c>
      <c r="F35" s="114">
        <f t="shared" si="10"/>
        <v>10381.847583333334</v>
      </c>
      <c r="G35" s="114">
        <f t="shared" ref="G35:K35" si="12">AVERAGE(G10:G33)</f>
        <v>79108.433584686456</v>
      </c>
      <c r="H35" s="112" t="e">
        <f t="shared" si="12"/>
        <v>#DIV/0!</v>
      </c>
      <c r="I35" s="113">
        <f t="shared" si="12"/>
        <v>3.7582799254861108</v>
      </c>
      <c r="J35" s="114">
        <f t="shared" si="12"/>
        <v>85240.739796534835</v>
      </c>
      <c r="K35" s="114">
        <f t="shared" si="12"/>
        <v>10566.767791666667</v>
      </c>
      <c r="L35" s="114">
        <f t="shared" ref="L35:Q35" si="13">AVERAGE(L10:L33)</f>
        <v>74673.972004868192</v>
      </c>
      <c r="M35" s="112" t="e">
        <f t="shared" si="13"/>
        <v>#DIV/0!</v>
      </c>
      <c r="N35" s="113">
        <f t="shared" si="13"/>
        <v>3.5587775709365475</v>
      </c>
      <c r="O35" s="114">
        <f t="shared" si="13"/>
        <v>85194.413487690894</v>
      </c>
      <c r="P35" s="114">
        <f t="shared" si="13"/>
        <v>10356.450550173169</v>
      </c>
      <c r="Q35" s="114">
        <f t="shared" si="13"/>
        <v>74837.962937517732</v>
      </c>
      <c r="S35" s="112" t="str">
        <f>IFERROR(AVERAGE(S10:S33),"")</f>
        <v/>
      </c>
      <c r="T35" s="113">
        <f>IFERROR(AVERAGE(T10:T33),"")</f>
        <v>3.5587775709365475</v>
      </c>
      <c r="U35" s="114">
        <f>IFERROR(AVERAGE(U10:U33),"")</f>
        <v>85194.413487690894</v>
      </c>
      <c r="V35" s="114">
        <f t="shared" ref="V35:W35" si="14">IFERROR(AVERAGE(V10:V33),"")</f>
        <v>10356.450550173169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6.3005253016666662</v>
      </c>
      <c r="E36" s="114">
        <f t="shared" si="15"/>
        <v>118508.36067166328</v>
      </c>
      <c r="F36" s="114">
        <f t="shared" si="15"/>
        <v>16372.42</v>
      </c>
      <c r="G36" s="114">
        <f t="shared" ref="G36:K36" si="17">MAX(G10:G33)</f>
        <v>102214.63667166328</v>
      </c>
      <c r="H36" s="112">
        <f t="shared" si="17"/>
        <v>0</v>
      </c>
      <c r="I36" s="113">
        <f t="shared" si="17"/>
        <v>7.4844983216666678</v>
      </c>
      <c r="J36" s="114">
        <f t="shared" si="17"/>
        <v>109166.68058207651</v>
      </c>
      <c r="K36" s="114">
        <f t="shared" si="17"/>
        <v>16277.477999999999</v>
      </c>
      <c r="L36" s="114">
        <f t="shared" ref="L36:Q36" si="18">MAX(L10:L33)</f>
        <v>93511.225582076513</v>
      </c>
      <c r="M36" s="112" t="e">
        <f t="shared" si="18"/>
        <v>#DIV/0!</v>
      </c>
      <c r="N36" s="113">
        <f t="shared" si="18"/>
        <v>6.5057291216666666</v>
      </c>
      <c r="O36" s="114">
        <f t="shared" si="18"/>
        <v>110125.66277596007</v>
      </c>
      <c r="P36" s="114">
        <f t="shared" si="18"/>
        <v>16275.092000000001</v>
      </c>
      <c r="Q36" s="114">
        <f t="shared" si="18"/>
        <v>94482.716275960061</v>
      </c>
      <c r="S36" s="112">
        <f t="shared" ref="S36:W36" si="19">MAX(S10:S33)</f>
        <v>0</v>
      </c>
      <c r="T36" s="113">
        <f t="shared" si="19"/>
        <v>6.5057291216666666</v>
      </c>
      <c r="U36" s="114">
        <f t="shared" si="19"/>
        <v>110125.66277596007</v>
      </c>
      <c r="V36" s="114">
        <f t="shared" si="19"/>
        <v>16275.092000000001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2147766.7480324749</v>
      </c>
      <c r="F37" s="114">
        <f t="shared" ref="F37" si="20">SUM(F10:F33)</f>
        <v>249164.34200000003</v>
      </c>
      <c r="G37" s="114">
        <f t="shared" ref="G37" si="21">SUM(G10:G33)</f>
        <v>1898602.4060324749</v>
      </c>
      <c r="H37" s="112"/>
      <c r="I37" s="112"/>
      <c r="J37" s="114">
        <f t="shared" ref="J37:L37" si="22">SUM(J10:J33)</f>
        <v>2045777.7551168362</v>
      </c>
      <c r="K37" s="114">
        <f t="shared" si="22"/>
        <v>253602.427</v>
      </c>
      <c r="L37" s="114">
        <f t="shared" si="22"/>
        <v>1792175.3281168365</v>
      </c>
      <c r="M37" s="112"/>
      <c r="N37" s="112"/>
      <c r="O37" s="114">
        <f t="shared" ref="O37:P37" si="23">SUM(O10:O33)</f>
        <v>2044665.9237045816</v>
      </c>
      <c r="P37" s="114">
        <f t="shared" si="23"/>
        <v>248554.81320415606</v>
      </c>
      <c r="Q37" s="114">
        <f>SUM(Q10:Q33)</f>
        <v>1796111.1105004256</v>
      </c>
      <c r="S37" s="112"/>
      <c r="T37" s="112"/>
      <c r="U37" s="114">
        <f t="shared" ref="U37:W37" si="24">SUM(U10:U33)</f>
        <v>2044665.9237045816</v>
      </c>
      <c r="V37" s="114">
        <f t="shared" si="24"/>
        <v>248554.81320415606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B7:B9"/>
    <mergeCell ref="C8:G8"/>
    <mergeCell ref="C7:G7"/>
    <mergeCell ref="H7:L7"/>
    <mergeCell ref="M7:Q7"/>
    <mergeCell ref="S7:W7"/>
    <mergeCell ref="S8:W8"/>
    <mergeCell ref="C2:E2"/>
    <mergeCell ref="H8:L8"/>
    <mergeCell ref="M8:Q8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70" zoomScaleNormal="84" workbookViewId="0">
      <pane xSplit="2" ySplit="5" topLeftCell="I6" activePane="bottomRight" state="frozen"/>
      <selection pane="topRight" activeCell="C1" sqref="C1"/>
      <selection pane="bottomLeft" activeCell="A5" sqref="A5"/>
      <selection pane="bottomRight" activeCell="N28" sqref="N28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5.0892747060244963</v>
      </c>
      <c r="P2" s="4" t="s">
        <v>124</v>
      </c>
      <c r="R2" s="59">
        <f>'4.Projected'!BX29</f>
        <v>5.5256972193601044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63" t="s">
        <v>130</v>
      </c>
      <c r="O4" s="163"/>
      <c r="P4" s="163"/>
      <c r="Q4" s="163"/>
      <c r="R4" s="163"/>
      <c r="S4" s="163"/>
      <c r="T4" s="163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65862.071181431282</v>
      </c>
      <c r="D6" s="53">
        <f>'2. Energy'!P10</f>
        <v>5005.4833736647297</v>
      </c>
      <c r="E6" s="53">
        <f>'2. Energy'!Q10</f>
        <v>60856.587807766555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38356.587807766555</v>
      </c>
      <c r="N6" s="119">
        <v>10000</v>
      </c>
      <c r="O6" s="119">
        <v>2500</v>
      </c>
      <c r="P6" s="119">
        <v>5000</v>
      </c>
      <c r="Q6" s="119">
        <v>5000</v>
      </c>
      <c r="R6" s="119">
        <v>20000</v>
      </c>
      <c r="S6" s="119">
        <v>0</v>
      </c>
      <c r="T6" s="119"/>
      <c r="U6" s="53">
        <f>'2. Energy'!N10*(1+'1. Rates'!$J$60)</f>
        <v>3.3965478308657007</v>
      </c>
      <c r="V6" s="53">
        <f>(SUM('4.Projected'!W5:AC5)+SUM('4.Projected'!AF5:AK5))/(SUM('4.Projected'!F5:K5))</f>
        <v>5.1324423743320509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20000</v>
      </c>
      <c r="AB6" s="53">
        <f t="shared" si="0"/>
        <v>0</v>
      </c>
      <c r="AC6" s="53">
        <f t="shared" si="0"/>
        <v>0</v>
      </c>
      <c r="AD6" s="53">
        <f>E6-(W6+X6+Y6+Z6+AA6+AB6+AC6)</f>
        <v>18356.587807766555</v>
      </c>
    </row>
    <row r="7" spans="2:30" ht="18" customHeight="1" x14ac:dyDescent="0.3">
      <c r="B7" s="14">
        <v>2</v>
      </c>
      <c r="C7" s="53">
        <f>'2. Energy'!O11</f>
        <v>62803.471337705327</v>
      </c>
      <c r="D7" s="53">
        <f>'2. Energy'!P11</f>
        <v>4922.2984560990872</v>
      </c>
      <c r="E7" s="53">
        <f>'2. Energy'!Q11</f>
        <v>57881.172881606239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35381.172881606239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3.0697560902755652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35381.172881606239</v>
      </c>
    </row>
    <row r="8" spans="2:30" ht="18" customHeight="1" x14ac:dyDescent="0.3">
      <c r="B8" s="14">
        <v>3</v>
      </c>
      <c r="C8" s="53">
        <f>'2. Energy'!O12</f>
        <v>60250.563701991457</v>
      </c>
      <c r="D8" s="53">
        <f>'2. Energy'!P12</f>
        <v>4850.625419333438</v>
      </c>
      <c r="E8" s="53">
        <f>'2. Energy'!Q12</f>
        <v>55399.938282658019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32899.938282658019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2.200118070812068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32899.938282658019</v>
      </c>
    </row>
    <row r="9" spans="2:30" ht="18" customHeight="1" x14ac:dyDescent="0.3">
      <c r="B9" s="14">
        <v>4</v>
      </c>
      <c r="C9" s="53">
        <f>'2. Energy'!O13</f>
        <v>58504.821824228733</v>
      </c>
      <c r="D9" s="53">
        <f>'2. Energy'!P13</f>
        <v>4797.2748980407223</v>
      </c>
      <c r="E9" s="53">
        <f>'2. Energy'!Q13</f>
        <v>53707.546926188013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31207.546926188013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1.8976450625894701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31207.546926188013</v>
      </c>
    </row>
    <row r="10" spans="2:30" ht="18" customHeight="1" x14ac:dyDescent="0.3">
      <c r="B10" s="14">
        <v>5</v>
      </c>
      <c r="C10" s="53">
        <f>'2. Energy'!O14</f>
        <v>58539.980652048551</v>
      </c>
      <c r="D10" s="53">
        <f>'2. Energy'!P14</f>
        <v>4859.0950124763467</v>
      </c>
      <c r="E10" s="53">
        <f>'2. Energy'!Q14</f>
        <v>53680.885639572203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31180.885639572203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2.7703437381997662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31180.885639572203</v>
      </c>
    </row>
    <row r="11" spans="2:30" ht="18" customHeight="1" x14ac:dyDescent="0.3">
      <c r="B11" s="14">
        <v>6</v>
      </c>
      <c r="C11" s="53">
        <f>'2. Energy'!O15</f>
        <v>61595.87306736716</v>
      </c>
      <c r="D11" s="53">
        <f>'2. Energy'!P15</f>
        <v>4960.8898538269586</v>
      </c>
      <c r="E11" s="53">
        <f>'2. Energy'!Q15</f>
        <v>56634.983213540203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34134.983213540203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0</v>
      </c>
      <c r="S11" s="119">
        <v>0</v>
      </c>
      <c r="T11" s="119"/>
      <c r="U11" s="53">
        <f>'2. Energy'!N15*(1+'1. Rates'!$J$60)</f>
        <v>3.2778357697910305</v>
      </c>
      <c r="V11" s="53">
        <f>(SUM('4.Projected'!W10:AC10)+SUM('4.Projected'!AF10:AK10))/(SUM('4.Projected'!F10:K10))</f>
        <v>4.2000355959605411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0</v>
      </c>
      <c r="AB11" s="53">
        <f t="shared" si="7"/>
        <v>0</v>
      </c>
      <c r="AC11" s="53">
        <f t="shared" si="8"/>
        <v>0</v>
      </c>
      <c r="AD11" s="53">
        <f t="shared" si="9"/>
        <v>34134.983213540203</v>
      </c>
    </row>
    <row r="12" spans="2:30" ht="18" customHeight="1" x14ac:dyDescent="0.3">
      <c r="B12" s="14">
        <v>7</v>
      </c>
      <c r="C12" s="53">
        <f>'2. Energy'!O16</f>
        <v>63658.295652790635</v>
      </c>
      <c r="D12" s="53">
        <f>'2. Energy'!P16</f>
        <v>5211.4495932936807</v>
      </c>
      <c r="E12" s="53">
        <f>'2. Energy'!Q16</f>
        <v>58446.846059496951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35946.846059496951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0</v>
      </c>
      <c r="S12" s="119">
        <v>0</v>
      </c>
      <c r="T12" s="119"/>
      <c r="U12" s="53">
        <f>'2. Energy'!N16*(1+'1. Rates'!$J$60)</f>
        <v>3.3143750914797523</v>
      </c>
      <c r="V12" s="53">
        <f>(SUM('4.Projected'!W11:AC11)+SUM('4.Projected'!AF11:AK11))/(SUM('4.Projected'!F11:K11))</f>
        <v>4.2000355959605411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0</v>
      </c>
      <c r="AB12" s="53">
        <f t="shared" si="7"/>
        <v>0</v>
      </c>
      <c r="AC12" s="53">
        <f t="shared" si="8"/>
        <v>0</v>
      </c>
      <c r="AD12" s="53">
        <f t="shared" si="9"/>
        <v>35946.846059496951</v>
      </c>
    </row>
    <row r="13" spans="2:30" ht="18" customHeight="1" x14ac:dyDescent="0.3">
      <c r="B13" s="14">
        <v>8</v>
      </c>
      <c r="C13" s="53">
        <f>'2. Energy'!O17</f>
        <v>69192.375040420797</v>
      </c>
      <c r="D13" s="53">
        <f>'2. Energy'!P17</f>
        <v>6049.649550323782</v>
      </c>
      <c r="E13" s="53">
        <f>'2. Energy'!Q17</f>
        <v>63142.725490097015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40642.725490097015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0</v>
      </c>
      <c r="S13" s="119">
        <v>0</v>
      </c>
      <c r="T13" s="119"/>
      <c r="U13" s="53">
        <f>'2. Energy'!N17*(1+'1. Rates'!$J$60)</f>
        <v>2.8992980219253219</v>
      </c>
      <c r="V13" s="53">
        <f>(SUM('4.Projected'!W12:AC12)+SUM('4.Projected'!AF12:AK12))/(SUM('4.Projected'!F12:K12))</f>
        <v>4.2000355959605411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0</v>
      </c>
      <c r="AB13" s="53">
        <f t="shared" si="7"/>
        <v>0</v>
      </c>
      <c r="AC13" s="53">
        <f t="shared" si="8"/>
        <v>0</v>
      </c>
      <c r="AD13" s="53">
        <f t="shared" si="9"/>
        <v>40642.725490097015</v>
      </c>
    </row>
    <row r="14" spans="2:30" ht="18" customHeight="1" x14ac:dyDescent="0.3">
      <c r="B14" s="14">
        <v>9</v>
      </c>
      <c r="C14" s="53">
        <f>'2. Energy'!O18</f>
        <v>85134.12338212342</v>
      </c>
      <c r="D14" s="53">
        <f>'2. Energy'!P18</f>
        <v>8417.1275470972723</v>
      </c>
      <c r="E14" s="53">
        <f>'2. Energy'!Q18</f>
        <v>76716.995835026144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54216.995835026144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3.5609453632429586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34216.995835026144</v>
      </c>
    </row>
    <row r="15" spans="2:30" ht="18" customHeight="1" x14ac:dyDescent="0.3">
      <c r="B15" s="14">
        <v>10</v>
      </c>
      <c r="C15" s="53">
        <f>'2. Energy'!O19</f>
        <v>97393.779924312621</v>
      </c>
      <c r="D15" s="53">
        <f>'2. Energy'!P19</f>
        <v>13902.174999999999</v>
      </c>
      <c r="E15" s="53">
        <f>'2. Energy'!Q19</f>
        <v>83491.604924312618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60991.604924312618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0</v>
      </c>
      <c r="T15" s="119"/>
      <c r="U15" s="53">
        <f>'2. Energy'!N19*(1+'1. Rates'!$J$60)</f>
        <v>3.4302776414669882</v>
      </c>
      <c r="V15" s="53">
        <f>(SUM('4.Projected'!W14:AC14)+SUM('4.Projected'!AF14:AK14))/(SUM('4.Projected'!F14:K14))</f>
        <v>5.1324423743320509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0</v>
      </c>
      <c r="AC15" s="53">
        <f t="shared" si="8"/>
        <v>0</v>
      </c>
      <c r="AD15" s="53">
        <f t="shared" si="9"/>
        <v>40991.604924312618</v>
      </c>
    </row>
    <row r="16" spans="2:30" ht="18" customHeight="1" x14ac:dyDescent="0.3">
      <c r="B16" s="14">
        <v>11</v>
      </c>
      <c r="C16" s="53">
        <f>'2. Energy'!O20</f>
        <v>102774.49695977985</v>
      </c>
      <c r="D16" s="53">
        <f>'2. Energy'!P20</f>
        <v>15210.828</v>
      </c>
      <c r="E16" s="53">
        <f>'2. Energy'!Q20</f>
        <v>87563.668959779854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65063.668959779854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10000</v>
      </c>
      <c r="T16" s="119"/>
      <c r="U16" s="53">
        <f>'2. Energy'!N20*(1+'1. Rates'!$J$60)</f>
        <v>3.5172051511735258</v>
      </c>
      <c r="V16" s="53">
        <f>(SUM('4.Projected'!W15:AC15)+SUM('4.Projected'!AF15:AK15))/(SUM('4.Projected'!F15:K15))</f>
        <v>4.895147360982989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10000</v>
      </c>
      <c r="AC16" s="53">
        <f t="shared" si="8"/>
        <v>0</v>
      </c>
      <c r="AD16" s="53">
        <f t="shared" si="9"/>
        <v>35063.668959779854</v>
      </c>
    </row>
    <row r="17" spans="2:30" ht="18" customHeight="1" x14ac:dyDescent="0.3">
      <c r="B17" s="14">
        <v>12</v>
      </c>
      <c r="C17" s="53">
        <f>'2. Energy'!O21</f>
        <v>105401.07760687442</v>
      </c>
      <c r="D17" s="53">
        <f>'2. Energy'!P21</f>
        <v>15097.205</v>
      </c>
      <c r="E17" s="53">
        <f>'2. Energy'!Q21</f>
        <v>90303.872606874414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67803.872606874414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10000</v>
      </c>
      <c r="T17" s="119"/>
      <c r="U17" s="53">
        <f>'2. Energy'!N21*(1+'1. Rates'!$J$60)</f>
        <v>3.442373004029903</v>
      </c>
      <c r="V17" s="53">
        <f>(SUM('4.Projected'!W16:AC16)+SUM('4.Projected'!AF16:AK16))/(SUM('4.Projected'!F16:K16))</f>
        <v>4.895147360982989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10000</v>
      </c>
      <c r="AC17" s="53">
        <f t="shared" si="8"/>
        <v>0</v>
      </c>
      <c r="AD17" s="53">
        <f t="shared" si="9"/>
        <v>37803.872606874414</v>
      </c>
    </row>
    <row r="18" spans="2:30" ht="18" customHeight="1" x14ac:dyDescent="0.3">
      <c r="B18" s="14">
        <v>13</v>
      </c>
      <c r="C18" s="53">
        <f>'2. Energy'!O22</f>
        <v>104634.17897353299</v>
      </c>
      <c r="D18" s="53">
        <f>'2. Energy'!P22</f>
        <v>14468.754000000001</v>
      </c>
      <c r="E18" s="53">
        <f>'2. Energy'!Q22</f>
        <v>90165.424973532994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67665.424973532994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10000</v>
      </c>
      <c r="T18" s="119"/>
      <c r="U18" s="53">
        <f>'2. Energy'!N22*(1+'1. Rates'!$J$60)</f>
        <v>3.5148005731301266</v>
      </c>
      <c r="V18" s="53">
        <f>(SUM('4.Projected'!W17:AC17)+SUM('4.Projected'!AF17:AK17))/(SUM('4.Projected'!F17:K17))</f>
        <v>4.895147360982989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10000</v>
      </c>
      <c r="AC18" s="53">
        <f t="shared" si="8"/>
        <v>0</v>
      </c>
      <c r="AD18" s="53">
        <f t="shared" si="9"/>
        <v>37665.424973532994</v>
      </c>
    </row>
    <row r="19" spans="2:30" ht="18" customHeight="1" x14ac:dyDescent="0.3">
      <c r="B19" s="14">
        <v>14</v>
      </c>
      <c r="C19" s="53">
        <f>'2. Energy'!O23</f>
        <v>108480.69341707004</v>
      </c>
      <c r="D19" s="53">
        <f>'2. Energy'!P23</f>
        <v>14615.934499999999</v>
      </c>
      <c r="E19" s="53">
        <f>'2. Energy'!Q23</f>
        <v>93864.758917070038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10000</v>
      </c>
      <c r="L19" s="53">
        <f>IF('1. Rates'!Q54&lt;('2. Energy'!N23*(1+'1. Rates'!$J$60)),'1. Rates'!$I$42,0)</f>
        <v>0</v>
      </c>
      <c r="M19" s="53">
        <f t="shared" si="1"/>
        <v>38864.758917070038</v>
      </c>
      <c r="N19" s="119">
        <v>20000</v>
      </c>
      <c r="O19" s="119">
        <v>5000</v>
      </c>
      <c r="P19" s="119">
        <v>10000</v>
      </c>
      <c r="Q19" s="119">
        <v>10000</v>
      </c>
      <c r="R19" s="119">
        <v>20000</v>
      </c>
      <c r="S19" s="119">
        <v>10000</v>
      </c>
      <c r="T19" s="119"/>
      <c r="U19" s="53">
        <f>'2. Energy'!N23*(1+'1. Rates'!$J$60)</f>
        <v>4.305129986301492</v>
      </c>
      <c r="V19" s="53">
        <f>(SUM('4.Projected'!W18:AC18)+SUM('4.Projected'!AF18:AK18))/(SUM('4.Projected'!F18:K18))</f>
        <v>4.5330645807973484</v>
      </c>
      <c r="W19" s="53">
        <f t="shared" si="2"/>
        <v>20000</v>
      </c>
      <c r="X19" s="53">
        <f t="shared" si="3"/>
        <v>5000</v>
      </c>
      <c r="Y19" s="53">
        <f t="shared" si="4"/>
        <v>10000</v>
      </c>
      <c r="Z19" s="53">
        <f t="shared" si="5"/>
        <v>10000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18864.758917070038</v>
      </c>
    </row>
    <row r="20" spans="2:30" ht="18" customHeight="1" x14ac:dyDescent="0.3">
      <c r="B20" s="14">
        <v>15</v>
      </c>
      <c r="C20" s="53">
        <f>'2. Energy'!O24</f>
        <v>110125.66277596007</v>
      </c>
      <c r="D20" s="53">
        <f>'2. Energy'!P24</f>
        <v>15642.946499999998</v>
      </c>
      <c r="E20" s="53">
        <f>'2. Energy'!Q24</f>
        <v>94482.716275960061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10000</v>
      </c>
      <c r="L20" s="53">
        <f>IF('1. Rates'!Q55&lt;('2. Energy'!N24*(1+'1. Rates'!$J$60)),'1. Rates'!$I$42,0)</f>
        <v>0</v>
      </c>
      <c r="M20" s="53">
        <f t="shared" si="1"/>
        <v>39482.716275960061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4.5100508257718079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19482.716275960061</v>
      </c>
    </row>
    <row r="21" spans="2:30" ht="18" customHeight="1" x14ac:dyDescent="0.3">
      <c r="B21" s="14">
        <v>16</v>
      </c>
      <c r="C21" s="53">
        <f>'2. Energy'!O25</f>
        <v>108790.88125363505</v>
      </c>
      <c r="D21" s="53">
        <f>'2. Energy'!P25</f>
        <v>15864.011500000001</v>
      </c>
      <c r="E21" s="53">
        <f>'2. Energy'!Q25</f>
        <v>92926.869753635052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37926.869753635052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4.2919332541037072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17926.869753635052</v>
      </c>
    </row>
    <row r="22" spans="2:30" ht="18" customHeight="1" x14ac:dyDescent="0.3">
      <c r="B22" s="14">
        <v>17</v>
      </c>
      <c r="C22" s="53">
        <f>'2. Energy'!O26</f>
        <v>106079.70502349941</v>
      </c>
      <c r="D22" s="53">
        <f>'2. Energy'!P26</f>
        <v>16275.092000000001</v>
      </c>
      <c r="E22" s="53">
        <f>'2. Energy'!Q26</f>
        <v>89804.613023499405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34804.613023499405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4.1456827541389387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14804.613023499405</v>
      </c>
    </row>
    <row r="23" spans="2:30" ht="18" customHeight="1" x14ac:dyDescent="0.3">
      <c r="B23" s="14">
        <v>18</v>
      </c>
      <c r="C23" s="53">
        <f>'2. Energy'!O27</f>
        <v>99946.793216631864</v>
      </c>
      <c r="D23" s="53">
        <f>'2. Energy'!P27</f>
        <v>16265.217499999999</v>
      </c>
      <c r="E23" s="53">
        <f>'2. Energy'!Q27</f>
        <v>83681.575716631865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20000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8681.5757166318654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7.0532882725531687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8681.5757166318654</v>
      </c>
    </row>
    <row r="24" spans="2:30" ht="18" customHeight="1" x14ac:dyDescent="0.3">
      <c r="B24" s="14">
        <v>19</v>
      </c>
      <c r="C24" s="53">
        <f>'2. Energy'!O28</f>
        <v>99104.55621982718</v>
      </c>
      <c r="D24" s="53">
        <f>'2. Energy'!P28</f>
        <v>15390.046</v>
      </c>
      <c r="E24" s="53">
        <f>'2. Energy'!Q28</f>
        <v>83714.510219827178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20000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8714.5102198271779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6.3340397199904483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8714.5102198271779</v>
      </c>
    </row>
    <row r="25" spans="2:30" ht="18" customHeight="1" x14ac:dyDescent="0.3">
      <c r="B25" s="14">
        <v>20</v>
      </c>
      <c r="C25" s="53">
        <f>'2. Energy'!O29</f>
        <v>93301.807896002108</v>
      </c>
      <c r="D25" s="53">
        <f>'2. Energy'!P29</f>
        <v>13874.260999999999</v>
      </c>
      <c r="E25" s="53">
        <f>'2. Energy'!Q29</f>
        <v>79427.54689600211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24427.54689600211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4.3230033917686583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4427.5468960021099</v>
      </c>
    </row>
    <row r="26" spans="2:30" ht="18" customHeight="1" x14ac:dyDescent="0.3">
      <c r="B26" s="14">
        <v>21</v>
      </c>
      <c r="C26" s="53">
        <f>'2. Energy'!O30</f>
        <v>88500.603200900368</v>
      </c>
      <c r="D26" s="53">
        <f>'2. Energy'!P30</f>
        <v>11951.5345</v>
      </c>
      <c r="E26" s="53">
        <f>'2. Energy'!Q30</f>
        <v>76549.068700900374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21549.068700900374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4.2189241816383003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1549.0687009003741</v>
      </c>
    </row>
    <row r="27" spans="2:30" ht="18" customHeight="1" x14ac:dyDescent="0.3">
      <c r="B27" s="14">
        <v>22</v>
      </c>
      <c r="C27" s="53">
        <f>'2. Energy'!O31</f>
        <v>83427.496916065065</v>
      </c>
      <c r="D27" s="53">
        <f>'2. Energy'!P31</f>
        <v>9041.0964999999997</v>
      </c>
      <c r="E27" s="53">
        <f>'2. Energy'!Q31</f>
        <v>74386.400416065066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19386.400416065066</v>
      </c>
      <c r="N27" s="119">
        <v>20000</v>
      </c>
      <c r="O27" s="119">
        <v>4000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4.6879325578639506</v>
      </c>
      <c r="V27" s="53">
        <f>(SUM('4.Projected'!W26:AC26)+SUM('4.Projected'!AF26:AK26))/(SUM('4.Projected'!F26:K26))</f>
        <v>4.5446377571406398</v>
      </c>
      <c r="W27" s="53">
        <f t="shared" si="2"/>
        <v>20000</v>
      </c>
      <c r="X27" s="53">
        <f t="shared" si="3"/>
        <v>4000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386.40041606506566</v>
      </c>
    </row>
    <row r="28" spans="2:30" ht="18" customHeight="1" x14ac:dyDescent="0.3">
      <c r="B28" s="14">
        <v>23</v>
      </c>
      <c r="C28" s="53">
        <f>'2. Energy'!O32</f>
        <v>77690.595456751427</v>
      </c>
      <c r="D28" s="53">
        <f>'2. Energy'!P32</f>
        <v>6150.5124999999998</v>
      </c>
      <c r="E28" s="53">
        <f>'2. Energy'!Q32</f>
        <v>71540.08295675143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10000</v>
      </c>
      <c r="L28" s="53">
        <f>IF('1. Rates'!Q63&lt;('2. Energy'!N32*(1+'1. Rates'!$J$60)),'1. Rates'!$I$41,0)</f>
        <v>0</v>
      </c>
      <c r="M28" s="53">
        <f t="shared" si="1"/>
        <v>16540.08295675143</v>
      </c>
      <c r="N28" s="119">
        <v>18500</v>
      </c>
      <c r="O28" s="119">
        <v>2500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4.5515040915165761</v>
      </c>
      <c r="V28" s="53">
        <f>(SUM('4.Projected'!W27:AC27)+SUM('4.Projected'!AF27:AK27))/(SUM('4.Projected'!F27:K27))</f>
        <v>4.5813133159750112</v>
      </c>
      <c r="W28" s="53">
        <f t="shared" si="2"/>
        <v>18500</v>
      </c>
      <c r="X28" s="53">
        <f t="shared" si="3"/>
        <v>2500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540.08295675143017</v>
      </c>
    </row>
    <row r="29" spans="2:30" ht="18" customHeight="1" x14ac:dyDescent="0.3">
      <c r="B29" s="14">
        <v>24</v>
      </c>
      <c r="C29" s="53">
        <f>'2. Energy'!O33</f>
        <v>73472.019023631641</v>
      </c>
      <c r="D29" s="53">
        <f>'2. Energy'!P33</f>
        <v>5731.3050000000003</v>
      </c>
      <c r="E29" s="53">
        <f>'2. Energy'!Q33</f>
        <v>67740.714023631648</v>
      </c>
      <c r="F29" s="53">
        <f>IF('1. Rates'!$C$62&lt;'2. Energy'!N33*(1+'1. Rates'!$J$60),'1. Rates'!$C$41,'1. Rates'!$C$42)</f>
        <v>20000</v>
      </c>
      <c r="G29" s="53">
        <f>IF('1. Rates'!$D$62&lt;'2. Energy'!N33*(1+'1. Rates'!$J$60),'1. Rates'!$D$41,'1. Rates'!$D$42)</f>
        <v>5000</v>
      </c>
      <c r="H29" s="53">
        <f>IF('1. Rates'!$E$62&lt;'2. Energy'!N33*(1+'1. Rates'!$J$60),'1. Rates'!$E$41,'1. Rates'!$E$42)</f>
        <v>10000</v>
      </c>
      <c r="I29" s="53">
        <f>IF('1. Rates'!F$62&lt;'2. Energy'!$N33*(1+'1. Rates'!$J$60),'1. Rates'!F$41,'1. Rates'!F$42)</f>
        <v>10000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22740.714023631648</v>
      </c>
      <c r="N29" s="119">
        <v>15000</v>
      </c>
      <c r="O29" s="119">
        <v>2500</v>
      </c>
      <c r="P29" s="119">
        <v>10000</v>
      </c>
      <c r="Q29" s="119">
        <v>10000</v>
      </c>
      <c r="R29" s="119">
        <v>20000</v>
      </c>
      <c r="S29" s="119">
        <v>10000</v>
      </c>
      <c r="T29" s="123"/>
      <c r="U29" s="53">
        <f>'2. Energy'!N33*(1+'1. Rates'!$J$60)</f>
        <v>3.8862981448983973</v>
      </c>
      <c r="V29" s="53">
        <f>(SUM('4.Projected'!W28:AC28)+SUM('4.Projected'!AF28:AK28))/(SUM('4.Projected'!F28:K28))</f>
        <v>4.6282218085088509</v>
      </c>
      <c r="W29" s="53">
        <f t="shared" si="2"/>
        <v>15000</v>
      </c>
      <c r="X29" s="53">
        <f t="shared" si="3"/>
        <v>2500</v>
      </c>
      <c r="Y29" s="53">
        <f t="shared" si="4"/>
        <v>10000</v>
      </c>
      <c r="Z29" s="53">
        <f t="shared" si="5"/>
        <v>10000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240.71402363164816</v>
      </c>
    </row>
    <row r="30" spans="2:30" ht="21" customHeight="1" x14ac:dyDescent="0.3">
      <c r="B30" s="55" t="s">
        <v>137</v>
      </c>
      <c r="C30" s="56">
        <f t="shared" ref="C30:D30" si="10">SUM(C6:C29)</f>
        <v>2044665.9237045816</v>
      </c>
      <c r="D30" s="56">
        <f t="shared" si="10"/>
        <v>248554.81320415606</v>
      </c>
      <c r="E30" s="56">
        <f>SUM(E6:E29)</f>
        <v>1796111.1105004256</v>
      </c>
      <c r="F30" s="56">
        <f t="shared" ref="F30:M30" si="11">SUM(F6:F29)</f>
        <v>350000</v>
      </c>
      <c r="G30" s="56">
        <f>SUM(G6:G29)</f>
        <v>87500</v>
      </c>
      <c r="H30" s="56">
        <f t="shared" si="11"/>
        <v>175000</v>
      </c>
      <c r="I30" s="56">
        <f t="shared" si="11"/>
        <v>175000</v>
      </c>
      <c r="J30" s="56">
        <f t="shared" si="11"/>
        <v>40000</v>
      </c>
      <c r="K30" s="56">
        <f t="shared" si="11"/>
        <v>100000</v>
      </c>
      <c r="L30" s="56">
        <f t="shared" si="11"/>
        <v>0</v>
      </c>
      <c r="M30" s="56">
        <f t="shared" si="11"/>
        <v>868611.11050042557</v>
      </c>
      <c r="N30" s="56">
        <f t="shared" ref="N30:T30" si="12">SUM(N6:N29)</f>
        <v>343500</v>
      </c>
      <c r="O30" s="56">
        <f t="shared" si="12"/>
        <v>81500</v>
      </c>
      <c r="P30" s="56">
        <f t="shared" si="12"/>
        <v>175000</v>
      </c>
      <c r="Q30" s="56">
        <f t="shared" si="12"/>
        <v>175000</v>
      </c>
      <c r="R30" s="56">
        <f t="shared" si="12"/>
        <v>340000</v>
      </c>
      <c r="S30" s="56">
        <f t="shared" si="12"/>
        <v>140000</v>
      </c>
      <c r="T30" s="56">
        <f t="shared" si="12"/>
        <v>0</v>
      </c>
      <c r="U30" s="56">
        <f>AVERAGE(U6:U29)</f>
        <v>3.8583045245636498</v>
      </c>
      <c r="V30" s="56">
        <f>SUM('4.Projected'!W29:AC29)/SUM('4.Projected'!F29:K29)</f>
        <v>4.0954114593335973</v>
      </c>
      <c r="W30" s="56">
        <f t="shared" ref="W30:AD30" si="13">SUM(W6:W29)</f>
        <v>343500</v>
      </c>
      <c r="X30" s="56">
        <f t="shared" si="13"/>
        <v>81500</v>
      </c>
      <c r="Y30" s="56">
        <f t="shared" si="13"/>
        <v>175000</v>
      </c>
      <c r="Z30" s="56">
        <f t="shared" si="13"/>
        <v>175000</v>
      </c>
      <c r="AA30" s="56">
        <f t="shared" si="13"/>
        <v>340000</v>
      </c>
      <c r="AB30" s="56">
        <f t="shared" si="13"/>
        <v>140000</v>
      </c>
      <c r="AC30" s="56">
        <f t="shared" si="13"/>
        <v>0</v>
      </c>
      <c r="AD30" s="56">
        <f t="shared" si="13"/>
        <v>541111.11050042557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65862.071181431282</v>
      </c>
      <c r="D5" s="53">
        <f>'2. Energy'!P10</f>
        <v>5005.4833736647297</v>
      </c>
      <c r="E5" s="53">
        <f>'2. Energy'!Q10</f>
        <v>60856.587807766555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20000</v>
      </c>
      <c r="K5" s="53">
        <f>'3. Nomination'!AB6</f>
        <v>0</v>
      </c>
      <c r="L5" s="53">
        <f>'3. Nomination'!AC6</f>
        <v>0</v>
      </c>
      <c r="M5" s="53">
        <f>'3. Nomination'!AD6</f>
        <v>18356.587807766555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123628</v>
      </c>
      <c r="AB5" s="53">
        <f>K5*'1. Rates'!H$56</f>
        <v>0</v>
      </c>
      <c r="AC5" s="53">
        <f>L5*'1. Rates'!Q41</f>
        <v>0</v>
      </c>
      <c r="AD5" s="53">
        <f>M5*'2. Energy'!N10</f>
        <v>57508.763962219688</v>
      </c>
      <c r="AE5" s="53">
        <f>W5+X5+Y5+Z5+AA5+AB5+AC5+AD5</f>
        <v>255230.16316596454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2769.72</v>
      </c>
      <c r="AL5" s="53">
        <f>(T5+AC5)*'1. Rates'!$I$60</f>
        <v>0</v>
      </c>
      <c r="AM5" s="53">
        <f>(U5+AD5)*'1. Rates'!$J$60</f>
        <v>4840.2645383455711</v>
      </c>
      <c r="AN5" s="53">
        <f>AF5+AG5+AH5+AI5+AJ5+AK5+AL5+AM5</f>
        <v>25247.666243712891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123628</v>
      </c>
      <c r="AT5" s="53">
        <f t="shared" si="0"/>
        <v>23081</v>
      </c>
      <c r="AU5" s="53">
        <f t="shared" si="0"/>
        <v>0</v>
      </c>
      <c r="AV5" s="53">
        <f t="shared" si="0"/>
        <v>57508.763962219688</v>
      </c>
      <c r="AW5" s="53">
        <f>AO5+AP5+AQ5+AR5+AS5+AT5+AU5+AV5</f>
        <v>351198.44484028069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123628</v>
      </c>
      <c r="BC5" s="53">
        <f t="shared" si="1"/>
        <v>25850.720000000001</v>
      </c>
      <c r="BD5" s="53">
        <f t="shared" si="1"/>
        <v>0</v>
      </c>
      <c r="BE5" s="53">
        <f t="shared" si="1"/>
        <v>62349.028500565255</v>
      </c>
      <c r="BF5" s="53">
        <f>AX5+AY5+AZ5+BA5+BB5+BC5+BD5+BE5</f>
        <v>376446.11108399363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>
        <f t="shared" si="2"/>
        <v>6.1814</v>
      </c>
      <c r="BL5" s="54" t="e">
        <f>AT5/K5</f>
        <v>#DIV/0!</v>
      </c>
      <c r="BM5" s="54"/>
      <c r="BN5" s="54">
        <f>AV5/M5</f>
        <v>3.1328678599999993</v>
      </c>
      <c r="BO5" s="54">
        <f>AW5/E5</f>
        <v>5.7709190983504426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>
        <f t="shared" si="3"/>
        <v>6.1814</v>
      </c>
      <c r="BU5" s="54" t="e">
        <f>BC5/K5</f>
        <v>#DIV/0!</v>
      </c>
      <c r="BV5" s="54"/>
      <c r="BW5" s="54">
        <f t="shared" ref="BW5:BW20" si="4">BE5/M5</f>
        <v>3.3965478308657002</v>
      </c>
      <c r="BX5" s="54">
        <f>BF5/E5</f>
        <v>6.185790637377</v>
      </c>
    </row>
    <row r="6" spans="2:76" ht="18" customHeight="1" x14ac:dyDescent="0.3">
      <c r="B6" s="14">
        <v>2</v>
      </c>
      <c r="C6" s="53">
        <f>'2. Energy'!O11</f>
        <v>62803.471337705327</v>
      </c>
      <c r="D6" s="53">
        <f>'2. Energy'!P11</f>
        <v>4922.2984560990872</v>
      </c>
      <c r="E6" s="53">
        <f>'2. Energy'!Q11</f>
        <v>57881.172881606239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35381.172881606239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100179.86401144741</v>
      </c>
      <c r="AE6" s="53">
        <f t="shared" ref="AE6:AE28" si="6">W6+X6+Y6+Z6+AA6+AB6+AC6+AD6</f>
        <v>174273.26321519227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8431.7069229560057</v>
      </c>
      <c r="AN6" s="53">
        <f t="shared" ref="AN6:AN28" si="7">AF6+AG6+AH6+AI6+AJ6+AK6+AL6+AM6</f>
        <v>28839.108628323324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100179.86401144741</v>
      </c>
      <c r="AW6" s="53">
        <f t="shared" ref="AW6:AW28" si="9">AO6+AP6+AQ6+AR6+AS6+AT6+AU6+AV6</f>
        <v>270241.5448895084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108611.57093440341</v>
      </c>
      <c r="BF6" s="53">
        <f t="shared" ref="BF6:BF28" si="17">AX6+AY6+AZ6+BA6+BB6+BC6+BD6+BE6</f>
        <v>299080.65351783176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2.8314455359259258</v>
      </c>
      <c r="BO6" s="54">
        <f>AW6/E6</f>
        <v>4.6689023638528768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3.0697560902755647</v>
      </c>
      <c r="BX6" s="54">
        <f t="shared" ref="BX6:BX28" si="21">BF6/E6</f>
        <v>5.1671491545202439</v>
      </c>
    </row>
    <row r="7" spans="2:76" ht="18" customHeight="1" x14ac:dyDescent="0.3">
      <c r="B7" s="14">
        <v>3</v>
      </c>
      <c r="C7" s="53">
        <f>'2. Energy'!O12</f>
        <v>60250.563701991457</v>
      </c>
      <c r="D7" s="53">
        <f>'2. Energy'!P12</f>
        <v>4850.625419333438</v>
      </c>
      <c r="E7" s="53">
        <f>'2. Energy'!Q12</f>
        <v>55399.938282658019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32899.938282658019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66764.471257118945</v>
      </c>
      <c r="AE7" s="53">
        <f t="shared" si="6"/>
        <v>140857.87046086381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5619.2774871587062</v>
      </c>
      <c r="AN7" s="53">
        <f t="shared" si="7"/>
        <v>26026.679192526026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66764.471257118945</v>
      </c>
      <c r="AW7" s="53">
        <f t="shared" si="9"/>
        <v>236826.15213517996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72383.748744277647</v>
      </c>
      <c r="BF7" s="53">
        <f t="shared" si="17"/>
        <v>262852.83132770599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2.0293190425925922</v>
      </c>
      <c r="BO7" s="54">
        <f t="shared" ref="BO7:BO28" si="22">AW7/E7</f>
        <v>4.2748450535605427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2.2001180708120676</v>
      </c>
      <c r="BX7" s="54">
        <f t="shared" si="21"/>
        <v>4.7446412302229488</v>
      </c>
    </row>
    <row r="8" spans="2:76" ht="18" customHeight="1" x14ac:dyDescent="0.3">
      <c r="B8" s="14">
        <v>4</v>
      </c>
      <c r="C8" s="53">
        <f>'2. Energy'!O13</f>
        <v>58504.821824228733</v>
      </c>
      <c r="D8" s="53">
        <f>'2. Energy'!P13</f>
        <v>4797.2748980407223</v>
      </c>
      <c r="E8" s="53">
        <f>'2. Energy'!Q13</f>
        <v>53707.546926188013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31207.546926188013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54623.42899678697</v>
      </c>
      <c r="AE8" s="53">
        <f t="shared" si="6"/>
        <v>128716.82820053183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4597.4183432229056</v>
      </c>
      <c r="AN8" s="53">
        <f t="shared" si="7"/>
        <v>25004.820048590227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54623.42899678697</v>
      </c>
      <c r="AW8" s="53">
        <f t="shared" si="9"/>
        <v>224685.10987484799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59220.847340009874</v>
      </c>
      <c r="BF8" s="53">
        <f t="shared" si="17"/>
        <v>249689.92992343821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1.7503275450000002</v>
      </c>
      <c r="BO8" s="54">
        <f t="shared" si="22"/>
        <v>4.1834923159614767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1.8976450625894699</v>
      </c>
      <c r="BX8" s="54">
        <f t="shared" si="21"/>
        <v>4.649065991909759</v>
      </c>
    </row>
    <row r="9" spans="2:76" ht="18" customHeight="1" x14ac:dyDescent="0.3">
      <c r="B9" s="14">
        <v>5</v>
      </c>
      <c r="C9" s="53">
        <f>'2. Energy'!O14</f>
        <v>58539.980652048551</v>
      </c>
      <c r="D9" s="53">
        <f>'2. Energy'!P14</f>
        <v>4859.0950124763467</v>
      </c>
      <c r="E9" s="53">
        <f>'2. Energy'!Q14</f>
        <v>53680.885639572203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31180.885639572203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79675.802732257318</v>
      </c>
      <c r="AE9" s="53">
        <f t="shared" si="6"/>
        <v>153769.20193600218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6705.9685508545426</v>
      </c>
      <c r="AN9" s="53">
        <f t="shared" si="7"/>
        <v>27113.37025622186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79675.802732257318</v>
      </c>
      <c r="AW9" s="53">
        <f t="shared" si="9"/>
        <v>249737.48361031833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86381.771283111855</v>
      </c>
      <c r="BF9" s="53">
        <f t="shared" si="17"/>
        <v>276850.85386654019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2.5552770903703701</v>
      </c>
      <c r="BO9" s="54">
        <f t="shared" si="22"/>
        <v>4.6522608678091206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2.7703437381997658</v>
      </c>
      <c r="BX9" s="54">
        <f t="shared" si="21"/>
        <v>5.157345125141763</v>
      </c>
    </row>
    <row r="10" spans="2:76" ht="18" customHeight="1" x14ac:dyDescent="0.3">
      <c r="B10" s="14">
        <v>6</v>
      </c>
      <c r="C10" s="53">
        <f>'2. Energy'!O15</f>
        <v>61595.87306736716</v>
      </c>
      <c r="D10" s="53">
        <f>'2. Energy'!P15</f>
        <v>4960.8898538269586</v>
      </c>
      <c r="E10" s="53">
        <f>'2. Energy'!Q15</f>
        <v>56634.983213540203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0</v>
      </c>
      <c r="K10" s="53">
        <f>'3. Nomination'!AB11</f>
        <v>0</v>
      </c>
      <c r="L10" s="53">
        <f>'3. Nomination'!AC11</f>
        <v>0</v>
      </c>
      <c r="M10" s="53">
        <f>'3. Nomination'!AD11</f>
        <v>34134.983213540203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0</v>
      </c>
      <c r="AB10" s="53">
        <f>K10*'1. Rates'!H$56</f>
        <v>0</v>
      </c>
      <c r="AC10" s="53">
        <f>L10*'1. Rates'!Q46</f>
        <v>0</v>
      </c>
      <c r="AD10" s="53">
        <f>M10*'2. Energy'!N15</f>
        <v>103202.73965502616</v>
      </c>
      <c r="AE10" s="53">
        <f t="shared" si="6"/>
        <v>177296.13885877101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8686.1293235322901</v>
      </c>
      <c r="AN10" s="53">
        <f t="shared" si="7"/>
        <v>29093.531028899612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0</v>
      </c>
      <c r="AT10" s="53">
        <f t="shared" si="0"/>
        <v>23081</v>
      </c>
      <c r="AU10" s="53">
        <f t="shared" si="0"/>
        <v>0</v>
      </c>
      <c r="AV10" s="53">
        <f t="shared" si="0"/>
        <v>103202.73965502616</v>
      </c>
      <c r="AW10" s="53">
        <f t="shared" si="9"/>
        <v>273264.42053308716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0</v>
      </c>
      <c r="BC10" s="53">
        <f t="shared" si="14"/>
        <v>25850.720000000001</v>
      </c>
      <c r="BD10" s="53">
        <f t="shared" si="15"/>
        <v>0</v>
      </c>
      <c r="BE10" s="53">
        <f t="shared" si="16"/>
        <v>111888.86897855846</v>
      </c>
      <c r="BF10" s="53">
        <f t="shared" si="17"/>
        <v>302357.95156198682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 t="e">
        <f t="shared" si="2"/>
        <v>#DIV/0!</v>
      </c>
      <c r="BL10" s="54" t="e">
        <f t="shared" si="2"/>
        <v>#DIV/0!</v>
      </c>
      <c r="BM10" s="54"/>
      <c r="BN10" s="54">
        <f t="shared" si="19"/>
        <v>3.0233716246296289</v>
      </c>
      <c r="BO10" s="54">
        <f t="shared" si="22"/>
        <v>4.8250110625574534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 t="e">
        <f t="shared" si="3"/>
        <v>#DIV/0!</v>
      </c>
      <c r="BU10" s="54" t="e">
        <f t="shared" si="3"/>
        <v>#DIV/0!</v>
      </c>
      <c r="BV10" s="54"/>
      <c r="BW10" s="54">
        <f t="shared" si="4"/>
        <v>3.2778357697910305</v>
      </c>
      <c r="BX10" s="54">
        <f t="shared" si="21"/>
        <v>5.3387135372135068</v>
      </c>
    </row>
    <row r="11" spans="2:76" ht="18" customHeight="1" x14ac:dyDescent="0.3">
      <c r="B11" s="14">
        <v>7</v>
      </c>
      <c r="C11" s="53">
        <f>'2. Energy'!O16</f>
        <v>63658.295652790635</v>
      </c>
      <c r="D11" s="53">
        <f>'2. Energy'!P16</f>
        <v>5211.4495932936807</v>
      </c>
      <c r="E11" s="53">
        <f>'2. Energy'!Q16</f>
        <v>58446.846059496951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0</v>
      </c>
      <c r="K11" s="53">
        <f>'3. Nomination'!AB12</f>
        <v>0</v>
      </c>
      <c r="L11" s="53">
        <f>'3. Nomination'!AC12</f>
        <v>0</v>
      </c>
      <c r="M11" s="53">
        <f>'3. Nomination'!AD12</f>
        <v>35946.846059496951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0</v>
      </c>
      <c r="AB11" s="53">
        <f>K11*'1. Rates'!H$56</f>
        <v>0</v>
      </c>
      <c r="AC11" s="53">
        <f>L11*'1. Rates'!Q47</f>
        <v>0</v>
      </c>
      <c r="AD11" s="53">
        <f>M11*'2. Energy'!N16</f>
        <v>109892.18049937036</v>
      </c>
      <c r="AE11" s="53">
        <f t="shared" si="6"/>
        <v>183985.57970311522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9249.1506974834101</v>
      </c>
      <c r="AN11" s="53">
        <f t="shared" si="7"/>
        <v>29656.552402850728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0</v>
      </c>
      <c r="AT11" s="53">
        <f t="shared" si="0"/>
        <v>23081</v>
      </c>
      <c r="AU11" s="53">
        <f t="shared" si="0"/>
        <v>0</v>
      </c>
      <c r="AV11" s="53">
        <f t="shared" si="0"/>
        <v>109892.18049937036</v>
      </c>
      <c r="AW11" s="53">
        <f t="shared" si="9"/>
        <v>279953.86137743137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0</v>
      </c>
      <c r="BC11" s="53">
        <f t="shared" si="14"/>
        <v>25850.720000000001</v>
      </c>
      <c r="BD11" s="53">
        <f t="shared" si="15"/>
        <v>0</v>
      </c>
      <c r="BE11" s="53">
        <f t="shared" si="16"/>
        <v>119141.33119685376</v>
      </c>
      <c r="BF11" s="53">
        <f t="shared" si="17"/>
        <v>309610.41378028208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 t="e">
        <f t="shared" si="2"/>
        <v>#DIV/0!</v>
      </c>
      <c r="BL11" s="54" t="e">
        <f t="shared" si="2"/>
        <v>#DIV/0!</v>
      </c>
      <c r="BM11" s="54"/>
      <c r="BN11" s="54">
        <f t="shared" si="19"/>
        <v>3.0570743346296294</v>
      </c>
      <c r="BO11" s="54">
        <f t="shared" si="22"/>
        <v>4.78988825320784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 t="e">
        <f t="shared" si="3"/>
        <v>#DIV/0!</v>
      </c>
      <c r="BU11" s="54" t="e">
        <f t="shared" si="3"/>
        <v>#DIV/0!</v>
      </c>
      <c r="BV11" s="54"/>
      <c r="BW11" s="54">
        <f t="shared" si="4"/>
        <v>3.3143750914797518</v>
      </c>
      <c r="BX11" s="54">
        <f t="shared" si="21"/>
        <v>5.2972989075425723</v>
      </c>
    </row>
    <row r="12" spans="2:76" ht="18" customHeight="1" x14ac:dyDescent="0.3">
      <c r="B12" s="14">
        <v>8</v>
      </c>
      <c r="C12" s="53">
        <f>'2. Energy'!O17</f>
        <v>69192.375040420797</v>
      </c>
      <c r="D12" s="53">
        <f>'2. Energy'!P17</f>
        <v>6049.649550323782</v>
      </c>
      <c r="E12" s="53">
        <f>'2. Energy'!Q17</f>
        <v>63142.725490097015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0</v>
      </c>
      <c r="K12" s="53">
        <f>'3. Nomination'!AB13</f>
        <v>0</v>
      </c>
      <c r="L12" s="53">
        <f>'3. Nomination'!AC13</f>
        <v>0</v>
      </c>
      <c r="M12" s="53">
        <f>'3. Nomination'!AD13</f>
        <v>40642.725490097015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0</v>
      </c>
      <c r="AB12" s="53">
        <f>K12*'1. Rates'!H$56</f>
        <v>0</v>
      </c>
      <c r="AC12" s="53">
        <f>L12*'1. Rates'!Q48</f>
        <v>0</v>
      </c>
      <c r="AD12" s="53">
        <f>M12*'2. Energy'!N17</f>
        <v>108687.60670102344</v>
      </c>
      <c r="AE12" s="53">
        <f t="shared" si="6"/>
        <v>182781.0059047683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9147.7669180686917</v>
      </c>
      <c r="AN12" s="53">
        <f t="shared" si="7"/>
        <v>29555.16862343601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0</v>
      </c>
      <c r="AT12" s="53">
        <f t="shared" si="0"/>
        <v>23081</v>
      </c>
      <c r="AU12" s="53">
        <f t="shared" si="0"/>
        <v>0</v>
      </c>
      <c r="AV12" s="53">
        <f t="shared" si="0"/>
        <v>108687.60670102344</v>
      </c>
      <c r="AW12" s="53">
        <f t="shared" si="9"/>
        <v>278749.28757908446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0</v>
      </c>
      <c r="BC12" s="53">
        <f t="shared" si="14"/>
        <v>25850.720000000001</v>
      </c>
      <c r="BD12" s="53">
        <f t="shared" si="15"/>
        <v>0</v>
      </c>
      <c r="BE12" s="53">
        <f t="shared" si="16"/>
        <v>117835.37361909213</v>
      </c>
      <c r="BF12" s="53">
        <f t="shared" si="17"/>
        <v>308304.45620252047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 t="e">
        <f t="shared" si="2"/>
        <v>#DIV/0!</v>
      </c>
      <c r="BL12" s="54" t="e">
        <f t="shared" si="2"/>
        <v>#DIV/0!</v>
      </c>
      <c r="BM12" s="54"/>
      <c r="BN12" s="54">
        <f t="shared" si="19"/>
        <v>2.6742204266666665</v>
      </c>
      <c r="BO12" s="54">
        <f t="shared" si="22"/>
        <v>4.4145906819116014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 t="e">
        <f t="shared" si="3"/>
        <v>#DIV/0!</v>
      </c>
      <c r="BU12" s="54" t="e">
        <f t="shared" si="3"/>
        <v>#DIV/0!</v>
      </c>
      <c r="BV12" s="54"/>
      <c r="BW12" s="54">
        <f t="shared" si="4"/>
        <v>2.8992980219253219</v>
      </c>
      <c r="BX12" s="54">
        <f t="shared" si="21"/>
        <v>4.8826599392019174</v>
      </c>
    </row>
    <row r="13" spans="2:76" ht="18" customHeight="1" x14ac:dyDescent="0.3">
      <c r="B13" s="14">
        <v>9</v>
      </c>
      <c r="C13" s="53">
        <f>'2. Energy'!O18</f>
        <v>85134.12338212342</v>
      </c>
      <c r="D13" s="53">
        <f>'2. Energy'!P18</f>
        <v>8417.1275470972723</v>
      </c>
      <c r="E13" s="53">
        <f>'2. Energy'!Q18</f>
        <v>76716.995835026144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34216.995835026144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112385.82284782788</v>
      </c>
      <c r="AE13" s="53">
        <f t="shared" si="6"/>
        <v>310107.22205157275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9459.0298150120889</v>
      </c>
      <c r="AN13" s="53">
        <f t="shared" si="7"/>
        <v>29866.43152037941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112385.82284782788</v>
      </c>
      <c r="AW13" s="53">
        <f t="shared" si="9"/>
        <v>406075.50372588885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121844.85266283997</v>
      </c>
      <c r="BF13" s="53">
        <f t="shared" si="17"/>
        <v>435941.93524626835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3.2845029233333336</v>
      </c>
      <c r="BO13" s="54">
        <f t="shared" si="22"/>
        <v>5.2931622166113259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3.5609453632429586</v>
      </c>
      <c r="BX13" s="54">
        <f t="shared" si="21"/>
        <v>5.6824687997914713</v>
      </c>
    </row>
    <row r="14" spans="2:76" ht="18" customHeight="1" x14ac:dyDescent="0.3">
      <c r="B14" s="14">
        <v>10</v>
      </c>
      <c r="C14" s="53">
        <f>'2. Energy'!O19</f>
        <v>97393.779924312621</v>
      </c>
      <c r="D14" s="53">
        <f>'2. Energy'!P19</f>
        <v>13902.174999999999</v>
      </c>
      <c r="E14" s="53">
        <f>'2. Energy'!Q19</f>
        <v>83491.604924312618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0</v>
      </c>
      <c r="L14" s="53">
        <f>'3. Nomination'!AC15</f>
        <v>0</v>
      </c>
      <c r="M14" s="53">
        <f>'3. Nomination'!AD15</f>
        <v>40991.604924312618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0</v>
      </c>
      <c r="AC14" s="53">
        <f>L14*'1. Rates'!Q50</f>
        <v>0</v>
      </c>
      <c r="AD14" s="53">
        <f>M14*'2. Energy'!N19</f>
        <v>129696.58396923603</v>
      </c>
      <c r="AE14" s="53">
        <f t="shared" si="6"/>
        <v>327417.98317298089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10916.00189048163</v>
      </c>
      <c r="AN14" s="53">
        <f t="shared" si="7"/>
        <v>31323.403595848948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23081</v>
      </c>
      <c r="AU14" s="53">
        <f t="shared" si="0"/>
        <v>0</v>
      </c>
      <c r="AV14" s="53">
        <f t="shared" si="0"/>
        <v>129696.58396923603</v>
      </c>
      <c r="AW14" s="53">
        <f t="shared" si="9"/>
        <v>423386.26484729699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25850.720000000001</v>
      </c>
      <c r="BD14" s="53">
        <f t="shared" si="15"/>
        <v>0</v>
      </c>
      <c r="BE14" s="53">
        <f t="shared" si="16"/>
        <v>140612.58585971766</v>
      </c>
      <c r="BF14" s="53">
        <f t="shared" si="17"/>
        <v>454709.66844314605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3.1639791661904755</v>
      </c>
      <c r="BO14" s="54">
        <f t="shared" si="22"/>
        <v>5.0710040276637152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3.4302776414669878</v>
      </c>
      <c r="BX14" s="54">
        <f t="shared" si="21"/>
        <v>5.4461723290066413</v>
      </c>
    </row>
    <row r="15" spans="2:76" ht="18" customHeight="1" x14ac:dyDescent="0.3">
      <c r="B15" s="14">
        <v>11</v>
      </c>
      <c r="C15" s="53">
        <f>'2. Energy'!O20</f>
        <v>102774.49695977985</v>
      </c>
      <c r="D15" s="53">
        <f>'2. Energy'!P20</f>
        <v>15210.828</v>
      </c>
      <c r="E15" s="53">
        <f>'2. Energy'!Q20</f>
        <v>87563.668959779854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10000</v>
      </c>
      <c r="L15" s="53">
        <f>'3. Nomination'!AC16</f>
        <v>0</v>
      </c>
      <c r="M15" s="53">
        <f>'3. Nomination'!AD16</f>
        <v>35063.668959779854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34702.174591513132</v>
      </c>
      <c r="AC15" s="53">
        <f>L15*'1. Rates'!Q51</f>
        <v>0</v>
      </c>
      <c r="AD15" s="53">
        <f>M15*'2. Energy'!N20</f>
        <v>113752.09411191441</v>
      </c>
      <c r="AE15" s="53">
        <f t="shared" si="6"/>
        <v>346175.66790717241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6933.9809509815759</v>
      </c>
      <c r="AL15" s="53">
        <f>(T15+AC15)*'1. Rates'!$I$60</f>
        <v>0</v>
      </c>
      <c r="AM15" s="53">
        <f>(U15+AD15)*'1. Rates'!$J$60</f>
        <v>9574.0229724665442</v>
      </c>
      <c r="AN15" s="53">
        <f t="shared" si="7"/>
        <v>34145.685628815438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57783.174591513132</v>
      </c>
      <c r="AU15" s="53">
        <f t="shared" si="0"/>
        <v>0</v>
      </c>
      <c r="AV15" s="53">
        <f t="shared" si="0"/>
        <v>113752.09411191441</v>
      </c>
      <c r="AW15" s="53">
        <f t="shared" si="9"/>
        <v>442143.9495814885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64717.155542494707</v>
      </c>
      <c r="BD15" s="53">
        <f t="shared" si="15"/>
        <v>0</v>
      </c>
      <c r="BE15" s="53">
        <f t="shared" si="16"/>
        <v>123326.11708438095</v>
      </c>
      <c r="BF15" s="53">
        <f t="shared" si="17"/>
        <v>476289.635210304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>
        <f t="shared" si="2"/>
        <v>5.7783174591513129</v>
      </c>
      <c r="BM15" s="54"/>
      <c r="BN15" s="54">
        <f t="shared" si="19"/>
        <v>3.2441583407142858</v>
      </c>
      <c r="BO15" s="54">
        <f t="shared" si="22"/>
        <v>5.049399537890265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>
        <f t="shared" si="3"/>
        <v>6.4717155542494709</v>
      </c>
      <c r="BV15" s="54"/>
      <c r="BW15" s="54">
        <f t="shared" si="4"/>
        <v>3.5172051511735254</v>
      </c>
      <c r="BX15" s="54">
        <f t="shared" si="21"/>
        <v>5.439352197874161</v>
      </c>
    </row>
    <row r="16" spans="2:76" ht="18" customHeight="1" x14ac:dyDescent="0.3">
      <c r="B16" s="14">
        <v>12</v>
      </c>
      <c r="C16" s="53">
        <f>'2. Energy'!O21</f>
        <v>105401.07760687442</v>
      </c>
      <c r="D16" s="53">
        <f>'2. Energy'!P21</f>
        <v>15097.205</v>
      </c>
      <c r="E16" s="53">
        <f>'2. Energy'!Q21</f>
        <v>90303.872606874414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10000</v>
      </c>
      <c r="L16" s="53">
        <f>'3. Nomination'!AC17</f>
        <v>0</v>
      </c>
      <c r="M16" s="53">
        <f>'3. Nomination'!AD17</f>
        <v>37803.872606874414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34702.174591513132</v>
      </c>
      <c r="AC16" s="53">
        <f>L16*'1. Rates'!Q52</f>
        <v>0</v>
      </c>
      <c r="AD16" s="53">
        <f>M16*'2. Energy'!N21</f>
        <v>120032.41963473693</v>
      </c>
      <c r="AE16" s="53">
        <f t="shared" si="6"/>
        <v>352455.99342999491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6933.9809509815759</v>
      </c>
      <c r="AL16" s="53">
        <f>(T16+AC16)*'1. Rates'!$I$60</f>
        <v>0</v>
      </c>
      <c r="AM16" s="53">
        <f>(U16+AD16)*'1. Rates'!$J$60</f>
        <v>10102.610874953105</v>
      </c>
      <c r="AN16" s="53">
        <f t="shared" si="7"/>
        <v>34674.273531301995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57783.174591513132</v>
      </c>
      <c r="AU16" s="53">
        <f t="shared" si="0"/>
        <v>0</v>
      </c>
      <c r="AV16" s="53">
        <f t="shared" si="0"/>
        <v>120032.41963473693</v>
      </c>
      <c r="AW16" s="53">
        <f t="shared" si="9"/>
        <v>448424.27510431106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64717.155542494707</v>
      </c>
      <c r="BD16" s="53">
        <f t="shared" si="15"/>
        <v>0</v>
      </c>
      <c r="BE16" s="53">
        <f t="shared" si="16"/>
        <v>130135.03050969003</v>
      </c>
      <c r="BF16" s="53">
        <f t="shared" si="17"/>
        <v>483098.54863561306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>
        <f t="shared" si="2"/>
        <v>5.7783174591513129</v>
      </c>
      <c r="BM16" s="54"/>
      <c r="BN16" s="54">
        <f t="shared" si="19"/>
        <v>3.1751355445238096</v>
      </c>
      <c r="BO16" s="54">
        <f t="shared" si="22"/>
        <v>4.965725856037924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>
        <f t="shared" si="3"/>
        <v>6.4717155542494709</v>
      </c>
      <c r="BV16" s="54"/>
      <c r="BW16" s="54">
        <f t="shared" si="4"/>
        <v>3.4423730040299025</v>
      </c>
      <c r="BX16" s="54">
        <f t="shared" si="21"/>
        <v>5.34969912905858</v>
      </c>
    </row>
    <row r="17" spans="2:76" ht="18" customHeight="1" x14ac:dyDescent="0.3">
      <c r="B17" s="14">
        <v>13</v>
      </c>
      <c r="C17" s="53">
        <f>'2. Energy'!O22</f>
        <v>104634.17897353299</v>
      </c>
      <c r="D17" s="53">
        <f>'2. Energy'!P22</f>
        <v>14468.754000000001</v>
      </c>
      <c r="E17" s="53">
        <f>'2. Energy'!Q22</f>
        <v>90165.424973532994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10000</v>
      </c>
      <c r="L17" s="53">
        <f>'3. Nomination'!AC18</f>
        <v>0</v>
      </c>
      <c r="M17" s="53">
        <f>'3. Nomination'!AD18</f>
        <v>37665.424973532994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34702.174591513132</v>
      </c>
      <c r="AC17" s="53">
        <f>L17*'1. Rates'!Q53</f>
        <v>0</v>
      </c>
      <c r="AD17" s="53">
        <f>M17*'2. Energy'!N22</f>
        <v>122109.06419625154</v>
      </c>
      <c r="AE17" s="53">
        <f t="shared" si="6"/>
        <v>354532.63799150952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6933.9809509815759</v>
      </c>
      <c r="AL17" s="53">
        <f>(T17+AC17)*'1. Rates'!$I$60</f>
        <v>0</v>
      </c>
      <c r="AM17" s="53">
        <f>(U17+AD17)*'1. Rates'!$J$60</f>
        <v>10277.393087911998</v>
      </c>
      <c r="AN17" s="53">
        <f t="shared" si="7"/>
        <v>34849.055744260892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57783.174591513132</v>
      </c>
      <c r="AU17" s="53">
        <f t="shared" si="0"/>
        <v>0</v>
      </c>
      <c r="AV17" s="53">
        <f t="shared" si="0"/>
        <v>122109.06419625154</v>
      </c>
      <c r="AW17" s="53">
        <f t="shared" si="9"/>
        <v>450500.91966582567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64717.155542494707</v>
      </c>
      <c r="BD17" s="53">
        <f t="shared" si="15"/>
        <v>0</v>
      </c>
      <c r="BE17" s="53">
        <f t="shared" si="16"/>
        <v>132386.45728416354</v>
      </c>
      <c r="BF17" s="53">
        <f t="shared" si="17"/>
        <v>485349.97541008657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>
        <f t="shared" si="2"/>
        <v>5.7783174591513129</v>
      </c>
      <c r="BM17" s="54"/>
      <c r="BN17" s="54">
        <f t="shared" si="19"/>
        <v>3.2419404342857141</v>
      </c>
      <c r="BO17" s="54">
        <f t="shared" si="22"/>
        <v>4.996382147570035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>
        <f t="shared" si="3"/>
        <v>6.4717155542494709</v>
      </c>
      <c r="BV17" s="54"/>
      <c r="BW17" s="54">
        <f t="shared" si="4"/>
        <v>3.5148005731301262</v>
      </c>
      <c r="BX17" s="54">
        <f t="shared" si="21"/>
        <v>5.3828834672775665</v>
      </c>
    </row>
    <row r="18" spans="2:76" ht="18" customHeight="1" x14ac:dyDescent="0.3">
      <c r="B18" s="14">
        <v>14</v>
      </c>
      <c r="C18" s="53">
        <f>'2. Energy'!O23</f>
        <v>108480.69341707004</v>
      </c>
      <c r="D18" s="53">
        <f>'2. Energy'!P23</f>
        <v>14615.934499999999</v>
      </c>
      <c r="E18" s="53">
        <f>'2. Energy'!Q23</f>
        <v>93864.758917070038</v>
      </c>
      <c r="F18" s="53">
        <f>'3. Nomination'!W19</f>
        <v>20000</v>
      </c>
      <c r="G18" s="53">
        <f>'3. Nomination'!X19</f>
        <v>5000</v>
      </c>
      <c r="H18" s="53">
        <f>'3. Nomination'!Y19</f>
        <v>10000</v>
      </c>
      <c r="I18" s="53">
        <f>'3. Nomination'!Z19</f>
        <v>10000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18864.758917070038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65654.455917746949</v>
      </c>
      <c r="X18" s="53">
        <f>G18*'1. Rates'!D$56</f>
        <v>16413.613979436737</v>
      </c>
      <c r="Y18" s="53">
        <f>H18*'1. Rates'!E$56</f>
        <v>33059.364255153028</v>
      </c>
      <c r="Z18" s="53">
        <f>I18*'1. Rates'!F$56</f>
        <v>33059.364255153028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74910.357695381943</v>
      </c>
      <c r="AE18" s="53">
        <f t="shared" si="6"/>
        <v>381427.33069438476</v>
      </c>
      <c r="AF18" s="53">
        <f>(N18+W18)*'1. Rates'!C$60</f>
        <v>11757.185456398289</v>
      </c>
      <c r="AG18" s="53">
        <f>(O18+X18)*'1. Rates'!D$60</f>
        <v>2939.2963640995722</v>
      </c>
      <c r="AH18" s="53">
        <f>(P18+Y18)*'1. Rates'!E$60</f>
        <v>5889.6838946594207</v>
      </c>
      <c r="AI18" s="53">
        <f>(Q18+Z18)*'1. Rates'!F$60</f>
        <v>5942.7238946594207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6304.88160284474</v>
      </c>
      <c r="AN18" s="53">
        <f t="shared" si="7"/>
        <v>39767.752163643017</v>
      </c>
      <c r="AO18" s="53">
        <f t="shared" si="8"/>
        <v>97976.545469985751</v>
      </c>
      <c r="AP18" s="53">
        <f t="shared" si="0"/>
        <v>24494.136367496438</v>
      </c>
      <c r="AQ18" s="53">
        <f t="shared" si="0"/>
        <v>49080.699122161845</v>
      </c>
      <c r="AR18" s="53">
        <f t="shared" si="0"/>
        <v>49522.699122161837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74910.357695381943</v>
      </c>
      <c r="AW18" s="53">
        <f t="shared" si="9"/>
        <v>477395.61236870091</v>
      </c>
      <c r="AX18" s="53">
        <f t="shared" si="10"/>
        <v>109733.73092638404</v>
      </c>
      <c r="AY18" s="53">
        <f t="shared" si="11"/>
        <v>27433.432731596011</v>
      </c>
      <c r="AZ18" s="53">
        <f t="shared" si="12"/>
        <v>54970.383016821266</v>
      </c>
      <c r="BA18" s="53">
        <f t="shared" si="13"/>
        <v>55465.42301682126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81215.23929822669</v>
      </c>
      <c r="BF18" s="53">
        <f t="shared" si="17"/>
        <v>517163.36453234393</v>
      </c>
      <c r="BG18" s="54">
        <f t="shared" si="18"/>
        <v>4.8988272734992879</v>
      </c>
      <c r="BH18" s="54">
        <f t="shared" si="2"/>
        <v>4.8988272734992879</v>
      </c>
      <c r="BI18" s="54">
        <f t="shared" si="2"/>
        <v>4.9080699122161846</v>
      </c>
      <c r="BJ18" s="54">
        <f t="shared" si="2"/>
        <v>4.9522699122161837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3.9709151876623388</v>
      </c>
      <c r="BO18" s="54">
        <f t="shared" si="22"/>
        <v>5.0859941247010738</v>
      </c>
      <c r="BP18" s="54">
        <f t="shared" si="20"/>
        <v>5.4866865463192021</v>
      </c>
      <c r="BQ18" s="54">
        <f t="shared" si="3"/>
        <v>5.4866865463192021</v>
      </c>
      <c r="BR18" s="54">
        <f t="shared" si="3"/>
        <v>5.4970383016821263</v>
      </c>
      <c r="BS18" s="54">
        <f t="shared" si="3"/>
        <v>5.546542301682126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4.3051299863014929</v>
      </c>
      <c r="BX18" s="54">
        <f t="shared" si="21"/>
        <v>5.5096648678260625</v>
      </c>
    </row>
    <row r="19" spans="2:76" ht="18" customHeight="1" x14ac:dyDescent="0.3">
      <c r="B19" s="14">
        <v>15</v>
      </c>
      <c r="C19" s="53">
        <f>'2. Energy'!O24</f>
        <v>110125.66277596007</v>
      </c>
      <c r="D19" s="53">
        <f>'2. Energy'!P24</f>
        <v>15642.946499999998</v>
      </c>
      <c r="E19" s="53">
        <f>'2. Energy'!Q24</f>
        <v>94482.716275960061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19482.716275960061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81046.690379324631</v>
      </c>
      <c r="AE19" s="53">
        <f t="shared" si="6"/>
        <v>387563.6633783275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6821.3502493468814</v>
      </c>
      <c r="AN19" s="53">
        <f t="shared" si="7"/>
        <v>40284.220810145162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81046.690379324631</v>
      </c>
      <c r="AW19" s="53">
        <f t="shared" si="9"/>
        <v>483531.94505264366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87868.040628671515</v>
      </c>
      <c r="BF19" s="53">
        <f t="shared" si="17"/>
        <v>523816.1658627888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4.1599276626190482</v>
      </c>
      <c r="BO19" s="54">
        <f t="shared" si="22"/>
        <v>5.1176761646052746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4.5100508257718079</v>
      </c>
      <c r="BX19" s="54">
        <f t="shared" si="21"/>
        <v>5.5440421963828239</v>
      </c>
    </row>
    <row r="20" spans="2:76" ht="18" customHeight="1" x14ac:dyDescent="0.3">
      <c r="B20" s="14">
        <v>16</v>
      </c>
      <c r="C20" s="53">
        <f>'2. Energy'!O25</f>
        <v>108790.88125363505</v>
      </c>
      <c r="D20" s="53">
        <f>'2. Energy'!P25</f>
        <v>15864.011500000001</v>
      </c>
      <c r="E20" s="53">
        <f>'2. Energy'!Q25</f>
        <v>92926.869753635052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17926.869753635052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70967.869090575507</v>
      </c>
      <c r="AE20" s="53">
        <f t="shared" si="6"/>
        <v>377484.84208957833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5973.0593470366957</v>
      </c>
      <c r="AN20" s="53">
        <f t="shared" si="7"/>
        <v>39435.929907834972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70967.869090575507</v>
      </c>
      <c r="AW20" s="53">
        <f t="shared" si="9"/>
        <v>473453.12376389449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76940.928437612209</v>
      </c>
      <c r="BF20" s="53">
        <f t="shared" si="17"/>
        <v>512889.05367172946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3.9587429409523809</v>
      </c>
      <c r="BO20" s="54">
        <f t="shared" si="22"/>
        <v>5.0949001620209451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4.2919332541037072</v>
      </c>
      <c r="BX20" s="54">
        <f t="shared" si="21"/>
        <v>5.5192761257479743</v>
      </c>
    </row>
    <row r="21" spans="2:76" ht="18" customHeight="1" x14ac:dyDescent="0.3">
      <c r="B21" s="14">
        <v>17</v>
      </c>
      <c r="C21" s="53">
        <f>'2. Energy'!O26</f>
        <v>106079.70502349941</v>
      </c>
      <c r="D21" s="53">
        <f>'2. Energy'!P26</f>
        <v>16275.092000000001</v>
      </c>
      <c r="E21" s="53">
        <f>'2. Energy'!Q26</f>
        <v>89804.613023499405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14804.613023499405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56610.56212793311</v>
      </c>
      <c r="AE21" s="53">
        <f t="shared" si="6"/>
        <v>363127.53512693592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4764.6667652890965</v>
      </c>
      <c r="AN21" s="53">
        <f t="shared" si="7"/>
        <v>38227.537326087375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56610.56212793311</v>
      </c>
      <c r="AW21" s="53">
        <f t="shared" si="9"/>
        <v>459095.81680125208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61375.228893222207</v>
      </c>
      <c r="BF21" s="53">
        <f t="shared" si="17"/>
        <v>497323.35412733949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3.8238461240476194</v>
      </c>
      <c r="BO21" s="54">
        <f t="shared" si="22"/>
        <v>5.1121629651821925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4.1456827541389378</v>
      </c>
      <c r="BX21" s="54">
        <f t="shared" si="21"/>
        <v>5.537837505042237</v>
      </c>
    </row>
    <row r="22" spans="2:76" ht="18" customHeight="1" x14ac:dyDescent="0.3">
      <c r="B22" s="14">
        <v>18</v>
      </c>
      <c r="C22" s="53">
        <f>'2. Energy'!O27</f>
        <v>99946.793216631864</v>
      </c>
      <c r="D22" s="53">
        <f>'2. Energy'!P27</f>
        <v>16265.217499999999</v>
      </c>
      <c r="E22" s="53">
        <f>'2. Energy'!Q27</f>
        <v>83681.575716631865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8681.5757166318654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56479.979961646088</v>
      </c>
      <c r="AE22" s="53">
        <f t="shared" si="6"/>
        <v>362996.95296064892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4753.6762277558146</v>
      </c>
      <c r="AN22" s="53">
        <f t="shared" si="7"/>
        <v>38216.546788554093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56479.979961646088</v>
      </c>
      <c r="AW22" s="53">
        <f t="shared" si="9"/>
        <v>458965.23463496508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61233.656189401903</v>
      </c>
      <c r="BF22" s="53">
        <f t="shared" si="17"/>
        <v>497181.78142351919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6.5057291216666666</v>
      </c>
      <c r="BO22" s="54">
        <f t="shared" si="22"/>
        <v>5.4846629106165947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7.0532882725531678</v>
      </c>
      <c r="BX22" s="54">
        <f t="shared" si="21"/>
        <v>5.9413530059126671</v>
      </c>
    </row>
    <row r="23" spans="2:76" ht="18" customHeight="1" x14ac:dyDescent="0.3">
      <c r="B23" s="14">
        <v>19</v>
      </c>
      <c r="C23" s="53">
        <f>'2. Energy'!O28</f>
        <v>99104.55621982718</v>
      </c>
      <c r="D23" s="53">
        <f>'2. Energy'!P28</f>
        <v>15390.046</v>
      </c>
      <c r="E23" s="53">
        <f>'2. Energy'!Q28</f>
        <v>83714.510219827178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8714.5102198271779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50912.932048447605</v>
      </c>
      <c r="AE23" s="53">
        <f t="shared" si="6"/>
        <v>357429.90504745045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4285.1218242004288</v>
      </c>
      <c r="AN23" s="53">
        <f t="shared" si="7"/>
        <v>37747.99238499871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50912.932048447605</v>
      </c>
      <c r="AW23" s="53">
        <f t="shared" si="9"/>
        <v>453398.1867217666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55198.05387264803</v>
      </c>
      <c r="BF23" s="53">
        <f t="shared" si="17"/>
        <v>491146.17910676531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5.8423170969047629</v>
      </c>
      <c r="BO23" s="54">
        <f t="shared" si="22"/>
        <v>5.4160047706327319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6.3340397199904475</v>
      </c>
      <c r="BX23" s="54">
        <f t="shared" si="21"/>
        <v>5.8669181461739104</v>
      </c>
    </row>
    <row r="24" spans="2:76" ht="18" customHeight="1" x14ac:dyDescent="0.3">
      <c r="B24" s="14">
        <v>20</v>
      </c>
      <c r="C24" s="53">
        <f>'2. Energy'!O29</f>
        <v>93301.807896002108</v>
      </c>
      <c r="D24" s="53">
        <f>'2. Energy'!P29</f>
        <v>13874.260999999999</v>
      </c>
      <c r="E24" s="53">
        <f>'2. Energy'!Q29</f>
        <v>79427.54689600211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4427.5468960021099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17654.405138880524</v>
      </c>
      <c r="AE24" s="53">
        <f t="shared" si="6"/>
        <v>324171.37813788338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1485.8951097513902</v>
      </c>
      <c r="AN24" s="53">
        <f t="shared" si="7"/>
        <v>34948.76567054967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17654.405138880524</v>
      </c>
      <c r="AW24" s="53">
        <f t="shared" si="9"/>
        <v>420139.65981219953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19140.300248631913</v>
      </c>
      <c r="BF24" s="53">
        <f t="shared" si="17"/>
        <v>455088.42548274918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3.9874010492857153</v>
      </c>
      <c r="BO24" s="54">
        <f t="shared" si="22"/>
        <v>5.2895963205599994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4.3230033917686574</v>
      </c>
      <c r="BX24" s="54">
        <f t="shared" si="21"/>
        <v>5.7296044416254723</v>
      </c>
    </row>
    <row r="25" spans="2:76" ht="18" customHeight="1" x14ac:dyDescent="0.3">
      <c r="B25" s="14">
        <v>21</v>
      </c>
      <c r="C25" s="53">
        <f>'2. Energy'!O30</f>
        <v>88500.603200900368</v>
      </c>
      <c r="D25" s="53">
        <f>'2. Energy'!P30</f>
        <v>11951.5345</v>
      </c>
      <c r="E25" s="53">
        <f>'2. Energy'!Q30</f>
        <v>76549.068700900374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1549.0687009003741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6028.0485620851232</v>
      </c>
      <c r="AE25" s="53">
        <f t="shared" si="6"/>
        <v>312545.02156108798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507.35483916249109</v>
      </c>
      <c r="AN25" s="53">
        <f t="shared" si="7"/>
        <v>33970.225399960771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6028.0485620851232</v>
      </c>
      <c r="AW25" s="53">
        <f t="shared" si="9"/>
        <v>408513.30323540414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6535.4034012476141</v>
      </c>
      <c r="BF25" s="53">
        <f t="shared" si="17"/>
        <v>442483.5286353649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3.8914016909523808</v>
      </c>
      <c r="BO25" s="54">
        <f t="shared" si="22"/>
        <v>5.3366201596989411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4.2189241816382994</v>
      </c>
      <c r="BX25" s="54">
        <f t="shared" si="21"/>
        <v>5.7803907499420744</v>
      </c>
    </row>
    <row r="26" spans="2:76" ht="18" customHeight="1" x14ac:dyDescent="0.3">
      <c r="B26" s="14">
        <v>22</v>
      </c>
      <c r="C26" s="53">
        <f>'2. Energy'!O31</f>
        <v>83427.496916065065</v>
      </c>
      <c r="D26" s="53">
        <f>'2. Energy'!P31</f>
        <v>9041.0964999999997</v>
      </c>
      <c r="E26" s="53">
        <f>'2. Energy'!Q31</f>
        <v>74386.400416065066</v>
      </c>
      <c r="F26" s="53">
        <f>'3. Nomination'!W27</f>
        <v>20000</v>
      </c>
      <c r="G26" s="53">
        <f>'3. Nomination'!X27</f>
        <v>4000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386.40041606506566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13130.891183549389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1670.7954468133953</v>
      </c>
      <c r="AE26" s="53">
        <f t="shared" si="6"/>
        <v>304905.04564992891</v>
      </c>
      <c r="AF26" s="53">
        <f>(N26+W26)*'1. Rates'!C$60</f>
        <v>11757.185456398289</v>
      </c>
      <c r="AG26" s="53">
        <f>(O26+X26)*'1. Rates'!D$60</f>
        <v>2545.3696285930905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140.62364403020254</v>
      </c>
      <c r="AN26" s="53">
        <f t="shared" si="7"/>
        <v>33209.567469321999</v>
      </c>
      <c r="AO26" s="53">
        <f t="shared" si="8"/>
        <v>97976.545469985751</v>
      </c>
      <c r="AP26" s="53">
        <f t="shared" si="23"/>
        <v>21211.41357160909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1670.7954468133953</v>
      </c>
      <c r="AW26" s="53">
        <f t="shared" si="9"/>
        <v>400873.32732424507</v>
      </c>
      <c r="AX26" s="53">
        <f t="shared" si="10"/>
        <v>109733.73092638404</v>
      </c>
      <c r="AY26" s="53">
        <f t="shared" si="11"/>
        <v>23756.783200202179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1811.4190908435978</v>
      </c>
      <c r="BF26" s="53">
        <f t="shared" si="17"/>
        <v>434082.89479356707</v>
      </c>
      <c r="BG26" s="54">
        <f t="shared" si="18"/>
        <v>4.8988272734992879</v>
      </c>
      <c r="BH26" s="54">
        <f t="shared" si="29"/>
        <v>5.3028533929022723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4.3240001235714285</v>
      </c>
      <c r="BO26" s="54">
        <f t="shared" si="22"/>
        <v>5.3890674247179913</v>
      </c>
      <c r="BP26" s="54">
        <f t="shared" si="20"/>
        <v>5.4866865463192021</v>
      </c>
      <c r="BQ26" s="54">
        <f t="shared" si="32"/>
        <v>5.9391958000505447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4.6879325578639506</v>
      </c>
      <c r="BX26" s="54">
        <f t="shared" si="21"/>
        <v>5.835514184926458</v>
      </c>
    </row>
    <row r="27" spans="2:76" ht="18" customHeight="1" x14ac:dyDescent="0.3">
      <c r="B27" s="14">
        <v>23</v>
      </c>
      <c r="C27" s="53">
        <f>'2. Energy'!O32</f>
        <v>77690.595456751427</v>
      </c>
      <c r="D27" s="53">
        <f>'2. Energy'!P32</f>
        <v>6150.5124999999998</v>
      </c>
      <c r="E27" s="53">
        <f>'2. Energy'!Q32</f>
        <v>71540.08295675143</v>
      </c>
      <c r="F27" s="53">
        <f>'3. Nomination'!W28</f>
        <v>18500</v>
      </c>
      <c r="G27" s="53">
        <f>'3. Nomination'!X28</f>
        <v>2500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540.08295675143017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60730.371723915923</v>
      </c>
      <c r="X27" s="53">
        <f>G27*'1. Rates'!D$56</f>
        <v>8206.8069897183686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2267.3561987796338</v>
      </c>
      <c r="AE27" s="53">
        <f t="shared" si="6"/>
        <v>295653.43801423314</v>
      </c>
      <c r="AF27" s="53">
        <f>(N27+W27)*'1. Rates'!C$60</f>
        <v>11166.295353138568</v>
      </c>
      <c r="AG27" s="53">
        <f>(O27+X27)*'1. Rates'!D$60</f>
        <v>1954.4795253333684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190.8335886328704</v>
      </c>
      <c r="AN27" s="53">
        <f t="shared" si="7"/>
        <v>32077.997207405228</v>
      </c>
      <c r="AO27" s="53">
        <f t="shared" si="8"/>
        <v>93052.461276154732</v>
      </c>
      <c r="AP27" s="53">
        <f t="shared" si="23"/>
        <v>16287.329377778071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2267.3561987796338</v>
      </c>
      <c r="AW27" s="53">
        <f t="shared" si="9"/>
        <v>391621.71968854929</v>
      </c>
      <c r="AX27" s="53">
        <f t="shared" si="10"/>
        <v>104218.7566292933</v>
      </c>
      <c r="AY27" s="53">
        <f t="shared" si="11"/>
        <v>18241.80890311144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2458.1897874125043</v>
      </c>
      <c r="BF27" s="53">
        <f t="shared" si="17"/>
        <v>423699.71689595457</v>
      </c>
      <c r="BG27" s="54">
        <f t="shared" si="18"/>
        <v>5.0298627716840398</v>
      </c>
      <c r="BH27" s="54">
        <f t="shared" si="29"/>
        <v>6.5149317511112281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4.1981628385714282</v>
      </c>
      <c r="BO27" s="54">
        <f t="shared" si="22"/>
        <v>5.4741580314534835</v>
      </c>
      <c r="BP27" s="54">
        <f t="shared" si="20"/>
        <v>5.6334463042861245</v>
      </c>
      <c r="BQ27" s="54">
        <f t="shared" si="32"/>
        <v>7.2967235612445762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4.5515040915165761</v>
      </c>
      <c r="BX27" s="54">
        <f t="shared" si="21"/>
        <v>5.9225499801572274</v>
      </c>
    </row>
    <row r="28" spans="2:76" ht="18" customHeight="1" x14ac:dyDescent="0.3">
      <c r="B28" s="14">
        <v>24</v>
      </c>
      <c r="C28" s="53">
        <f>'2. Energy'!O33</f>
        <v>73472.019023631641</v>
      </c>
      <c r="D28" s="53">
        <f>'2. Energy'!P33</f>
        <v>5731.3050000000003</v>
      </c>
      <c r="E28" s="53">
        <f>'2. Energy'!Q33</f>
        <v>67740.714023631648</v>
      </c>
      <c r="F28" s="53">
        <f>'3. Nomination'!W29</f>
        <v>15000</v>
      </c>
      <c r="G28" s="53">
        <f>'3. Nomination'!X29</f>
        <v>2500</v>
      </c>
      <c r="H28" s="53">
        <f>'3. Nomination'!Y29</f>
        <v>10000</v>
      </c>
      <c r="I28" s="53">
        <f>'3. Nomination'!Z29</f>
        <v>10000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240.71402363164816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49240.841938310208</v>
      </c>
      <c r="X28" s="53">
        <f>G28*'1. Rates'!D$56</f>
        <v>8206.8069897183686</v>
      </c>
      <c r="Y28" s="53">
        <f>H28*'1. Rates'!E$56</f>
        <v>33059.364255153028</v>
      </c>
      <c r="Z28" s="53">
        <f>I28*'1. Rates'!F$56</f>
        <v>33059.364255153028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862.86300705151723</v>
      </c>
      <c r="AE28" s="53">
        <f t="shared" si="6"/>
        <v>282759.41503689927</v>
      </c>
      <c r="AF28" s="53">
        <f>(N28+W28)*'1. Rates'!C$60</f>
        <v>9787.5517788658817</v>
      </c>
      <c r="AG28" s="53">
        <f>(O28+X28)*'1. Rates'!D$60</f>
        <v>1954.4795253333684</v>
      </c>
      <c r="AH28" s="53">
        <f>(P28+Y28)*'1. Rates'!E$60</f>
        <v>5889.6838946594207</v>
      </c>
      <c r="AI28" s="53">
        <f>(Q28+Z28)*'1. Rates'!F$60</f>
        <v>5942.7238946594207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72.623456439185873</v>
      </c>
      <c r="AN28" s="53">
        <f t="shared" si="7"/>
        <v>30581.043500938853</v>
      </c>
      <c r="AO28" s="53">
        <f t="shared" si="8"/>
        <v>81562.931490549017</v>
      </c>
      <c r="AP28" s="53">
        <f t="shared" si="23"/>
        <v>16287.329377778071</v>
      </c>
      <c r="AQ28" s="53">
        <f t="shared" si="24"/>
        <v>49080.699122161845</v>
      </c>
      <c r="AR28" s="53">
        <f t="shared" si="25"/>
        <v>49522.699122161837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862.86300705151723</v>
      </c>
      <c r="AW28" s="53">
        <f t="shared" si="9"/>
        <v>378727.69671121542</v>
      </c>
      <c r="AX28" s="53">
        <f t="shared" si="10"/>
        <v>91350.483269414894</v>
      </c>
      <c r="AY28" s="53">
        <f t="shared" si="11"/>
        <v>18241.80890311144</v>
      </c>
      <c r="AZ28" s="53">
        <f t="shared" si="12"/>
        <v>54970.383016821266</v>
      </c>
      <c r="BA28" s="53">
        <f t="shared" si="13"/>
        <v>55465.42301682126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935.48646349070304</v>
      </c>
      <c r="BF28" s="53">
        <f t="shared" si="17"/>
        <v>409308.74021215428</v>
      </c>
      <c r="BG28" s="54">
        <f t="shared" si="18"/>
        <v>5.4375287660366007</v>
      </c>
      <c r="BH28" s="54">
        <f t="shared" si="29"/>
        <v>6.5149317511112281</v>
      </c>
      <c r="BI28" s="54">
        <f t="shared" si="30"/>
        <v>4.9080699122161846</v>
      </c>
      <c r="BJ28" s="54">
        <f t="shared" si="31"/>
        <v>4.9522699122161837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3.5845979973809525</v>
      </c>
      <c r="BO28" s="54">
        <f t="shared" si="22"/>
        <v>5.5908429984823398</v>
      </c>
      <c r="BP28" s="54">
        <f>AX28/F28</f>
        <v>6.0900322179609931</v>
      </c>
      <c r="BQ28" s="54">
        <f t="shared" si="32"/>
        <v>7.2967235612445762</v>
      </c>
      <c r="BR28" s="54">
        <f t="shared" si="33"/>
        <v>5.4970383016821263</v>
      </c>
      <c r="BS28" s="54">
        <f t="shared" si="34"/>
        <v>5.546542301682126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3.8862981448983964</v>
      </c>
      <c r="BX28" s="54">
        <f t="shared" si="21"/>
        <v>6.0422855901602261</v>
      </c>
    </row>
    <row r="29" spans="2:76" ht="21" customHeight="1" x14ac:dyDescent="0.3">
      <c r="B29" s="55" t="s">
        <v>137</v>
      </c>
      <c r="C29" s="56">
        <f t="shared" ref="C29:D29" si="36">SUM(C5:C28)</f>
        <v>2044665.9237045816</v>
      </c>
      <c r="D29" s="56">
        <f t="shared" si="36"/>
        <v>248554.81320415606</v>
      </c>
      <c r="E29" s="56">
        <f>SUM(E5:E28)</f>
        <v>1796111.1105004256</v>
      </c>
      <c r="F29" s="56">
        <f t="shared" ref="F29:L29" si="37">SUM(F5:F28)</f>
        <v>343500</v>
      </c>
      <c r="G29" s="56">
        <f t="shared" si="37"/>
        <v>81500</v>
      </c>
      <c r="H29" s="56">
        <f t="shared" si="37"/>
        <v>175000</v>
      </c>
      <c r="I29" s="56">
        <f t="shared" si="37"/>
        <v>175000</v>
      </c>
      <c r="J29" s="56">
        <f t="shared" si="37"/>
        <v>340000</v>
      </c>
      <c r="K29" s="56">
        <f t="shared" si="37"/>
        <v>140000</v>
      </c>
      <c r="L29" s="56">
        <f t="shared" si="37"/>
        <v>0</v>
      </c>
      <c r="M29" s="56">
        <f>SUM(M5:M28)</f>
        <v>541111.11050042557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1127615.2803873045</v>
      </c>
      <c r="X29" s="56">
        <f t="shared" ref="X29" si="45">SUM(X5:X28)</f>
        <v>267541.90786481893</v>
      </c>
      <c r="Y29" s="56">
        <f t="shared" ref="Y29" si="46">SUM(Y5:Y28)</f>
        <v>578538.87446517812</v>
      </c>
      <c r="Z29" s="56">
        <f t="shared" ref="Z29" si="47">SUM(Z5:Z28)</f>
        <v>578538.87446517812</v>
      </c>
      <c r="AA29" s="56">
        <f t="shared" ref="AA29" si="48">SUM(AA5:AA28)</f>
        <v>2101676</v>
      </c>
      <c r="AB29" s="56">
        <f t="shared" ref="AB29" si="49">SUM(AB5:AB28)</f>
        <v>485830.44428118371</v>
      </c>
      <c r="AC29" s="56">
        <f t="shared" ref="AC29" si="50">SUM(AC5:AC28)</f>
        <v>0</v>
      </c>
      <c r="AD29" s="56">
        <f t="shared" ref="AD29" si="51">SUM(AD5:AD28)</f>
        <v>1697922.7022321357</v>
      </c>
      <c r="AE29" s="56">
        <f t="shared" ref="AE29" si="52">SUM(AE5:AE28)</f>
        <v>6837664.0836957972</v>
      </c>
      <c r="AF29" s="56">
        <f t="shared" ref="AF29" si="53">SUM(AF5:AF28)</f>
        <v>228401.45155692424</v>
      </c>
      <c r="AG29" s="56">
        <f t="shared" ref="AG29" si="54">SUM(AG5:AG28)</f>
        <v>55376.933421390197</v>
      </c>
      <c r="AH29" s="56">
        <f t="shared" ref="AH29" si="55">SUM(AH5:AH28)</f>
        <v>115566.10935280673</v>
      </c>
      <c r="AI29" s="56">
        <f t="shared" ref="AI29" si="56">SUM(AI5:AI28)</f>
        <v>116839.06935280669</v>
      </c>
      <c r="AJ29" s="56">
        <f t="shared" ref="AJ29" si="57">SUM(AJ5:AJ28)</f>
        <v>0</v>
      </c>
      <c r="AK29" s="56">
        <f t="shared" ref="AK29" si="58">SUM(AK5:AK28)</f>
        <v>124772.93331374212</v>
      </c>
      <c r="AL29" s="56">
        <f t="shared" ref="AL29" si="59">SUM(AL5:AL28)</f>
        <v>0</v>
      </c>
      <c r="AM29" s="56">
        <f t="shared" ref="AM29" si="60">SUM(AM5:AM28)</f>
        <v>142906.82807693732</v>
      </c>
      <c r="AN29" s="56">
        <f t="shared" ref="AN29" si="61">SUM(AN5:AN28)</f>
        <v>783863.32507460716</v>
      </c>
      <c r="AO29" s="56">
        <f t="shared" ref="AO29" si="62">SUM(AO5:AO28)</f>
        <v>1903345.4296410361</v>
      </c>
      <c r="AP29" s="56">
        <f t="shared" ref="AP29" si="63">SUM(AP5:AP28)</f>
        <v>461474.44517825177</v>
      </c>
      <c r="AQ29" s="56">
        <f t="shared" ref="AQ29" si="64">SUM(AQ5:AQ28)</f>
        <v>963050.91127338959</v>
      </c>
      <c r="AR29" s="56">
        <f t="shared" ref="AR29" si="65">SUM(AR5:AR28)</f>
        <v>973658.91127338959</v>
      </c>
      <c r="AS29" s="56">
        <f t="shared" ref="AS29" si="66">SUM(AS5:AS28)</f>
        <v>2101676</v>
      </c>
      <c r="AT29" s="56">
        <f t="shared" ref="AT29" si="67">SUM(AT5:AT28)</f>
        <v>1039774.4442811836</v>
      </c>
      <c r="AU29" s="56">
        <f t="shared" ref="AU29" si="68">SUM(AU5:AU28)</f>
        <v>0</v>
      </c>
      <c r="AV29" s="56">
        <f t="shared" ref="AV29" si="69">SUM(AV5:AV28)</f>
        <v>1697922.7022321357</v>
      </c>
      <c r="AW29" s="56">
        <f t="shared" ref="AW29" si="70">SUM(AW5:AW28)</f>
        <v>9140902.8438793849</v>
      </c>
      <c r="AX29" s="56">
        <f t="shared" ref="AX29" si="71">SUM(AX5:AX28)</f>
        <v>2131746.8811979592</v>
      </c>
      <c r="AY29" s="56">
        <f t="shared" ref="AY29" si="72">SUM(AY5:AY28)</f>
        <v>516851.37859964173</v>
      </c>
      <c r="AZ29" s="56">
        <f t="shared" ref="AZ29" si="73">SUM(AZ5:AZ28)</f>
        <v>1078617.0206261959</v>
      </c>
      <c r="BA29" s="56">
        <f t="shared" ref="BA29" si="74">SUM(BA5:BA28)</f>
        <v>1090497.9806261961</v>
      </c>
      <c r="BB29" s="56">
        <f t="shared" ref="BB29" si="75">SUM(BB5:BB28)</f>
        <v>2101676</v>
      </c>
      <c r="BC29" s="56">
        <f t="shared" ref="BC29" si="76">SUM(BC5:BC28)</f>
        <v>1164547.3775949262</v>
      </c>
      <c r="BD29" s="56">
        <f t="shared" ref="BD29" si="77">SUM(BD5:BD28)</f>
        <v>0</v>
      </c>
      <c r="BE29" s="56">
        <f t="shared" ref="BE29" si="78">SUM(BE5:BE28)</f>
        <v>1840829.5303090734</v>
      </c>
      <c r="BF29" s="56">
        <f t="shared" ref="BF29" si="79">SUM(BF5:BF28)</f>
        <v>9924766.1689539906</v>
      </c>
      <c r="BG29" s="58">
        <f t="shared" ref="BG29" si="80">AO29/F29</f>
        <v>5.541034729668227</v>
      </c>
      <c r="BH29" s="58">
        <f t="shared" si="29"/>
        <v>5.6622631310214944</v>
      </c>
      <c r="BI29" s="58">
        <f t="shared" si="30"/>
        <v>5.5031480644193689</v>
      </c>
      <c r="BJ29" s="58">
        <f t="shared" si="31"/>
        <v>5.5637652072765116</v>
      </c>
      <c r="BK29" s="58">
        <f t="shared" si="31"/>
        <v>6.1814</v>
      </c>
      <c r="BL29" s="58">
        <f t="shared" si="31"/>
        <v>7.4269603162941689</v>
      </c>
      <c r="BM29" s="58"/>
      <c r="BN29" s="58">
        <f t="shared" ref="BN29" si="81">AV29/M29</f>
        <v>3.1378448331284083</v>
      </c>
      <c r="BO29" s="59">
        <f t="shared" ref="BO29" si="82">AW29/E29</f>
        <v>5.0892747060244963</v>
      </c>
      <c r="BP29" s="58">
        <f>AX29/F29</f>
        <v>6.2059588972284114</v>
      </c>
      <c r="BQ29" s="58">
        <f t="shared" ref="BQ29:BV29" si="83">AY29/G29</f>
        <v>6.3417347067440701</v>
      </c>
      <c r="BR29" s="58">
        <f t="shared" si="83"/>
        <v>6.1635258321496913</v>
      </c>
      <c r="BS29" s="58">
        <f>BA29/I29</f>
        <v>6.2314170321496922</v>
      </c>
      <c r="BT29" s="58">
        <f t="shared" si="83"/>
        <v>6.1814</v>
      </c>
      <c r="BU29" s="58">
        <f t="shared" si="83"/>
        <v>8.3181955542494723</v>
      </c>
      <c r="BV29" s="58" t="e">
        <f t="shared" si="83"/>
        <v>#DIV/0!</v>
      </c>
      <c r="BW29" s="58">
        <f t="shared" ref="BW29" si="84">BE29/M29</f>
        <v>3.4019436943489367</v>
      </c>
      <c r="BX29" s="59">
        <f>BF29/E29</f>
        <v>5.5256972193601044</v>
      </c>
    </row>
  </sheetData>
  <mergeCells count="18">
    <mergeCell ref="C3:E3"/>
    <mergeCell ref="F3:L3"/>
    <mergeCell ref="M3:M4"/>
    <mergeCell ref="B3:B4"/>
    <mergeCell ref="N3:U3"/>
    <mergeCell ref="V3:V4"/>
    <mergeCell ref="AE3:AE4"/>
    <mergeCell ref="AN3:AN4"/>
    <mergeCell ref="AF3:AM3"/>
    <mergeCell ref="W3:AD3"/>
    <mergeCell ref="AO3:AV3"/>
    <mergeCell ref="AW3:AW4"/>
    <mergeCell ref="BX3:BX4"/>
    <mergeCell ref="AX3:BE3"/>
    <mergeCell ref="BF3:BF4"/>
    <mergeCell ref="BG3:BN3"/>
    <mergeCell ref="BO3:BO4"/>
    <mergeCell ref="BP3:BW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tabSelected="1" zoomScale="80" zoomScaleNormal="80" zoomScaleSheetLayoutView="70" workbookViewId="0">
      <selection activeCell="AK86" sqref="AK86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45670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65862.071181431282</v>
      </c>
      <c r="E11" s="65">
        <f>'4.Projected'!D5</f>
        <v>5005.4833736647297</v>
      </c>
      <c r="F11" s="65">
        <f>'4.Projected'!E5</f>
        <v>60856.587807766555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20000</v>
      </c>
      <c r="J11" s="80">
        <f>'4.Projected'!K5</f>
        <v>0</v>
      </c>
      <c r="K11" s="80">
        <f>'4.Projected'!L5</f>
        <v>0</v>
      </c>
      <c r="L11" s="65">
        <f>'4.Projected'!M5</f>
        <v>18356.587807766555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3.1328678599999993</v>
      </c>
      <c r="S11" s="77">
        <f>SUM('5. Actual'!AH5:AN5)/SUM('5. Actual'!Q5:V5)</f>
        <v>4.6522682165587028</v>
      </c>
      <c r="T11" s="66">
        <f>'4.Projected'!AW5</f>
        <v>351198.44484028069</v>
      </c>
      <c r="U11" s="66">
        <f>'4.Projected'!BF5</f>
        <v>376446.11108399363</v>
      </c>
      <c r="V11" s="77">
        <f>T11/F11</f>
        <v>5.7709190983504426</v>
      </c>
      <c r="W11" s="77">
        <f>U11/F11</f>
        <v>6.185790637377</v>
      </c>
    </row>
    <row r="12" spans="3:23" ht="19.350000000000001" customHeight="1" x14ac:dyDescent="0.3">
      <c r="C12" s="64">
        <v>2</v>
      </c>
      <c r="D12" s="65">
        <f>'4.Projected'!C6</f>
        <v>62803.471337705327</v>
      </c>
      <c r="E12" s="65">
        <f>'4.Projected'!D6</f>
        <v>4922.2984560990872</v>
      </c>
      <c r="F12" s="65">
        <f>'4.Projected'!E6</f>
        <v>57881.172881606239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35381.172881606239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2.8314455359259258</v>
      </c>
      <c r="S12" s="77">
        <f>SUM('5. Actual'!AH6:AN6)/SUM('5. Actual'!Q6:V6)</f>
        <v>3.293039964610883</v>
      </c>
      <c r="T12" s="66">
        <f>'4.Projected'!AW6</f>
        <v>270241.5448895084</v>
      </c>
      <c r="U12" s="66">
        <f>'4.Projected'!BF6</f>
        <v>299080.65351783176</v>
      </c>
      <c r="V12" s="77">
        <f t="shared" ref="V12:V34" si="0">T12/F12</f>
        <v>4.6689023638528768</v>
      </c>
      <c r="W12" s="77">
        <f t="shared" ref="W12:W34" si="1">U12/F12</f>
        <v>5.1671491545202439</v>
      </c>
    </row>
    <row r="13" spans="3:23" ht="19.350000000000001" customHeight="1" x14ac:dyDescent="0.3">
      <c r="C13" s="64">
        <v>3</v>
      </c>
      <c r="D13" s="65">
        <f>'4.Projected'!C7</f>
        <v>60250.563701991457</v>
      </c>
      <c r="E13" s="65">
        <f>'4.Projected'!D7</f>
        <v>4850.625419333438</v>
      </c>
      <c r="F13" s="65">
        <f>'4.Projected'!E7</f>
        <v>55399.938282658019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32899.938282658019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2.0293190425925922</v>
      </c>
      <c r="S13" s="77">
        <f>SUM('5. Actual'!AH7:AN7)/SUM('5. Actual'!Q7:V7)</f>
        <v>3.293039964610883</v>
      </c>
      <c r="T13" s="66">
        <f>'4.Projected'!AW7</f>
        <v>236826.15213517996</v>
      </c>
      <c r="U13" s="66">
        <f>'4.Projected'!BF7</f>
        <v>262852.83132770599</v>
      </c>
      <c r="V13" s="77">
        <f t="shared" si="0"/>
        <v>4.2748450535605427</v>
      </c>
      <c r="W13" s="77">
        <f t="shared" si="1"/>
        <v>4.7446412302229488</v>
      </c>
    </row>
    <row r="14" spans="3:23" ht="19.350000000000001" customHeight="1" x14ac:dyDescent="0.3">
      <c r="C14" s="64">
        <v>4</v>
      </c>
      <c r="D14" s="65">
        <f>'4.Projected'!C8</f>
        <v>58504.821824228733</v>
      </c>
      <c r="E14" s="65">
        <f>'4.Projected'!D8</f>
        <v>4797.2748980407223</v>
      </c>
      <c r="F14" s="65">
        <f>'4.Projected'!E8</f>
        <v>53707.546926188013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31207.546926188013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1.7503275450000002</v>
      </c>
      <c r="S14" s="77">
        <f>SUM('5. Actual'!AH8:AN8)/SUM('5. Actual'!Q8:V8)</f>
        <v>3.293039964610883</v>
      </c>
      <c r="T14" s="66">
        <f>'4.Projected'!AW8</f>
        <v>224685.10987484799</v>
      </c>
      <c r="U14" s="66">
        <f>'4.Projected'!BF8</f>
        <v>249689.92992343821</v>
      </c>
      <c r="V14" s="77">
        <f t="shared" si="0"/>
        <v>4.1834923159614767</v>
      </c>
      <c r="W14" s="77">
        <f t="shared" si="1"/>
        <v>4.649065991909759</v>
      </c>
    </row>
    <row r="15" spans="3:23" ht="19.350000000000001" customHeight="1" x14ac:dyDescent="0.3">
      <c r="C15" s="64">
        <v>5</v>
      </c>
      <c r="D15" s="65">
        <f>'4.Projected'!C9</f>
        <v>58539.980652048551</v>
      </c>
      <c r="E15" s="65">
        <f>'4.Projected'!D9</f>
        <v>4859.0950124763467</v>
      </c>
      <c r="F15" s="65">
        <f>'4.Projected'!E9</f>
        <v>53680.885639572203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31180.885639572203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2.5552770903703701</v>
      </c>
      <c r="S15" s="77">
        <f>SUM('5. Actual'!AH9:AN9)/SUM('5. Actual'!Q9:V9)</f>
        <v>3.293039964610883</v>
      </c>
      <c r="T15" s="66">
        <f>'4.Projected'!AW9</f>
        <v>249737.48361031833</v>
      </c>
      <c r="U15" s="66">
        <f>'4.Projected'!BF9</f>
        <v>276850.85386654019</v>
      </c>
      <c r="V15" s="77">
        <f t="shared" si="0"/>
        <v>4.6522608678091206</v>
      </c>
      <c r="W15" s="77">
        <f t="shared" si="1"/>
        <v>5.157345125141763</v>
      </c>
    </row>
    <row r="16" spans="3:23" ht="19.350000000000001" customHeight="1" x14ac:dyDescent="0.3">
      <c r="C16" s="64">
        <v>6</v>
      </c>
      <c r="D16" s="65">
        <f>'4.Projected'!C10</f>
        <v>61595.87306736716</v>
      </c>
      <c r="E16" s="65">
        <f>'4.Projected'!D10</f>
        <v>4960.8898538269586</v>
      </c>
      <c r="F16" s="65">
        <f>'4.Projected'!E10</f>
        <v>56634.983213540203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0</v>
      </c>
      <c r="J16" s="80">
        <f>'4.Projected'!K10</f>
        <v>0</v>
      </c>
      <c r="K16" s="80">
        <f>'4.Projected'!L10</f>
        <v>0</v>
      </c>
      <c r="L16" s="65">
        <f>'4.Projected'!M10</f>
        <v>34134.983213540203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3.0233716246296289</v>
      </c>
      <c r="S16" s="77">
        <f>SUM('5. Actual'!AH10:AN10)/SUM('5. Actual'!Q10:V10)</f>
        <v>3.293039964610883</v>
      </c>
      <c r="T16" s="66">
        <f>'4.Projected'!AW10</f>
        <v>273264.42053308716</v>
      </c>
      <c r="U16" s="66">
        <f>'4.Projected'!BF10</f>
        <v>302357.95156198682</v>
      </c>
      <c r="V16" s="77">
        <f t="shared" si="0"/>
        <v>4.8250110625574534</v>
      </c>
      <c r="W16" s="77">
        <f t="shared" si="1"/>
        <v>5.3387135372135068</v>
      </c>
    </row>
    <row r="17" spans="3:23" ht="19.350000000000001" customHeight="1" x14ac:dyDescent="0.3">
      <c r="C17" s="64">
        <v>7</v>
      </c>
      <c r="D17" s="65">
        <f>'4.Projected'!C11</f>
        <v>63658.295652790635</v>
      </c>
      <c r="E17" s="65">
        <f>'4.Projected'!D11</f>
        <v>5211.4495932936807</v>
      </c>
      <c r="F17" s="65">
        <f>'4.Projected'!E11</f>
        <v>58446.846059496951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0</v>
      </c>
      <c r="J17" s="80">
        <f>'4.Projected'!K11</f>
        <v>0</v>
      </c>
      <c r="K17" s="80">
        <f>'4.Projected'!L11</f>
        <v>0</v>
      </c>
      <c r="L17" s="65">
        <f>'4.Projected'!M11</f>
        <v>35946.846059496951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3.0570743346296294</v>
      </c>
      <c r="S17" s="77">
        <f>SUM('5. Actual'!AH11:AN11)/SUM('5. Actual'!Q11:V11)</f>
        <v>3.293039964610883</v>
      </c>
      <c r="T17" s="66">
        <f>'4.Projected'!AW11</f>
        <v>279953.86137743137</v>
      </c>
      <c r="U17" s="66">
        <f>'4.Projected'!BF11</f>
        <v>309610.41378028208</v>
      </c>
      <c r="V17" s="77">
        <f t="shared" si="0"/>
        <v>4.78988825320784</v>
      </c>
      <c r="W17" s="77">
        <f t="shared" si="1"/>
        <v>5.2972989075425723</v>
      </c>
    </row>
    <row r="18" spans="3:23" ht="19.350000000000001" customHeight="1" x14ac:dyDescent="0.3">
      <c r="C18" s="64">
        <v>8</v>
      </c>
      <c r="D18" s="65">
        <f>'4.Projected'!C12</f>
        <v>69192.375040420797</v>
      </c>
      <c r="E18" s="65">
        <f>'4.Projected'!D12</f>
        <v>6049.649550323782</v>
      </c>
      <c r="F18" s="65">
        <f>'4.Projected'!E12</f>
        <v>63142.725490097015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0</v>
      </c>
      <c r="J18" s="80">
        <f>'4.Projected'!K12</f>
        <v>0</v>
      </c>
      <c r="K18" s="80">
        <f>'4.Projected'!L12</f>
        <v>0</v>
      </c>
      <c r="L18" s="65">
        <f>'4.Projected'!M12</f>
        <v>40642.725490097015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2.6742204266666665</v>
      </c>
      <c r="S18" s="77">
        <f>SUM('5. Actual'!AH12:AN12)/SUM('5. Actual'!Q12:V12)</f>
        <v>3.293039964610883</v>
      </c>
      <c r="T18" s="66">
        <f>'4.Projected'!AW12</f>
        <v>278749.28757908446</v>
      </c>
      <c r="U18" s="66">
        <f>'4.Projected'!BF12</f>
        <v>308304.45620252047</v>
      </c>
      <c r="V18" s="77">
        <f t="shared" si="0"/>
        <v>4.4145906819116014</v>
      </c>
      <c r="W18" s="77">
        <f t="shared" si="1"/>
        <v>4.8826599392019174</v>
      </c>
    </row>
    <row r="19" spans="3:23" ht="19.350000000000001" customHeight="1" x14ac:dyDescent="0.3">
      <c r="C19" s="64">
        <v>9</v>
      </c>
      <c r="D19" s="65">
        <f>'4.Projected'!C13</f>
        <v>85134.12338212342</v>
      </c>
      <c r="E19" s="65">
        <f>'4.Projected'!D13</f>
        <v>8417.1275470972723</v>
      </c>
      <c r="F19" s="65">
        <f>'4.Projected'!E13</f>
        <v>76716.995835026144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34216.995835026144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3.2845029233333336</v>
      </c>
      <c r="S19" s="77">
        <f>SUM('5. Actual'!AH13:AN13)/SUM('5. Actual'!Q13:V13)</f>
        <v>4.6522682165587028</v>
      </c>
      <c r="T19" s="66">
        <f>'4.Projected'!AW13</f>
        <v>406075.50372588885</v>
      </c>
      <c r="U19" s="66">
        <f>'4.Projected'!BF13</f>
        <v>435941.93524626835</v>
      </c>
      <c r="V19" s="77">
        <f t="shared" si="0"/>
        <v>5.2931622166113259</v>
      </c>
      <c r="W19" s="77">
        <f t="shared" si="1"/>
        <v>5.6824687997914713</v>
      </c>
    </row>
    <row r="20" spans="3:23" ht="19.350000000000001" customHeight="1" x14ac:dyDescent="0.3">
      <c r="C20" s="64">
        <v>10</v>
      </c>
      <c r="D20" s="65">
        <f>'4.Projected'!C14</f>
        <v>97393.779924312621</v>
      </c>
      <c r="E20" s="65">
        <f>'4.Projected'!D14</f>
        <v>13902.174999999999</v>
      </c>
      <c r="F20" s="65">
        <f>'4.Projected'!E14</f>
        <v>83491.604924312618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0</v>
      </c>
      <c r="K20" s="80">
        <f>'4.Projected'!L14</f>
        <v>0</v>
      </c>
      <c r="L20" s="65">
        <f>'4.Projected'!M14</f>
        <v>40991.604924312618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3.1639791661904755</v>
      </c>
      <c r="S20" s="77">
        <f>SUM('5. Actual'!AH14:AN14)/SUM('5. Actual'!Q14:V14)</f>
        <v>4.6522682165587028</v>
      </c>
      <c r="T20" s="66">
        <f>'4.Projected'!AW14</f>
        <v>423386.26484729699</v>
      </c>
      <c r="U20" s="66">
        <f>'4.Projected'!BF14</f>
        <v>454709.66844314605</v>
      </c>
      <c r="V20" s="77">
        <f t="shared" si="0"/>
        <v>5.0710040276637152</v>
      </c>
      <c r="W20" s="77">
        <f t="shared" si="1"/>
        <v>5.4461723290066413</v>
      </c>
    </row>
    <row r="21" spans="3:23" ht="19.350000000000001" customHeight="1" x14ac:dyDescent="0.3">
      <c r="C21" s="64">
        <v>11</v>
      </c>
      <c r="D21" s="65">
        <f>'4.Projected'!C15</f>
        <v>102774.49695977985</v>
      </c>
      <c r="E21" s="65">
        <f>'4.Projected'!D15</f>
        <v>15210.828</v>
      </c>
      <c r="F21" s="65">
        <f>'4.Projected'!E15</f>
        <v>87563.668959779854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10000</v>
      </c>
      <c r="K21" s="80">
        <f>'4.Projected'!L15</f>
        <v>0</v>
      </c>
      <c r="L21" s="65">
        <f>'4.Projected'!M15</f>
        <v>35063.668959779854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3.2441583407142858</v>
      </c>
      <c r="S21" s="77">
        <f>SUM('5. Actual'!AH15:AN15)/SUM('5. Actual'!Q15:V15)</f>
        <v>4.4271156913382477</v>
      </c>
      <c r="T21" s="66">
        <f>'4.Projected'!AW15</f>
        <v>442143.9495814885</v>
      </c>
      <c r="U21" s="66">
        <f>'4.Projected'!BF15</f>
        <v>476289.635210304</v>
      </c>
      <c r="V21" s="77">
        <f t="shared" si="0"/>
        <v>5.049399537890265</v>
      </c>
      <c r="W21" s="77">
        <f t="shared" si="1"/>
        <v>5.439352197874161</v>
      </c>
    </row>
    <row r="22" spans="3:23" ht="19.350000000000001" customHeight="1" x14ac:dyDescent="0.3">
      <c r="C22" s="64">
        <v>12</v>
      </c>
      <c r="D22" s="65">
        <f>'4.Projected'!C16</f>
        <v>105401.07760687442</v>
      </c>
      <c r="E22" s="65">
        <f>'4.Projected'!D16</f>
        <v>15097.205</v>
      </c>
      <c r="F22" s="65">
        <f>'4.Projected'!E16</f>
        <v>90303.872606874414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10000</v>
      </c>
      <c r="K22" s="80">
        <f>'4.Projected'!L16</f>
        <v>0</v>
      </c>
      <c r="L22" s="65">
        <f>'4.Projected'!M16</f>
        <v>37803.872606874414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3.1751355445238096</v>
      </c>
      <c r="S22" s="77">
        <f>SUM('5. Actual'!AH16:AN16)/SUM('5. Actual'!Q16:V16)</f>
        <v>4.4271156913382477</v>
      </c>
      <c r="T22" s="66">
        <f>'4.Projected'!AW16</f>
        <v>448424.27510431106</v>
      </c>
      <c r="U22" s="66">
        <f>'4.Projected'!BF16</f>
        <v>483098.54863561306</v>
      </c>
      <c r="V22" s="77">
        <f t="shared" si="0"/>
        <v>4.965725856037924</v>
      </c>
      <c r="W22" s="77">
        <f t="shared" si="1"/>
        <v>5.34969912905858</v>
      </c>
    </row>
    <row r="23" spans="3:23" ht="19.350000000000001" customHeight="1" x14ac:dyDescent="0.3">
      <c r="C23" s="64">
        <v>13</v>
      </c>
      <c r="D23" s="65">
        <f>'4.Projected'!C17</f>
        <v>104634.17897353299</v>
      </c>
      <c r="E23" s="65">
        <f>'4.Projected'!D17</f>
        <v>14468.754000000001</v>
      </c>
      <c r="F23" s="65">
        <f>'4.Projected'!E17</f>
        <v>90165.424973532994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10000</v>
      </c>
      <c r="K23" s="80">
        <f>'4.Projected'!L17</f>
        <v>0</v>
      </c>
      <c r="L23" s="65">
        <f>'4.Projected'!M17</f>
        <v>37665.424973532994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3.2419404342857141</v>
      </c>
      <c r="S23" s="77">
        <f>SUM('5. Actual'!AH17:AN17)/SUM('5. Actual'!Q17:V17)</f>
        <v>4.4271156913382477</v>
      </c>
      <c r="T23" s="66">
        <f>'4.Projected'!AW17</f>
        <v>450500.91966582567</v>
      </c>
      <c r="U23" s="66">
        <f>'4.Projected'!BF17</f>
        <v>485349.97541008657</v>
      </c>
      <c r="V23" s="77">
        <f t="shared" si="0"/>
        <v>4.996382147570035</v>
      </c>
      <c r="W23" s="77">
        <f t="shared" si="1"/>
        <v>5.3828834672775665</v>
      </c>
    </row>
    <row r="24" spans="3:23" ht="19.350000000000001" customHeight="1" x14ac:dyDescent="0.3">
      <c r="C24" s="64">
        <v>14</v>
      </c>
      <c r="D24" s="65">
        <f>'4.Projected'!C18</f>
        <v>108480.69341707004</v>
      </c>
      <c r="E24" s="65">
        <f>'4.Projected'!D18</f>
        <v>14615.934499999999</v>
      </c>
      <c r="F24" s="65">
        <f>'4.Projected'!E18</f>
        <v>93864.758917070038</v>
      </c>
      <c r="G24" s="80">
        <f>'4.Projected'!F18+'4.Projected'!G18</f>
        <v>25000</v>
      </c>
      <c r="H24" s="80">
        <f>'4.Projected'!H18+'4.Projected'!I18</f>
        <v>20000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18864.758917070038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3.9709151876623383</v>
      </c>
      <c r="S24" s="77">
        <f>SUM('5. Actual'!AH18:AN18)/SUM('5. Actual'!Q18:V18)</f>
        <v>4.0868929733200376</v>
      </c>
      <c r="T24" s="66">
        <f>'4.Projected'!AW18</f>
        <v>477395.61236870091</v>
      </c>
      <c r="U24" s="66">
        <f>'4.Projected'!BF18</f>
        <v>517163.36453234393</v>
      </c>
      <c r="V24" s="77">
        <f t="shared" si="0"/>
        <v>5.0859941247010738</v>
      </c>
      <c r="W24" s="77">
        <f t="shared" si="1"/>
        <v>5.5096648678260625</v>
      </c>
    </row>
    <row r="25" spans="3:23" ht="19.350000000000001" customHeight="1" x14ac:dyDescent="0.3">
      <c r="C25" s="64">
        <v>15</v>
      </c>
      <c r="D25" s="65">
        <f>'4.Projected'!C19</f>
        <v>110125.66277596007</v>
      </c>
      <c r="E25" s="65">
        <f>'4.Projected'!D19</f>
        <v>15642.946499999998</v>
      </c>
      <c r="F25" s="65">
        <f>'4.Projected'!E19</f>
        <v>94482.716275960061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19482.716275960061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4.1599276626190482</v>
      </c>
      <c r="S25" s="77">
        <f>SUM('5. Actual'!AH19:AN19)/SUM('5. Actual'!Q19:V19)</f>
        <v>4.0868929733200376</v>
      </c>
      <c r="T25" s="66">
        <f>'4.Projected'!AW19</f>
        <v>483531.94505264366</v>
      </c>
      <c r="U25" s="66">
        <f>'4.Projected'!BF19</f>
        <v>523816.1658627888</v>
      </c>
      <c r="V25" s="77">
        <f t="shared" si="0"/>
        <v>5.1176761646052746</v>
      </c>
      <c r="W25" s="77">
        <f t="shared" si="1"/>
        <v>5.5440421963828239</v>
      </c>
    </row>
    <row r="26" spans="3:23" ht="19.350000000000001" customHeight="1" x14ac:dyDescent="0.3">
      <c r="C26" s="64">
        <v>16</v>
      </c>
      <c r="D26" s="65">
        <f>'4.Projected'!C20</f>
        <v>108790.88125363505</v>
      </c>
      <c r="E26" s="65">
        <f>'4.Projected'!D20</f>
        <v>15864.011500000001</v>
      </c>
      <c r="F26" s="65">
        <f>'4.Projected'!E20</f>
        <v>92926.869753635052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17926.869753635052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3.9587429409523809</v>
      </c>
      <c r="S26" s="77">
        <f>SUM('5. Actual'!AH20:AN20)/SUM('5. Actual'!Q20:V20)</f>
        <v>4.0868929733200376</v>
      </c>
      <c r="T26" s="66">
        <f>'4.Projected'!AW20</f>
        <v>473453.12376389449</v>
      </c>
      <c r="U26" s="66">
        <f>'4.Projected'!BF20</f>
        <v>512889.05367172946</v>
      </c>
      <c r="V26" s="77">
        <f t="shared" si="0"/>
        <v>5.0949001620209451</v>
      </c>
      <c r="W26" s="77">
        <f t="shared" si="1"/>
        <v>5.5192761257479743</v>
      </c>
    </row>
    <row r="27" spans="3:23" ht="19.350000000000001" customHeight="1" x14ac:dyDescent="0.3">
      <c r="C27" s="64">
        <v>17</v>
      </c>
      <c r="D27" s="65">
        <f>'4.Projected'!C21</f>
        <v>106079.70502349941</v>
      </c>
      <c r="E27" s="65">
        <f>'4.Projected'!D21</f>
        <v>16275.092000000001</v>
      </c>
      <c r="F27" s="65">
        <f>'4.Projected'!E21</f>
        <v>89804.613023499405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14804.613023499405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3.8238461240476194</v>
      </c>
      <c r="S27" s="77">
        <f>SUM('5. Actual'!AH21:AN21)/SUM('5. Actual'!Q21:V21)</f>
        <v>4.0868929733200376</v>
      </c>
      <c r="T27" s="66">
        <f>'4.Projected'!AW21</f>
        <v>459095.81680125208</v>
      </c>
      <c r="U27" s="66">
        <f>'4.Projected'!BF21</f>
        <v>497323.35412733949</v>
      </c>
      <c r="V27" s="77">
        <f t="shared" si="0"/>
        <v>5.1121629651821925</v>
      </c>
      <c r="W27" s="77">
        <f t="shared" si="1"/>
        <v>5.537837505042237</v>
      </c>
    </row>
    <row r="28" spans="3:23" ht="19.350000000000001" customHeight="1" x14ac:dyDescent="0.3">
      <c r="C28" s="64">
        <v>18</v>
      </c>
      <c r="D28" s="65">
        <f>'4.Projected'!C22</f>
        <v>99946.793216631864</v>
      </c>
      <c r="E28" s="65">
        <f>'4.Projected'!D22</f>
        <v>16265.217499999999</v>
      </c>
      <c r="F28" s="65">
        <f>'4.Projected'!E22</f>
        <v>83681.575716631865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8681.5757166318654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6.5057291216666666</v>
      </c>
      <c r="S28" s="77">
        <f>SUM('5. Actual'!AH22:AN22)/SUM('5. Actual'!Q22:V22)</f>
        <v>4.0868929733200376</v>
      </c>
      <c r="T28" s="66">
        <f>'4.Projected'!AW22</f>
        <v>458965.23463496508</v>
      </c>
      <c r="U28" s="66">
        <f>'4.Projected'!BF22</f>
        <v>497181.78142351919</v>
      </c>
      <c r="V28" s="77">
        <f t="shared" si="0"/>
        <v>5.4846629106165947</v>
      </c>
      <c r="W28" s="77">
        <f t="shared" si="1"/>
        <v>5.9413530059126671</v>
      </c>
    </row>
    <row r="29" spans="3:23" ht="19.350000000000001" customHeight="1" x14ac:dyDescent="0.3">
      <c r="C29" s="64">
        <v>19</v>
      </c>
      <c r="D29" s="65">
        <f>'4.Projected'!C23</f>
        <v>99104.55621982718</v>
      </c>
      <c r="E29" s="65">
        <f>'4.Projected'!D23</f>
        <v>15390.046</v>
      </c>
      <c r="F29" s="65">
        <f>'4.Projected'!E23</f>
        <v>83714.510219827178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8714.5102198271779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5.8423170969047629</v>
      </c>
      <c r="S29" s="77">
        <f>SUM('5. Actual'!AH23:AN23)/SUM('5. Actual'!Q23:V23)</f>
        <v>4.0868929733200376</v>
      </c>
      <c r="T29" s="66">
        <f>'4.Projected'!AW23</f>
        <v>453398.1867217666</v>
      </c>
      <c r="U29" s="66">
        <f>'4.Projected'!BF23</f>
        <v>491146.17910676531</v>
      </c>
      <c r="V29" s="77">
        <f t="shared" si="0"/>
        <v>5.4160047706327319</v>
      </c>
      <c r="W29" s="77">
        <f t="shared" si="1"/>
        <v>5.8669181461739104</v>
      </c>
    </row>
    <row r="30" spans="3:23" ht="19.350000000000001" customHeight="1" x14ac:dyDescent="0.3">
      <c r="C30" s="64">
        <v>20</v>
      </c>
      <c r="D30" s="65">
        <f>'4.Projected'!C24</f>
        <v>93301.807896002108</v>
      </c>
      <c r="E30" s="65">
        <f>'4.Projected'!D24</f>
        <v>13874.260999999999</v>
      </c>
      <c r="F30" s="65">
        <f>'4.Projected'!E24</f>
        <v>79427.54689600211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4427.5468960021099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3.9874010492857148</v>
      </c>
      <c r="S30" s="77">
        <f>SUM('5. Actual'!AH24:AN24)/SUM('5. Actual'!Q24:V24)</f>
        <v>4.0868929733200376</v>
      </c>
      <c r="T30" s="66">
        <f>'4.Projected'!AW24</f>
        <v>420139.65981219953</v>
      </c>
      <c r="U30" s="66">
        <f>'4.Projected'!BF24</f>
        <v>455088.42548274918</v>
      </c>
      <c r="V30" s="77">
        <f t="shared" si="0"/>
        <v>5.2895963205599994</v>
      </c>
      <c r="W30" s="77">
        <f t="shared" si="1"/>
        <v>5.7296044416254723</v>
      </c>
    </row>
    <row r="31" spans="3:23" ht="19.350000000000001" customHeight="1" x14ac:dyDescent="0.3">
      <c r="C31" s="64">
        <v>21</v>
      </c>
      <c r="D31" s="65">
        <f>'4.Projected'!C25</f>
        <v>88500.603200900368</v>
      </c>
      <c r="E31" s="65">
        <f>'4.Projected'!D25</f>
        <v>11951.5345</v>
      </c>
      <c r="F31" s="65">
        <f>'4.Projected'!E25</f>
        <v>76549.068700900374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1549.0687009003741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3.8914016909523808</v>
      </c>
      <c r="S31" s="77">
        <f>SUM('5. Actual'!AH25:AN25)/SUM('5. Actual'!Q25:V25)</f>
        <v>4.0868929733200376</v>
      </c>
      <c r="T31" s="66">
        <f>'4.Projected'!AW25</f>
        <v>408513.30323540414</v>
      </c>
      <c r="U31" s="66">
        <f>'4.Projected'!BF25</f>
        <v>442483.5286353649</v>
      </c>
      <c r="V31" s="77">
        <f t="shared" si="0"/>
        <v>5.3366201596989411</v>
      </c>
      <c r="W31" s="77">
        <f t="shared" si="1"/>
        <v>5.7803907499420744</v>
      </c>
    </row>
    <row r="32" spans="3:23" ht="19.350000000000001" customHeight="1" x14ac:dyDescent="0.3">
      <c r="C32" s="64">
        <v>22</v>
      </c>
      <c r="D32" s="65">
        <f>'4.Projected'!C26</f>
        <v>83427.496916065065</v>
      </c>
      <c r="E32" s="65">
        <f>'4.Projected'!D26</f>
        <v>9041.0964999999997</v>
      </c>
      <c r="F32" s="65">
        <f>'4.Projected'!E26</f>
        <v>74386.400416065066</v>
      </c>
      <c r="G32" s="80">
        <f>'4.Projected'!F26+'4.Projected'!G26</f>
        <v>24000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386.40041606506566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4.3240001235714285</v>
      </c>
      <c r="S32" s="77">
        <f>SUM('5. Actual'!AH26:AN26)/SUM('5. Actual'!Q26:V26)</f>
        <v>4.0977601378799395</v>
      </c>
      <c r="T32" s="66">
        <f>'4.Projected'!AW26</f>
        <v>400873.32732424507</v>
      </c>
      <c r="U32" s="66">
        <f>'4.Projected'!BF26</f>
        <v>434082.89479356707</v>
      </c>
      <c r="V32" s="77">
        <f t="shared" si="0"/>
        <v>5.3890674247179913</v>
      </c>
      <c r="W32" s="77">
        <f t="shared" si="1"/>
        <v>5.835514184926458</v>
      </c>
    </row>
    <row r="33" spans="1:27" ht="19.350000000000001" customHeight="1" x14ac:dyDescent="0.3">
      <c r="C33" s="64">
        <v>23</v>
      </c>
      <c r="D33" s="65">
        <f>'4.Projected'!C27</f>
        <v>77690.595456751427</v>
      </c>
      <c r="E33" s="65">
        <f>'4.Projected'!D27</f>
        <v>6150.5124999999998</v>
      </c>
      <c r="F33" s="65">
        <f>'4.Projected'!E27</f>
        <v>71540.08295675143</v>
      </c>
      <c r="G33" s="80">
        <f>'4.Projected'!F27+'4.Projected'!G27</f>
        <v>21000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540.08295675143017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4.1981628385714282</v>
      </c>
      <c r="S33" s="77">
        <f>SUM('5. Actual'!AH27:AN27)/SUM('5. Actual'!Q27:V27)</f>
        <v>4.1321983354289227</v>
      </c>
      <c r="T33" s="66">
        <f>'4.Projected'!AW27</f>
        <v>391621.71968854929</v>
      </c>
      <c r="U33" s="66">
        <f>'4.Projected'!BF27</f>
        <v>423699.71689595457</v>
      </c>
      <c r="V33" s="77">
        <f t="shared" si="0"/>
        <v>5.4741580314534835</v>
      </c>
      <c r="W33" s="77">
        <f t="shared" si="1"/>
        <v>5.9225499801572274</v>
      </c>
    </row>
    <row r="34" spans="1:27" ht="20.85" customHeight="1" x14ac:dyDescent="0.3">
      <c r="C34" s="64">
        <v>24</v>
      </c>
      <c r="D34" s="65">
        <f>'4.Projected'!C28</f>
        <v>73472.019023631641</v>
      </c>
      <c r="E34" s="65">
        <f>'4.Projected'!D28</f>
        <v>5731.3050000000003</v>
      </c>
      <c r="F34" s="65">
        <f>'4.Projected'!E28</f>
        <v>67740.714023631648</v>
      </c>
      <c r="G34" s="80">
        <f>'4.Projected'!F28+'4.Projected'!G28</f>
        <v>17500</v>
      </c>
      <c r="H34" s="80">
        <f>'4.Projected'!H28+'4.Projected'!I28</f>
        <v>20000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240.71402363164816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3.5845979973809525</v>
      </c>
      <c r="S34" s="77">
        <f>SUM('5. Actual'!AH28:AN28)/SUM('5. Actual'!Q28:V28)</f>
        <v>4.176245215257004</v>
      </c>
      <c r="T34" s="66">
        <f>'4.Projected'!AW28</f>
        <v>378727.69671121542</v>
      </c>
      <c r="U34" s="66">
        <f>'4.Projected'!BF28</f>
        <v>409308.74021215428</v>
      </c>
      <c r="V34" s="77">
        <f t="shared" si="0"/>
        <v>5.5908429984823398</v>
      </c>
      <c r="W34" s="77">
        <f t="shared" si="1"/>
        <v>6.0422855901602261</v>
      </c>
    </row>
    <row r="35" spans="1:27" ht="23.85" customHeight="1" x14ac:dyDescent="0.3">
      <c r="C35" s="67" t="s">
        <v>92</v>
      </c>
      <c r="D35" s="68">
        <f>SUM(D11:D34)</f>
        <v>2044665.9237045816</v>
      </c>
      <c r="E35" s="68">
        <f>SUM(E11:E34)</f>
        <v>248554.81320415606</v>
      </c>
      <c r="F35" s="68">
        <f t="shared" ref="F35:L35" si="2">SUM(F11:F34)</f>
        <v>1796111.1105004256</v>
      </c>
      <c r="G35" s="82">
        <f t="shared" si="2"/>
        <v>425000</v>
      </c>
      <c r="H35" s="82">
        <f t="shared" si="2"/>
        <v>350000</v>
      </c>
      <c r="I35" s="82">
        <f t="shared" si="2"/>
        <v>340000</v>
      </c>
      <c r="J35" s="82">
        <f t="shared" ref="J35" si="3">SUM(J11:J34)</f>
        <v>140000</v>
      </c>
      <c r="K35" s="82">
        <f t="shared" si="2"/>
        <v>0</v>
      </c>
      <c r="L35" s="68">
        <f t="shared" si="2"/>
        <v>541111.11050042557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3.5587775709365475</v>
      </c>
      <c r="S35" s="79">
        <f>'3. Nomination'!V30</f>
        <v>4.0954114593335973</v>
      </c>
      <c r="T35" s="68">
        <f>SUM(T11:T34)</f>
        <v>9140902.8438793849</v>
      </c>
      <c r="U35" s="68">
        <f t="shared" ref="U35" si="6">SUM(U11:U34)</f>
        <v>9924766.1689539906</v>
      </c>
      <c r="V35" s="79">
        <f t="shared" ref="V35" si="7">T35/F35</f>
        <v>5.0892747060244963</v>
      </c>
      <c r="W35" s="79">
        <f t="shared" ref="W35" si="8">U35/F35</f>
        <v>5.5256972193601044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0.70833333333333337</v>
      </c>
      <c r="H38" s="124">
        <f>H35/(20*24*1000)</f>
        <v>0.72916666666666663</v>
      </c>
      <c r="I38" s="124">
        <f>I35/(20*24*1000)</f>
        <v>0.70833333333333337</v>
      </c>
      <c r="J38" s="124">
        <f>J35/(10*24*1000)</f>
        <v>0.58333333333333337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0.23662233227964841</v>
      </c>
      <c r="H39" s="126">
        <f t="shared" si="9"/>
        <v>0.19486545011265163</v>
      </c>
      <c r="I39" s="126">
        <f t="shared" si="9"/>
        <v>0.18929786582371871</v>
      </c>
      <c r="J39" s="126">
        <f>J35/$F$35</f>
        <v>7.7946180045060653E-2</v>
      </c>
      <c r="K39" s="126">
        <f t="shared" si="9"/>
        <v>0</v>
      </c>
      <c r="L39" s="127">
        <f t="shared" si="9"/>
        <v>0.30126817173892056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4" t="s">
        <v>187</v>
      </c>
      <c r="G3" s="165"/>
      <c r="H3" s="165"/>
      <c r="I3" s="165"/>
      <c r="J3" s="165"/>
      <c r="K3" s="166">
        <f>'1. Rates'!C4</f>
        <v>45670</v>
      </c>
      <c r="L3" s="166"/>
      <c r="M3" s="166"/>
      <c r="N3" s="166"/>
      <c r="O3" s="167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20000</v>
      </c>
      <c r="V5" s="53">
        <f>'3. Nomination'!AB6</f>
        <v>0</v>
      </c>
      <c r="W5" s="53">
        <f>'3. Nomination'!AC6</f>
        <v>0</v>
      </c>
      <c r="X5" s="53">
        <f>E5-Q5-R5-S5-T5-U5-V5-W5</f>
        <v>-42500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123628</v>
      </c>
      <c r="AM5" s="53">
        <f>V5*'1. Rates'!H$56</f>
        <v>0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2769.72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123628</v>
      </c>
      <c r="BE5" s="53">
        <f t="shared" si="0"/>
        <v>23081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123628</v>
      </c>
      <c r="BN5" s="53">
        <f t="shared" si="1"/>
        <v>25850.720000000001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>
        <f t="shared" si="2"/>
        <v>6.1814</v>
      </c>
      <c r="BW5" s="54" t="e">
        <f t="shared" si="2"/>
        <v>#DIV/0!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>
        <f t="shared" si="5"/>
        <v>6.1814</v>
      </c>
      <c r="CF5" s="54" t="e">
        <f t="shared" si="5"/>
        <v>#DIV/0!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0</v>
      </c>
      <c r="V10" s="53">
        <f>'3. Nomination'!AB11</f>
        <v>0</v>
      </c>
      <c r="W10" s="53">
        <f>'3. Nomination'!AC11</f>
        <v>0</v>
      </c>
      <c r="X10" s="53">
        <f t="shared" si="19"/>
        <v>-22500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0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0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0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 t="e">
        <f t="shared" si="2"/>
        <v>#DIV/0!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 t="e">
        <f t="shared" si="5"/>
        <v>#DIV/0!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0</v>
      </c>
      <c r="V11" s="53">
        <f>'3. Nomination'!AB12</f>
        <v>0</v>
      </c>
      <c r="W11" s="53">
        <f>'3. Nomination'!AC12</f>
        <v>0</v>
      </c>
      <c r="X11" s="53">
        <f t="shared" si="19"/>
        <v>-22500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0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0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0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 t="e">
        <f t="shared" si="2"/>
        <v>#DIV/0!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 t="e">
        <f t="shared" si="5"/>
        <v>#DIV/0!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0</v>
      </c>
      <c r="V12" s="53">
        <f>'3. Nomination'!AB13</f>
        <v>0</v>
      </c>
      <c r="W12" s="53">
        <f>'3. Nomination'!AC13</f>
        <v>0</v>
      </c>
      <c r="X12" s="53">
        <f t="shared" si="19"/>
        <v>-22500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0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0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0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 t="e">
        <f t="shared" si="2"/>
        <v>#DIV/0!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 t="e">
        <f t="shared" si="5"/>
        <v>#DIV/0!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0</v>
      </c>
      <c r="W14" s="53">
        <f>'3. Nomination'!AC15</f>
        <v>0</v>
      </c>
      <c r="X14" s="53">
        <f t="shared" si="19"/>
        <v>-42500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10000</v>
      </c>
      <c r="W15" s="53">
        <f>'3. Nomination'!AC16</f>
        <v>0</v>
      </c>
      <c r="X15" s="53">
        <f t="shared" si="19"/>
        <v>-52500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34702.174591513132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6933.9809509815759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57783.174591513132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64717.155542494707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>
        <f t="shared" si="2"/>
        <v>5.7783174591513129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>
        <f t="shared" si="5"/>
        <v>6.4717155542494709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10000</v>
      </c>
      <c r="W16" s="53">
        <f>'3. Nomination'!AC17</f>
        <v>0</v>
      </c>
      <c r="X16" s="53">
        <f t="shared" si="19"/>
        <v>-52500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34702.174591513132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6933.9809509815759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57783.174591513132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64717.155542494707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>
        <f t="shared" si="2"/>
        <v>5.7783174591513129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>
        <f t="shared" si="5"/>
        <v>6.4717155542494709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10000</v>
      </c>
      <c r="W17" s="53">
        <f>'3. Nomination'!AC18</f>
        <v>0</v>
      </c>
      <c r="X17" s="53">
        <f t="shared" si="19"/>
        <v>-52500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34702.174591513132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6933.9809509815759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57783.174591513132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64717.155542494707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>
        <f t="shared" si="2"/>
        <v>5.7783174591513129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>
        <f t="shared" si="5"/>
        <v>6.4717155542494709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20000</v>
      </c>
      <c r="R18" s="53">
        <f>'3. Nomination'!X19</f>
        <v>5000</v>
      </c>
      <c r="S18" s="53">
        <f>'3. Nomination'!Y19</f>
        <v>10000</v>
      </c>
      <c r="T18" s="53">
        <f>'3. Nomination'!Z19</f>
        <v>10000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-75000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65654.455917746949</v>
      </c>
      <c r="AI18" s="53">
        <f>R18*'1. Rates'!D$56</f>
        <v>16413.613979436737</v>
      </c>
      <c r="AJ18" s="53">
        <f>S18*'1. Rates'!E$56</f>
        <v>33059.364255153028</v>
      </c>
      <c r="AK18" s="53">
        <f>T18*'1. Rates'!F$56</f>
        <v>33059.364255153028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11757.185456398289</v>
      </c>
      <c r="AR18" s="53">
        <f>(Z18+AI18)*'1. Rates'!D$60</f>
        <v>2939.2963640995722</v>
      </c>
      <c r="AS18" s="53">
        <f>(AA18+AJ18)*'1. Rates'!E$60</f>
        <v>5889.6838946594207</v>
      </c>
      <c r="AT18" s="53">
        <f>(AB18+AK18)*'1. Rates'!F$60</f>
        <v>5942.7238946594207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97976.545469985751</v>
      </c>
      <c r="BA18" s="53">
        <f t="shared" si="0"/>
        <v>24494.136367496438</v>
      </c>
      <c r="BB18" s="53">
        <f t="shared" si="0"/>
        <v>49080.699122161845</v>
      </c>
      <c r="BC18" s="53">
        <f t="shared" si="0"/>
        <v>49522.699122161837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109733.73092638404</v>
      </c>
      <c r="BJ18" s="53">
        <f t="shared" si="1"/>
        <v>27433.432731596011</v>
      </c>
      <c r="BK18" s="53">
        <f t="shared" si="1"/>
        <v>54970.383016821266</v>
      </c>
      <c r="BL18" s="53">
        <f t="shared" si="1"/>
        <v>55465.42301682126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4.8988272734992879</v>
      </c>
      <c r="BS18" s="54">
        <f t="shared" si="2"/>
        <v>4.8988272734992879</v>
      </c>
      <c r="BT18" s="54">
        <f t="shared" si="2"/>
        <v>4.9080699122161846</v>
      </c>
      <c r="BU18" s="54">
        <f t="shared" si="2"/>
        <v>4.9522699122161837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5.4866865463192021</v>
      </c>
      <c r="CB18" s="54">
        <f t="shared" si="5"/>
        <v>5.4866865463192021</v>
      </c>
      <c r="CC18" s="54">
        <f t="shared" si="5"/>
        <v>5.4970383016821263</v>
      </c>
      <c r="CD18" s="54">
        <f t="shared" si="5"/>
        <v>5.546542301682126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4000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-74000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13130.891183549389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2545.3696285930905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21211.41357160909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23756.783200202179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5.3028533929022723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5.9391958000505447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18500</v>
      </c>
      <c r="R27" s="53">
        <f>'3. Nomination'!X28</f>
        <v>2500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-71000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60730.371723915923</v>
      </c>
      <c r="AI27" s="53">
        <f>R27*'1. Rates'!D$56</f>
        <v>8206.8069897183686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11166.295353138568</v>
      </c>
      <c r="AR27" s="53">
        <f>(Z27+AI27)*'1. Rates'!D$60</f>
        <v>1954.4795253333684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93052.461276154732</v>
      </c>
      <c r="BA27" s="53">
        <f t="shared" si="12"/>
        <v>16287.329377778071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104218.7566292933</v>
      </c>
      <c r="BJ27" s="53">
        <f t="shared" si="14"/>
        <v>18241.80890311144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5.0298627716840398</v>
      </c>
      <c r="BS27" s="54">
        <f t="shared" si="20"/>
        <v>6.5149317511112281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5.6334463042861245</v>
      </c>
      <c r="CB27" s="54">
        <f t="shared" si="23"/>
        <v>7.2967235612445762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15000</v>
      </c>
      <c r="R28" s="53">
        <f>'3. Nomination'!X29</f>
        <v>2500</v>
      </c>
      <c r="S28" s="53">
        <f>'3. Nomination'!Y29</f>
        <v>10000</v>
      </c>
      <c r="T28" s="53">
        <f>'3. Nomination'!Z29</f>
        <v>10000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-67500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49240.841938310208</v>
      </c>
      <c r="AI28" s="53">
        <f>R28*'1. Rates'!D$56</f>
        <v>8206.8069897183686</v>
      </c>
      <c r="AJ28" s="53">
        <f>S28*'1. Rates'!E$56</f>
        <v>33059.364255153028</v>
      </c>
      <c r="AK28" s="53">
        <f>T28*'1. Rates'!F$56</f>
        <v>33059.364255153028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9787.5517788658817</v>
      </c>
      <c r="AR28" s="53">
        <f>(Z28+AI28)*'1. Rates'!D$60</f>
        <v>1954.4795253333684</v>
      </c>
      <c r="AS28" s="53">
        <f>(AA28+AJ28)*'1. Rates'!E$60</f>
        <v>5889.6838946594207</v>
      </c>
      <c r="AT28" s="53">
        <f>(AB28+AK28)*'1. Rates'!F$60</f>
        <v>5942.7238946594207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81562.931490549017</v>
      </c>
      <c r="BA28" s="53">
        <f t="shared" si="12"/>
        <v>16287.329377778071</v>
      </c>
      <c r="BB28" s="53">
        <f t="shared" si="12"/>
        <v>49080.699122161845</v>
      </c>
      <c r="BC28" s="53">
        <f t="shared" si="12"/>
        <v>49522.699122161837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91350.483269414894</v>
      </c>
      <c r="BJ28" s="53">
        <f t="shared" si="14"/>
        <v>18241.80890311144</v>
      </c>
      <c r="BK28" s="53">
        <f t="shared" si="14"/>
        <v>54970.383016821266</v>
      </c>
      <c r="BL28" s="53">
        <f t="shared" si="14"/>
        <v>55465.42301682126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5.4375287660366007</v>
      </c>
      <c r="BS28" s="54">
        <f t="shared" si="20"/>
        <v>6.5149317511112281</v>
      </c>
      <c r="BT28" s="54">
        <f t="shared" si="21"/>
        <v>4.9080699122161846</v>
      </c>
      <c r="BU28" s="54">
        <f t="shared" si="22"/>
        <v>4.9522699122161837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6.0900322179609931</v>
      </c>
      <c r="CB28" s="54">
        <f t="shared" si="23"/>
        <v>7.2967235612445762</v>
      </c>
      <c r="CC28" s="54">
        <f t="shared" si="24"/>
        <v>5.4970383016821263</v>
      </c>
      <c r="CD28" s="54">
        <f t="shared" si="25"/>
        <v>5.546542301682126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343500</v>
      </c>
      <c r="R29" s="56">
        <f t="shared" si="28"/>
        <v>81500</v>
      </c>
      <c r="S29" s="56">
        <f t="shared" si="28"/>
        <v>175000</v>
      </c>
      <c r="T29" s="56">
        <f t="shared" si="28"/>
        <v>175000</v>
      </c>
      <c r="U29" s="56">
        <f t="shared" si="28"/>
        <v>340000</v>
      </c>
      <c r="V29" s="56">
        <f t="shared" si="28"/>
        <v>140000</v>
      </c>
      <c r="W29" s="56">
        <f t="shared" si="28"/>
        <v>0</v>
      </c>
      <c r="X29" s="56">
        <f>SUM(X5:X28)</f>
        <v>-1255000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1127615.2803873045</v>
      </c>
      <c r="AI29" s="56">
        <f t="shared" si="29"/>
        <v>267541.90786481893</v>
      </c>
      <c r="AJ29" s="56">
        <f t="shared" si="29"/>
        <v>578538.87446517812</v>
      </c>
      <c r="AK29" s="56">
        <f t="shared" si="29"/>
        <v>578538.87446517812</v>
      </c>
      <c r="AL29" s="56">
        <f t="shared" si="29"/>
        <v>2101676</v>
      </c>
      <c r="AM29" s="56">
        <f t="shared" si="29"/>
        <v>485830.44428118371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228401.45155692424</v>
      </c>
      <c r="AR29" s="56">
        <f t="shared" si="29"/>
        <v>55376.933421390197</v>
      </c>
      <c r="AS29" s="56">
        <f t="shared" si="29"/>
        <v>115566.10935280673</v>
      </c>
      <c r="AT29" s="56">
        <f t="shared" si="29"/>
        <v>116839.06935280669</v>
      </c>
      <c r="AU29" s="56">
        <f t="shared" si="29"/>
        <v>0</v>
      </c>
      <c r="AV29" s="56">
        <f t="shared" si="29"/>
        <v>124772.93331374212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1903345.4296410361</v>
      </c>
      <c r="BA29" s="56">
        <f t="shared" si="29"/>
        <v>461474.44517825177</v>
      </c>
      <c r="BB29" s="56">
        <f t="shared" si="29"/>
        <v>963050.91127338959</v>
      </c>
      <c r="BC29" s="56">
        <f t="shared" si="29"/>
        <v>973658.91127338959</v>
      </c>
      <c r="BD29" s="56">
        <f t="shared" si="29"/>
        <v>2101676</v>
      </c>
      <c r="BE29" s="56">
        <f t="shared" si="29"/>
        <v>1039774.4442811836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2131746.8811979592</v>
      </c>
      <c r="BJ29" s="56">
        <f t="shared" si="29"/>
        <v>516851.37859964173</v>
      </c>
      <c r="BK29" s="56">
        <f t="shared" si="29"/>
        <v>1078617.0206261959</v>
      </c>
      <c r="BL29" s="56">
        <f t="shared" si="29"/>
        <v>1090497.9806261961</v>
      </c>
      <c r="BM29" s="56">
        <f t="shared" si="29"/>
        <v>2101676</v>
      </c>
      <c r="BN29" s="56">
        <f t="shared" si="29"/>
        <v>1164547.3775949262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5.541034729668227</v>
      </c>
      <c r="BS29" s="58">
        <f t="shared" si="20"/>
        <v>5.6622631310214944</v>
      </c>
      <c r="BT29" s="58">
        <f t="shared" si="21"/>
        <v>5.5031480644193689</v>
      </c>
      <c r="BU29" s="58">
        <f t="shared" si="22"/>
        <v>5.5637652072765116</v>
      </c>
      <c r="BV29" s="58">
        <f t="shared" si="22"/>
        <v>6.1814</v>
      </c>
      <c r="BW29" s="58">
        <f t="shared" si="22"/>
        <v>7.4269603162941689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6.2059588972284114</v>
      </c>
      <c r="CB29" s="58">
        <f>BJ29/R29</f>
        <v>6.3417347067440701</v>
      </c>
      <c r="CC29" s="58">
        <f t="shared" ref="CC29:CG29" si="31">BK29/S29</f>
        <v>6.1635258321496913</v>
      </c>
      <c r="CD29" s="58">
        <f>BL29/T29</f>
        <v>6.2314170321496922</v>
      </c>
      <c r="CE29" s="58">
        <f>BM29/U29</f>
        <v>6.1814</v>
      </c>
      <c r="CF29" s="58">
        <f t="shared" si="31"/>
        <v>8.3181955542494723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AG3:AG4"/>
    <mergeCell ref="F3:J3"/>
    <mergeCell ref="K3:O3"/>
    <mergeCell ref="P3:P4"/>
    <mergeCell ref="B3:B4"/>
    <mergeCell ref="C3:E3"/>
    <mergeCell ref="Q3:W3"/>
    <mergeCell ref="X3:X4"/>
    <mergeCell ref="Y3:AF3"/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45670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45670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20000</v>
      </c>
      <c r="J11" s="80">
        <f>'5. Actual'!V5</f>
        <v>0</v>
      </c>
      <c r="K11" s="81">
        <f>'5. Actual'!W5</f>
        <v>0</v>
      </c>
      <c r="L11" s="65">
        <f>'5. Actual'!X5</f>
        <v>-42500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4.6522682165587028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0</v>
      </c>
      <c r="J16" s="80">
        <f>'5. Actual'!V10</f>
        <v>0</v>
      </c>
      <c r="K16" s="81">
        <f>'5. Actual'!W10</f>
        <v>0</v>
      </c>
      <c r="L16" s="65">
        <f>'5. Actual'!X10</f>
        <v>-22500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3.293039964610883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0</v>
      </c>
      <c r="J17" s="80">
        <f>'5. Actual'!V11</f>
        <v>0</v>
      </c>
      <c r="K17" s="81">
        <f>'5. Actual'!W11</f>
        <v>0</v>
      </c>
      <c r="L17" s="65">
        <f>'5. Actual'!X11</f>
        <v>-22500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3.293039964610883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0</v>
      </c>
      <c r="J18" s="80">
        <f>'5. Actual'!V12</f>
        <v>0</v>
      </c>
      <c r="K18" s="81">
        <f>'5. Actual'!W12</f>
        <v>0</v>
      </c>
      <c r="L18" s="65">
        <f>'5. Actual'!X12</f>
        <v>-22500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3.293039964610883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0</v>
      </c>
      <c r="K20" s="81">
        <f>'5. Actual'!W14</f>
        <v>0</v>
      </c>
      <c r="L20" s="65">
        <f>'5. Actual'!X14</f>
        <v>-42500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4.6522682165587028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10000</v>
      </c>
      <c r="K21" s="81">
        <f>'5. Actual'!W15</f>
        <v>0</v>
      </c>
      <c r="L21" s="65">
        <f>'5. Actual'!X15</f>
        <v>-52500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4.4271156913382477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10000</v>
      </c>
      <c r="K22" s="81">
        <f>'5. Actual'!W16</f>
        <v>0</v>
      </c>
      <c r="L22" s="65">
        <f>'5. Actual'!X16</f>
        <v>-52500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4.4271156913382477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10000</v>
      </c>
      <c r="K23" s="81">
        <f>'5. Actual'!W17</f>
        <v>0</v>
      </c>
      <c r="L23" s="65">
        <f>'5. Actual'!X17</f>
        <v>-52500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4.4271156913382477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25000</v>
      </c>
      <c r="H24" s="80">
        <f>'5. Actual'!S18+'5. Actual'!T18</f>
        <v>20000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-75000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4.0868929733200376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5.0893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24000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-74000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4.0977601378799395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21000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-71000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4.1321983354289227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17500</v>
      </c>
      <c r="H34" s="80">
        <f>'5. Actual'!S28+'5. Actual'!T28</f>
        <v>20000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-67500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4.176245215257004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425000</v>
      </c>
      <c r="H35" s="82">
        <f t="shared" si="2"/>
        <v>350000</v>
      </c>
      <c r="I35" s="82">
        <f t="shared" si="2"/>
        <v>340000</v>
      </c>
      <c r="J35" s="82">
        <f t="shared" ref="J35" si="3">SUM(J11:J34)</f>
        <v>140000</v>
      </c>
      <c r="K35" s="82">
        <f t="shared" si="2"/>
        <v>0</v>
      </c>
      <c r="L35" s="68">
        <f t="shared" si="2"/>
        <v>-1255000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4.0954114593335973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0.70833333333333337</v>
      </c>
      <c r="H38" s="124">
        <f>H35/(20*24*1000)</f>
        <v>0.72916666666666663</v>
      </c>
      <c r="I38" s="124">
        <f>I35/(20*24*1000)</f>
        <v>0.70833333333333337</v>
      </c>
      <c r="J38" s="124">
        <f>J35/(10*24*1000)</f>
        <v>0.58333333333333337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customXml/itemProps3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2025-01-12T05:34:04Z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