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44" documentId="8_{81CC352E-43AE-4F14-A10D-1BF03C8AF557}" xr6:coauthVersionLast="47" xr6:coauthVersionMax="47" xr10:uidLastSave="{0B33E4FE-2868-4DCA-8607-2BE20A038660}"/>
  <bookViews>
    <workbookView xWindow="-108" yWindow="-108" windowWidth="23256" windowHeight="12456" tabRatio="674" firstSheet="1" activeTab="6" xr2:uid="{00000000-000D-0000-FFFF-FFFF00000000}"/>
  </bookViews>
  <sheets>
    <sheet name="Nomination" sheetId="1" state="hidden" r:id="rId1"/>
    <sheet name="1. Rates" sheetId="14" r:id="rId2"/>
    <sheet name="2. Energy" sheetId="8" r:id="rId3"/>
    <sheet name="3. Nomination" sheetId="15" r:id="rId4"/>
    <sheet name="Sheet1" sheetId="13" state="hidden" r:id="rId5"/>
    <sheet name="4.Projected" sheetId="7" r:id="rId6"/>
    <sheet name="6. DAP Report" sheetId="17" r:id="rId7"/>
    <sheet name="5. Actual" sheetId="19" r:id="rId8"/>
    <sheet name="7. EOD Report" sheetId="18" r:id="rId9"/>
    <sheet name="8. Variance" sheetId="20" r:id="rId10"/>
    <sheet name="9. Variance (%)" sheetId="21" r:id="rId11"/>
  </sheets>
  <externalReferences>
    <externalReference r:id="rId12"/>
  </externalReferences>
  <definedNames>
    <definedName name="_xlnm._FilterDatabase" localSheetId="0" hidden="1">Nomination!$B$8:$R$39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7" hidden="1">CBC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DualsNewSheet" localSheetId="7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5" hidden="1">1</definedName>
    <definedName name="OpenSolver_LinearityCheck" localSheetId="7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7" hidden="1">1</definedName>
    <definedName name="_xlnm.Print_Area" localSheetId="6">'6. DAP Report'!$B$1:$X$41</definedName>
    <definedName name="_xlnm.Print_Area" localSheetId="8">'7. EOD Report'!$B$1:$X$42</definedName>
    <definedName name="_xlnm.Print_Area" localSheetId="9">'8. Variance'!$B$1:$W$41</definedName>
    <definedName name="_xlnm.Print_Area" localSheetId="10">'9. Variance (%)'!$B$1:$W$41</definedName>
    <definedName name="solver_adj" localSheetId="1" hidden="1">'1. Rates'!#REF!</definedName>
    <definedName name="solver_adj" localSheetId="3" hidden="1">'3. Nomination'!#REF!</definedName>
    <definedName name="solver_adj" localSheetId="5" hidden="1">'4.Projected'!#REF!</definedName>
    <definedName name="solver_adj" localSheetId="7" hidden="1">'5. Actual'!#REF!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'1. Rates'!#REF!</definedName>
    <definedName name="solver_lhs1" localSheetId="3" hidden="1">'3. Nomination'!#REF!</definedName>
    <definedName name="solver_lhs1" localSheetId="5" hidden="1">'4.Projected'!#REF!</definedName>
    <definedName name="solver_lhs1" localSheetId="7" hidden="1">'5. Actual'!#REF!</definedName>
    <definedName name="solver_lhs2" localSheetId="1" hidden="1">'1. Rates'!#REF!</definedName>
    <definedName name="solver_lhs2" localSheetId="3" hidden="1">'3. Nomination'!#REF!</definedName>
    <definedName name="solver_lhs2" localSheetId="5" hidden="1">'4.Projected'!#REF!</definedName>
    <definedName name="solver_lhs2" localSheetId="7" hidden="1">'5. Actual'!#REF!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'1. Rates'!#REF!</definedName>
    <definedName name="solver_opt" localSheetId="3" hidden="1">'3. Nomination'!#REF!</definedName>
    <definedName name="solver_opt" localSheetId="5" hidden="1">'4.Projected'!#REF!</definedName>
    <definedName name="solver_opt" localSheetId="7" hidden="1">'5. Actual'!#REF!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hs1" localSheetId="1" hidden="1">75</definedName>
    <definedName name="solver_rhs1" localSheetId="3" hidden="1">75</definedName>
    <definedName name="solver_rhs1" localSheetId="5" hidden="1">75</definedName>
    <definedName name="solver_rhs1" localSheetId="7" hidden="1">75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4" l="1"/>
  <c r="D41" i="14"/>
  <c r="C42" i="14"/>
  <c r="D42" i="14"/>
  <c r="J60" i="14" l="1"/>
  <c r="H60" i="14"/>
  <c r="G60" i="14"/>
  <c r="F60" i="14"/>
  <c r="E60" i="14"/>
  <c r="D60" i="14"/>
  <c r="C60" i="14"/>
  <c r="F50" i="14"/>
  <c r="E50" i="14"/>
  <c r="H47" i="14"/>
  <c r="F47" i="14"/>
  <c r="E47" i="14"/>
  <c r="D47" i="14"/>
  <c r="C47" i="14"/>
  <c r="H46" i="14"/>
  <c r="G46" i="14"/>
  <c r="F46" i="14"/>
  <c r="E46" i="14"/>
  <c r="D46" i="14"/>
  <c r="C46" i="14"/>
  <c r="H45" i="14"/>
  <c r="F45" i="14"/>
  <c r="E45" i="14"/>
  <c r="D45" i="14"/>
  <c r="C45" i="14"/>
  <c r="H44" i="14"/>
  <c r="F44" i="14"/>
  <c r="E44" i="14"/>
  <c r="D44" i="14"/>
  <c r="C44" i="14"/>
  <c r="H42" i="14"/>
  <c r="G42" i="14"/>
  <c r="F42" i="14"/>
  <c r="E42" i="14"/>
  <c r="H41" i="14"/>
  <c r="G41" i="14"/>
  <c r="F41" i="14"/>
  <c r="E41" i="14"/>
  <c r="H55" i="14" l="1"/>
  <c r="S26" i="7" s="1"/>
  <c r="H56" i="14"/>
  <c r="H62" i="14" s="1"/>
  <c r="S17" i="7" l="1"/>
  <c r="S8" i="7"/>
  <c r="S16" i="7"/>
  <c r="S19" i="7"/>
  <c r="S6" i="7"/>
  <c r="S24" i="7"/>
  <c r="S27" i="7"/>
  <c r="S14" i="7"/>
  <c r="S9" i="7"/>
  <c r="S20" i="7"/>
  <c r="S22" i="7"/>
  <c r="S5" i="7"/>
  <c r="S7" i="7"/>
  <c r="S25" i="7"/>
  <c r="S12" i="7"/>
  <c r="S28" i="7"/>
  <c r="S13" i="7"/>
  <c r="S15" i="7"/>
  <c r="S10" i="7"/>
  <c r="H61" i="14"/>
  <c r="H63" i="14" s="1"/>
  <c r="S11" i="7"/>
  <c r="S21" i="7"/>
  <c r="S23" i="7"/>
  <c r="S18" i="7"/>
  <c r="AD28" i="19"/>
  <c r="AD20" i="19"/>
  <c r="AD12" i="19"/>
  <c r="AD27" i="19"/>
  <c r="AD19" i="19"/>
  <c r="AD11" i="19"/>
  <c r="AD26" i="19"/>
  <c r="AD10" i="19"/>
  <c r="AD23" i="19"/>
  <c r="AD7" i="19"/>
  <c r="AD22" i="19"/>
  <c r="AD14" i="19"/>
  <c r="AD6" i="19"/>
  <c r="AD21" i="19"/>
  <c r="AD13" i="19"/>
  <c r="AD5" i="19"/>
  <c r="AD18" i="19"/>
  <c r="AD15" i="19"/>
  <c r="AD25" i="19"/>
  <c r="AD17" i="19"/>
  <c r="AD9" i="19"/>
  <c r="AD24" i="19"/>
  <c r="AD16" i="19"/>
  <c r="AD8" i="19"/>
  <c r="H57" i="14"/>
  <c r="P34" i="18" l="1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O4" i="19"/>
  <c r="N4" i="19"/>
  <c r="M4" i="19"/>
  <c r="L4" i="19"/>
  <c r="K4" i="19"/>
  <c r="J4" i="19"/>
  <c r="I4" i="19"/>
  <c r="H4" i="19"/>
  <c r="G4" i="19"/>
  <c r="F4" i="19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D41" i="21" l="1"/>
  <c r="C6" i="21"/>
  <c r="P65" i="14" l="1"/>
  <c r="O65" i="14"/>
  <c r="D44" i="17" l="1"/>
  <c r="Z7" i="18" l="1"/>
  <c r="C6" i="18"/>
  <c r="G55" i="14"/>
  <c r="G56" i="14"/>
  <c r="D41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C6" i="20"/>
  <c r="Q35" i="20" l="1"/>
  <c r="F55" i="14"/>
  <c r="E56" i="14"/>
  <c r="F56" i="14"/>
  <c r="C56" i="14"/>
  <c r="C55" i="14"/>
  <c r="E55" i="14"/>
  <c r="D55" i="14"/>
  <c r="D56" i="14"/>
  <c r="G57" i="14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11" i="17"/>
  <c r="Q12" i="18"/>
  <c r="Q12" i="21" s="1"/>
  <c r="Q13" i="18"/>
  <c r="Q13" i="21" s="1"/>
  <c r="Q14" i="18"/>
  <c r="Q14" i="21" s="1"/>
  <c r="Q15" i="18"/>
  <c r="Q15" i="21" s="1"/>
  <c r="Q16" i="18"/>
  <c r="Q16" i="21" s="1"/>
  <c r="Q17" i="18"/>
  <c r="Q17" i="21" s="1"/>
  <c r="Q18" i="18"/>
  <c r="Q18" i="21" s="1"/>
  <c r="Q19" i="18"/>
  <c r="Q19" i="21" s="1"/>
  <c r="Q20" i="18"/>
  <c r="Q20" i="21" s="1"/>
  <c r="Q21" i="18"/>
  <c r="Q21" i="21" s="1"/>
  <c r="Q22" i="18"/>
  <c r="Q23" i="18"/>
  <c r="Q23" i="21" s="1"/>
  <c r="Q24" i="18"/>
  <c r="Q24" i="21" s="1"/>
  <c r="Q25" i="18"/>
  <c r="Q25" i="21" s="1"/>
  <c r="Q26" i="18"/>
  <c r="Q26" i="21" s="1"/>
  <c r="Q27" i="18"/>
  <c r="Q27" i="21" s="1"/>
  <c r="Q28" i="18"/>
  <c r="Q28" i="21" s="1"/>
  <c r="Q29" i="18"/>
  <c r="Q29" i="21" s="1"/>
  <c r="Q30" i="18"/>
  <c r="Q30" i="21" s="1"/>
  <c r="Q31" i="18"/>
  <c r="Q31" i="21" s="1"/>
  <c r="Q32" i="18"/>
  <c r="Q32" i="21" s="1"/>
  <c r="Q33" i="18"/>
  <c r="Q33" i="21" s="1"/>
  <c r="Q34" i="18"/>
  <c r="Q34" i="21" s="1"/>
  <c r="Q11" i="18"/>
  <c r="Q11" i="21" s="1"/>
  <c r="Q41" i="14"/>
  <c r="Q22" i="21" l="1"/>
  <c r="O34" i="17"/>
  <c r="O26" i="17"/>
  <c r="O18" i="17"/>
  <c r="O33" i="17"/>
  <c r="O25" i="17"/>
  <c r="O17" i="17"/>
  <c r="O32" i="17"/>
  <c r="O24" i="17"/>
  <c r="O16" i="17"/>
  <c r="O31" i="17"/>
  <c r="O23" i="17"/>
  <c r="O15" i="17"/>
  <c r="O30" i="17"/>
  <c r="O22" i="17"/>
  <c r="O14" i="17"/>
  <c r="O29" i="17"/>
  <c r="O21" i="17"/>
  <c r="O13" i="17"/>
  <c r="O28" i="17"/>
  <c r="O20" i="17"/>
  <c r="O12" i="17"/>
  <c r="O27" i="17"/>
  <c r="O19" i="17"/>
  <c r="O11" i="17"/>
  <c r="F57" i="14"/>
  <c r="D57" i="14"/>
  <c r="E57" i="14"/>
  <c r="C57" i="14"/>
  <c r="P6" i="19"/>
  <c r="R12" i="18" s="1"/>
  <c r="P7" i="19"/>
  <c r="R13" i="18" s="1"/>
  <c r="P8" i="19"/>
  <c r="R14" i="18" s="1"/>
  <c r="P9" i="19"/>
  <c r="R15" i="18" s="1"/>
  <c r="P10" i="19"/>
  <c r="R16" i="18" s="1"/>
  <c r="P11" i="19"/>
  <c r="R17" i="18" s="1"/>
  <c r="P12" i="19"/>
  <c r="R18" i="18" s="1"/>
  <c r="P13" i="19"/>
  <c r="R19" i="18" s="1"/>
  <c r="P14" i="19"/>
  <c r="R20" i="18" s="1"/>
  <c r="P15" i="19"/>
  <c r="R21" i="18" s="1"/>
  <c r="P16" i="19"/>
  <c r="R22" i="18" s="1"/>
  <c r="P17" i="19"/>
  <c r="R23" i="18" s="1"/>
  <c r="P18" i="19"/>
  <c r="R24" i="18" s="1"/>
  <c r="P19" i="19"/>
  <c r="R25" i="18" s="1"/>
  <c r="P20" i="19"/>
  <c r="R26" i="18" s="1"/>
  <c r="P21" i="19"/>
  <c r="R27" i="18" s="1"/>
  <c r="P22" i="19"/>
  <c r="R28" i="18" s="1"/>
  <c r="P23" i="19"/>
  <c r="R29" i="18" s="1"/>
  <c r="P24" i="19"/>
  <c r="R30" i="18" s="1"/>
  <c r="P25" i="19"/>
  <c r="R31" i="18" s="1"/>
  <c r="P26" i="19"/>
  <c r="R32" i="18" s="1"/>
  <c r="P27" i="19"/>
  <c r="R33" i="18" s="1"/>
  <c r="P28" i="19"/>
  <c r="R34" i="18" s="1"/>
  <c r="P5" i="1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0" i="8"/>
  <c r="G10" i="8"/>
  <c r="K3" i="19"/>
  <c r="O29" i="19"/>
  <c r="N29" i="19"/>
  <c r="M29" i="19"/>
  <c r="L29" i="19"/>
  <c r="K29" i="19"/>
  <c r="J29" i="19"/>
  <c r="I29" i="19"/>
  <c r="H29" i="19"/>
  <c r="G29" i="19"/>
  <c r="F29" i="19"/>
  <c r="AF29" i="19"/>
  <c r="AE29" i="19"/>
  <c r="D45" i="18"/>
  <c r="P11" i="21" l="1"/>
  <c r="N34" i="18"/>
  <c r="N26" i="18"/>
  <c r="N18" i="18"/>
  <c r="N33" i="18"/>
  <c r="N25" i="18"/>
  <c r="N17" i="18"/>
  <c r="N32" i="18"/>
  <c r="N24" i="18"/>
  <c r="N16" i="18"/>
  <c r="N31" i="18"/>
  <c r="N23" i="18"/>
  <c r="N15" i="18"/>
  <c r="N30" i="18"/>
  <c r="N22" i="18"/>
  <c r="N14" i="18"/>
  <c r="N29" i="18"/>
  <c r="N21" i="18"/>
  <c r="N13" i="18"/>
  <c r="N28" i="18"/>
  <c r="N20" i="18"/>
  <c r="N12" i="18"/>
  <c r="N27" i="18"/>
  <c r="N19" i="18"/>
  <c r="N11" i="18"/>
  <c r="M34" i="17"/>
  <c r="M26" i="17"/>
  <c r="M18" i="17"/>
  <c r="M12" i="17"/>
  <c r="M33" i="17"/>
  <c r="M25" i="17"/>
  <c r="M17" i="17"/>
  <c r="M22" i="17"/>
  <c r="M27" i="17"/>
  <c r="M32" i="17"/>
  <c r="M24" i="17"/>
  <c r="M16" i="17"/>
  <c r="M30" i="17"/>
  <c r="M31" i="17"/>
  <c r="M23" i="17"/>
  <c r="M15" i="17"/>
  <c r="M14" i="17"/>
  <c r="M19" i="17"/>
  <c r="M29" i="17"/>
  <c r="M21" i="17"/>
  <c r="M13" i="17"/>
  <c r="M28" i="17"/>
  <c r="M20" i="17"/>
  <c r="M11" i="17"/>
  <c r="N34" i="17"/>
  <c r="N33" i="17"/>
  <c r="N25" i="17"/>
  <c r="N17" i="17"/>
  <c r="N32" i="17"/>
  <c r="N24" i="17"/>
  <c r="N16" i="17"/>
  <c r="N31" i="17"/>
  <c r="N23" i="17"/>
  <c r="N15" i="17"/>
  <c r="N30" i="17"/>
  <c r="N22" i="17"/>
  <c r="N14" i="17"/>
  <c r="N29" i="17"/>
  <c r="N21" i="17"/>
  <c r="N13" i="17"/>
  <c r="N28" i="17"/>
  <c r="N20" i="17"/>
  <c r="N12" i="17"/>
  <c r="N19" i="17"/>
  <c r="N11" i="17"/>
  <c r="N26" i="17"/>
  <c r="N18" i="17"/>
  <c r="N27" i="17"/>
  <c r="P29" i="19"/>
  <c r="R11" i="18"/>
  <c r="Z9" i="19"/>
  <c r="Z17" i="19"/>
  <c r="Z25" i="19"/>
  <c r="O9" i="7"/>
  <c r="O17" i="7"/>
  <c r="O25" i="7"/>
  <c r="Z19" i="19"/>
  <c r="O27" i="7"/>
  <c r="Z14" i="19"/>
  <c r="Z12" i="19"/>
  <c r="Z20" i="19"/>
  <c r="Z28" i="19"/>
  <c r="O12" i="7"/>
  <c r="O20" i="7"/>
  <c r="O28" i="7"/>
  <c r="Z22" i="19"/>
  <c r="Z7" i="19"/>
  <c r="Z15" i="19"/>
  <c r="Z23" i="19"/>
  <c r="O7" i="7"/>
  <c r="O15" i="7"/>
  <c r="O23" i="7"/>
  <c r="O19" i="7"/>
  <c r="O6" i="7"/>
  <c r="O22" i="7"/>
  <c r="Z10" i="19"/>
  <c r="Z18" i="19"/>
  <c r="Z26" i="19"/>
  <c r="O10" i="7"/>
  <c r="O18" i="7"/>
  <c r="O26" i="7"/>
  <c r="Z11" i="19"/>
  <c r="Z5" i="19"/>
  <c r="Z13" i="19"/>
  <c r="Z21" i="19"/>
  <c r="O5" i="7"/>
  <c r="O13" i="7"/>
  <c r="O21" i="7"/>
  <c r="Z8" i="19"/>
  <c r="Z16" i="19"/>
  <c r="Z24" i="19"/>
  <c r="O8" i="7"/>
  <c r="O16" i="7"/>
  <c r="O24" i="7"/>
  <c r="Z27" i="19"/>
  <c r="O11" i="7"/>
  <c r="Z6" i="19"/>
  <c r="O14" i="7"/>
  <c r="Y9" i="19"/>
  <c r="Y17" i="19"/>
  <c r="Y25" i="19"/>
  <c r="N10" i="7"/>
  <c r="N18" i="7"/>
  <c r="N26" i="7"/>
  <c r="N11" i="7"/>
  <c r="Y11" i="19"/>
  <c r="Y19" i="19"/>
  <c r="Y27" i="19"/>
  <c r="N12" i="7"/>
  <c r="N20" i="7"/>
  <c r="N28" i="7"/>
  <c r="Y10" i="19"/>
  <c r="Y26" i="19"/>
  <c r="N27" i="7"/>
  <c r="Y12" i="19"/>
  <c r="Y20" i="19"/>
  <c r="Y28" i="19"/>
  <c r="N13" i="7"/>
  <c r="N21" i="7"/>
  <c r="N5" i="7"/>
  <c r="Y18" i="19"/>
  <c r="Y5" i="19"/>
  <c r="Y13" i="19"/>
  <c r="Y21" i="19"/>
  <c r="N6" i="7"/>
  <c r="N14" i="7"/>
  <c r="N22" i="7"/>
  <c r="Y6" i="19"/>
  <c r="Y14" i="19"/>
  <c r="Y22" i="19"/>
  <c r="N7" i="7"/>
  <c r="N15" i="7"/>
  <c r="N23" i="7"/>
  <c r="N19" i="7"/>
  <c r="Y7" i="19"/>
  <c r="Y15" i="19"/>
  <c r="Y23" i="19"/>
  <c r="N8" i="7"/>
  <c r="N16" i="7"/>
  <c r="N24" i="7"/>
  <c r="Y8" i="19"/>
  <c r="Y16" i="19"/>
  <c r="Y24" i="19"/>
  <c r="N9" i="7"/>
  <c r="N17" i="7"/>
  <c r="N25" i="7"/>
  <c r="N19" i="21" l="1"/>
  <c r="N11" i="21"/>
  <c r="N29" i="21"/>
  <c r="N14" i="21"/>
  <c r="N22" i="21"/>
  <c r="N12" i="21"/>
  <c r="N24" i="21"/>
  <c r="N32" i="21"/>
  <c r="N30" i="21"/>
  <c r="N20" i="21"/>
  <c r="N15" i="21"/>
  <c r="N17" i="21"/>
  <c r="N25" i="21"/>
  <c r="N33" i="21"/>
  <c r="N28" i="21"/>
  <c r="N23" i="21"/>
  <c r="N18" i="21"/>
  <c r="N27" i="21"/>
  <c r="N13" i="21"/>
  <c r="N31" i="21"/>
  <c r="N26" i="21"/>
  <c r="N21" i="21"/>
  <c r="N16" i="21"/>
  <c r="N34" i="21"/>
  <c r="R35" i="18"/>
  <c r="Z29" i="19"/>
  <c r="C6" i="17" l="1"/>
  <c r="C62" i="14" l="1"/>
  <c r="N32" i="8"/>
  <c r="K28" i="15" s="1"/>
  <c r="N33" i="8"/>
  <c r="K29" i="15" s="1"/>
  <c r="Q64" i="14"/>
  <c r="Q61" i="14"/>
  <c r="E62" i="14"/>
  <c r="N11" i="8"/>
  <c r="K7" i="15" s="1"/>
  <c r="N12" i="8"/>
  <c r="K8" i="15" s="1"/>
  <c r="N13" i="8"/>
  <c r="K9" i="15" s="1"/>
  <c r="N14" i="8"/>
  <c r="K10" i="15" s="1"/>
  <c r="N15" i="8"/>
  <c r="K11" i="15" s="1"/>
  <c r="N16" i="8"/>
  <c r="K12" i="15" s="1"/>
  <c r="N17" i="8"/>
  <c r="K13" i="15" s="1"/>
  <c r="N18" i="8"/>
  <c r="K14" i="15" s="1"/>
  <c r="N19" i="8"/>
  <c r="K15" i="15" s="1"/>
  <c r="N20" i="8"/>
  <c r="K16" i="15" s="1"/>
  <c r="N21" i="8"/>
  <c r="K17" i="15" s="1"/>
  <c r="N22" i="8"/>
  <c r="K18" i="15" s="1"/>
  <c r="N23" i="8"/>
  <c r="K19" i="15" s="1"/>
  <c r="N24" i="8"/>
  <c r="K20" i="15" s="1"/>
  <c r="N25" i="8"/>
  <c r="K21" i="15" s="1"/>
  <c r="N26" i="8"/>
  <c r="K22" i="15" s="1"/>
  <c r="N27" i="8"/>
  <c r="K23" i="15" s="1"/>
  <c r="N28" i="8"/>
  <c r="K24" i="15" s="1"/>
  <c r="N29" i="8"/>
  <c r="K25" i="15" s="1"/>
  <c r="N30" i="8"/>
  <c r="K26" i="15" s="1"/>
  <c r="N31" i="8"/>
  <c r="K27" i="15" s="1"/>
  <c r="N10" i="8"/>
  <c r="K6" i="15" s="1"/>
  <c r="O10" i="8"/>
  <c r="L37" i="14"/>
  <c r="K37" i="14"/>
  <c r="J37" i="14"/>
  <c r="I37" i="14"/>
  <c r="H37" i="14"/>
  <c r="G37" i="14"/>
  <c r="F37" i="14"/>
  <c r="E37" i="14"/>
  <c r="D37" i="14"/>
  <c r="C37" i="14"/>
  <c r="D33" i="8"/>
  <c r="I33" i="8"/>
  <c r="I10" i="8"/>
  <c r="D2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U16" i="15" l="1"/>
  <c r="R21" i="17"/>
  <c r="U23" i="15"/>
  <c r="R28" i="17"/>
  <c r="U15" i="15"/>
  <c r="R20" i="17"/>
  <c r="U7" i="15"/>
  <c r="R12" i="17"/>
  <c r="U22" i="15"/>
  <c r="R27" i="17"/>
  <c r="R27" i="21" s="1"/>
  <c r="U14" i="15"/>
  <c r="R19" i="17"/>
  <c r="U21" i="15"/>
  <c r="R26" i="17"/>
  <c r="U13" i="15"/>
  <c r="R18" i="17"/>
  <c r="U24" i="15"/>
  <c r="R29" i="17"/>
  <c r="U8" i="15"/>
  <c r="R13" i="17"/>
  <c r="U6" i="15"/>
  <c r="R11" i="17"/>
  <c r="U20" i="15"/>
  <c r="R25" i="17"/>
  <c r="U12" i="15"/>
  <c r="R17" i="17"/>
  <c r="U29" i="15"/>
  <c r="R34" i="17"/>
  <c r="U27" i="15"/>
  <c r="R32" i="17"/>
  <c r="U19" i="15"/>
  <c r="R24" i="17"/>
  <c r="U11" i="15"/>
  <c r="R16" i="17"/>
  <c r="U26" i="15"/>
  <c r="R31" i="17"/>
  <c r="U18" i="15"/>
  <c r="R23" i="17"/>
  <c r="U10" i="15"/>
  <c r="R15" i="17"/>
  <c r="U28" i="15"/>
  <c r="R33" i="17"/>
  <c r="U25" i="15"/>
  <c r="R30" i="17"/>
  <c r="U17" i="15"/>
  <c r="R22" i="17"/>
  <c r="U9" i="15"/>
  <c r="R14" i="17"/>
  <c r="G61" i="14"/>
  <c r="AC5" i="19"/>
  <c r="AC13" i="19"/>
  <c r="AC21" i="19"/>
  <c r="R5" i="7"/>
  <c r="R13" i="7"/>
  <c r="R21" i="7"/>
  <c r="AC12" i="19"/>
  <c r="AC6" i="19"/>
  <c r="AC14" i="19"/>
  <c r="AC22" i="19"/>
  <c r="R6" i="7"/>
  <c r="R14" i="7"/>
  <c r="R22" i="7"/>
  <c r="R27" i="7"/>
  <c r="R12" i="7"/>
  <c r="AC7" i="19"/>
  <c r="AC15" i="19"/>
  <c r="AC23" i="19"/>
  <c r="R7" i="7"/>
  <c r="R15" i="7"/>
  <c r="R23" i="7"/>
  <c r="R19" i="7"/>
  <c r="AC28" i="19"/>
  <c r="AC8" i="19"/>
  <c r="AC16" i="19"/>
  <c r="AC24" i="19"/>
  <c r="R8" i="7"/>
  <c r="R16" i="7"/>
  <c r="R24" i="7"/>
  <c r="R11" i="7"/>
  <c r="AC20" i="19"/>
  <c r="AC9" i="19"/>
  <c r="AC17" i="19"/>
  <c r="AC25" i="19"/>
  <c r="R9" i="7"/>
  <c r="R17" i="7"/>
  <c r="R25" i="7"/>
  <c r="AC27" i="19"/>
  <c r="R20" i="7"/>
  <c r="AC10" i="19"/>
  <c r="AC18" i="19"/>
  <c r="AC26" i="19"/>
  <c r="R10" i="7"/>
  <c r="R18" i="7"/>
  <c r="R26" i="7"/>
  <c r="AC19" i="19"/>
  <c r="R28" i="7"/>
  <c r="AC11" i="19"/>
  <c r="O32" i="18"/>
  <c r="O32" i="21" s="1"/>
  <c r="AB11" i="15"/>
  <c r="AB10" i="15"/>
  <c r="AB25" i="15"/>
  <c r="AB9" i="15"/>
  <c r="AB8" i="15"/>
  <c r="AB27" i="15"/>
  <c r="AB26" i="15"/>
  <c r="AB7" i="15"/>
  <c r="AB13" i="15"/>
  <c r="AB29" i="15"/>
  <c r="AB14" i="15"/>
  <c r="AB12" i="15"/>
  <c r="AB28" i="15"/>
  <c r="AB6" i="15"/>
  <c r="E61" i="14"/>
  <c r="E63" i="14" s="1"/>
  <c r="AA12" i="19"/>
  <c r="AA20" i="19"/>
  <c r="AA28" i="19"/>
  <c r="P12" i="7"/>
  <c r="P20" i="7"/>
  <c r="P28" i="7"/>
  <c r="AA5" i="19"/>
  <c r="AA13" i="19"/>
  <c r="AA21" i="19"/>
  <c r="P5" i="7"/>
  <c r="P13" i="7"/>
  <c r="P21" i="7"/>
  <c r="AA6" i="19"/>
  <c r="AA14" i="19"/>
  <c r="AA22" i="19"/>
  <c r="P6" i="7"/>
  <c r="P14" i="7"/>
  <c r="P22" i="7"/>
  <c r="AA7" i="19"/>
  <c r="AA15" i="19"/>
  <c r="AA23" i="19"/>
  <c r="P7" i="7"/>
  <c r="P15" i="7"/>
  <c r="P23" i="7"/>
  <c r="AA8" i="19"/>
  <c r="AA16" i="19"/>
  <c r="AA24" i="19"/>
  <c r="P8" i="7"/>
  <c r="P16" i="7"/>
  <c r="P24" i="7"/>
  <c r="AA9" i="19"/>
  <c r="AA17" i="19"/>
  <c r="AA25" i="19"/>
  <c r="P9" i="7"/>
  <c r="P17" i="7"/>
  <c r="P25" i="7"/>
  <c r="AA10" i="19"/>
  <c r="AA18" i="19"/>
  <c r="AA26" i="19"/>
  <c r="P10" i="7"/>
  <c r="P18" i="7"/>
  <c r="P26" i="7"/>
  <c r="AA11" i="19"/>
  <c r="AA19" i="19"/>
  <c r="AA27" i="19"/>
  <c r="P11" i="7"/>
  <c r="P19" i="7"/>
  <c r="P27" i="7"/>
  <c r="F61" i="14"/>
  <c r="Q28" i="7"/>
  <c r="AB8" i="19"/>
  <c r="AB12" i="19"/>
  <c r="AB16" i="19"/>
  <c r="AB20" i="19"/>
  <c r="AB24" i="19"/>
  <c r="AB28" i="19"/>
  <c r="Q8" i="7"/>
  <c r="Q12" i="7"/>
  <c r="Q16" i="7"/>
  <c r="Q20" i="7"/>
  <c r="Q24" i="7"/>
  <c r="AB5" i="19"/>
  <c r="AB9" i="19"/>
  <c r="AB13" i="19"/>
  <c r="AB17" i="19"/>
  <c r="AB21" i="19"/>
  <c r="AB25" i="19"/>
  <c r="Q5" i="7"/>
  <c r="Q9" i="7"/>
  <c r="Q13" i="7"/>
  <c r="Q17" i="7"/>
  <c r="Q21" i="7"/>
  <c r="Q25" i="7"/>
  <c r="AB6" i="19"/>
  <c r="AB10" i="19"/>
  <c r="AB14" i="19"/>
  <c r="AB18" i="19"/>
  <c r="AB22" i="19"/>
  <c r="AB26" i="19"/>
  <c r="Q6" i="7"/>
  <c r="Q10" i="7"/>
  <c r="Q14" i="7"/>
  <c r="Q18" i="7"/>
  <c r="Q22" i="7"/>
  <c r="Q26" i="7"/>
  <c r="AB7" i="19"/>
  <c r="AB11" i="19"/>
  <c r="AB15" i="19"/>
  <c r="AB19" i="19"/>
  <c r="AB23" i="19"/>
  <c r="AB27" i="19"/>
  <c r="Q7" i="7"/>
  <c r="Q11" i="7"/>
  <c r="Q15" i="7"/>
  <c r="Q19" i="7"/>
  <c r="Q23" i="7"/>
  <c r="Q27" i="7"/>
  <c r="D29" i="18"/>
  <c r="D14" i="18"/>
  <c r="D16" i="18"/>
  <c r="D13" i="18"/>
  <c r="D15" i="18"/>
  <c r="D12" i="18"/>
  <c r="D26" i="18"/>
  <c r="D24" i="18"/>
  <c r="D23" i="18"/>
  <c r="D25" i="18"/>
  <c r="D34" i="18"/>
  <c r="D22" i="18"/>
  <c r="D27" i="18"/>
  <c r="D21" i="18"/>
  <c r="D17" i="18"/>
  <c r="D32" i="18"/>
  <c r="D20" i="18"/>
  <c r="D28" i="18"/>
  <c r="D33" i="18"/>
  <c r="D31" i="18"/>
  <c r="D19" i="18"/>
  <c r="D30" i="18"/>
  <c r="D18" i="18"/>
  <c r="C61" i="14"/>
  <c r="C63" i="14" s="1"/>
  <c r="L26" i="15"/>
  <c r="L29" i="15"/>
  <c r="L6" i="15"/>
  <c r="AC6" i="15" s="1"/>
  <c r="W5" i="19" s="1"/>
  <c r="K11" i="20" s="1"/>
  <c r="G62" i="14"/>
  <c r="J11" i="15" s="1"/>
  <c r="AA11" i="15" s="1"/>
  <c r="F62" i="14"/>
  <c r="R27" i="20" l="1"/>
  <c r="R14" i="20"/>
  <c r="R14" i="21"/>
  <c r="R15" i="20"/>
  <c r="R15" i="21"/>
  <c r="R24" i="20"/>
  <c r="R24" i="21"/>
  <c r="R18" i="20"/>
  <c r="R18" i="21"/>
  <c r="R12" i="20"/>
  <c r="R12" i="21"/>
  <c r="R20" i="20"/>
  <c r="R20" i="21"/>
  <c r="R32" i="20"/>
  <c r="R32" i="21"/>
  <c r="R30" i="20"/>
  <c r="R30" i="21"/>
  <c r="R31" i="20"/>
  <c r="R31" i="21"/>
  <c r="R34" i="20"/>
  <c r="R34" i="21"/>
  <c r="R13" i="20"/>
  <c r="R13" i="21"/>
  <c r="R19" i="20"/>
  <c r="R19" i="21"/>
  <c r="R28" i="20"/>
  <c r="R28" i="21"/>
  <c r="R25" i="20"/>
  <c r="R25" i="21"/>
  <c r="R22" i="20"/>
  <c r="R22" i="21"/>
  <c r="R23" i="20"/>
  <c r="R23" i="21"/>
  <c r="R11" i="20"/>
  <c r="R11" i="21"/>
  <c r="R33" i="20"/>
  <c r="R33" i="21"/>
  <c r="R16" i="20"/>
  <c r="R16" i="21"/>
  <c r="R17" i="20"/>
  <c r="R17" i="21"/>
  <c r="R29" i="20"/>
  <c r="R29" i="21"/>
  <c r="R21" i="20"/>
  <c r="R21" i="21"/>
  <c r="R26" i="20"/>
  <c r="R26" i="21"/>
  <c r="P34" i="21"/>
  <c r="P31" i="21"/>
  <c r="U30" i="15"/>
  <c r="O27" i="18"/>
  <c r="O27" i="21" s="1"/>
  <c r="O31" i="18"/>
  <c r="O31" i="21" s="1"/>
  <c r="O11" i="18"/>
  <c r="O11" i="21" s="1"/>
  <c r="O30" i="18"/>
  <c r="O30" i="21" s="1"/>
  <c r="AC29" i="19"/>
  <c r="U10" i="19"/>
  <c r="AL10" i="19" s="1"/>
  <c r="J10" i="7"/>
  <c r="J21" i="15"/>
  <c r="AA21" i="15" s="1"/>
  <c r="J14" i="15"/>
  <c r="AA14" i="15" s="1"/>
  <c r="J10" i="15"/>
  <c r="AA10" i="15" s="1"/>
  <c r="O12" i="18"/>
  <c r="O12" i="21" s="1"/>
  <c r="O16" i="18"/>
  <c r="O16" i="21" s="1"/>
  <c r="O20" i="18"/>
  <c r="O20" i="21" s="1"/>
  <c r="J20" i="15"/>
  <c r="AA20" i="15" s="1"/>
  <c r="J7" i="15"/>
  <c r="AA7" i="15" s="1"/>
  <c r="J9" i="15"/>
  <c r="AA9" i="15" s="1"/>
  <c r="J16" i="15"/>
  <c r="AA16" i="15" s="1"/>
  <c r="O34" i="18"/>
  <c r="O34" i="21" s="1"/>
  <c r="O17" i="18"/>
  <c r="O17" i="21" s="1"/>
  <c r="J29" i="15"/>
  <c r="AA29" i="15" s="1"/>
  <c r="O15" i="18"/>
  <c r="O15" i="21" s="1"/>
  <c r="O19" i="18"/>
  <c r="O19" i="21" s="1"/>
  <c r="O23" i="18"/>
  <c r="O23" i="21" s="1"/>
  <c r="J6" i="15"/>
  <c r="AA6" i="15" s="1"/>
  <c r="J15" i="15"/>
  <c r="AA15" i="15" s="1"/>
  <c r="J17" i="15"/>
  <c r="AA17" i="15" s="1"/>
  <c r="J24" i="15"/>
  <c r="AA24" i="15" s="1"/>
  <c r="O33" i="18"/>
  <c r="O33" i="21" s="1"/>
  <c r="O18" i="18"/>
  <c r="O18" i="21" s="1"/>
  <c r="O22" i="18"/>
  <c r="O22" i="21" s="1"/>
  <c r="O26" i="18"/>
  <c r="O26" i="21" s="1"/>
  <c r="J22" i="15"/>
  <c r="AA22" i="15" s="1"/>
  <c r="J23" i="15"/>
  <c r="AA23" i="15" s="1"/>
  <c r="J25" i="15"/>
  <c r="AA25" i="15" s="1"/>
  <c r="J19" i="15"/>
  <c r="AA19" i="15" s="1"/>
  <c r="O14" i="18"/>
  <c r="O14" i="21" s="1"/>
  <c r="J12" i="15"/>
  <c r="AA12" i="15" s="1"/>
  <c r="O21" i="18"/>
  <c r="O21" i="21" s="1"/>
  <c r="O25" i="18"/>
  <c r="O25" i="21" s="1"/>
  <c r="O29" i="18"/>
  <c r="O29" i="21" s="1"/>
  <c r="J28" i="15"/>
  <c r="AA28" i="15" s="1"/>
  <c r="J18" i="15"/>
  <c r="AA18" i="15" s="1"/>
  <c r="J26" i="15"/>
  <c r="AA26" i="15" s="1"/>
  <c r="J27" i="15"/>
  <c r="AA27" i="15" s="1"/>
  <c r="O13" i="18"/>
  <c r="O13" i="21" s="1"/>
  <c r="O24" i="18"/>
  <c r="O24" i="21" s="1"/>
  <c r="O28" i="18"/>
  <c r="O28" i="21" s="1"/>
  <c r="J13" i="15"/>
  <c r="AA13" i="15" s="1"/>
  <c r="J8" i="15"/>
  <c r="AA8" i="15" s="1"/>
  <c r="V5" i="19"/>
  <c r="AM5" i="19" s="1"/>
  <c r="K5" i="7"/>
  <c r="K6" i="7"/>
  <c r="V6" i="19"/>
  <c r="AM6" i="19" s="1"/>
  <c r="V24" i="19"/>
  <c r="AM24" i="19" s="1"/>
  <c r="K24" i="7"/>
  <c r="V7" i="19"/>
  <c r="AM7" i="19" s="1"/>
  <c r="K7" i="7"/>
  <c r="V8" i="19"/>
  <c r="AM8" i="19" s="1"/>
  <c r="K8" i="7"/>
  <c r="V25" i="19"/>
  <c r="AM25" i="19" s="1"/>
  <c r="K25" i="7"/>
  <c r="AB25" i="7" s="1"/>
  <c r="V9" i="19"/>
  <c r="AM9" i="19" s="1"/>
  <c r="K9" i="7"/>
  <c r="V27" i="19"/>
  <c r="AM27" i="19" s="1"/>
  <c r="K27" i="7"/>
  <c r="V28" i="19"/>
  <c r="AM28" i="19" s="1"/>
  <c r="K28" i="7"/>
  <c r="AB28" i="7" s="1"/>
  <c r="V13" i="19"/>
  <c r="AM13" i="19" s="1"/>
  <c r="K13" i="7"/>
  <c r="V11" i="19"/>
  <c r="AM11" i="19" s="1"/>
  <c r="K11" i="7"/>
  <c r="V12" i="19"/>
  <c r="AM12" i="19" s="1"/>
  <c r="K12" i="7"/>
  <c r="V26" i="19"/>
  <c r="AM26" i="19" s="1"/>
  <c r="K26" i="7"/>
  <c r="V10" i="19"/>
  <c r="AM10" i="19" s="1"/>
  <c r="K10" i="7"/>
  <c r="R35" i="17"/>
  <c r="R35" i="21" s="1"/>
  <c r="AA29" i="19"/>
  <c r="AB29" i="19"/>
  <c r="D11" i="18"/>
  <c r="C29" i="19"/>
  <c r="AC26" i="15"/>
  <c r="W25" i="19" s="1"/>
  <c r="K31" i="20" s="1"/>
  <c r="M27" i="18"/>
  <c r="M27" i="21" s="1"/>
  <c r="M24" i="18"/>
  <c r="M24" i="21" s="1"/>
  <c r="M32" i="18"/>
  <c r="M32" i="21" s="1"/>
  <c r="M29" i="18"/>
  <c r="M29" i="21" s="1"/>
  <c r="M26" i="18"/>
  <c r="M26" i="21" s="1"/>
  <c r="M23" i="18"/>
  <c r="M23" i="21" s="1"/>
  <c r="M20" i="18"/>
  <c r="M20" i="21" s="1"/>
  <c r="M17" i="18"/>
  <c r="M17" i="21" s="1"/>
  <c r="M14" i="18"/>
  <c r="M14" i="21" s="1"/>
  <c r="M11" i="18"/>
  <c r="M11" i="21" s="1"/>
  <c r="M30" i="18"/>
  <c r="M30" i="21" s="1"/>
  <c r="M18" i="18"/>
  <c r="M18" i="21" s="1"/>
  <c r="M21" i="18"/>
  <c r="M21" i="21" s="1"/>
  <c r="M12" i="18"/>
  <c r="M12" i="21" s="1"/>
  <c r="M34" i="18"/>
  <c r="M34" i="21" s="1"/>
  <c r="M31" i="18"/>
  <c r="M31" i="21" s="1"/>
  <c r="M28" i="18"/>
  <c r="M28" i="21" s="1"/>
  <c r="M25" i="18"/>
  <c r="M25" i="21" s="1"/>
  <c r="M22" i="18"/>
  <c r="M22" i="21" s="1"/>
  <c r="M19" i="18"/>
  <c r="M19" i="21" s="1"/>
  <c r="M16" i="18"/>
  <c r="M16" i="21" s="1"/>
  <c r="M13" i="18"/>
  <c r="M13" i="21" s="1"/>
  <c r="M33" i="18"/>
  <c r="M33" i="21" s="1"/>
  <c r="M15" i="18"/>
  <c r="M15" i="21" s="1"/>
  <c r="Y29" i="19"/>
  <c r="K11" i="18"/>
  <c r="AN5" i="19"/>
  <c r="F63" i="14"/>
  <c r="G63" i="14"/>
  <c r="L5" i="7"/>
  <c r="K11" i="17" s="1"/>
  <c r="D61" i="14"/>
  <c r="AF11" i="14"/>
  <c r="T11" i="14"/>
  <c r="AJ37" i="14"/>
  <c r="AI37" i="14"/>
  <c r="AH37" i="14"/>
  <c r="AG37" i="14"/>
  <c r="AF37" i="14"/>
  <c r="AE37" i="14"/>
  <c r="AD37" i="14"/>
  <c r="AC37" i="14"/>
  <c r="AB37" i="14"/>
  <c r="AA37" i="14"/>
  <c r="I25" i="15"/>
  <c r="Z25" i="15" s="1"/>
  <c r="H16" i="15"/>
  <c r="Y16" i="15" s="1"/>
  <c r="H15" i="7" s="1"/>
  <c r="Y15" i="7" s="1"/>
  <c r="AH15" i="7" s="1"/>
  <c r="J32" i="17" l="1"/>
  <c r="AB26" i="7"/>
  <c r="J16" i="17"/>
  <c r="AB10" i="7"/>
  <c r="J19" i="17"/>
  <c r="AB13" i="7"/>
  <c r="AT25" i="7"/>
  <c r="BL25" i="7" s="1"/>
  <c r="AK25" i="7"/>
  <c r="BC25" i="7" s="1"/>
  <c r="BU25" i="7" s="1"/>
  <c r="J12" i="17"/>
  <c r="AB6" i="7"/>
  <c r="J18" i="17"/>
  <c r="AB12" i="7"/>
  <c r="J33" i="17"/>
  <c r="AB27" i="7"/>
  <c r="J13" i="17"/>
  <c r="AB7" i="7"/>
  <c r="AT28" i="7"/>
  <c r="BL28" i="7" s="1"/>
  <c r="AK28" i="7"/>
  <c r="BC28" i="7" s="1"/>
  <c r="BU28" i="7" s="1"/>
  <c r="J14" i="17"/>
  <c r="AB8" i="7"/>
  <c r="J11" i="17"/>
  <c r="AB5" i="7"/>
  <c r="J17" i="17"/>
  <c r="AB11" i="7"/>
  <c r="J15" i="17"/>
  <c r="AB9" i="7"/>
  <c r="J30" i="17"/>
  <c r="AB24" i="7"/>
  <c r="J34" i="17"/>
  <c r="J31" i="17"/>
  <c r="R35" i="20"/>
  <c r="S15" i="19"/>
  <c r="AJ15" i="19" s="1"/>
  <c r="AS15" i="19" s="1"/>
  <c r="I16" i="15"/>
  <c r="Z16" i="15" s="1"/>
  <c r="I15" i="7" s="1"/>
  <c r="I26" i="15"/>
  <c r="Z26" i="15" s="1"/>
  <c r="T25" i="19" s="1"/>
  <c r="F21" i="15"/>
  <c r="W21" i="15" s="1"/>
  <c r="F29" i="15"/>
  <c r="W29" i="15" s="1"/>
  <c r="F24" i="15"/>
  <c r="W24" i="15" s="1"/>
  <c r="F14" i="15"/>
  <c r="F17" i="15"/>
  <c r="F6" i="15"/>
  <c r="W6" i="15" s="1"/>
  <c r="F5" i="7" s="1"/>
  <c r="W5" i="7" s="1"/>
  <c r="F25" i="15"/>
  <c r="W25" i="15" s="1"/>
  <c r="F18" i="15"/>
  <c r="F10" i="15"/>
  <c r="F15" i="15"/>
  <c r="F26" i="15"/>
  <c r="W26" i="15" s="1"/>
  <c r="F20" i="15"/>
  <c r="W20" i="15" s="1"/>
  <c r="F23" i="15"/>
  <c r="W23" i="15" s="1"/>
  <c r="F19" i="15"/>
  <c r="W19" i="15" s="1"/>
  <c r="F8" i="15"/>
  <c r="W8" i="15" s="1"/>
  <c r="F27" i="15"/>
  <c r="W27" i="15" s="1"/>
  <c r="F16" i="15"/>
  <c r="F13" i="15"/>
  <c r="W13" i="15" s="1"/>
  <c r="F22" i="15"/>
  <c r="W22" i="15" s="1"/>
  <c r="F7" i="15"/>
  <c r="W7" i="15" s="1"/>
  <c r="F28" i="15"/>
  <c r="W28" i="15" s="1"/>
  <c r="I6" i="15"/>
  <c r="Z6" i="15" s="1"/>
  <c r="T5" i="19" s="1"/>
  <c r="I11" i="15"/>
  <c r="Z11" i="15" s="1"/>
  <c r="T10" i="19" s="1"/>
  <c r="I27" i="15"/>
  <c r="Z27" i="15" s="1"/>
  <c r="I26" i="7" s="1"/>
  <c r="I18" i="15"/>
  <c r="Z18" i="15" s="1"/>
  <c r="I17" i="7" s="1"/>
  <c r="I10" i="15"/>
  <c r="Z10" i="15" s="1"/>
  <c r="I9" i="7" s="1"/>
  <c r="I19" i="15"/>
  <c r="Z19" i="15" s="1"/>
  <c r="I18" i="7" s="1"/>
  <c r="H22" i="15"/>
  <c r="Y22" i="15" s="1"/>
  <c r="H17" i="15"/>
  <c r="Y17" i="15" s="1"/>
  <c r="H12" i="15"/>
  <c r="Y12" i="15" s="1"/>
  <c r="H7" i="15"/>
  <c r="Y7" i="15" s="1"/>
  <c r="H20" i="15"/>
  <c r="Y20" i="15" s="1"/>
  <c r="H29" i="15"/>
  <c r="Y29" i="15" s="1"/>
  <c r="H6" i="15"/>
  <c r="Y6" i="15" s="1"/>
  <c r="H25" i="15"/>
  <c r="Y25" i="15" s="1"/>
  <c r="H15" i="15"/>
  <c r="Y15" i="15" s="1"/>
  <c r="H10" i="15"/>
  <c r="Y10" i="15" s="1"/>
  <c r="H28" i="15"/>
  <c r="Y28" i="15" s="1"/>
  <c r="H23" i="15"/>
  <c r="Y23" i="15" s="1"/>
  <c r="H13" i="15"/>
  <c r="Y13" i="15" s="1"/>
  <c r="H18" i="15"/>
  <c r="Y18" i="15" s="1"/>
  <c r="H11" i="15"/>
  <c r="Y11" i="15" s="1"/>
  <c r="H19" i="15"/>
  <c r="Y19" i="15" s="1"/>
  <c r="H21" i="15"/>
  <c r="Y21" i="15" s="1"/>
  <c r="H8" i="15"/>
  <c r="Y8" i="15" s="1"/>
  <c r="H26" i="15"/>
  <c r="Y26" i="15" s="1"/>
  <c r="H14" i="15"/>
  <c r="Y14" i="15" s="1"/>
  <c r="H9" i="15"/>
  <c r="Y9" i="15" s="1"/>
  <c r="H27" i="15"/>
  <c r="Y27" i="15" s="1"/>
  <c r="H24" i="15"/>
  <c r="Y24" i="15" s="1"/>
  <c r="I7" i="15"/>
  <c r="Z7" i="15" s="1"/>
  <c r="I6" i="7" s="1"/>
  <c r="I22" i="15"/>
  <c r="Z22" i="15" s="1"/>
  <c r="I21" i="7" s="1"/>
  <c r="I9" i="15"/>
  <c r="Z9" i="15" s="1"/>
  <c r="I8" i="7" s="1"/>
  <c r="I13" i="15"/>
  <c r="Z13" i="15" s="1"/>
  <c r="T12" i="19" s="1"/>
  <c r="I14" i="15"/>
  <c r="Z14" i="15" s="1"/>
  <c r="I13" i="7" s="1"/>
  <c r="I21" i="15"/>
  <c r="Z21" i="15" s="1"/>
  <c r="I20" i="7" s="1"/>
  <c r="I15" i="15"/>
  <c r="Z15" i="15" s="1"/>
  <c r="T14" i="19" s="1"/>
  <c r="I17" i="15"/>
  <c r="Z17" i="15" s="1"/>
  <c r="T16" i="19" s="1"/>
  <c r="I23" i="15"/>
  <c r="Z23" i="15" s="1"/>
  <c r="T22" i="19" s="1"/>
  <c r="I12" i="15"/>
  <c r="Z12" i="15" s="1"/>
  <c r="I11" i="7" s="1"/>
  <c r="I29" i="15"/>
  <c r="Z29" i="15" s="1"/>
  <c r="I28" i="7" s="1"/>
  <c r="I20" i="15"/>
  <c r="Z20" i="15" s="1"/>
  <c r="I19" i="7" s="1"/>
  <c r="I24" i="15"/>
  <c r="Z24" i="15" s="1"/>
  <c r="I23" i="7" s="1"/>
  <c r="I28" i="15"/>
  <c r="Z28" i="15" s="1"/>
  <c r="I27" i="7" s="1"/>
  <c r="I8" i="15"/>
  <c r="Z8" i="15" s="1"/>
  <c r="I7" i="7" s="1"/>
  <c r="F9" i="15"/>
  <c r="W9" i="15" s="1"/>
  <c r="F12" i="15"/>
  <c r="W12" i="15" s="1"/>
  <c r="F11" i="15"/>
  <c r="W11" i="15" s="1"/>
  <c r="AA10" i="7"/>
  <c r="AJ10" i="7" s="1"/>
  <c r="I16" i="17"/>
  <c r="D35" i="18"/>
  <c r="O35" i="18"/>
  <c r="I16" i="18"/>
  <c r="U8" i="19"/>
  <c r="J8" i="7"/>
  <c r="I14" i="17" s="1"/>
  <c r="U7" i="19"/>
  <c r="J7" i="7"/>
  <c r="I13" i="17" s="1"/>
  <c r="U26" i="19"/>
  <c r="J26" i="7"/>
  <c r="I32" i="17" s="1"/>
  <c r="J22" i="7"/>
  <c r="I28" i="17" s="1"/>
  <c r="U22" i="19"/>
  <c r="U15" i="19"/>
  <c r="J15" i="7"/>
  <c r="I21" i="17" s="1"/>
  <c r="J25" i="7"/>
  <c r="I31" i="17" s="1"/>
  <c r="U25" i="19"/>
  <c r="J6" i="7"/>
  <c r="I12" i="17" s="1"/>
  <c r="U6" i="19"/>
  <c r="J9" i="7"/>
  <c r="I15" i="17" s="1"/>
  <c r="U9" i="19"/>
  <c r="U21" i="19"/>
  <c r="J21" i="7"/>
  <c r="I27" i="17" s="1"/>
  <c r="J17" i="7"/>
  <c r="I23" i="17" s="1"/>
  <c r="U17" i="19"/>
  <c r="U11" i="19"/>
  <c r="J11" i="7"/>
  <c r="I17" i="17" s="1"/>
  <c r="U16" i="19"/>
  <c r="J16" i="7"/>
  <c r="I22" i="17" s="1"/>
  <c r="U19" i="19"/>
  <c r="J19" i="7"/>
  <c r="I25" i="17" s="1"/>
  <c r="J27" i="7"/>
  <c r="I33" i="17" s="1"/>
  <c r="U27" i="19"/>
  <c r="U14" i="19"/>
  <c r="J14" i="7"/>
  <c r="I20" i="17" s="1"/>
  <c r="J28" i="7"/>
  <c r="I34" i="17" s="1"/>
  <c r="U28" i="19"/>
  <c r="U13" i="19"/>
  <c r="J13" i="7"/>
  <c r="I19" i="17" s="1"/>
  <c r="U5" i="19"/>
  <c r="J5" i="7"/>
  <c r="I11" i="17" s="1"/>
  <c r="U20" i="19"/>
  <c r="J20" i="7"/>
  <c r="I26" i="17" s="1"/>
  <c r="U23" i="19"/>
  <c r="J23" i="7"/>
  <c r="I29" i="17" s="1"/>
  <c r="U18" i="19"/>
  <c r="J18" i="7"/>
  <c r="I24" i="17" s="1"/>
  <c r="U12" i="19"/>
  <c r="J12" i="7"/>
  <c r="I18" i="17" s="1"/>
  <c r="U24" i="19"/>
  <c r="J24" i="7"/>
  <c r="I30" i="17" s="1"/>
  <c r="BD10" i="19"/>
  <c r="BV10" i="19" s="1"/>
  <c r="AU10" i="19"/>
  <c r="BM10" i="19" s="1"/>
  <c r="CE10" i="19" s="1"/>
  <c r="J32" i="18"/>
  <c r="J31" i="18"/>
  <c r="J18" i="18"/>
  <c r="J34" i="18"/>
  <c r="J14" i="18"/>
  <c r="J11" i="18"/>
  <c r="J17" i="18"/>
  <c r="J33" i="18"/>
  <c r="J13" i="18"/>
  <c r="J30" i="18"/>
  <c r="J12" i="18"/>
  <c r="J16" i="18"/>
  <c r="J19" i="18"/>
  <c r="J15" i="18"/>
  <c r="N35" i="18"/>
  <c r="I24" i="7"/>
  <c r="T24" i="19"/>
  <c r="M35" i="18"/>
  <c r="AN25" i="19"/>
  <c r="K31" i="18"/>
  <c r="L25" i="7"/>
  <c r="K31" i="17" s="1"/>
  <c r="BF5" i="19"/>
  <c r="AW5" i="19"/>
  <c r="D62" i="14"/>
  <c r="K11" i="21"/>
  <c r="AC5" i="7"/>
  <c r="J17" i="21" l="1"/>
  <c r="J18" i="21"/>
  <c r="J34" i="21"/>
  <c r="J13" i="21"/>
  <c r="J32" i="21"/>
  <c r="AT5" i="7"/>
  <c r="BL5" i="7" s="1"/>
  <c r="AK5" i="7"/>
  <c r="BC5" i="7" s="1"/>
  <c r="BU5" i="7" s="1"/>
  <c r="AT27" i="7"/>
  <c r="BL27" i="7" s="1"/>
  <c r="AK27" i="7"/>
  <c r="BC27" i="7" s="1"/>
  <c r="BU27" i="7" s="1"/>
  <c r="AT24" i="7"/>
  <c r="BL24" i="7" s="1"/>
  <c r="AK24" i="7"/>
  <c r="BC24" i="7" s="1"/>
  <c r="BU24" i="7" s="1"/>
  <c r="AK8" i="7"/>
  <c r="BC8" i="7" s="1"/>
  <c r="BU8" i="7" s="1"/>
  <c r="AT8" i="7"/>
  <c r="BL8" i="7" s="1"/>
  <c r="AK13" i="7"/>
  <c r="BC13" i="7" s="1"/>
  <c r="BU13" i="7" s="1"/>
  <c r="AT13" i="7"/>
  <c r="BL13" i="7" s="1"/>
  <c r="AT12" i="7"/>
  <c r="BL12" i="7" s="1"/>
  <c r="AK12" i="7"/>
  <c r="BC12" i="7" s="1"/>
  <c r="BU12" i="7" s="1"/>
  <c r="AT9" i="7"/>
  <c r="BL9" i="7" s="1"/>
  <c r="AK9" i="7"/>
  <c r="BC9" i="7" s="1"/>
  <c r="BU9" i="7" s="1"/>
  <c r="AK10" i="7"/>
  <c r="BC10" i="7" s="1"/>
  <c r="BU10" i="7" s="1"/>
  <c r="AT10" i="7"/>
  <c r="BL10" i="7" s="1"/>
  <c r="AT6" i="7"/>
  <c r="BL6" i="7" s="1"/>
  <c r="AK6" i="7"/>
  <c r="BC6" i="7" s="1"/>
  <c r="BU6" i="7" s="1"/>
  <c r="AT11" i="7"/>
  <c r="BL11" i="7" s="1"/>
  <c r="AK11" i="7"/>
  <c r="BC11" i="7" s="1"/>
  <c r="BU11" i="7" s="1"/>
  <c r="AT26" i="7"/>
  <c r="BL26" i="7" s="1"/>
  <c r="AK26" i="7"/>
  <c r="BC26" i="7" s="1"/>
  <c r="BU26" i="7" s="1"/>
  <c r="AT7" i="7"/>
  <c r="BL7" i="7" s="1"/>
  <c r="AK7" i="7"/>
  <c r="BC7" i="7" s="1"/>
  <c r="BU7" i="7" s="1"/>
  <c r="J15" i="21"/>
  <c r="J14" i="21"/>
  <c r="J31" i="21"/>
  <c r="J16" i="21"/>
  <c r="J12" i="21"/>
  <c r="J30" i="21"/>
  <c r="J11" i="21"/>
  <c r="J19" i="21"/>
  <c r="J33" i="21"/>
  <c r="K31" i="21"/>
  <c r="I16" i="21"/>
  <c r="T15" i="19"/>
  <c r="AK15" i="19" s="1"/>
  <c r="I10" i="7"/>
  <c r="Z10" i="7" s="1"/>
  <c r="AI10" i="7" s="1"/>
  <c r="J14" i="20"/>
  <c r="T26" i="19"/>
  <c r="AK26" i="19" s="1"/>
  <c r="I14" i="7"/>
  <c r="Z14" i="7" s="1"/>
  <c r="AI14" i="7" s="1"/>
  <c r="AF5" i="7"/>
  <c r="T13" i="19"/>
  <c r="AK13" i="19" s="1"/>
  <c r="T17" i="19"/>
  <c r="AK17" i="19" s="1"/>
  <c r="I25" i="7"/>
  <c r="Z25" i="7" s="1"/>
  <c r="AI25" i="7" s="1"/>
  <c r="I12" i="7"/>
  <c r="Z12" i="7" s="1"/>
  <c r="AI12" i="7" s="1"/>
  <c r="J30" i="20"/>
  <c r="I5" i="7"/>
  <c r="Z5" i="7" s="1"/>
  <c r="AI5" i="7" s="1"/>
  <c r="T19" i="19"/>
  <c r="AK19" i="19" s="1"/>
  <c r="BB15" i="19"/>
  <c r="BT15" i="19" s="1"/>
  <c r="BK15" i="19"/>
  <c r="CC15" i="19" s="1"/>
  <c r="J17" i="20"/>
  <c r="T6" i="19"/>
  <c r="AK6" i="19" s="1"/>
  <c r="I16" i="7"/>
  <c r="Z16" i="7" s="1"/>
  <c r="AI16" i="7" s="1"/>
  <c r="T9" i="19"/>
  <c r="AK9" i="19" s="1"/>
  <c r="T7" i="19"/>
  <c r="AK7" i="19" s="1"/>
  <c r="I22" i="7"/>
  <c r="Z22" i="7" s="1"/>
  <c r="AI22" i="7" s="1"/>
  <c r="T18" i="19"/>
  <c r="AK18" i="19" s="1"/>
  <c r="T8" i="19"/>
  <c r="AK8" i="19" s="1"/>
  <c r="T11" i="19"/>
  <c r="AK11" i="19" s="1"/>
  <c r="T21" i="19"/>
  <c r="T28" i="19"/>
  <c r="AK28" i="19" s="1"/>
  <c r="H11" i="7"/>
  <c r="Y11" i="7" s="1"/>
  <c r="AH11" i="7" s="1"/>
  <c r="S11" i="19"/>
  <c r="AJ11" i="19" s="1"/>
  <c r="H13" i="7"/>
  <c r="Y13" i="7" s="1"/>
  <c r="S13" i="19"/>
  <c r="AJ13" i="19" s="1"/>
  <c r="H27" i="7"/>
  <c r="Y27" i="7" s="1"/>
  <c r="AH27" i="7" s="1"/>
  <c r="S27" i="19"/>
  <c r="AJ27" i="19" s="1"/>
  <c r="H7" i="7"/>
  <c r="Y7" i="7" s="1"/>
  <c r="AH7" i="7" s="1"/>
  <c r="S7" i="19"/>
  <c r="AJ7" i="19" s="1"/>
  <c r="H9" i="7"/>
  <c r="Y9" i="7" s="1"/>
  <c r="AH9" i="7" s="1"/>
  <c r="S9" i="19"/>
  <c r="AJ9" i="19" s="1"/>
  <c r="S16" i="19"/>
  <c r="AJ16" i="19" s="1"/>
  <c r="H16" i="7"/>
  <c r="Y16" i="7" s="1"/>
  <c r="AH16" i="7" s="1"/>
  <c r="H12" i="7"/>
  <c r="S12" i="19"/>
  <c r="AJ12" i="19" s="1"/>
  <c r="T23" i="19"/>
  <c r="AK23" i="19" s="1"/>
  <c r="S20" i="19"/>
  <c r="AJ20" i="19" s="1"/>
  <c r="H20" i="7"/>
  <c r="Y20" i="7" s="1"/>
  <c r="AH20" i="7" s="1"/>
  <c r="S14" i="19"/>
  <c r="AJ14" i="19" s="1"/>
  <c r="H14" i="7"/>
  <c r="Y14" i="7" s="1"/>
  <c r="AH14" i="7" s="1"/>
  <c r="S21" i="19"/>
  <c r="AJ21" i="19" s="1"/>
  <c r="H21" i="7"/>
  <c r="Y21" i="7" s="1"/>
  <c r="AH21" i="7" s="1"/>
  <c r="H19" i="7"/>
  <c r="Y19" i="7" s="1"/>
  <c r="AH19" i="7" s="1"/>
  <c r="S19" i="19"/>
  <c r="AJ19" i="19" s="1"/>
  <c r="H6" i="7"/>
  <c r="Y6" i="7" s="1"/>
  <c r="AH6" i="7" s="1"/>
  <c r="S6" i="19"/>
  <c r="AJ6" i="19" s="1"/>
  <c r="H25" i="7"/>
  <c r="Y25" i="7" s="1"/>
  <c r="AH25" i="7" s="1"/>
  <c r="S25" i="19"/>
  <c r="AJ25" i="19" s="1"/>
  <c r="H18" i="7"/>
  <c r="Y18" i="7" s="1"/>
  <c r="AH18" i="7" s="1"/>
  <c r="S18" i="19"/>
  <c r="AJ18" i="19" s="1"/>
  <c r="H24" i="7"/>
  <c r="Y24" i="7" s="1"/>
  <c r="AH24" i="7" s="1"/>
  <c r="S24" i="19"/>
  <c r="AJ24" i="19" s="1"/>
  <c r="H22" i="7"/>
  <c r="Y22" i="7" s="1"/>
  <c r="AH22" i="7" s="1"/>
  <c r="S22" i="19"/>
  <c r="AJ22" i="19" s="1"/>
  <c r="T27" i="19"/>
  <c r="AK27" i="19" s="1"/>
  <c r="T20" i="19"/>
  <c r="S23" i="19"/>
  <c r="AJ23" i="19" s="1"/>
  <c r="H23" i="7"/>
  <c r="Y23" i="7" s="1"/>
  <c r="AH23" i="7" s="1"/>
  <c r="H10" i="7"/>
  <c r="Y10" i="7" s="1"/>
  <c r="AH10" i="7" s="1"/>
  <c r="S10" i="19"/>
  <c r="AJ10" i="19" s="1"/>
  <c r="H5" i="7"/>
  <c r="Y5" i="7" s="1"/>
  <c r="AH5" i="7" s="1"/>
  <c r="S5" i="19"/>
  <c r="H11" i="18" s="1"/>
  <c r="H8" i="7"/>
  <c r="Y8" i="7" s="1"/>
  <c r="AH8" i="7" s="1"/>
  <c r="S8" i="19"/>
  <c r="AJ8" i="19" s="1"/>
  <c r="S26" i="19"/>
  <c r="AJ26" i="19" s="1"/>
  <c r="H26" i="7"/>
  <c r="Y26" i="7" s="1"/>
  <c r="AH26" i="7" s="1"/>
  <c r="H17" i="7"/>
  <c r="Y17" i="7" s="1"/>
  <c r="AH17" i="7" s="1"/>
  <c r="S17" i="19"/>
  <c r="AJ17" i="19" s="1"/>
  <c r="S28" i="19"/>
  <c r="AJ28" i="19" s="1"/>
  <c r="H28" i="7"/>
  <c r="Y28" i="7" s="1"/>
  <c r="AH28" i="7" s="1"/>
  <c r="I16" i="20"/>
  <c r="J16" i="20"/>
  <c r="J34" i="20"/>
  <c r="J31" i="20"/>
  <c r="J13" i="20"/>
  <c r="J15" i="20"/>
  <c r="J11" i="20"/>
  <c r="J12" i="20"/>
  <c r="J33" i="20"/>
  <c r="J19" i="20"/>
  <c r="J18" i="20"/>
  <c r="J32" i="20"/>
  <c r="I24" i="18"/>
  <c r="AL18" i="19"/>
  <c r="I19" i="18"/>
  <c r="AL13" i="19"/>
  <c r="AL19" i="19"/>
  <c r="I25" i="18"/>
  <c r="I27" i="18"/>
  <c r="AL21" i="19"/>
  <c r="AL15" i="19"/>
  <c r="I21" i="18"/>
  <c r="AL8" i="19"/>
  <c r="I14" i="18"/>
  <c r="AA23" i="7"/>
  <c r="AJ23" i="7" s="1"/>
  <c r="AL28" i="19"/>
  <c r="I34" i="18"/>
  <c r="AA16" i="7"/>
  <c r="AJ16" i="7" s="1"/>
  <c r="I15" i="18"/>
  <c r="AL9" i="19"/>
  <c r="AL22" i="19"/>
  <c r="I28" i="18"/>
  <c r="I29" i="18"/>
  <c r="AL23" i="19"/>
  <c r="AA28" i="7"/>
  <c r="AJ28" i="7" s="1"/>
  <c r="I22" i="18"/>
  <c r="AL16" i="19"/>
  <c r="AA9" i="7"/>
  <c r="AJ9" i="7" s="1"/>
  <c r="AA22" i="7"/>
  <c r="AJ22" i="7" s="1"/>
  <c r="AA24" i="7"/>
  <c r="AJ24" i="7" s="1"/>
  <c r="AA20" i="7"/>
  <c r="AJ20" i="7" s="1"/>
  <c r="AA14" i="7"/>
  <c r="AJ14" i="7" s="1"/>
  <c r="AA11" i="7"/>
  <c r="AJ11" i="7" s="1"/>
  <c r="I12" i="18"/>
  <c r="AL6" i="19"/>
  <c r="AA26" i="7"/>
  <c r="AJ26" i="7" s="1"/>
  <c r="BB26" i="7" s="1"/>
  <c r="BT26" i="7" s="1"/>
  <c r="I30" i="18"/>
  <c r="AL24" i="19"/>
  <c r="AL26" i="19"/>
  <c r="I32" i="18"/>
  <c r="AA12" i="7"/>
  <c r="AJ12" i="7" s="1"/>
  <c r="BB12" i="7" s="1"/>
  <c r="BT12" i="7" s="1"/>
  <c r="AA5" i="7"/>
  <c r="AJ5" i="7" s="1"/>
  <c r="AL27" i="19"/>
  <c r="I33" i="18"/>
  <c r="I23" i="18"/>
  <c r="AL17" i="19"/>
  <c r="I31" i="18"/>
  <c r="AL25" i="19"/>
  <c r="AA7" i="7"/>
  <c r="AJ7" i="7" s="1"/>
  <c r="AA6" i="7"/>
  <c r="AJ6" i="7" s="1"/>
  <c r="I18" i="18"/>
  <c r="AL12" i="19"/>
  <c r="AL5" i="19"/>
  <c r="U29" i="19"/>
  <c r="I11" i="18"/>
  <c r="AA27" i="7"/>
  <c r="AJ27" i="7" s="1"/>
  <c r="AA17" i="7"/>
  <c r="AJ17" i="7" s="1"/>
  <c r="AA25" i="7"/>
  <c r="AJ25" i="7" s="1"/>
  <c r="I13" i="18"/>
  <c r="AL7" i="19"/>
  <c r="AL20" i="19"/>
  <c r="I26" i="18"/>
  <c r="I20" i="18"/>
  <c r="AL14" i="19"/>
  <c r="AL11" i="19"/>
  <c r="I17" i="18"/>
  <c r="AA18" i="7"/>
  <c r="AJ18" i="7" s="1"/>
  <c r="AA13" i="7"/>
  <c r="AJ13" i="7" s="1"/>
  <c r="AA19" i="7"/>
  <c r="AJ19" i="7" s="1"/>
  <c r="AA21" i="7"/>
  <c r="AJ21" i="7" s="1"/>
  <c r="AA15" i="7"/>
  <c r="AJ15" i="7" s="1"/>
  <c r="AA8" i="7"/>
  <c r="AJ8" i="7" s="1"/>
  <c r="AK16" i="19"/>
  <c r="AK12" i="19"/>
  <c r="AK10" i="19"/>
  <c r="Z19" i="7"/>
  <c r="AI19" i="7" s="1"/>
  <c r="Z7" i="7"/>
  <c r="AI7" i="7" s="1"/>
  <c r="AK14" i="19"/>
  <c r="AK22" i="19"/>
  <c r="AK25" i="19"/>
  <c r="AK5" i="19"/>
  <c r="Z8" i="7"/>
  <c r="AI8" i="7" s="1"/>
  <c r="Z11" i="7"/>
  <c r="AI11" i="7" s="1"/>
  <c r="Z26" i="7"/>
  <c r="AI26" i="7" s="1"/>
  <c r="Z6" i="7"/>
  <c r="AI6" i="7" s="1"/>
  <c r="Z9" i="7"/>
  <c r="AI9" i="7" s="1"/>
  <c r="Z17" i="7"/>
  <c r="AI17" i="7" s="1"/>
  <c r="Z28" i="7"/>
  <c r="AI28" i="7" s="1"/>
  <c r="Z23" i="7"/>
  <c r="AI23" i="7" s="1"/>
  <c r="AK24" i="19"/>
  <c r="Z13" i="7"/>
  <c r="AI13" i="7" s="1"/>
  <c r="Z21" i="7"/>
  <c r="AI21" i="7" s="1"/>
  <c r="Z24" i="7"/>
  <c r="AI24" i="7" s="1"/>
  <c r="Z27" i="7"/>
  <c r="AI27" i="7" s="1"/>
  <c r="Z20" i="7"/>
  <c r="AI20" i="7" s="1"/>
  <c r="Z15" i="7"/>
  <c r="AI15" i="7" s="1"/>
  <c r="H21" i="17"/>
  <c r="Z18" i="7"/>
  <c r="AI18" i="7" s="1"/>
  <c r="D63" i="14"/>
  <c r="G6" i="15"/>
  <c r="G14" i="15"/>
  <c r="X14" i="15" s="1"/>
  <c r="G22" i="15"/>
  <c r="X22" i="15" s="1"/>
  <c r="G8" i="15"/>
  <c r="X8" i="15" s="1"/>
  <c r="G7" i="15"/>
  <c r="X7" i="15" s="1"/>
  <c r="G15" i="15"/>
  <c r="X15" i="15" s="1"/>
  <c r="G23" i="15"/>
  <c r="X23" i="15" s="1"/>
  <c r="G16" i="15"/>
  <c r="X16" i="15" s="1"/>
  <c r="G12" i="15"/>
  <c r="X12" i="15" s="1"/>
  <c r="G9" i="15"/>
  <c r="X9" i="15" s="1"/>
  <c r="G17" i="15"/>
  <c r="X17" i="15" s="1"/>
  <c r="G25" i="15"/>
  <c r="X25" i="15" s="1"/>
  <c r="G19" i="15"/>
  <c r="X19" i="15" s="1"/>
  <c r="G27" i="15"/>
  <c r="X27" i="15" s="1"/>
  <c r="G28" i="15"/>
  <c r="X28" i="15" s="1"/>
  <c r="G10" i="15"/>
  <c r="X10" i="15" s="1"/>
  <c r="G18" i="15"/>
  <c r="X18" i="15" s="1"/>
  <c r="G26" i="15"/>
  <c r="X26" i="15" s="1"/>
  <c r="G11" i="15"/>
  <c r="X11" i="15" s="1"/>
  <c r="G20" i="15"/>
  <c r="X20" i="15" s="1"/>
  <c r="G13" i="15"/>
  <c r="X13" i="15" s="1"/>
  <c r="G21" i="15"/>
  <c r="X21" i="15" s="1"/>
  <c r="G29" i="15"/>
  <c r="X29" i="15" s="1"/>
  <c r="G24" i="15"/>
  <c r="X24" i="15" s="1"/>
  <c r="Q12" i="19"/>
  <c r="AH12" i="19" s="1"/>
  <c r="Q5" i="19"/>
  <c r="AH5" i="19" s="1"/>
  <c r="BO5" i="19"/>
  <c r="Q19" i="19"/>
  <c r="AH19" i="19" s="1"/>
  <c r="Q20" i="19"/>
  <c r="AH20" i="19" s="1"/>
  <c r="Q11" i="19"/>
  <c r="AH11" i="19" s="1"/>
  <c r="Q28" i="19"/>
  <c r="AH28" i="19" s="1"/>
  <c r="Q6" i="19"/>
  <c r="AH6" i="19" s="1"/>
  <c r="Q24" i="19"/>
  <c r="AH24" i="19" s="1"/>
  <c r="Q7" i="19"/>
  <c r="AH7" i="19" s="1"/>
  <c r="Q26" i="19"/>
  <c r="AH26" i="19" s="1"/>
  <c r="Q23" i="19"/>
  <c r="AH23" i="19" s="1"/>
  <c r="Q21" i="19"/>
  <c r="AH21" i="19" s="1"/>
  <c r="Q18" i="19"/>
  <c r="AH18" i="19" s="1"/>
  <c r="Q25" i="19"/>
  <c r="AH25" i="19" s="1"/>
  <c r="Q8" i="19"/>
  <c r="AH8" i="19" s="1"/>
  <c r="Q22" i="19"/>
  <c r="AH22" i="19" s="1"/>
  <c r="Q10" i="19"/>
  <c r="AH10" i="19" s="1"/>
  <c r="BF25" i="19"/>
  <c r="AW25" i="19"/>
  <c r="BO25" i="19" s="1"/>
  <c r="Q27" i="19"/>
  <c r="AH27" i="19" s="1"/>
  <c r="F7" i="7"/>
  <c r="F12" i="7"/>
  <c r="F6" i="7"/>
  <c r="F21" i="7"/>
  <c r="F19" i="7"/>
  <c r="F23" i="7"/>
  <c r="F28" i="7"/>
  <c r="F10" i="7"/>
  <c r="F11" i="7"/>
  <c r="F18" i="7"/>
  <c r="F24" i="7"/>
  <c r="F25" i="7"/>
  <c r="F8" i="7"/>
  <c r="F27" i="7"/>
  <c r="F22" i="7"/>
  <c r="F26" i="7"/>
  <c r="F20" i="7"/>
  <c r="Y30" i="15"/>
  <c r="AA30" i="15"/>
  <c r="Z30" i="15"/>
  <c r="P30" i="15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AC25" i="7"/>
  <c r="AU25" i="7" s="1"/>
  <c r="Q62" i="14"/>
  <c r="Q63" i="14"/>
  <c r="Q40" i="14"/>
  <c r="BB10" i="7"/>
  <c r="BT10" i="7" s="1"/>
  <c r="AZ15" i="7"/>
  <c r="BR15" i="7" s="1"/>
  <c r="AS10" i="7"/>
  <c r="BK10" i="7" s="1"/>
  <c r="AQ15" i="7"/>
  <c r="BI15" i="7" s="1"/>
  <c r="R29" i="7"/>
  <c r="T29" i="7"/>
  <c r="U29" i="7"/>
  <c r="O29" i="7"/>
  <c r="P29" i="7"/>
  <c r="Q29" i="7"/>
  <c r="I20" i="21" l="1"/>
  <c r="I11" i="21"/>
  <c r="I31" i="21"/>
  <c r="I29" i="21"/>
  <c r="I32" i="21"/>
  <c r="I26" i="21"/>
  <c r="I28" i="21"/>
  <c r="I14" i="21"/>
  <c r="I23" i="21"/>
  <c r="I30" i="21"/>
  <c r="I19" i="21"/>
  <c r="I34" i="21"/>
  <c r="I33" i="21"/>
  <c r="I21" i="21"/>
  <c r="I13" i="21"/>
  <c r="I18" i="21"/>
  <c r="I15" i="21"/>
  <c r="I24" i="21"/>
  <c r="I27" i="21"/>
  <c r="I25" i="21"/>
  <c r="I17" i="21"/>
  <c r="I12" i="21"/>
  <c r="I22" i="21"/>
  <c r="AB24" i="15"/>
  <c r="AB23" i="15"/>
  <c r="AB22" i="15"/>
  <c r="AB21" i="15"/>
  <c r="AB20" i="15"/>
  <c r="AB18" i="15"/>
  <c r="AB19" i="15"/>
  <c r="AB17" i="15"/>
  <c r="AB16" i="15"/>
  <c r="AB15" i="15"/>
  <c r="I20" i="20"/>
  <c r="I29" i="20"/>
  <c r="I17" i="20"/>
  <c r="I12" i="20"/>
  <c r="Y12" i="7"/>
  <c r="AH12" i="7" s="1"/>
  <c r="H18" i="17"/>
  <c r="H21" i="18"/>
  <c r="AZ18" i="7"/>
  <c r="BR18" i="7" s="1"/>
  <c r="AH13" i="7"/>
  <c r="H19" i="18"/>
  <c r="AZ16" i="7"/>
  <c r="BR16" i="7" s="1"/>
  <c r="H24" i="17"/>
  <c r="AZ11" i="7"/>
  <c r="BR11" i="7" s="1"/>
  <c r="AQ11" i="7"/>
  <c r="BI11" i="7" s="1"/>
  <c r="H14" i="17"/>
  <c r="H22" i="17"/>
  <c r="AQ18" i="7"/>
  <c r="BI18" i="7" s="1"/>
  <c r="AQ16" i="7"/>
  <c r="BI16" i="7" s="1"/>
  <c r="H27" i="18"/>
  <c r="AK21" i="19"/>
  <c r="AT21" i="19" s="1"/>
  <c r="BL21" i="19" s="1"/>
  <c r="CD21" i="19" s="1"/>
  <c r="AQ28" i="7"/>
  <c r="BI28" i="7" s="1"/>
  <c r="AQ6" i="7"/>
  <c r="BI6" i="7" s="1"/>
  <c r="AQ20" i="7"/>
  <c r="BI20" i="7" s="1"/>
  <c r="AZ28" i="7"/>
  <c r="BR28" i="7" s="1"/>
  <c r="AZ7" i="7"/>
  <c r="BR7" i="7" s="1"/>
  <c r="H26" i="17"/>
  <c r="H34" i="17"/>
  <c r="AQ9" i="7"/>
  <c r="BI9" i="7" s="1"/>
  <c r="H17" i="18"/>
  <c r="H34" i="18"/>
  <c r="AZ9" i="7"/>
  <c r="BR9" i="7" s="1"/>
  <c r="H17" i="17"/>
  <c r="AZ20" i="7"/>
  <c r="BR20" i="7" s="1"/>
  <c r="H15" i="17"/>
  <c r="H12" i="18"/>
  <c r="H28" i="18"/>
  <c r="H31" i="17"/>
  <c r="T29" i="19"/>
  <c r="H15" i="18"/>
  <c r="AQ25" i="7"/>
  <c r="BI25" i="7" s="1"/>
  <c r="AQ8" i="7"/>
  <c r="BI8" i="7" s="1"/>
  <c r="AZ25" i="7"/>
  <c r="BR25" i="7" s="1"/>
  <c r="AZ8" i="7"/>
  <c r="BR8" i="7" s="1"/>
  <c r="H20" i="18"/>
  <c r="H31" i="18"/>
  <c r="H14" i="18"/>
  <c r="AZ14" i="7"/>
  <c r="BR14" i="7" s="1"/>
  <c r="H26" i="18"/>
  <c r="AZ13" i="7"/>
  <c r="BR13" i="7" s="1"/>
  <c r="AK20" i="19"/>
  <c r="H22" i="18"/>
  <c r="AQ14" i="7"/>
  <c r="BI14" i="7" s="1"/>
  <c r="H19" i="17"/>
  <c r="AQ13" i="7"/>
  <c r="BI13" i="7" s="1"/>
  <c r="H20" i="17"/>
  <c r="AZ26" i="7"/>
  <c r="BR26" i="7" s="1"/>
  <c r="AZ23" i="7"/>
  <c r="BR23" i="7" s="1"/>
  <c r="AZ21" i="7"/>
  <c r="BR21" i="7" s="1"/>
  <c r="H33" i="17"/>
  <c r="H16" i="17"/>
  <c r="AQ24" i="7"/>
  <c r="BI24" i="7" s="1"/>
  <c r="AQ21" i="7"/>
  <c r="BI21" i="7" s="1"/>
  <c r="AZ19" i="7"/>
  <c r="BR19" i="7" s="1"/>
  <c r="H18" i="18"/>
  <c r="AQ23" i="7"/>
  <c r="BI23" i="7" s="1"/>
  <c r="AZ27" i="7"/>
  <c r="BR27" i="7" s="1"/>
  <c r="H30" i="17"/>
  <c r="AQ19" i="7"/>
  <c r="BI19" i="7" s="1"/>
  <c r="AZ10" i="7"/>
  <c r="BR10" i="7" s="1"/>
  <c r="AQ27" i="7"/>
  <c r="BI27" i="7" s="1"/>
  <c r="H27" i="17"/>
  <c r="H23" i="17"/>
  <c r="AZ17" i="7"/>
  <c r="BR17" i="7" s="1"/>
  <c r="AQ26" i="7"/>
  <c r="BI26" i="7" s="1"/>
  <c r="AQ17" i="7"/>
  <c r="BI17" i="7" s="1"/>
  <c r="AQ10" i="7"/>
  <c r="BI10" i="7" s="1"/>
  <c r="AZ24" i="7"/>
  <c r="BR24" i="7" s="1"/>
  <c r="H33" i="18"/>
  <c r="H29" i="18"/>
  <c r="H32" i="18"/>
  <c r="H25" i="17"/>
  <c r="AS28" i="19"/>
  <c r="BK28" i="19" s="1"/>
  <c r="CC28" i="19" s="1"/>
  <c r="BB28" i="19"/>
  <c r="BT28" i="19" s="1"/>
  <c r="AZ22" i="7"/>
  <c r="BR22" i="7" s="1"/>
  <c r="AS24" i="19"/>
  <c r="BK24" i="19" s="1"/>
  <c r="CC24" i="19" s="1"/>
  <c r="BB24" i="19"/>
  <c r="BT24" i="19" s="1"/>
  <c r="BB19" i="19"/>
  <c r="BT19" i="19" s="1"/>
  <c r="AS19" i="19"/>
  <c r="BK19" i="19" s="1"/>
  <c r="CC19" i="19" s="1"/>
  <c r="AZ5" i="7"/>
  <c r="BR5" i="7" s="1"/>
  <c r="AZ6" i="7"/>
  <c r="BR6" i="7" s="1"/>
  <c r="H29" i="17"/>
  <c r="H12" i="17"/>
  <c r="H23" i="18"/>
  <c r="H11" i="17"/>
  <c r="H11" i="20" s="1"/>
  <c r="AS12" i="19"/>
  <c r="BK12" i="19" s="1"/>
  <c r="CC12" i="19" s="1"/>
  <c r="BB12" i="19"/>
  <c r="BT12" i="19" s="1"/>
  <c r="AS27" i="19"/>
  <c r="BK27" i="19" s="1"/>
  <c r="CC27" i="19" s="1"/>
  <c r="BB27" i="19"/>
  <c r="BT27" i="19" s="1"/>
  <c r="AS7" i="19"/>
  <c r="BK7" i="19" s="1"/>
  <c r="CC7" i="19" s="1"/>
  <c r="BB7" i="19"/>
  <c r="BT7" i="19" s="1"/>
  <c r="AS17" i="19"/>
  <c r="BK17" i="19" s="1"/>
  <c r="CC17" i="19" s="1"/>
  <c r="BB17" i="19"/>
  <c r="BT17" i="19" s="1"/>
  <c r="H25" i="18"/>
  <c r="AS18" i="19"/>
  <c r="BK18" i="19" s="1"/>
  <c r="CC18" i="19" s="1"/>
  <c r="BB18" i="19"/>
  <c r="BT18" i="19" s="1"/>
  <c r="H24" i="18"/>
  <c r="H30" i="18"/>
  <c r="H32" i="17"/>
  <c r="AS26" i="19"/>
  <c r="BK26" i="19" s="1"/>
  <c r="CC26" i="19" s="1"/>
  <c r="BB26" i="19"/>
  <c r="BT26" i="19" s="1"/>
  <c r="AS23" i="19"/>
  <c r="BK23" i="19" s="1"/>
  <c r="CC23" i="19" s="1"/>
  <c r="BB23" i="19"/>
  <c r="BT23" i="19" s="1"/>
  <c r="AS21" i="19"/>
  <c r="BK21" i="19" s="1"/>
  <c r="CC21" i="19" s="1"/>
  <c r="BB21" i="19"/>
  <c r="BT21" i="19" s="1"/>
  <c r="BB13" i="19"/>
  <c r="BT13" i="19" s="1"/>
  <c r="AS13" i="19"/>
  <c r="BK13" i="19" s="1"/>
  <c r="CC13" i="19" s="1"/>
  <c r="BB20" i="19"/>
  <c r="BT20" i="19" s="1"/>
  <c r="AS20" i="19"/>
  <c r="BK20" i="19" s="1"/>
  <c r="CC20" i="19" s="1"/>
  <c r="AQ5" i="7"/>
  <c r="BI5" i="7" s="1"/>
  <c r="AS10" i="19"/>
  <c r="BK10" i="19" s="1"/>
  <c r="CC10" i="19" s="1"/>
  <c r="BB10" i="19"/>
  <c r="BT10" i="19" s="1"/>
  <c r="H16" i="18"/>
  <c r="AS8" i="19"/>
  <c r="BK8" i="19" s="1"/>
  <c r="CC8" i="19" s="1"/>
  <c r="BB8" i="19"/>
  <c r="BT8" i="19" s="1"/>
  <c r="AS25" i="19"/>
  <c r="BK25" i="19" s="1"/>
  <c r="CC25" i="19" s="1"/>
  <c r="BB25" i="19"/>
  <c r="BT25" i="19" s="1"/>
  <c r="AS16" i="19"/>
  <c r="BK16" i="19" s="1"/>
  <c r="CC16" i="19" s="1"/>
  <c r="BB16" i="19"/>
  <c r="BT16" i="19" s="1"/>
  <c r="AS14" i="19"/>
  <c r="BK14" i="19" s="1"/>
  <c r="CC14" i="19" s="1"/>
  <c r="BB14" i="19"/>
  <c r="BT14" i="19" s="1"/>
  <c r="AS9" i="19"/>
  <c r="BK9" i="19" s="1"/>
  <c r="CC9" i="19" s="1"/>
  <c r="BB9" i="19"/>
  <c r="BT9" i="19" s="1"/>
  <c r="AS11" i="19"/>
  <c r="BK11" i="19" s="1"/>
  <c r="CC11" i="19" s="1"/>
  <c r="BB11" i="19"/>
  <c r="BT11" i="19" s="1"/>
  <c r="H28" i="17"/>
  <c r="AQ22" i="7"/>
  <c r="BI22" i="7" s="1"/>
  <c r="AQ7" i="7"/>
  <c r="BI7" i="7" s="1"/>
  <c r="H13" i="17"/>
  <c r="H13" i="18"/>
  <c r="AJ5" i="19"/>
  <c r="S29" i="19"/>
  <c r="AS22" i="19"/>
  <c r="BK22" i="19" s="1"/>
  <c r="CC22" i="19" s="1"/>
  <c r="BB22" i="19"/>
  <c r="BT22" i="19" s="1"/>
  <c r="AS6" i="19"/>
  <c r="BK6" i="19" s="1"/>
  <c r="CC6" i="19" s="1"/>
  <c r="BB6" i="19"/>
  <c r="BT6" i="19" s="1"/>
  <c r="AQ10" i="19"/>
  <c r="AQ19" i="19"/>
  <c r="AQ22" i="19"/>
  <c r="AQ8" i="19"/>
  <c r="AQ25" i="19"/>
  <c r="AQ24" i="19"/>
  <c r="AQ12" i="19"/>
  <c r="AQ18" i="19"/>
  <c r="AQ6" i="19"/>
  <c r="AQ5" i="19"/>
  <c r="AQ27" i="19"/>
  <c r="AQ21" i="19"/>
  <c r="AQ28" i="19"/>
  <c r="AQ23" i="19"/>
  <c r="AQ11" i="19"/>
  <c r="AQ26" i="19"/>
  <c r="AQ20" i="19"/>
  <c r="AQ7" i="19"/>
  <c r="AS5" i="7"/>
  <c r="BK5" i="7" s="1"/>
  <c r="I11" i="20"/>
  <c r="I13" i="20"/>
  <c r="I32" i="20"/>
  <c r="AS27" i="7"/>
  <c r="BK27" i="7" s="1"/>
  <c r="I26" i="20"/>
  <c r="I21" i="20"/>
  <c r="I31" i="20"/>
  <c r="I24" i="20"/>
  <c r="I34" i="20"/>
  <c r="I18" i="20"/>
  <c r="I23" i="20"/>
  <c r="I27" i="20"/>
  <c r="I33" i="20"/>
  <c r="I28" i="20"/>
  <c r="I25" i="20"/>
  <c r="I30" i="20"/>
  <c r="I14" i="20"/>
  <c r="I22" i="20"/>
  <c r="I15" i="20"/>
  <c r="I19" i="20"/>
  <c r="BB5" i="7"/>
  <c r="BT5" i="7" s="1"/>
  <c r="BB13" i="7"/>
  <c r="BT13" i="7" s="1"/>
  <c r="BB8" i="7"/>
  <c r="BT8" i="7" s="1"/>
  <c r="BB27" i="7"/>
  <c r="BT27" i="7" s="1"/>
  <c r="AS13" i="7"/>
  <c r="BK13" i="7" s="1"/>
  <c r="AS20" i="7"/>
  <c r="BK20" i="7" s="1"/>
  <c r="AS8" i="7"/>
  <c r="BK8" i="7" s="1"/>
  <c r="BB14" i="7"/>
  <c r="BT14" i="7" s="1"/>
  <c r="BB18" i="7"/>
  <c r="BT18" i="7" s="1"/>
  <c r="AS15" i="7"/>
  <c r="BK15" i="7" s="1"/>
  <c r="AS25" i="7"/>
  <c r="BK25" i="7" s="1"/>
  <c r="BB22" i="7"/>
  <c r="BT22" i="7" s="1"/>
  <c r="AS21" i="7"/>
  <c r="BK21" i="7" s="1"/>
  <c r="AS6" i="7"/>
  <c r="BK6" i="7" s="1"/>
  <c r="BB21" i="7"/>
  <c r="BT21" i="7" s="1"/>
  <c r="BB11" i="7"/>
  <c r="BT11" i="7" s="1"/>
  <c r="BB16" i="7"/>
  <c r="BT16" i="7" s="1"/>
  <c r="AA29" i="7"/>
  <c r="AS24" i="7"/>
  <c r="BK24" i="7" s="1"/>
  <c r="AS9" i="7"/>
  <c r="BK9" i="7" s="1"/>
  <c r="BB25" i="7"/>
  <c r="BT25" i="7" s="1"/>
  <c r="BB6" i="7"/>
  <c r="BT6" i="7" s="1"/>
  <c r="AS23" i="7"/>
  <c r="BK23" i="7" s="1"/>
  <c r="BB23" i="7"/>
  <c r="BT23" i="7" s="1"/>
  <c r="BB9" i="7"/>
  <c r="BT9" i="7" s="1"/>
  <c r="AS22" i="7"/>
  <c r="BK22" i="7" s="1"/>
  <c r="AS11" i="7"/>
  <c r="BK11" i="7" s="1"/>
  <c r="AS26" i="7"/>
  <c r="BK26" i="7" s="1"/>
  <c r="BB7" i="7"/>
  <c r="BT7" i="7" s="1"/>
  <c r="AS16" i="7"/>
  <c r="BK16" i="7" s="1"/>
  <c r="AS7" i="7"/>
  <c r="BK7" i="7" s="1"/>
  <c r="BB28" i="7"/>
  <c r="BT28" i="7" s="1"/>
  <c r="BB24" i="7"/>
  <c r="BT24" i="7" s="1"/>
  <c r="BB20" i="7"/>
  <c r="BT20" i="7" s="1"/>
  <c r="AS19" i="7"/>
  <c r="BK19" i="7" s="1"/>
  <c r="AJ29" i="7"/>
  <c r="AS17" i="7"/>
  <c r="BK17" i="7" s="1"/>
  <c r="AS28" i="7"/>
  <c r="BK28" i="7" s="1"/>
  <c r="AS12" i="7"/>
  <c r="BK12" i="7" s="1"/>
  <c r="BB17" i="7"/>
  <c r="BT17" i="7" s="1"/>
  <c r="AU11" i="19"/>
  <c r="BM11" i="19" s="1"/>
  <c r="CE11" i="19" s="1"/>
  <c r="BD11" i="19"/>
  <c r="BV11" i="19" s="1"/>
  <c r="BD12" i="19"/>
  <c r="BV12" i="19" s="1"/>
  <c r="AU12" i="19"/>
  <c r="BM12" i="19" s="1"/>
  <c r="CE12" i="19" s="1"/>
  <c r="AU17" i="19"/>
  <c r="BM17" i="19" s="1"/>
  <c r="CE17" i="19" s="1"/>
  <c r="BD17" i="19"/>
  <c r="BV17" i="19" s="1"/>
  <c r="AU23" i="19"/>
  <c r="BM23" i="19" s="1"/>
  <c r="CE23" i="19" s="1"/>
  <c r="BD23" i="19"/>
  <c r="BV23" i="19" s="1"/>
  <c r="AU21" i="19"/>
  <c r="BM21" i="19" s="1"/>
  <c r="CE21" i="19" s="1"/>
  <c r="BD21" i="19"/>
  <c r="BV21" i="19" s="1"/>
  <c r="BD14" i="19"/>
  <c r="BV14" i="19" s="1"/>
  <c r="AU14" i="19"/>
  <c r="BM14" i="19" s="1"/>
  <c r="CE14" i="19" s="1"/>
  <c r="AU28" i="19"/>
  <c r="BM28" i="19" s="1"/>
  <c r="CE28" i="19" s="1"/>
  <c r="BD28" i="19"/>
  <c r="BV28" i="19" s="1"/>
  <c r="AU27" i="19"/>
  <c r="BM27" i="19" s="1"/>
  <c r="CE27" i="19" s="1"/>
  <c r="BD27" i="19"/>
  <c r="BV27" i="19" s="1"/>
  <c r="AU22" i="19"/>
  <c r="BM22" i="19" s="1"/>
  <c r="CE22" i="19" s="1"/>
  <c r="BD22" i="19"/>
  <c r="BV22" i="19" s="1"/>
  <c r="BD19" i="19"/>
  <c r="BV19" i="19" s="1"/>
  <c r="AU19" i="19"/>
  <c r="BM19" i="19" s="1"/>
  <c r="CE19" i="19" s="1"/>
  <c r="AU26" i="19"/>
  <c r="BM26" i="19" s="1"/>
  <c r="CE26" i="19" s="1"/>
  <c r="BD26" i="19"/>
  <c r="BV26" i="19" s="1"/>
  <c r="BD24" i="19"/>
  <c r="BV24" i="19" s="1"/>
  <c r="AU24" i="19"/>
  <c r="BM24" i="19" s="1"/>
  <c r="CE24" i="19" s="1"/>
  <c r="AS18" i="7"/>
  <c r="BK18" i="7" s="1"/>
  <c r="AS14" i="7"/>
  <c r="BK14" i="7" s="1"/>
  <c r="BB19" i="7"/>
  <c r="BT19" i="7" s="1"/>
  <c r="BB15" i="7"/>
  <c r="BT15" i="7" s="1"/>
  <c r="AU20" i="19"/>
  <c r="BM20" i="19" s="1"/>
  <c r="CE20" i="19" s="1"/>
  <c r="BD20" i="19"/>
  <c r="BV20" i="19" s="1"/>
  <c r="I35" i="17"/>
  <c r="BD16" i="19"/>
  <c r="BV16" i="19" s="1"/>
  <c r="AU16" i="19"/>
  <c r="BM16" i="19" s="1"/>
  <c r="CE16" i="19" s="1"/>
  <c r="AU9" i="19"/>
  <c r="BM9" i="19" s="1"/>
  <c r="CE9" i="19" s="1"/>
  <c r="BD9" i="19"/>
  <c r="BV9" i="19" s="1"/>
  <c r="AU13" i="19"/>
  <c r="BM13" i="19" s="1"/>
  <c r="CE13" i="19" s="1"/>
  <c r="BD13" i="19"/>
  <c r="BV13" i="19" s="1"/>
  <c r="BD7" i="19"/>
  <c r="BV7" i="19" s="1"/>
  <c r="AU7" i="19"/>
  <c r="BM7" i="19" s="1"/>
  <c r="CE7" i="19" s="1"/>
  <c r="I35" i="18"/>
  <c r="AU8" i="19"/>
  <c r="BM8" i="19" s="1"/>
  <c r="CE8" i="19" s="1"/>
  <c r="BD8" i="19"/>
  <c r="BV8" i="19" s="1"/>
  <c r="BD25" i="19"/>
  <c r="BV25" i="19" s="1"/>
  <c r="AU25" i="19"/>
  <c r="BM25" i="19" s="1"/>
  <c r="CE25" i="19" s="1"/>
  <c r="BD6" i="19"/>
  <c r="BV6" i="19" s="1"/>
  <c r="AU6" i="19"/>
  <c r="BM6" i="19" s="1"/>
  <c r="CE6" i="19" s="1"/>
  <c r="AU18" i="19"/>
  <c r="BM18" i="19" s="1"/>
  <c r="CE18" i="19" s="1"/>
  <c r="BD18" i="19"/>
  <c r="BV18" i="19" s="1"/>
  <c r="AU5" i="19"/>
  <c r="BD5" i="19"/>
  <c r="AL29" i="19"/>
  <c r="BD15" i="19"/>
  <c r="BV15" i="19" s="1"/>
  <c r="AU15" i="19"/>
  <c r="BM15" i="19" s="1"/>
  <c r="CE15" i="19" s="1"/>
  <c r="BA9" i="7"/>
  <c r="BS9" i="7" s="1"/>
  <c r="BA7" i="7"/>
  <c r="BS7" i="7" s="1"/>
  <c r="AR27" i="7"/>
  <c r="BJ27" i="7" s="1"/>
  <c r="N33" i="20" s="1"/>
  <c r="BA27" i="7"/>
  <c r="BS27" i="7" s="1"/>
  <c r="AR8" i="7"/>
  <c r="BJ8" i="7" s="1"/>
  <c r="N14" i="20" s="1"/>
  <c r="AR26" i="7"/>
  <c r="BJ26" i="7" s="1"/>
  <c r="N32" i="20" s="1"/>
  <c r="AR19" i="7"/>
  <c r="BJ19" i="7" s="1"/>
  <c r="N25" i="20" s="1"/>
  <c r="BA26" i="7"/>
  <c r="BS26" i="7" s="1"/>
  <c r="BA19" i="7"/>
  <c r="BS19" i="7" s="1"/>
  <c r="BA8" i="7"/>
  <c r="BS8" i="7" s="1"/>
  <c r="AR28" i="7"/>
  <c r="BJ28" i="7" s="1"/>
  <c r="N34" i="20" s="1"/>
  <c r="BA28" i="7"/>
  <c r="BS28" i="7" s="1"/>
  <c r="AR25" i="7"/>
  <c r="BJ25" i="7" s="1"/>
  <c r="N31" i="20" s="1"/>
  <c r="BA25" i="7"/>
  <c r="BS25" i="7" s="1"/>
  <c r="AR22" i="7"/>
  <c r="BJ22" i="7" s="1"/>
  <c r="N28" i="20" s="1"/>
  <c r="BA10" i="7"/>
  <c r="BS10" i="7" s="1"/>
  <c r="BA17" i="7"/>
  <c r="BS17" i="7" s="1"/>
  <c r="AR10" i="7"/>
  <c r="BJ10" i="7" s="1"/>
  <c r="N16" i="20" s="1"/>
  <c r="AR18" i="7"/>
  <c r="BJ18" i="7" s="1"/>
  <c r="N24" i="20" s="1"/>
  <c r="BA22" i="7"/>
  <c r="BS22" i="7" s="1"/>
  <c r="BA24" i="7"/>
  <c r="BS24" i="7" s="1"/>
  <c r="AR24" i="7"/>
  <c r="BJ24" i="7" s="1"/>
  <c r="N30" i="20" s="1"/>
  <c r="AR17" i="7"/>
  <c r="BJ17" i="7" s="1"/>
  <c r="N23" i="20" s="1"/>
  <c r="BA18" i="7"/>
  <c r="BS18" i="7" s="1"/>
  <c r="BA15" i="7"/>
  <c r="BS15" i="7" s="1"/>
  <c r="AR12" i="7"/>
  <c r="BJ12" i="7" s="1"/>
  <c r="N18" i="20" s="1"/>
  <c r="BA21" i="7"/>
  <c r="BS21" i="7" s="1"/>
  <c r="BA12" i="7"/>
  <c r="BS12" i="7" s="1"/>
  <c r="AR14" i="7"/>
  <c r="BJ14" i="7" s="1"/>
  <c r="N20" i="20" s="1"/>
  <c r="AR16" i="7"/>
  <c r="BJ16" i="7" s="1"/>
  <c r="N22" i="20" s="1"/>
  <c r="AR23" i="7"/>
  <c r="BJ23" i="7" s="1"/>
  <c r="N29" i="20" s="1"/>
  <c r="AR6" i="7"/>
  <c r="BJ6" i="7" s="1"/>
  <c r="N12" i="20" s="1"/>
  <c r="BA6" i="7"/>
  <c r="BS6" i="7" s="1"/>
  <c r="BA20" i="7"/>
  <c r="BS20" i="7" s="1"/>
  <c r="AR20" i="7"/>
  <c r="BJ20" i="7" s="1"/>
  <c r="N26" i="20" s="1"/>
  <c r="AI29" i="7"/>
  <c r="BA13" i="7"/>
  <c r="BS13" i="7" s="1"/>
  <c r="BA11" i="7"/>
  <c r="BS11" i="7" s="1"/>
  <c r="AR13" i="7"/>
  <c r="BJ13" i="7" s="1"/>
  <c r="N19" i="20" s="1"/>
  <c r="AR11" i="7"/>
  <c r="BJ11" i="7" s="1"/>
  <c r="N17" i="20" s="1"/>
  <c r="BA23" i="7"/>
  <c r="BS23" i="7" s="1"/>
  <c r="AR5" i="7"/>
  <c r="BJ5" i="7" s="1"/>
  <c r="BA5" i="7"/>
  <c r="BS5" i="7" s="1"/>
  <c r="Z29" i="7"/>
  <c r="AR15" i="7"/>
  <c r="BJ15" i="7" s="1"/>
  <c r="N21" i="20" s="1"/>
  <c r="AR9" i="7"/>
  <c r="BJ9" i="7" s="1"/>
  <c r="N15" i="20" s="1"/>
  <c r="AR7" i="7"/>
  <c r="BJ7" i="7" s="1"/>
  <c r="N13" i="20" s="1"/>
  <c r="BA16" i="7"/>
  <c r="BS16" i="7" s="1"/>
  <c r="BA14" i="7"/>
  <c r="BS14" i="7" s="1"/>
  <c r="AR21" i="7"/>
  <c r="BJ21" i="7" s="1"/>
  <c r="N27" i="20" s="1"/>
  <c r="AT15" i="19"/>
  <c r="BL15" i="19" s="1"/>
  <c r="CD15" i="19" s="1"/>
  <c r="BC15" i="19"/>
  <c r="BU15" i="19" s="1"/>
  <c r="AT23" i="19"/>
  <c r="BL23" i="19" s="1"/>
  <c r="CD23" i="19" s="1"/>
  <c r="BC23" i="19"/>
  <c r="BU23" i="19" s="1"/>
  <c r="AT6" i="19"/>
  <c r="BL6" i="19" s="1"/>
  <c r="CD6" i="19" s="1"/>
  <c r="BC6" i="19"/>
  <c r="BU6" i="19" s="1"/>
  <c r="AT13" i="19"/>
  <c r="BL13" i="19" s="1"/>
  <c r="CD13" i="19" s="1"/>
  <c r="BC13" i="19"/>
  <c r="BU13" i="19" s="1"/>
  <c r="AT14" i="19"/>
  <c r="BL14" i="19" s="1"/>
  <c r="CD14" i="19" s="1"/>
  <c r="BC14" i="19"/>
  <c r="BU14" i="19" s="1"/>
  <c r="AT7" i="19"/>
  <c r="BL7" i="19" s="1"/>
  <c r="CD7" i="19" s="1"/>
  <c r="BC7" i="19"/>
  <c r="BU7" i="19" s="1"/>
  <c r="AT28" i="19"/>
  <c r="BL28" i="19" s="1"/>
  <c r="CD28" i="19" s="1"/>
  <c r="BC28" i="19"/>
  <c r="BU28" i="19" s="1"/>
  <c r="AT26" i="19"/>
  <c r="BL26" i="19" s="1"/>
  <c r="CD26" i="19" s="1"/>
  <c r="BC26" i="19"/>
  <c r="BU26" i="19" s="1"/>
  <c r="AT5" i="19"/>
  <c r="BL5" i="19" s="1"/>
  <c r="BC5" i="19"/>
  <c r="AT11" i="19"/>
  <c r="BL11" i="19" s="1"/>
  <c r="CD11" i="19" s="1"/>
  <c r="BC11" i="19"/>
  <c r="BU11" i="19" s="1"/>
  <c r="BC12" i="19"/>
  <c r="BU12" i="19" s="1"/>
  <c r="AT12" i="19"/>
  <c r="BL12" i="19" s="1"/>
  <c r="CD12" i="19" s="1"/>
  <c r="AT27" i="19"/>
  <c r="BL27" i="19" s="1"/>
  <c r="CD27" i="19" s="1"/>
  <c r="BC27" i="19"/>
  <c r="BU27" i="19" s="1"/>
  <c r="AT17" i="19"/>
  <c r="BL17" i="19" s="1"/>
  <c r="CD17" i="19" s="1"/>
  <c r="BC17" i="19"/>
  <c r="BU17" i="19" s="1"/>
  <c r="BC25" i="19"/>
  <c r="BU25" i="19" s="1"/>
  <c r="AT25" i="19"/>
  <c r="BL25" i="19" s="1"/>
  <c r="CD25" i="19" s="1"/>
  <c r="AT8" i="19"/>
  <c r="BL8" i="19" s="1"/>
  <c r="CD8" i="19" s="1"/>
  <c r="BC8" i="19"/>
  <c r="BU8" i="19" s="1"/>
  <c r="AT19" i="19"/>
  <c r="BL19" i="19" s="1"/>
  <c r="CD19" i="19" s="1"/>
  <c r="BC19" i="19"/>
  <c r="BU19" i="19" s="1"/>
  <c r="BC18" i="19"/>
  <c r="BU18" i="19" s="1"/>
  <c r="AT18" i="19"/>
  <c r="BL18" i="19" s="1"/>
  <c r="CD18" i="19" s="1"/>
  <c r="AT24" i="19"/>
  <c r="BL24" i="19" s="1"/>
  <c r="CD24" i="19" s="1"/>
  <c r="BC24" i="19"/>
  <c r="BU24" i="19" s="1"/>
  <c r="AT9" i="19"/>
  <c r="BL9" i="19" s="1"/>
  <c r="CD9" i="19" s="1"/>
  <c r="BC9" i="19"/>
  <c r="BU9" i="19" s="1"/>
  <c r="AT22" i="19"/>
  <c r="BL22" i="19" s="1"/>
  <c r="CD22" i="19" s="1"/>
  <c r="BC22" i="19"/>
  <c r="BU22" i="19" s="1"/>
  <c r="AT10" i="19"/>
  <c r="BL10" i="19" s="1"/>
  <c r="CD10" i="19" s="1"/>
  <c r="BC10" i="19"/>
  <c r="BU10" i="19" s="1"/>
  <c r="AT16" i="19"/>
  <c r="BL16" i="19" s="1"/>
  <c r="CD16" i="19" s="1"/>
  <c r="BC16" i="19"/>
  <c r="BU16" i="19" s="1"/>
  <c r="R8" i="19"/>
  <c r="AI8" i="19" s="1"/>
  <c r="G8" i="7"/>
  <c r="X8" i="7" s="1"/>
  <c r="R17" i="19"/>
  <c r="AI17" i="19" s="1"/>
  <c r="G17" i="7"/>
  <c r="X17" i="7" s="1"/>
  <c r="X6" i="15"/>
  <c r="G30" i="15"/>
  <c r="R28" i="19"/>
  <c r="AI28" i="19" s="1"/>
  <c r="G28" i="7"/>
  <c r="X28" i="7" s="1"/>
  <c r="G27" i="7"/>
  <c r="X27" i="7" s="1"/>
  <c r="R27" i="19"/>
  <c r="AI27" i="19" s="1"/>
  <c r="R22" i="19"/>
  <c r="AI22" i="19" s="1"/>
  <c r="G22" i="7"/>
  <c r="X22" i="7" s="1"/>
  <c r="R20" i="19"/>
  <c r="AI20" i="19" s="1"/>
  <c r="G20" i="7"/>
  <c r="X20" i="7" s="1"/>
  <c r="G26" i="7"/>
  <c r="X26" i="7" s="1"/>
  <c r="R26" i="19"/>
  <c r="AI26" i="19" s="1"/>
  <c r="R6" i="19"/>
  <c r="AI6" i="19" s="1"/>
  <c r="G6" i="7"/>
  <c r="X6" i="7" s="1"/>
  <c r="R19" i="19"/>
  <c r="AI19" i="19" s="1"/>
  <c r="G19" i="7"/>
  <c r="X19" i="7" s="1"/>
  <c r="G24" i="7"/>
  <c r="X24" i="7" s="1"/>
  <c r="R24" i="19"/>
  <c r="AI24" i="19" s="1"/>
  <c r="R7" i="19"/>
  <c r="AI7" i="19" s="1"/>
  <c r="G7" i="7"/>
  <c r="X7" i="7" s="1"/>
  <c r="R14" i="19"/>
  <c r="AI14" i="19" s="1"/>
  <c r="G14" i="7"/>
  <c r="X14" i="7" s="1"/>
  <c r="R12" i="19"/>
  <c r="AI12" i="19" s="1"/>
  <c r="G12" i="7"/>
  <c r="X12" i="7" s="1"/>
  <c r="G18" i="7"/>
  <c r="X18" i="7" s="1"/>
  <c r="R18" i="19"/>
  <c r="AI18" i="19" s="1"/>
  <c r="G10" i="7"/>
  <c r="X10" i="7" s="1"/>
  <c r="R10" i="19"/>
  <c r="AI10" i="19" s="1"/>
  <c r="G16" i="7"/>
  <c r="X16" i="7" s="1"/>
  <c r="R16" i="19"/>
  <c r="AI16" i="19" s="1"/>
  <c r="R21" i="19"/>
  <c r="AI21" i="19" s="1"/>
  <c r="G21" i="7"/>
  <c r="X21" i="7" s="1"/>
  <c r="R25" i="19"/>
  <c r="AI25" i="19" s="1"/>
  <c r="S31" i="18" s="1"/>
  <c r="G25" i="7"/>
  <c r="X25" i="7" s="1"/>
  <c r="R13" i="19"/>
  <c r="AI13" i="19" s="1"/>
  <c r="G13" i="7"/>
  <c r="X13" i="7" s="1"/>
  <c r="G11" i="7"/>
  <c r="X11" i="7" s="1"/>
  <c r="R11" i="19"/>
  <c r="AI11" i="19" s="1"/>
  <c r="R23" i="19"/>
  <c r="AI23" i="19" s="1"/>
  <c r="G23" i="7"/>
  <c r="X23" i="7" s="1"/>
  <c r="R9" i="19"/>
  <c r="AI9" i="19" s="1"/>
  <c r="G9" i="7"/>
  <c r="X9" i="7" s="1"/>
  <c r="G15" i="7"/>
  <c r="X15" i="7" s="1"/>
  <c r="R15" i="19"/>
  <c r="AI15" i="19" s="1"/>
  <c r="W10" i="7"/>
  <c r="W22" i="7"/>
  <c r="W28" i="7"/>
  <c r="W27" i="7"/>
  <c r="W23" i="7"/>
  <c r="W8" i="7"/>
  <c r="W19" i="7"/>
  <c r="W25" i="7"/>
  <c r="W21" i="7"/>
  <c r="W24" i="7"/>
  <c r="W6" i="7"/>
  <c r="W20" i="7"/>
  <c r="W18" i="7"/>
  <c r="W12" i="7"/>
  <c r="W26" i="7"/>
  <c r="W11" i="7"/>
  <c r="W7" i="7"/>
  <c r="L27" i="15"/>
  <c r="AC27" i="15" s="1"/>
  <c r="L25" i="15"/>
  <c r="AC25" i="15" s="1"/>
  <c r="W24" i="19" s="1"/>
  <c r="L13" i="15"/>
  <c r="AC13" i="15" s="1"/>
  <c r="L14" i="15"/>
  <c r="AC14" i="15" s="1"/>
  <c r="W13" i="19" s="1"/>
  <c r="K19" i="20" s="1"/>
  <c r="L24" i="15"/>
  <c r="AC24" i="15" s="1"/>
  <c r="W23" i="19" s="1"/>
  <c r="L12" i="15"/>
  <c r="L23" i="15"/>
  <c r="AC23" i="15" s="1"/>
  <c r="L15" i="15"/>
  <c r="AC15" i="15" s="1"/>
  <c r="W14" i="19" s="1"/>
  <c r="K20" i="20" s="1"/>
  <c r="L11" i="15"/>
  <c r="AC11" i="15" s="1"/>
  <c r="L10" i="7" s="1"/>
  <c r="K16" i="17" s="1"/>
  <c r="L22" i="15"/>
  <c r="AC22" i="15" s="1"/>
  <c r="L10" i="15"/>
  <c r="L21" i="15"/>
  <c r="AC21" i="15" s="1"/>
  <c r="L9" i="15"/>
  <c r="AC9" i="15" s="1"/>
  <c r="L8" i="15"/>
  <c r="AC8" i="15" s="1"/>
  <c r="L7" i="7" s="1"/>
  <c r="K13" i="17" s="1"/>
  <c r="L19" i="15"/>
  <c r="AC19" i="15" s="1"/>
  <c r="L7" i="15"/>
  <c r="AC7" i="15" s="1"/>
  <c r="L18" i="15"/>
  <c r="L20" i="15"/>
  <c r="AC20" i="15" s="1"/>
  <c r="L17" i="15"/>
  <c r="L28" i="15"/>
  <c r="AC28" i="15" s="1"/>
  <c r="L16" i="15"/>
  <c r="W18" i="15"/>
  <c r="W10" i="15"/>
  <c r="W17" i="15"/>
  <c r="W15" i="15"/>
  <c r="W16" i="15"/>
  <c r="W14" i="15"/>
  <c r="Q65" i="14"/>
  <c r="Q30" i="15"/>
  <c r="R30" i="15"/>
  <c r="S30" i="15"/>
  <c r="N30" i="15"/>
  <c r="O30" i="15"/>
  <c r="AL25" i="7"/>
  <c r="BD25" i="7" s="1"/>
  <c r="AU5" i="7"/>
  <c r="H21" i="21" l="1"/>
  <c r="H30" i="21"/>
  <c r="P13" i="21"/>
  <c r="P16" i="21"/>
  <c r="H13" i="21"/>
  <c r="H31" i="21"/>
  <c r="P21" i="21"/>
  <c r="P22" i="21"/>
  <c r="H22" i="21"/>
  <c r="H20" i="21"/>
  <c r="P20" i="21"/>
  <c r="P32" i="21"/>
  <c r="P25" i="21"/>
  <c r="H23" i="21"/>
  <c r="H17" i="21"/>
  <c r="H28" i="21"/>
  <c r="H27" i="21"/>
  <c r="H18" i="21"/>
  <c r="H24" i="21"/>
  <c r="H19" i="21"/>
  <c r="H16" i="21"/>
  <c r="I35" i="21"/>
  <c r="H32" i="21"/>
  <c r="H26" i="21"/>
  <c r="H25" i="21"/>
  <c r="H29" i="21"/>
  <c r="H15" i="21"/>
  <c r="H12" i="21"/>
  <c r="H33" i="21"/>
  <c r="H14" i="21"/>
  <c r="H34" i="21"/>
  <c r="H11" i="21"/>
  <c r="P29" i="21"/>
  <c r="P14" i="21"/>
  <c r="P17" i="21"/>
  <c r="P18" i="21"/>
  <c r="P19" i="21"/>
  <c r="P23" i="21"/>
  <c r="P28" i="21"/>
  <c r="P27" i="21"/>
  <c r="P24" i="21"/>
  <c r="P15" i="21"/>
  <c r="P26" i="21"/>
  <c r="P33" i="21"/>
  <c r="P12" i="21"/>
  <c r="P30" i="21"/>
  <c r="V22" i="19"/>
  <c r="AM22" i="19" s="1"/>
  <c r="K22" i="7"/>
  <c r="V23" i="19"/>
  <c r="AM23" i="19" s="1"/>
  <c r="K23" i="7"/>
  <c r="K16" i="7"/>
  <c r="V16" i="19"/>
  <c r="AM16" i="19" s="1"/>
  <c r="V20" i="19"/>
  <c r="AM20" i="19" s="1"/>
  <c r="K20" i="7"/>
  <c r="K17" i="7"/>
  <c r="V17" i="19"/>
  <c r="AM17" i="19" s="1"/>
  <c r="K19" i="7"/>
  <c r="V19" i="19"/>
  <c r="AM19" i="19" s="1"/>
  <c r="K14" i="7"/>
  <c r="V14" i="19"/>
  <c r="AM14" i="19" s="1"/>
  <c r="AB30" i="15"/>
  <c r="K15" i="7"/>
  <c r="V15" i="19"/>
  <c r="AM15" i="19" s="1"/>
  <c r="K18" i="7"/>
  <c r="V18" i="19"/>
  <c r="AM18" i="19" s="1"/>
  <c r="V21" i="19"/>
  <c r="AM21" i="19" s="1"/>
  <c r="K21" i="7"/>
  <c r="AQ12" i="7"/>
  <c r="BI12" i="7" s="1"/>
  <c r="Y29" i="7"/>
  <c r="I38" i="17"/>
  <c r="I38" i="18"/>
  <c r="H21" i="20"/>
  <c r="AZ12" i="7"/>
  <c r="BR12" i="7" s="1"/>
  <c r="AH29" i="7"/>
  <c r="H19" i="20"/>
  <c r="S31" i="17"/>
  <c r="S31" i="21" s="1"/>
  <c r="H24" i="20"/>
  <c r="BC21" i="19"/>
  <c r="BU21" i="19" s="1"/>
  <c r="AF28" i="7"/>
  <c r="H14" i="20"/>
  <c r="AF6" i="7"/>
  <c r="AF24" i="7"/>
  <c r="AF22" i="7"/>
  <c r="AF27" i="7"/>
  <c r="AF21" i="7"/>
  <c r="AF7" i="7"/>
  <c r="AF20" i="7"/>
  <c r="AF26" i="7"/>
  <c r="AF10" i="7"/>
  <c r="AF11" i="7"/>
  <c r="AF19" i="7"/>
  <c r="AF12" i="7"/>
  <c r="AF8" i="7"/>
  <c r="AF18" i="7"/>
  <c r="AF23" i="7"/>
  <c r="AK29" i="19"/>
  <c r="H31" i="20"/>
  <c r="H27" i="20"/>
  <c r="H34" i="20"/>
  <c r="H22" i="20"/>
  <c r="H23" i="20"/>
  <c r="H32" i="20"/>
  <c r="H17" i="20"/>
  <c r="H26" i="20"/>
  <c r="H15" i="20"/>
  <c r="H30" i="20"/>
  <c r="BC20" i="19"/>
  <c r="BU20" i="19" s="1"/>
  <c r="AT20" i="19"/>
  <c r="BL20" i="19" s="1"/>
  <c r="CD20" i="19" s="1"/>
  <c r="H29" i="20"/>
  <c r="H20" i="20"/>
  <c r="H12" i="20"/>
  <c r="H28" i="20"/>
  <c r="H33" i="20"/>
  <c r="H13" i="20"/>
  <c r="H18" i="20"/>
  <c r="H25" i="20"/>
  <c r="H35" i="18"/>
  <c r="H16" i="20"/>
  <c r="BB5" i="19"/>
  <c r="AS5" i="19"/>
  <c r="AJ29" i="19"/>
  <c r="H35" i="17"/>
  <c r="N11" i="20"/>
  <c r="N35" i="20" s="1"/>
  <c r="N35" i="17"/>
  <c r="N35" i="21" s="1"/>
  <c r="AC29" i="15"/>
  <c r="T30" i="15"/>
  <c r="AF25" i="7"/>
  <c r="K29" i="18"/>
  <c r="K29" i="20"/>
  <c r="K30" i="18"/>
  <c r="K30" i="20"/>
  <c r="I35" i="20"/>
  <c r="AU29" i="19"/>
  <c r="BM5" i="19"/>
  <c r="BD29" i="19"/>
  <c r="BV29" i="19" s="1"/>
  <c r="BV5" i="19"/>
  <c r="AS29" i="7"/>
  <c r="BB29" i="7"/>
  <c r="G18" i="17"/>
  <c r="G31" i="18"/>
  <c r="G24" i="17"/>
  <c r="G28" i="17"/>
  <c r="G12" i="18"/>
  <c r="G27" i="17"/>
  <c r="G14" i="18"/>
  <c r="G26" i="18"/>
  <c r="G25" i="17"/>
  <c r="G17" i="18"/>
  <c r="G30" i="17"/>
  <c r="G29" i="17"/>
  <c r="G27" i="18"/>
  <c r="G25" i="18"/>
  <c r="G17" i="17"/>
  <c r="G18" i="18"/>
  <c r="G33" i="17"/>
  <c r="G28" i="18"/>
  <c r="G29" i="18"/>
  <c r="Q35" i="18"/>
  <c r="G30" i="18"/>
  <c r="G31" i="17"/>
  <c r="G26" i="17"/>
  <c r="G13" i="18"/>
  <c r="BA29" i="7"/>
  <c r="AR29" i="7"/>
  <c r="CD5" i="19"/>
  <c r="BU5" i="19"/>
  <c r="G32" i="18"/>
  <c r="AG7" i="7"/>
  <c r="AY7" i="7" s="1"/>
  <c r="BQ7" i="7" s="1"/>
  <c r="AP7" i="7"/>
  <c r="BH7" i="7" s="1"/>
  <c r="AR13" i="19"/>
  <c r="BJ13" i="19" s="1"/>
  <c r="CB13" i="19" s="1"/>
  <c r="BA13" i="19"/>
  <c r="BS13" i="19" s="1"/>
  <c r="AR7" i="19"/>
  <c r="BJ7" i="19" s="1"/>
  <c r="CB7" i="19" s="1"/>
  <c r="BA7" i="19"/>
  <c r="BS7" i="19" s="1"/>
  <c r="AG26" i="7"/>
  <c r="AY26" i="7" s="1"/>
  <c r="BQ26" i="7" s="1"/>
  <c r="AP26" i="7"/>
  <c r="BH26" i="7" s="1"/>
  <c r="AG25" i="7"/>
  <c r="AY25" i="7" s="1"/>
  <c r="BQ25" i="7" s="1"/>
  <c r="AP25" i="7"/>
  <c r="BH25" i="7" s="1"/>
  <c r="BA18" i="19"/>
  <c r="BS18" i="19" s="1"/>
  <c r="AR18" i="19"/>
  <c r="BJ18" i="19" s="1"/>
  <c r="CB18" i="19" s="1"/>
  <c r="AR24" i="19"/>
  <c r="BJ24" i="19" s="1"/>
  <c r="CB24" i="19" s="1"/>
  <c r="BA24" i="19"/>
  <c r="BS24" i="19" s="1"/>
  <c r="AG20" i="7"/>
  <c r="AY20" i="7" s="1"/>
  <c r="BQ20" i="7" s="1"/>
  <c r="AP20" i="7"/>
  <c r="BH20" i="7" s="1"/>
  <c r="BA15" i="19"/>
  <c r="BS15" i="19" s="1"/>
  <c r="AR15" i="19"/>
  <c r="BJ15" i="19" s="1"/>
  <c r="CB15" i="19" s="1"/>
  <c r="BA10" i="19"/>
  <c r="BS10" i="19" s="1"/>
  <c r="AR10" i="19"/>
  <c r="BJ10" i="19" s="1"/>
  <c r="CB10" i="19" s="1"/>
  <c r="AG10" i="7"/>
  <c r="AY10" i="7" s="1"/>
  <c r="BQ10" i="7" s="1"/>
  <c r="AP10" i="7"/>
  <c r="BH10" i="7" s="1"/>
  <c r="AR28" i="19"/>
  <c r="BJ28" i="19" s="1"/>
  <c r="CB28" i="19" s="1"/>
  <c r="BA28" i="19"/>
  <c r="BS28" i="19" s="1"/>
  <c r="G32" i="17"/>
  <c r="G12" i="17"/>
  <c r="G34" i="17"/>
  <c r="BA9" i="19"/>
  <c r="BS9" i="19" s="1"/>
  <c r="AR9" i="19"/>
  <c r="BJ9" i="19" s="1"/>
  <c r="CB9" i="19" s="1"/>
  <c r="AR25" i="19"/>
  <c r="BJ25" i="19" s="1"/>
  <c r="CB25" i="19" s="1"/>
  <c r="BA25" i="19"/>
  <c r="BS25" i="19" s="1"/>
  <c r="AG18" i="7"/>
  <c r="AY18" i="7" s="1"/>
  <c r="BQ18" i="7" s="1"/>
  <c r="AP18" i="7"/>
  <c r="BH18" i="7" s="1"/>
  <c r="AG24" i="7"/>
  <c r="AY24" i="7" s="1"/>
  <c r="BQ24" i="7" s="1"/>
  <c r="AP24" i="7"/>
  <c r="BH24" i="7" s="1"/>
  <c r="AR20" i="19"/>
  <c r="BJ20" i="19" s="1"/>
  <c r="CB20" i="19" s="1"/>
  <c r="BA20" i="19"/>
  <c r="BS20" i="19" s="1"/>
  <c r="R5" i="19"/>
  <c r="G5" i="7"/>
  <c r="X30" i="15"/>
  <c r="AR26" i="19"/>
  <c r="BJ26" i="19" s="1"/>
  <c r="CB26" i="19" s="1"/>
  <c r="BA26" i="19"/>
  <c r="BS26" i="19" s="1"/>
  <c r="AG23" i="7"/>
  <c r="AY23" i="7" s="1"/>
  <c r="BQ23" i="7" s="1"/>
  <c r="AP23" i="7"/>
  <c r="BH23" i="7" s="1"/>
  <c r="AG21" i="7"/>
  <c r="AY21" i="7" s="1"/>
  <c r="BQ21" i="7" s="1"/>
  <c r="AP21" i="7"/>
  <c r="BH21" i="7" s="1"/>
  <c r="AG12" i="7"/>
  <c r="AY12" i="7" s="1"/>
  <c r="BQ12" i="7" s="1"/>
  <c r="AP12" i="7"/>
  <c r="BH12" i="7" s="1"/>
  <c r="AG19" i="7"/>
  <c r="AY19" i="7" s="1"/>
  <c r="BQ19" i="7" s="1"/>
  <c r="AP19" i="7"/>
  <c r="BH19" i="7" s="1"/>
  <c r="AG22" i="7"/>
  <c r="AY22" i="7" s="1"/>
  <c r="BQ22" i="7" s="1"/>
  <c r="AP22" i="7"/>
  <c r="BH22" i="7" s="1"/>
  <c r="AG17" i="7"/>
  <c r="AY17" i="7" s="1"/>
  <c r="BQ17" i="7" s="1"/>
  <c r="AP17" i="7"/>
  <c r="BH17" i="7" s="1"/>
  <c r="AG9" i="7"/>
  <c r="AY9" i="7" s="1"/>
  <c r="BQ9" i="7" s="1"/>
  <c r="AP9" i="7"/>
  <c r="BH9" i="7" s="1"/>
  <c r="G16" i="18"/>
  <c r="G24" i="18"/>
  <c r="G34" i="18"/>
  <c r="G33" i="18"/>
  <c r="G14" i="17"/>
  <c r="AR23" i="19"/>
  <c r="BJ23" i="19" s="1"/>
  <c r="CB23" i="19" s="1"/>
  <c r="BA23" i="19"/>
  <c r="BS23" i="19" s="1"/>
  <c r="AR21" i="19"/>
  <c r="BJ21" i="19" s="1"/>
  <c r="CB21" i="19" s="1"/>
  <c r="BA21" i="19"/>
  <c r="BS21" i="19" s="1"/>
  <c r="BA12" i="19"/>
  <c r="BS12" i="19" s="1"/>
  <c r="AR12" i="19"/>
  <c r="BJ12" i="19" s="1"/>
  <c r="CB12" i="19" s="1"/>
  <c r="BA19" i="19"/>
  <c r="BS19" i="19" s="1"/>
  <c r="AR19" i="19"/>
  <c r="BJ19" i="19" s="1"/>
  <c r="CB19" i="19" s="1"/>
  <c r="AR22" i="19"/>
  <c r="BJ22" i="19" s="1"/>
  <c r="CB22" i="19" s="1"/>
  <c r="BA22" i="19"/>
  <c r="BS22" i="19" s="1"/>
  <c r="AR17" i="19"/>
  <c r="BJ17" i="19" s="1"/>
  <c r="CB17" i="19" s="1"/>
  <c r="BA17" i="19"/>
  <c r="BS17" i="19" s="1"/>
  <c r="AG8" i="7"/>
  <c r="AY8" i="7" s="1"/>
  <c r="BQ8" i="7" s="1"/>
  <c r="AP8" i="7"/>
  <c r="BH8" i="7" s="1"/>
  <c r="AG13" i="7"/>
  <c r="AY13" i="7" s="1"/>
  <c r="BQ13" i="7" s="1"/>
  <c r="AP13" i="7"/>
  <c r="BH13" i="7" s="1"/>
  <c r="AG28" i="7"/>
  <c r="AY28" i="7" s="1"/>
  <c r="BQ28" i="7" s="1"/>
  <c r="AP28" i="7"/>
  <c r="BH28" i="7" s="1"/>
  <c r="AG15" i="7"/>
  <c r="AY15" i="7" s="1"/>
  <c r="BQ15" i="7" s="1"/>
  <c r="AP15" i="7"/>
  <c r="BH15" i="7" s="1"/>
  <c r="AR11" i="19"/>
  <c r="BJ11" i="19" s="1"/>
  <c r="CB11" i="19" s="1"/>
  <c r="BA11" i="19"/>
  <c r="BS11" i="19" s="1"/>
  <c r="AR16" i="19"/>
  <c r="BJ16" i="19" s="1"/>
  <c r="CB16" i="19" s="1"/>
  <c r="BA16" i="19"/>
  <c r="BS16" i="19" s="1"/>
  <c r="AG14" i="7"/>
  <c r="AY14" i="7" s="1"/>
  <c r="BQ14" i="7" s="1"/>
  <c r="AP14" i="7"/>
  <c r="BH14" i="7" s="1"/>
  <c r="AG6" i="7"/>
  <c r="AY6" i="7" s="1"/>
  <c r="BQ6" i="7" s="1"/>
  <c r="AP6" i="7"/>
  <c r="BH6" i="7" s="1"/>
  <c r="AR27" i="19"/>
  <c r="BJ27" i="19" s="1"/>
  <c r="CB27" i="19" s="1"/>
  <c r="BA27" i="19"/>
  <c r="BS27" i="19" s="1"/>
  <c r="G13" i="17"/>
  <c r="G16" i="17"/>
  <c r="AG11" i="7"/>
  <c r="AY11" i="7" s="1"/>
  <c r="BQ11" i="7" s="1"/>
  <c r="AP11" i="7"/>
  <c r="BH11" i="7" s="1"/>
  <c r="AG16" i="7"/>
  <c r="AY16" i="7" s="1"/>
  <c r="BQ16" i="7" s="1"/>
  <c r="AP16" i="7"/>
  <c r="BH16" i="7" s="1"/>
  <c r="BA14" i="19"/>
  <c r="BS14" i="19" s="1"/>
  <c r="AR14" i="19"/>
  <c r="BJ14" i="19" s="1"/>
  <c r="CB14" i="19" s="1"/>
  <c r="AR6" i="19"/>
  <c r="BJ6" i="19" s="1"/>
  <c r="CB6" i="19" s="1"/>
  <c r="BA6" i="19"/>
  <c r="BS6" i="19" s="1"/>
  <c r="AG27" i="7"/>
  <c r="AY27" i="7" s="1"/>
  <c r="BQ27" i="7" s="1"/>
  <c r="AP27" i="7"/>
  <c r="BH27" i="7" s="1"/>
  <c r="AR8" i="19"/>
  <c r="BJ8" i="19" s="1"/>
  <c r="CB8" i="19" s="1"/>
  <c r="BA8" i="19"/>
  <c r="BS8" i="19" s="1"/>
  <c r="AN24" i="19"/>
  <c r="AN23" i="19"/>
  <c r="BF23" i="19" s="1"/>
  <c r="L13" i="7"/>
  <c r="K19" i="17" s="1"/>
  <c r="AC12" i="15"/>
  <c r="AZ12" i="19"/>
  <c r="AZ10" i="19"/>
  <c r="AZ21" i="19"/>
  <c r="BI21" i="19"/>
  <c r="AC10" i="15"/>
  <c r="W9" i="19" s="1"/>
  <c r="K15" i="20" s="1"/>
  <c r="AZ18" i="19"/>
  <c r="BR18" i="19" s="1"/>
  <c r="AZ7" i="19"/>
  <c r="BI7" i="19"/>
  <c r="W6" i="19"/>
  <c r="K12" i="20" s="1"/>
  <c r="W21" i="19"/>
  <c r="K27" i="20" s="1"/>
  <c r="AN13" i="19"/>
  <c r="K19" i="18"/>
  <c r="AZ11" i="19"/>
  <c r="AZ28" i="19"/>
  <c r="BI28" i="19"/>
  <c r="W20" i="19"/>
  <c r="K26" i="20" s="1"/>
  <c r="AZ27" i="19"/>
  <c r="BI20" i="19"/>
  <c r="AZ20" i="19"/>
  <c r="Q13" i="19"/>
  <c r="AH13" i="19" s="1"/>
  <c r="W18" i="19"/>
  <c r="K24" i="20" s="1"/>
  <c r="W10" i="19"/>
  <c r="K16" i="20" s="1"/>
  <c r="W12" i="19"/>
  <c r="K18" i="20" s="1"/>
  <c r="W19" i="19"/>
  <c r="K25" i="20" s="1"/>
  <c r="Q15" i="19"/>
  <c r="AH15" i="19" s="1"/>
  <c r="AZ26" i="19"/>
  <c r="BI26" i="19"/>
  <c r="AZ6" i="19"/>
  <c r="Q17" i="19"/>
  <c r="AH17" i="19" s="1"/>
  <c r="W27" i="19"/>
  <c r="K33" i="20" s="1"/>
  <c r="AN14" i="19"/>
  <c r="K20" i="18"/>
  <c r="AZ19" i="19"/>
  <c r="AZ8" i="19"/>
  <c r="Q14" i="19"/>
  <c r="AH14" i="19" s="1"/>
  <c r="W7" i="19"/>
  <c r="K13" i="20" s="1"/>
  <c r="L14" i="7"/>
  <c r="Q16" i="19"/>
  <c r="AH16" i="19" s="1"/>
  <c r="W8" i="19"/>
  <c r="K14" i="20" s="1"/>
  <c r="W22" i="19"/>
  <c r="K28" i="20" s="1"/>
  <c r="W26" i="19"/>
  <c r="K32" i="20" s="1"/>
  <c r="BI23" i="19"/>
  <c r="AZ23" i="19"/>
  <c r="BI5" i="19"/>
  <c r="AZ5" i="19"/>
  <c r="AC18" i="15"/>
  <c r="W17" i="19" s="1"/>
  <c r="K23" i="20" s="1"/>
  <c r="AC16" i="15"/>
  <c r="W15" i="19" s="1"/>
  <c r="K21" i="20" s="1"/>
  <c r="AC17" i="15"/>
  <c r="W16" i="19" s="1"/>
  <c r="K22" i="20" s="1"/>
  <c r="Q9" i="19"/>
  <c r="AH9" i="19" s="1"/>
  <c r="BI24" i="19"/>
  <c r="AZ24" i="19"/>
  <c r="AZ25" i="19"/>
  <c r="AZ22" i="19"/>
  <c r="BI22" i="19"/>
  <c r="AC7" i="7"/>
  <c r="Q35" i="17"/>
  <c r="AC10" i="7"/>
  <c r="AL10" i="7" s="1"/>
  <c r="L12" i="7"/>
  <c r="K18" i="17" s="1"/>
  <c r="L6" i="7"/>
  <c r="K12" i="17" s="1"/>
  <c r="F16" i="7"/>
  <c r="F14" i="7"/>
  <c r="F9" i="7"/>
  <c r="W30" i="15"/>
  <c r="L19" i="7"/>
  <c r="K25" i="17" s="1"/>
  <c r="L22" i="7"/>
  <c r="K28" i="17" s="1"/>
  <c r="F15" i="7"/>
  <c r="L18" i="7"/>
  <c r="K24" i="17" s="1"/>
  <c r="L27" i="7"/>
  <c r="K33" i="17" s="1"/>
  <c r="L26" i="7"/>
  <c r="K32" i="17" s="1"/>
  <c r="F13" i="7"/>
  <c r="L24" i="7"/>
  <c r="K30" i="17" s="1"/>
  <c r="L20" i="7"/>
  <c r="K26" i="17" s="1"/>
  <c r="L21" i="7"/>
  <c r="K27" i="17" s="1"/>
  <c r="L8" i="7"/>
  <c r="K14" i="17" s="1"/>
  <c r="L23" i="7"/>
  <c r="K29" i="17" s="1"/>
  <c r="F17" i="7"/>
  <c r="AL5" i="7"/>
  <c r="BD5" i="7" s="1"/>
  <c r="J24" i="17" l="1"/>
  <c r="AB18" i="7"/>
  <c r="J28" i="17"/>
  <c r="AB22" i="7"/>
  <c r="J23" i="17"/>
  <c r="AB17" i="7"/>
  <c r="J21" i="17"/>
  <c r="AB15" i="7"/>
  <c r="J26" i="17"/>
  <c r="AB20" i="7"/>
  <c r="J27" i="17"/>
  <c r="AB21" i="7"/>
  <c r="J20" i="17"/>
  <c r="AB14" i="7"/>
  <c r="J22" i="17"/>
  <c r="AB16" i="7"/>
  <c r="J29" i="17"/>
  <c r="AB23" i="7"/>
  <c r="J25" i="17"/>
  <c r="AB19" i="7"/>
  <c r="AC14" i="7"/>
  <c r="AU14" i="7" s="1"/>
  <c r="K20" i="17"/>
  <c r="K20" i="21" s="1"/>
  <c r="G34" i="21"/>
  <c r="Q35" i="21"/>
  <c r="G33" i="21"/>
  <c r="G30" i="21"/>
  <c r="G17" i="21"/>
  <c r="G26" i="21"/>
  <c r="G31" i="21"/>
  <c r="G28" i="21"/>
  <c r="G24" i="21"/>
  <c r="G13" i="21"/>
  <c r="G18" i="21"/>
  <c r="G14" i="21"/>
  <c r="G16" i="21"/>
  <c r="G25" i="21"/>
  <c r="G32" i="21"/>
  <c r="G27" i="21"/>
  <c r="G12" i="21"/>
  <c r="G29" i="21"/>
  <c r="H35" i="21"/>
  <c r="K19" i="21"/>
  <c r="J26" i="18"/>
  <c r="J27" i="18"/>
  <c r="V29" i="19"/>
  <c r="S20" i="18"/>
  <c r="J20" i="18"/>
  <c r="J25" i="18"/>
  <c r="J22" i="18"/>
  <c r="J24" i="18"/>
  <c r="J21" i="18"/>
  <c r="J29" i="18"/>
  <c r="S29" i="18"/>
  <c r="J23" i="18"/>
  <c r="J28" i="18"/>
  <c r="AQ29" i="7"/>
  <c r="H38" i="18"/>
  <c r="H38" i="17"/>
  <c r="AZ29" i="7"/>
  <c r="G34" i="20"/>
  <c r="S19" i="17"/>
  <c r="BF24" i="19"/>
  <c r="S30" i="17"/>
  <c r="BC29" i="19"/>
  <c r="BU29" i="19" s="1"/>
  <c r="AT29" i="19"/>
  <c r="BL29" i="19"/>
  <c r="CD29" i="19" s="1"/>
  <c r="H35" i="20"/>
  <c r="AS29" i="19"/>
  <c r="BK5" i="19"/>
  <c r="BT5" i="19"/>
  <c r="BB29" i="19"/>
  <c r="BT29" i="19" s="1"/>
  <c r="W28" i="19"/>
  <c r="L28" i="7"/>
  <c r="K34" i="17" s="1"/>
  <c r="S19" i="18"/>
  <c r="S30" i="18"/>
  <c r="AQ15" i="19"/>
  <c r="AQ17" i="19"/>
  <c r="AQ9" i="19"/>
  <c r="AQ13" i="19"/>
  <c r="AQ14" i="19"/>
  <c r="AQ16" i="19"/>
  <c r="G24" i="20"/>
  <c r="G30" i="20"/>
  <c r="G14" i="20"/>
  <c r="G27" i="20"/>
  <c r="G16" i="20"/>
  <c r="G13" i="20"/>
  <c r="G26" i="20"/>
  <c r="G25" i="20"/>
  <c r="G12" i="20"/>
  <c r="G18" i="20"/>
  <c r="G33" i="20"/>
  <c r="G32" i="20"/>
  <c r="G29" i="20"/>
  <c r="G28" i="20"/>
  <c r="G17" i="20"/>
  <c r="G31" i="20"/>
  <c r="BM29" i="19"/>
  <c r="CE29" i="19" s="1"/>
  <c r="CE5" i="19"/>
  <c r="AC13" i="7"/>
  <c r="AU13" i="7" s="1"/>
  <c r="AW23" i="19"/>
  <c r="BO23" i="19" s="1"/>
  <c r="X5" i="7"/>
  <c r="G11" i="17"/>
  <c r="AI5" i="19"/>
  <c r="R29" i="19"/>
  <c r="G11" i="18"/>
  <c r="G15" i="17"/>
  <c r="W9" i="7"/>
  <c r="G20" i="17"/>
  <c r="W14" i="7"/>
  <c r="G23" i="17"/>
  <c r="W17" i="7"/>
  <c r="G22" i="17"/>
  <c r="W16" i="7"/>
  <c r="G19" i="17"/>
  <c r="W13" i="7"/>
  <c r="G21" i="17"/>
  <c r="W15" i="7"/>
  <c r="BD10" i="7"/>
  <c r="AW24" i="19"/>
  <c r="BO24" i="19" s="1"/>
  <c r="L17" i="7"/>
  <c r="CA23" i="19"/>
  <c r="CA7" i="19"/>
  <c r="BR22" i="19"/>
  <c r="AN17" i="19"/>
  <c r="K23" i="18"/>
  <c r="AN26" i="19"/>
  <c r="K32" i="18"/>
  <c r="BI11" i="19"/>
  <c r="CA11" i="19" s="1"/>
  <c r="CA21" i="19"/>
  <c r="BI25" i="19"/>
  <c r="CA5" i="19"/>
  <c r="AN22" i="19"/>
  <c r="K28" i="18"/>
  <c r="BR6" i="19"/>
  <c r="BI27" i="19"/>
  <c r="BR5" i="19"/>
  <c r="AN7" i="19"/>
  <c r="K13" i="18"/>
  <c r="AN10" i="19"/>
  <c r="K16" i="18"/>
  <c r="BR10" i="19"/>
  <c r="BI6" i="19"/>
  <c r="BR24" i="19"/>
  <c r="AN8" i="19"/>
  <c r="K14" i="18"/>
  <c r="G20" i="18"/>
  <c r="CA26" i="19"/>
  <c r="BF13" i="19"/>
  <c r="AW13" i="19"/>
  <c r="BO13" i="19" s="1"/>
  <c r="BI10" i="19"/>
  <c r="BR25" i="19"/>
  <c r="BR21" i="19"/>
  <c r="AN18" i="19"/>
  <c r="K24" i="18"/>
  <c r="BI18" i="19"/>
  <c r="G22" i="18"/>
  <c r="BR26" i="19"/>
  <c r="G19" i="18"/>
  <c r="AN21" i="19"/>
  <c r="K27" i="18"/>
  <c r="G15" i="18"/>
  <c r="Q29" i="19"/>
  <c r="BR8" i="19"/>
  <c r="AN20" i="19"/>
  <c r="K26" i="18"/>
  <c r="BR12" i="19"/>
  <c r="AN12" i="19"/>
  <c r="K18" i="18"/>
  <c r="AN16" i="19"/>
  <c r="K22" i="18"/>
  <c r="BR23" i="19"/>
  <c r="BI8" i="19"/>
  <c r="BF14" i="19"/>
  <c r="AW14" i="19"/>
  <c r="BO14" i="19" s="1"/>
  <c r="G21" i="18"/>
  <c r="BR20" i="19"/>
  <c r="AN6" i="19"/>
  <c r="K12" i="18"/>
  <c r="AN9" i="19"/>
  <c r="S15" i="18" s="1"/>
  <c r="K15" i="18"/>
  <c r="BI12" i="19"/>
  <c r="BR11" i="19"/>
  <c r="AC30" i="15"/>
  <c r="L16" i="7"/>
  <c r="K22" i="17" s="1"/>
  <c r="BR28" i="19"/>
  <c r="L9" i="7"/>
  <c r="K15" i="17" s="1"/>
  <c r="BI19" i="19"/>
  <c r="CA20" i="19"/>
  <c r="CA28" i="19"/>
  <c r="W11" i="19"/>
  <c r="BR27" i="19"/>
  <c r="CA24" i="19"/>
  <c r="CA22" i="19"/>
  <c r="AN15" i="19"/>
  <c r="K21" i="18"/>
  <c r="AN27" i="19"/>
  <c r="K33" i="18"/>
  <c r="AU10" i="7"/>
  <c r="L15" i="7"/>
  <c r="K21" i="17" s="1"/>
  <c r="BR19" i="19"/>
  <c r="G23" i="18"/>
  <c r="AN19" i="19"/>
  <c r="K25" i="18"/>
  <c r="BR7" i="19"/>
  <c r="L11" i="7"/>
  <c r="K17" i="17" s="1"/>
  <c r="AC26" i="7"/>
  <c r="AC6" i="7"/>
  <c r="AC8" i="7"/>
  <c r="AC21" i="7"/>
  <c r="AC12" i="7"/>
  <c r="AC24" i="7"/>
  <c r="K30" i="21"/>
  <c r="AC18" i="7"/>
  <c r="AC20" i="7"/>
  <c r="AC27" i="7"/>
  <c r="AC22" i="7"/>
  <c r="AU7" i="7"/>
  <c r="AL7" i="7"/>
  <c r="BD7" i="7" s="1"/>
  <c r="AC23" i="7"/>
  <c r="K29" i="21"/>
  <c r="AC19" i="7"/>
  <c r="AL14" i="7" l="1"/>
  <c r="BD14" i="7" s="1"/>
  <c r="AT16" i="7"/>
  <c r="BL16" i="7" s="1"/>
  <c r="AK16" i="7"/>
  <c r="BC16" i="7" s="1"/>
  <c r="BU16" i="7" s="1"/>
  <c r="AT15" i="7"/>
  <c r="BL15" i="7" s="1"/>
  <c r="AK15" i="7"/>
  <c r="BC15" i="7" s="1"/>
  <c r="BU15" i="7" s="1"/>
  <c r="AT14" i="7"/>
  <c r="BL14" i="7" s="1"/>
  <c r="AK14" i="7"/>
  <c r="BC14" i="7" s="1"/>
  <c r="BU14" i="7" s="1"/>
  <c r="AT17" i="7"/>
  <c r="BL17" i="7" s="1"/>
  <c r="AK17" i="7"/>
  <c r="BC17" i="7" s="1"/>
  <c r="BU17" i="7" s="1"/>
  <c r="AT19" i="7"/>
  <c r="BL19" i="7" s="1"/>
  <c r="AK19" i="7"/>
  <c r="BC19" i="7" s="1"/>
  <c r="BU19" i="7" s="1"/>
  <c r="AK21" i="7"/>
  <c r="BC21" i="7" s="1"/>
  <c r="BU21" i="7" s="1"/>
  <c r="AT21" i="7"/>
  <c r="BL21" i="7" s="1"/>
  <c r="AK22" i="7"/>
  <c r="BC22" i="7" s="1"/>
  <c r="BU22" i="7" s="1"/>
  <c r="AT22" i="7"/>
  <c r="BL22" i="7" s="1"/>
  <c r="AT23" i="7"/>
  <c r="BL23" i="7" s="1"/>
  <c r="AK23" i="7"/>
  <c r="BC23" i="7" s="1"/>
  <c r="BU23" i="7" s="1"/>
  <c r="AT20" i="7"/>
  <c r="BL20" i="7" s="1"/>
  <c r="AK20" i="7"/>
  <c r="BC20" i="7" s="1"/>
  <c r="BU20" i="7" s="1"/>
  <c r="AT18" i="7"/>
  <c r="BL18" i="7" s="1"/>
  <c r="AK18" i="7"/>
  <c r="BC18" i="7" s="1"/>
  <c r="BU18" i="7" s="1"/>
  <c r="AC17" i="7"/>
  <c r="AL17" i="7" s="1"/>
  <c r="BD17" i="7" s="1"/>
  <c r="K23" i="17"/>
  <c r="K23" i="21" s="1"/>
  <c r="K13" i="21"/>
  <c r="K16" i="21"/>
  <c r="G15" i="21"/>
  <c r="K18" i="21"/>
  <c r="J24" i="21"/>
  <c r="J20" i="21"/>
  <c r="J26" i="21"/>
  <c r="J25" i="21"/>
  <c r="K28" i="21"/>
  <c r="K12" i="21"/>
  <c r="G19" i="21"/>
  <c r="G22" i="21"/>
  <c r="G20" i="21"/>
  <c r="G23" i="21"/>
  <c r="G11" i="21"/>
  <c r="S19" i="21"/>
  <c r="G21" i="21"/>
  <c r="J29" i="20"/>
  <c r="J29" i="21"/>
  <c r="K25" i="21"/>
  <c r="J27" i="21"/>
  <c r="K24" i="21"/>
  <c r="J23" i="21"/>
  <c r="K33" i="21"/>
  <c r="K14" i="21"/>
  <c r="S30" i="21"/>
  <c r="K27" i="21"/>
  <c r="K32" i="21"/>
  <c r="J21" i="21"/>
  <c r="J22" i="20"/>
  <c r="J22" i="21"/>
  <c r="K26" i="21"/>
  <c r="J28" i="21"/>
  <c r="S21" i="18"/>
  <c r="S20" i="17"/>
  <c r="S20" i="21" s="1"/>
  <c r="S23" i="18"/>
  <c r="J24" i="20"/>
  <c r="J20" i="20"/>
  <c r="J35" i="18"/>
  <c r="J38" i="18" s="1"/>
  <c r="S29" i="17"/>
  <c r="S29" i="21" s="1"/>
  <c r="J21" i="20"/>
  <c r="J25" i="20"/>
  <c r="AM29" i="19"/>
  <c r="J28" i="20"/>
  <c r="S22" i="18"/>
  <c r="J27" i="20"/>
  <c r="J23" i="20"/>
  <c r="J35" i="17"/>
  <c r="AB29" i="7"/>
  <c r="J26" i="20"/>
  <c r="G15" i="20"/>
  <c r="S21" i="17"/>
  <c r="S25" i="18"/>
  <c r="S25" i="17"/>
  <c r="S15" i="17"/>
  <c r="S15" i="21" s="1"/>
  <c r="S12" i="18"/>
  <c r="S12" i="17"/>
  <c r="S24" i="18"/>
  <c r="S24" i="17"/>
  <c r="S13" i="18"/>
  <c r="S13" i="17"/>
  <c r="S22" i="17"/>
  <c r="S14" i="18"/>
  <c r="S14" i="17"/>
  <c r="S18" i="18"/>
  <c r="S18" i="17"/>
  <c r="S27" i="18"/>
  <c r="S27" i="17"/>
  <c r="S16" i="18"/>
  <c r="S16" i="17"/>
  <c r="S32" i="18"/>
  <c r="S32" i="17"/>
  <c r="S11" i="18"/>
  <c r="S11" i="17"/>
  <c r="S33" i="18"/>
  <c r="S33" i="17"/>
  <c r="S26" i="18"/>
  <c r="S26" i="17"/>
  <c r="S28" i="18"/>
  <c r="S28" i="17"/>
  <c r="S23" i="17"/>
  <c r="BK29" i="19"/>
  <c r="CC29" i="19" s="1"/>
  <c r="CC5" i="19"/>
  <c r="AC28" i="7"/>
  <c r="K34" i="20"/>
  <c r="AN28" i="19"/>
  <c r="S34" i="17" s="1"/>
  <c r="K34" i="18"/>
  <c r="AL27" i="7"/>
  <c r="BD27" i="7" s="1"/>
  <c r="AL12" i="7"/>
  <c r="BD12" i="7" s="1"/>
  <c r="AU22" i="7"/>
  <c r="AL6" i="7"/>
  <c r="BD6" i="7" s="1"/>
  <c r="AL20" i="7"/>
  <c r="BD20" i="7" s="1"/>
  <c r="AU21" i="7"/>
  <c r="AL19" i="7"/>
  <c r="BD19" i="7" s="1"/>
  <c r="AL26" i="7"/>
  <c r="BD26" i="7" s="1"/>
  <c r="AL18" i="7"/>
  <c r="BD18" i="7" s="1"/>
  <c r="AU8" i="7"/>
  <c r="AU24" i="7"/>
  <c r="AF15" i="7"/>
  <c r="AF14" i="7"/>
  <c r="AF13" i="7"/>
  <c r="AF9" i="7"/>
  <c r="AF16" i="7"/>
  <c r="AF17" i="7"/>
  <c r="G19" i="20"/>
  <c r="G22" i="20"/>
  <c r="W29" i="19"/>
  <c r="K17" i="20"/>
  <c r="G20" i="20"/>
  <c r="G21" i="20"/>
  <c r="G23" i="20"/>
  <c r="G11" i="20"/>
  <c r="AL13" i="7"/>
  <c r="BD13" i="7" s="1"/>
  <c r="AU18" i="7"/>
  <c r="G35" i="17"/>
  <c r="AI29" i="19"/>
  <c r="BA5" i="19"/>
  <c r="AR5" i="19"/>
  <c r="AR29" i="19" s="1"/>
  <c r="AG5" i="7"/>
  <c r="AG29" i="7" s="1"/>
  <c r="AP5" i="7"/>
  <c r="BH5" i="7" s="1"/>
  <c r="X29" i="7"/>
  <c r="AU20" i="7"/>
  <c r="AL8" i="7"/>
  <c r="BD8" i="7" s="1"/>
  <c r="AU6" i="7"/>
  <c r="AU26" i="7"/>
  <c r="BI17" i="19"/>
  <c r="AZ17" i="19"/>
  <c r="AW15" i="19"/>
  <c r="BO15" i="19" s="1"/>
  <c r="BF15" i="19"/>
  <c r="CA18" i="19"/>
  <c r="CA10" i="19"/>
  <c r="BF22" i="19"/>
  <c r="AW22" i="19"/>
  <c r="AC11" i="7"/>
  <c r="AW26" i="19"/>
  <c r="BF26" i="19"/>
  <c r="AC15" i="7"/>
  <c r="K21" i="21"/>
  <c r="CA19" i="19"/>
  <c r="AW12" i="19"/>
  <c r="BF12" i="19"/>
  <c r="AW18" i="19"/>
  <c r="BF18" i="19"/>
  <c r="CA6" i="19"/>
  <c r="BF7" i="19"/>
  <c r="AW7" i="19"/>
  <c r="BF17" i="19"/>
  <c r="AW17" i="19"/>
  <c r="BO17" i="19" s="1"/>
  <c r="CA12" i="19"/>
  <c r="AZ15" i="19"/>
  <c r="CA25" i="19"/>
  <c r="AC9" i="7"/>
  <c r="K15" i="21"/>
  <c r="G35" i="18"/>
  <c r="BF9" i="19"/>
  <c r="AW9" i="19"/>
  <c r="BO9" i="19" s="1"/>
  <c r="CA8" i="19"/>
  <c r="BI14" i="19"/>
  <c r="AZ14" i="19"/>
  <c r="CA27" i="19"/>
  <c r="BF27" i="19"/>
  <c r="AW27" i="19"/>
  <c r="AZ16" i="19"/>
  <c r="BF10" i="19"/>
  <c r="AW10" i="19"/>
  <c r="AN11" i="19"/>
  <c r="K17" i="18"/>
  <c r="BF19" i="19"/>
  <c r="AW19" i="19"/>
  <c r="AZ13" i="19"/>
  <c r="AZ9" i="19"/>
  <c r="BI9" i="19"/>
  <c r="AH29" i="19"/>
  <c r="BF6" i="19"/>
  <c r="AW6" i="19"/>
  <c r="AW20" i="19"/>
  <c r="BO20" i="19" s="1"/>
  <c r="BF20" i="19"/>
  <c r="BF21" i="19"/>
  <c r="AW21" i="19"/>
  <c r="BF8" i="19"/>
  <c r="AW8" i="19"/>
  <c r="K22" i="21"/>
  <c r="AC16" i="7"/>
  <c r="BF16" i="19"/>
  <c r="AW16" i="19"/>
  <c r="BO16" i="19" s="1"/>
  <c r="AU19" i="7"/>
  <c r="AL24" i="7"/>
  <c r="BD24" i="7" s="1"/>
  <c r="AU27" i="7"/>
  <c r="AU23" i="7"/>
  <c r="AL23" i="7"/>
  <c r="BD23" i="7" s="1"/>
  <c r="AL22" i="7"/>
  <c r="BD22" i="7" s="1"/>
  <c r="AU12" i="7"/>
  <c r="AL21" i="7"/>
  <c r="BD21" i="7" s="1"/>
  <c r="C6" i="15"/>
  <c r="L29" i="7"/>
  <c r="K29" i="7"/>
  <c r="J29" i="7"/>
  <c r="I29" i="7"/>
  <c r="H29" i="7"/>
  <c r="G29" i="7"/>
  <c r="F29" i="7"/>
  <c r="V35" i="8"/>
  <c r="W35" i="8"/>
  <c r="U35" i="8"/>
  <c r="T35" i="8"/>
  <c r="S35" i="8"/>
  <c r="S34" i="8"/>
  <c r="M11" i="8"/>
  <c r="C7" i="15"/>
  <c r="P11" i="8"/>
  <c r="M12" i="8"/>
  <c r="C8" i="15"/>
  <c r="P12" i="8"/>
  <c r="M13" i="8"/>
  <c r="C9" i="15"/>
  <c r="P13" i="8"/>
  <c r="M14" i="8"/>
  <c r="C10" i="15"/>
  <c r="P14" i="8"/>
  <c r="M15" i="8"/>
  <c r="C11" i="15"/>
  <c r="P15" i="8"/>
  <c r="M16" i="8"/>
  <c r="C12" i="15"/>
  <c r="P16" i="8"/>
  <c r="M17" i="8"/>
  <c r="C13" i="15"/>
  <c r="P17" i="8"/>
  <c r="M18" i="8"/>
  <c r="C14" i="15"/>
  <c r="P18" i="8"/>
  <c r="M19" i="8"/>
  <c r="C15" i="15"/>
  <c r="P19" i="8"/>
  <c r="M20" i="8"/>
  <c r="C16" i="15"/>
  <c r="P20" i="8"/>
  <c r="M21" i="8"/>
  <c r="C17" i="15"/>
  <c r="P21" i="8"/>
  <c r="M22" i="8"/>
  <c r="C18" i="15"/>
  <c r="P22" i="8"/>
  <c r="M23" i="8"/>
  <c r="C19" i="15"/>
  <c r="P23" i="8"/>
  <c r="M24" i="8"/>
  <c r="C20" i="15"/>
  <c r="P24" i="8"/>
  <c r="M25" i="8"/>
  <c r="C21" i="15"/>
  <c r="P25" i="8"/>
  <c r="M26" i="8"/>
  <c r="C22" i="15"/>
  <c r="P26" i="8"/>
  <c r="M27" i="8"/>
  <c r="C23" i="15"/>
  <c r="P27" i="8"/>
  <c r="M28" i="8"/>
  <c r="C24" i="15"/>
  <c r="P28" i="8"/>
  <c r="M29" i="8"/>
  <c r="C25" i="15"/>
  <c r="P29" i="8"/>
  <c r="M30" i="8"/>
  <c r="C26" i="15"/>
  <c r="P30" i="8"/>
  <c r="M31" i="8"/>
  <c r="C27" i="15"/>
  <c r="P31" i="8"/>
  <c r="M32" i="8"/>
  <c r="C28" i="15"/>
  <c r="P32" i="8"/>
  <c r="M33" i="8"/>
  <c r="C29" i="15"/>
  <c r="P33" i="8"/>
  <c r="P10" i="8"/>
  <c r="M10" i="8"/>
  <c r="D10" i="8"/>
  <c r="E37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C2" i="8"/>
  <c r="C8" i="8" s="1"/>
  <c r="J38" i="17" l="1"/>
  <c r="AU17" i="7"/>
  <c r="K17" i="21"/>
  <c r="K34" i="21"/>
  <c r="S13" i="21"/>
  <c r="S26" i="21"/>
  <c r="S23" i="21"/>
  <c r="S24" i="21"/>
  <c r="S12" i="21"/>
  <c r="G35" i="21"/>
  <c r="S16" i="21"/>
  <c r="S25" i="21"/>
  <c r="S22" i="21"/>
  <c r="S21" i="21"/>
  <c r="S11" i="21"/>
  <c r="S18" i="21"/>
  <c r="S28" i="21"/>
  <c r="S32" i="21"/>
  <c r="S14" i="21"/>
  <c r="J35" i="21"/>
  <c r="S33" i="21"/>
  <c r="S27" i="21"/>
  <c r="J35" i="20"/>
  <c r="G38" i="17"/>
  <c r="G38" i="18"/>
  <c r="S17" i="18"/>
  <c r="S17" i="17"/>
  <c r="K35" i="18"/>
  <c r="K35" i="20"/>
  <c r="AW28" i="19"/>
  <c r="BO28" i="19" s="1"/>
  <c r="BF28" i="19"/>
  <c r="S34" i="18"/>
  <c r="AL28" i="7"/>
  <c r="BD28" i="7" s="1"/>
  <c r="AU28" i="7"/>
  <c r="BS29" i="7"/>
  <c r="BJ29" i="7"/>
  <c r="BR29" i="7"/>
  <c r="BI29" i="7"/>
  <c r="BT29" i="7"/>
  <c r="BK29" i="7"/>
  <c r="G35" i="20"/>
  <c r="AP29" i="7"/>
  <c r="BH29" i="7" s="1"/>
  <c r="AY5" i="7"/>
  <c r="BJ5" i="19"/>
  <c r="BS5" i="19"/>
  <c r="BA29" i="19"/>
  <c r="BS29" i="19" s="1"/>
  <c r="K35" i="17"/>
  <c r="AC29" i="7"/>
  <c r="D8" i="15"/>
  <c r="E13" i="18"/>
  <c r="Q12" i="8"/>
  <c r="D12" i="15"/>
  <c r="E17" i="18"/>
  <c r="Q16" i="8"/>
  <c r="D15" i="15"/>
  <c r="E20" i="18"/>
  <c r="Q19" i="8"/>
  <c r="D11" i="15"/>
  <c r="E16" i="18"/>
  <c r="Q15" i="8"/>
  <c r="D7" i="15"/>
  <c r="E12" i="18"/>
  <c r="Q11" i="8"/>
  <c r="D23" i="15"/>
  <c r="E28" i="18"/>
  <c r="Q27" i="8"/>
  <c r="D14" i="15"/>
  <c r="E19" i="18"/>
  <c r="Q18" i="8"/>
  <c r="D10" i="15"/>
  <c r="E15" i="18"/>
  <c r="Q14" i="8"/>
  <c r="D16" i="15"/>
  <c r="E21" i="18"/>
  <c r="Q20" i="8"/>
  <c r="D26" i="15"/>
  <c r="E31" i="18"/>
  <c r="Q30" i="8"/>
  <c r="D22" i="15"/>
  <c r="E27" i="18"/>
  <c r="Q26" i="8"/>
  <c r="D6" i="15"/>
  <c r="Q10" i="8"/>
  <c r="D28" i="15"/>
  <c r="E33" i="18"/>
  <c r="Q32" i="8"/>
  <c r="D17" i="15"/>
  <c r="E22" i="18"/>
  <c r="Q21" i="8"/>
  <c r="D20" i="15"/>
  <c r="E25" i="18"/>
  <c r="Q24" i="8"/>
  <c r="D19" i="15"/>
  <c r="E24" i="18"/>
  <c r="Q23" i="8"/>
  <c r="D25" i="15"/>
  <c r="E30" i="18"/>
  <c r="Q29" i="8"/>
  <c r="D13" i="15"/>
  <c r="E18" i="18"/>
  <c r="Q17" i="8"/>
  <c r="D24" i="15"/>
  <c r="E29" i="18"/>
  <c r="Q28" i="8"/>
  <c r="D27" i="15"/>
  <c r="E32" i="18"/>
  <c r="Q31" i="8"/>
  <c r="D18" i="15"/>
  <c r="E23" i="18"/>
  <c r="Q22" i="8"/>
  <c r="D29" i="15"/>
  <c r="E34" i="18"/>
  <c r="Q33" i="8"/>
  <c r="D21" i="15"/>
  <c r="E26" i="18"/>
  <c r="Q25" i="8"/>
  <c r="D9" i="15"/>
  <c r="E14" i="18"/>
  <c r="Q13" i="8"/>
  <c r="AQ29" i="19"/>
  <c r="BR14" i="19"/>
  <c r="AU15" i="7"/>
  <c r="AL15" i="7"/>
  <c r="BD15" i="7" s="1"/>
  <c r="BF11" i="19"/>
  <c r="AW11" i="19"/>
  <c r="BO11" i="19" s="1"/>
  <c r="AU9" i="7"/>
  <c r="AL9" i="7"/>
  <c r="BD9" i="7" s="1"/>
  <c r="BI15" i="19"/>
  <c r="BI13" i="19"/>
  <c r="BO18" i="19"/>
  <c r="BO26" i="19"/>
  <c r="BR13" i="19"/>
  <c r="BO10" i="19"/>
  <c r="CA14" i="19"/>
  <c r="AU16" i="7"/>
  <c r="AL16" i="7"/>
  <c r="BD16" i="7" s="1"/>
  <c r="AN29" i="19"/>
  <c r="S35" i="18" s="1"/>
  <c r="BR15" i="19"/>
  <c r="BO8" i="19"/>
  <c r="BO6" i="19"/>
  <c r="BO12" i="19"/>
  <c r="BR9" i="19"/>
  <c r="AZ29" i="19"/>
  <c r="BR29" i="19" s="1"/>
  <c r="CA17" i="19"/>
  <c r="BO27" i="19"/>
  <c r="AL11" i="7"/>
  <c r="BD11" i="7" s="1"/>
  <c r="AU11" i="7"/>
  <c r="BR17" i="19"/>
  <c r="BO19" i="19"/>
  <c r="BI16" i="19"/>
  <c r="BO7" i="19"/>
  <c r="BO22" i="19"/>
  <c r="CA9" i="19"/>
  <c r="BO21" i="19"/>
  <c r="BR16" i="19"/>
  <c r="AO5" i="7"/>
  <c r="BG5" i="7" s="1"/>
  <c r="L30" i="15"/>
  <c r="C30" i="15"/>
  <c r="W37" i="8"/>
  <c r="W36" i="8"/>
  <c r="W34" i="8"/>
  <c r="T34" i="8"/>
  <c r="T36" i="8"/>
  <c r="U37" i="8"/>
  <c r="U34" i="8"/>
  <c r="U36" i="8"/>
  <c r="M8" i="8"/>
  <c r="S8" i="8" s="1"/>
  <c r="D34" i="8"/>
  <c r="H8" i="8"/>
  <c r="S34" i="21" l="1"/>
  <c r="K35" i="21"/>
  <c r="S17" i="21"/>
  <c r="BF29" i="19"/>
  <c r="O15" i="20"/>
  <c r="O21" i="20"/>
  <c r="O25" i="20"/>
  <c r="O31" i="20"/>
  <c r="O17" i="20"/>
  <c r="O23" i="20"/>
  <c r="O29" i="20"/>
  <c r="O33" i="20"/>
  <c r="O12" i="20"/>
  <c r="O14" i="20"/>
  <c r="O16" i="20"/>
  <c r="O18" i="20"/>
  <c r="O20" i="20"/>
  <c r="O22" i="20"/>
  <c r="O24" i="20"/>
  <c r="O26" i="20"/>
  <c r="O28" i="20"/>
  <c r="O30" i="20"/>
  <c r="O32" i="20"/>
  <c r="O34" i="20"/>
  <c r="O13" i="20"/>
  <c r="O19" i="20"/>
  <c r="O27" i="20"/>
  <c r="M11" i="20"/>
  <c r="CB5" i="19"/>
  <c r="BJ29" i="19"/>
  <c r="CB29" i="19" s="1"/>
  <c r="BQ5" i="7"/>
  <c r="AY29" i="7"/>
  <c r="BQ29" i="7" s="1"/>
  <c r="D30" i="15"/>
  <c r="E11" i="18"/>
  <c r="D29" i="19"/>
  <c r="F26" i="18"/>
  <c r="X20" i="19"/>
  <c r="F29" i="18"/>
  <c r="X23" i="19"/>
  <c r="F25" i="18"/>
  <c r="X19" i="19"/>
  <c r="F27" i="18"/>
  <c r="X21" i="19"/>
  <c r="F19" i="18"/>
  <c r="X13" i="19"/>
  <c r="F20" i="18"/>
  <c r="X14" i="19"/>
  <c r="F34" i="18"/>
  <c r="X28" i="19"/>
  <c r="F18" i="18"/>
  <c r="X12" i="19"/>
  <c r="F22" i="18"/>
  <c r="X16" i="19"/>
  <c r="F31" i="18"/>
  <c r="X25" i="19"/>
  <c r="F28" i="18"/>
  <c r="X22" i="19"/>
  <c r="F17" i="18"/>
  <c r="X11" i="19"/>
  <c r="F23" i="18"/>
  <c r="X17" i="19"/>
  <c r="F30" i="18"/>
  <c r="X24" i="19"/>
  <c r="F33" i="18"/>
  <c r="X27" i="19"/>
  <c r="F21" i="18"/>
  <c r="X15" i="19"/>
  <c r="F12" i="18"/>
  <c r="X6" i="19"/>
  <c r="F13" i="18"/>
  <c r="X7" i="19"/>
  <c r="F14" i="18"/>
  <c r="X8" i="19"/>
  <c r="F32" i="18"/>
  <c r="X26" i="19"/>
  <c r="F24" i="18"/>
  <c r="X18" i="19"/>
  <c r="Q37" i="8"/>
  <c r="F15" i="18"/>
  <c r="X9" i="19"/>
  <c r="F16" i="18"/>
  <c r="X10" i="19"/>
  <c r="AL29" i="7"/>
  <c r="CA15" i="19"/>
  <c r="BD29" i="7"/>
  <c r="BV29" i="7" s="1"/>
  <c r="AU29" i="7"/>
  <c r="CA16" i="19"/>
  <c r="AW29" i="19"/>
  <c r="BI29" i="19"/>
  <c r="CA29" i="19" s="1"/>
  <c r="BO29" i="19"/>
  <c r="CG29" i="19" s="1"/>
  <c r="CA13" i="19"/>
  <c r="AX22" i="7"/>
  <c r="BP22" i="7" s="1"/>
  <c r="AO22" i="7"/>
  <c r="AO6" i="7"/>
  <c r="AO17" i="7"/>
  <c r="AO27" i="7"/>
  <c r="W29" i="7"/>
  <c r="V30" i="15" s="1"/>
  <c r="S35" i="17" s="1"/>
  <c r="S35" i="21" s="1"/>
  <c r="AO19" i="7"/>
  <c r="AO25" i="7"/>
  <c r="AO8" i="7"/>
  <c r="AO14" i="7"/>
  <c r="AO12" i="7"/>
  <c r="AO15" i="7"/>
  <c r="AO20" i="7"/>
  <c r="AO23" i="7"/>
  <c r="AO10" i="7"/>
  <c r="AO21" i="7"/>
  <c r="AO11" i="7"/>
  <c r="AO9" i="7"/>
  <c r="AO7" i="7"/>
  <c r="AO16" i="7"/>
  <c r="AO18" i="7"/>
  <c r="AO13" i="7"/>
  <c r="AO24" i="7"/>
  <c r="AO26" i="7"/>
  <c r="AO28" i="7"/>
  <c r="AX6" i="7"/>
  <c r="BP6" i="7" s="1"/>
  <c r="AX12" i="7"/>
  <c r="BP12" i="7" s="1"/>
  <c r="AX15" i="7"/>
  <c r="BP15" i="7" s="1"/>
  <c r="AX20" i="7"/>
  <c r="BP20" i="7" s="1"/>
  <c r="AX13" i="7"/>
  <c r="BP13" i="7" s="1"/>
  <c r="AX28" i="7"/>
  <c r="BP28" i="7" s="1"/>
  <c r="AX27" i="7"/>
  <c r="BP27" i="7" s="1"/>
  <c r="AX25" i="7"/>
  <c r="BP25" i="7" s="1"/>
  <c r="AX23" i="7"/>
  <c r="BP23" i="7" s="1"/>
  <c r="AX16" i="7"/>
  <c r="BP16" i="7" s="1"/>
  <c r="N29" i="7"/>
  <c r="AX26" i="7"/>
  <c r="BP26" i="7" s="1"/>
  <c r="AX21" i="7"/>
  <c r="BP21" i="7" s="1"/>
  <c r="AX8" i="7"/>
  <c r="BP8" i="7" s="1"/>
  <c r="AX11" i="7"/>
  <c r="BP11" i="7" s="1"/>
  <c r="AX17" i="7"/>
  <c r="BP17" i="7" s="1"/>
  <c r="AX7" i="7"/>
  <c r="BP7" i="7" s="1"/>
  <c r="AX10" i="7"/>
  <c r="BP10" i="7" s="1"/>
  <c r="AX18" i="7"/>
  <c r="BP18" i="7" s="1"/>
  <c r="AX24" i="7"/>
  <c r="BP24" i="7" s="1"/>
  <c r="AX14" i="7"/>
  <c r="BP14" i="7" s="1"/>
  <c r="AX9" i="7"/>
  <c r="BP9" i="7" s="1"/>
  <c r="AX19" i="7"/>
  <c r="BP19" i="7" s="1"/>
  <c r="H30" i="15"/>
  <c r="I30" i="15"/>
  <c r="F30" i="15"/>
  <c r="S36" i="8"/>
  <c r="X37" i="14"/>
  <c r="W37" i="14"/>
  <c r="V37" i="14"/>
  <c r="U37" i="14"/>
  <c r="T37" i="14"/>
  <c r="S37" i="14"/>
  <c r="R37" i="14"/>
  <c r="Q37" i="14"/>
  <c r="P37" i="14"/>
  <c r="O37" i="14"/>
  <c r="H11" i="14"/>
  <c r="M31" i="20" l="1"/>
  <c r="BG25" i="7"/>
  <c r="M30" i="20"/>
  <c r="BG24" i="7"/>
  <c r="M16" i="20"/>
  <c r="BG10" i="7"/>
  <c r="M25" i="20"/>
  <c r="BG19" i="7"/>
  <c r="M19" i="20"/>
  <c r="BG13" i="7"/>
  <c r="M24" i="20"/>
  <c r="BG18" i="7"/>
  <c r="M26" i="20"/>
  <c r="BG20" i="7"/>
  <c r="M33" i="20"/>
  <c r="BG27" i="7"/>
  <c r="M27" i="20"/>
  <c r="BG21" i="7"/>
  <c r="M23" i="20"/>
  <c r="BG17" i="7"/>
  <c r="M21" i="20"/>
  <c r="BG15" i="7"/>
  <c r="M13" i="20"/>
  <c r="BG7" i="7"/>
  <c r="M18" i="20"/>
  <c r="BG12" i="7"/>
  <c r="M12" i="20"/>
  <c r="BG6" i="7"/>
  <c r="M20" i="20"/>
  <c r="BG14" i="7"/>
  <c r="M28" i="20"/>
  <c r="BG22" i="7"/>
  <c r="M32" i="20"/>
  <c r="BG26" i="7"/>
  <c r="M29" i="20"/>
  <c r="BG23" i="7"/>
  <c r="M22" i="20"/>
  <c r="BG16" i="7"/>
  <c r="M15" i="20"/>
  <c r="BG9" i="7"/>
  <c r="M34" i="20"/>
  <c r="BG28" i="7"/>
  <c r="M17" i="20"/>
  <c r="BG11" i="7"/>
  <c r="M14" i="20"/>
  <c r="BG8" i="7"/>
  <c r="O11" i="20"/>
  <c r="O35" i="20" s="1"/>
  <c r="O35" i="17"/>
  <c r="O35" i="21" s="1"/>
  <c r="M35" i="17"/>
  <c r="M35" i="21" s="1"/>
  <c r="E35" i="18"/>
  <c r="L14" i="18"/>
  <c r="AO8" i="19"/>
  <c r="L19" i="18"/>
  <c r="AO13" i="19"/>
  <c r="AO24" i="19"/>
  <c r="L30" i="18"/>
  <c r="AO16" i="19"/>
  <c r="L22" i="18"/>
  <c r="AO21" i="19"/>
  <c r="L27" i="18"/>
  <c r="L16" i="18"/>
  <c r="AO10" i="19"/>
  <c r="L23" i="18"/>
  <c r="AO17" i="19"/>
  <c r="L18" i="18"/>
  <c r="AO12" i="19"/>
  <c r="AO19" i="19"/>
  <c r="L25" i="18"/>
  <c r="AO9" i="19"/>
  <c r="L15" i="18"/>
  <c r="AO25" i="19"/>
  <c r="L31" i="18"/>
  <c r="AO7" i="19"/>
  <c r="L13" i="18"/>
  <c r="AO28" i="19"/>
  <c r="L34" i="18"/>
  <c r="AO23" i="19"/>
  <c r="L29" i="18"/>
  <c r="F11" i="18"/>
  <c r="E29" i="19"/>
  <c r="X5" i="19"/>
  <c r="AO6" i="19"/>
  <c r="L12" i="18"/>
  <c r="AO11" i="19"/>
  <c r="L17" i="18"/>
  <c r="L26" i="18"/>
  <c r="AO20" i="19"/>
  <c r="L33" i="18"/>
  <c r="AO27" i="19"/>
  <c r="AO18" i="19"/>
  <c r="L24" i="18"/>
  <c r="AO15" i="19"/>
  <c r="L21" i="18"/>
  <c r="L28" i="18"/>
  <c r="AO22" i="19"/>
  <c r="L20" i="18"/>
  <c r="AO14" i="19"/>
  <c r="L32" i="18"/>
  <c r="AO26" i="19"/>
  <c r="AX5" i="7"/>
  <c r="BP5" i="7" s="1"/>
  <c r="K30" i="15"/>
  <c r="J30" i="15"/>
  <c r="AF29" i="7"/>
  <c r="M35" i="20" l="1"/>
  <c r="F35" i="18"/>
  <c r="AX7" i="19"/>
  <c r="AP7" i="19"/>
  <c r="BG7" i="19"/>
  <c r="BG21" i="19"/>
  <c r="AP21" i="19"/>
  <c r="AX21" i="19"/>
  <c r="AP6" i="19"/>
  <c r="AX6" i="19"/>
  <c r="BG6" i="19"/>
  <c r="L11" i="18"/>
  <c r="AO5" i="19"/>
  <c r="X29" i="19"/>
  <c r="AP9" i="19"/>
  <c r="BG9" i="19"/>
  <c r="AX9" i="19"/>
  <c r="AX16" i="19"/>
  <c r="AP16" i="19"/>
  <c r="BG16" i="19"/>
  <c r="BG11" i="19"/>
  <c r="AX11" i="19"/>
  <c r="AP11" i="19"/>
  <c r="BG14" i="19"/>
  <c r="AP14" i="19"/>
  <c r="AX14" i="19"/>
  <c r="AX19" i="19"/>
  <c r="BG19" i="19"/>
  <c r="AP19" i="19"/>
  <c r="AP24" i="19"/>
  <c r="BG24" i="19"/>
  <c r="AX24" i="19"/>
  <c r="AX22" i="19"/>
  <c r="BG22" i="19"/>
  <c r="AP22" i="19"/>
  <c r="BG15" i="19"/>
  <c r="AP15" i="19"/>
  <c r="AX15" i="19"/>
  <c r="AP12" i="19"/>
  <c r="AX12" i="19"/>
  <c r="BG12" i="19"/>
  <c r="AX13" i="19"/>
  <c r="BG13" i="19"/>
  <c r="AP13" i="19"/>
  <c r="AP10" i="19"/>
  <c r="BG10" i="19"/>
  <c r="AX10" i="19"/>
  <c r="AP18" i="19"/>
  <c r="AX18" i="19"/>
  <c r="BG18" i="19"/>
  <c r="AX27" i="19"/>
  <c r="BG27" i="19"/>
  <c r="AP27" i="19"/>
  <c r="BG23" i="19"/>
  <c r="AP23" i="19"/>
  <c r="AX23" i="19"/>
  <c r="BG25" i="19"/>
  <c r="AP25" i="19"/>
  <c r="AX25" i="19"/>
  <c r="AP17" i="19"/>
  <c r="BG17" i="19"/>
  <c r="AX17" i="19"/>
  <c r="BG8" i="19"/>
  <c r="AP8" i="19"/>
  <c r="AX8" i="19"/>
  <c r="BG26" i="19"/>
  <c r="AX26" i="19"/>
  <c r="AP26" i="19"/>
  <c r="BG20" i="19"/>
  <c r="AX20" i="19"/>
  <c r="AP20" i="19"/>
  <c r="BG28" i="19"/>
  <c r="AX28" i="19"/>
  <c r="AP28" i="19"/>
  <c r="AX29" i="7"/>
  <c r="BP29" i="7" s="1"/>
  <c r="N36" i="8"/>
  <c r="N35" i="8"/>
  <c r="N34" i="8"/>
  <c r="I36" i="8"/>
  <c r="I35" i="8"/>
  <c r="I34" i="8"/>
  <c r="D36" i="8"/>
  <c r="D35" i="8"/>
  <c r="J39" i="18" l="1"/>
  <c r="I39" i="18"/>
  <c r="H39" i="18"/>
  <c r="G39" i="18"/>
  <c r="K39" i="18"/>
  <c r="BP6" i="19"/>
  <c r="CH6" i="19" s="1"/>
  <c r="BP13" i="19"/>
  <c r="CH13" i="19" s="1"/>
  <c r="BY11" i="19"/>
  <c r="BY14" i="19"/>
  <c r="BY16" i="19"/>
  <c r="BP23" i="19"/>
  <c r="BY13" i="19"/>
  <c r="BY26" i="19"/>
  <c r="BY23" i="19"/>
  <c r="BY24" i="19"/>
  <c r="BP21" i="19"/>
  <c r="BY15" i="19"/>
  <c r="BY6" i="19"/>
  <c r="BP26" i="19"/>
  <c r="BP8" i="19"/>
  <c r="BP16" i="19"/>
  <c r="BP10" i="19"/>
  <c r="BY20" i="19"/>
  <c r="BY22" i="19"/>
  <c r="BP24" i="19"/>
  <c r="BY27" i="19"/>
  <c r="BY12" i="19"/>
  <c r="BP9" i="19"/>
  <c r="BY21" i="19"/>
  <c r="BY28" i="19"/>
  <c r="BP27" i="19"/>
  <c r="BP12" i="19"/>
  <c r="BY19" i="19"/>
  <c r="BY9" i="19"/>
  <c r="BY7" i="19"/>
  <c r="AX5" i="19"/>
  <c r="BP5" i="19" s="1"/>
  <c r="BG5" i="19"/>
  <c r="AP5" i="19"/>
  <c r="AP29" i="19" s="1"/>
  <c r="AO29" i="19"/>
  <c r="BP20" i="19"/>
  <c r="BY10" i="19"/>
  <c r="BY25" i="19"/>
  <c r="BP17" i="19"/>
  <c r="BY18" i="19"/>
  <c r="BP19" i="19"/>
  <c r="BP25" i="19"/>
  <c r="BP11" i="19"/>
  <c r="BP22" i="19"/>
  <c r="BY8" i="19"/>
  <c r="BP28" i="19"/>
  <c r="BY17" i="19"/>
  <c r="BP18" i="19"/>
  <c r="BP15" i="19"/>
  <c r="BP14" i="19"/>
  <c r="BP7" i="19"/>
  <c r="K37" i="8"/>
  <c r="J37" i="8"/>
  <c r="K36" i="8"/>
  <c r="J36" i="8"/>
  <c r="H36" i="8"/>
  <c r="K35" i="8"/>
  <c r="J35" i="8"/>
  <c r="H35" i="8"/>
  <c r="K34" i="8"/>
  <c r="J34" i="8"/>
  <c r="H34" i="8"/>
  <c r="F37" i="8"/>
  <c r="F36" i="8"/>
  <c r="F35" i="8"/>
  <c r="F34" i="8"/>
  <c r="E36" i="8"/>
  <c r="E35" i="8"/>
  <c r="E34" i="8"/>
  <c r="C6" i="7"/>
  <c r="D12" i="17" s="1"/>
  <c r="D6" i="7"/>
  <c r="E12" i="17" s="1"/>
  <c r="C7" i="7"/>
  <c r="D13" i="17" s="1"/>
  <c r="D7" i="7"/>
  <c r="E13" i="17" s="1"/>
  <c r="C8" i="7"/>
  <c r="D14" i="17" s="1"/>
  <c r="D8" i="7"/>
  <c r="E14" i="17" s="1"/>
  <c r="C9" i="7"/>
  <c r="D15" i="17" s="1"/>
  <c r="D9" i="7"/>
  <c r="E15" i="17" s="1"/>
  <c r="C10" i="7"/>
  <c r="D16" i="17" s="1"/>
  <c r="D10" i="7"/>
  <c r="E16" i="17" s="1"/>
  <c r="C11" i="7"/>
  <c r="D17" i="17" s="1"/>
  <c r="D11" i="7"/>
  <c r="E17" i="17" s="1"/>
  <c r="C12" i="7"/>
  <c r="D18" i="17" s="1"/>
  <c r="D12" i="7"/>
  <c r="E18" i="17" s="1"/>
  <c r="C13" i="7"/>
  <c r="D19" i="17" s="1"/>
  <c r="D13" i="7"/>
  <c r="E19" i="17" s="1"/>
  <c r="C14" i="7"/>
  <c r="D20" i="17" s="1"/>
  <c r="D14" i="7"/>
  <c r="E20" i="17" s="1"/>
  <c r="C15" i="7"/>
  <c r="D21" i="17" s="1"/>
  <c r="D15" i="7"/>
  <c r="E21" i="17" s="1"/>
  <c r="C16" i="7"/>
  <c r="D22" i="17" s="1"/>
  <c r="D16" i="7"/>
  <c r="E22" i="17" s="1"/>
  <c r="C17" i="7"/>
  <c r="D23" i="17" s="1"/>
  <c r="D17" i="7"/>
  <c r="E23" i="17" s="1"/>
  <c r="C18" i="7"/>
  <c r="D24" i="17" s="1"/>
  <c r="D18" i="7"/>
  <c r="E24" i="17" s="1"/>
  <c r="C19" i="7"/>
  <c r="D25" i="17" s="1"/>
  <c r="D19" i="7"/>
  <c r="E25" i="17" s="1"/>
  <c r="C20" i="7"/>
  <c r="D26" i="17" s="1"/>
  <c r="D20" i="7"/>
  <c r="E26" i="17" s="1"/>
  <c r="C21" i="7"/>
  <c r="D27" i="17" s="1"/>
  <c r="D21" i="7"/>
  <c r="E27" i="17" s="1"/>
  <c r="C22" i="7"/>
  <c r="D28" i="17" s="1"/>
  <c r="D22" i="7"/>
  <c r="E28" i="17" s="1"/>
  <c r="C23" i="7"/>
  <c r="D29" i="17" s="1"/>
  <c r="D23" i="7"/>
  <c r="E29" i="17" s="1"/>
  <c r="C24" i="7"/>
  <c r="D30" i="17" s="1"/>
  <c r="D24" i="7"/>
  <c r="E30" i="17" s="1"/>
  <c r="C25" i="7"/>
  <c r="D31" i="17" s="1"/>
  <c r="D25" i="7"/>
  <c r="E31" i="17" s="1"/>
  <c r="C26" i="7"/>
  <c r="D32" i="17" s="1"/>
  <c r="D26" i="7"/>
  <c r="E32" i="17" s="1"/>
  <c r="C27" i="7"/>
  <c r="D33" i="17" s="1"/>
  <c r="D27" i="7"/>
  <c r="E33" i="17" s="1"/>
  <c r="C28" i="7"/>
  <c r="D34" i="17" s="1"/>
  <c r="D28" i="7"/>
  <c r="E34" i="17" s="1"/>
  <c r="D5" i="7"/>
  <c r="E11" i="17" s="1"/>
  <c r="E11" i="15"/>
  <c r="AD11" i="15" s="1"/>
  <c r="E14" i="15"/>
  <c r="AD14" i="15" s="1"/>
  <c r="E18" i="15"/>
  <c r="AD18" i="15" s="1"/>
  <c r="E19" i="15"/>
  <c r="AD19" i="15" s="1"/>
  <c r="E20" i="15"/>
  <c r="AD20" i="15" s="1"/>
  <c r="E22" i="15"/>
  <c r="AD22" i="15" s="1"/>
  <c r="E26" i="15"/>
  <c r="AD26" i="15" s="1"/>
  <c r="E27" i="15"/>
  <c r="AD27" i="15" s="1"/>
  <c r="E28" i="15"/>
  <c r="AD28" i="15" s="1"/>
  <c r="E29" i="15"/>
  <c r="AD29" i="15" s="1"/>
  <c r="C36" i="8"/>
  <c r="C35" i="8"/>
  <c r="C34" i="8"/>
  <c r="D23" i="20" l="1"/>
  <c r="D23" i="21"/>
  <c r="D19" i="20"/>
  <c r="D19" i="21"/>
  <c r="D15" i="20"/>
  <c r="D15" i="21"/>
  <c r="E34" i="20"/>
  <c r="E34" i="21"/>
  <c r="E18" i="20"/>
  <c r="E18" i="21"/>
  <c r="E14" i="20"/>
  <c r="E14" i="21"/>
  <c r="D30" i="20"/>
  <c r="D30" i="21"/>
  <c r="D26" i="20"/>
  <c r="D26" i="21"/>
  <c r="D22" i="20"/>
  <c r="D22" i="21"/>
  <c r="D18" i="20"/>
  <c r="D18" i="21"/>
  <c r="D14" i="20"/>
  <c r="D14" i="21"/>
  <c r="D34" i="20"/>
  <c r="D34" i="21"/>
  <c r="E33" i="20"/>
  <c r="E33" i="21"/>
  <c r="E29" i="20"/>
  <c r="E29" i="21"/>
  <c r="E25" i="20"/>
  <c r="E25" i="21"/>
  <c r="E21" i="20"/>
  <c r="E21" i="21"/>
  <c r="E17" i="20"/>
  <c r="E17" i="21"/>
  <c r="E13" i="20"/>
  <c r="E13" i="21"/>
  <c r="E11" i="20"/>
  <c r="E11" i="21"/>
  <c r="E22" i="20"/>
  <c r="E22" i="21"/>
  <c r="D33" i="20"/>
  <c r="D33" i="21"/>
  <c r="D25" i="20"/>
  <c r="D25" i="21"/>
  <c r="D21" i="20"/>
  <c r="D21" i="21"/>
  <c r="D17" i="20"/>
  <c r="D17" i="21"/>
  <c r="D13" i="20"/>
  <c r="D13" i="21"/>
  <c r="D31" i="20"/>
  <c r="D31" i="21"/>
  <c r="E26" i="20"/>
  <c r="E26" i="21"/>
  <c r="D29" i="20"/>
  <c r="D29" i="21"/>
  <c r="E32" i="20"/>
  <c r="E32" i="21"/>
  <c r="E28" i="20"/>
  <c r="E28" i="21"/>
  <c r="E24" i="20"/>
  <c r="E24" i="21"/>
  <c r="E20" i="20"/>
  <c r="E20" i="21"/>
  <c r="E16" i="20"/>
  <c r="E16" i="21"/>
  <c r="E12" i="20"/>
  <c r="E12" i="21"/>
  <c r="D27" i="20"/>
  <c r="D27" i="21"/>
  <c r="E30" i="20"/>
  <c r="E30" i="21"/>
  <c r="D28" i="20"/>
  <c r="D28" i="21"/>
  <c r="D24" i="20"/>
  <c r="D24" i="21"/>
  <c r="D20" i="20"/>
  <c r="D20" i="21"/>
  <c r="D16" i="20"/>
  <c r="D16" i="21"/>
  <c r="D12" i="20"/>
  <c r="D12" i="21"/>
  <c r="D32" i="20"/>
  <c r="D32" i="21"/>
  <c r="E31" i="20"/>
  <c r="E31" i="21"/>
  <c r="E27" i="20"/>
  <c r="E27" i="21"/>
  <c r="E23" i="20"/>
  <c r="E23" i="21"/>
  <c r="E19" i="20"/>
  <c r="E19" i="21"/>
  <c r="E15" i="20"/>
  <c r="E15" i="21"/>
  <c r="CH14" i="19"/>
  <c r="CH22" i="19"/>
  <c r="CH11" i="19"/>
  <c r="CH9" i="19"/>
  <c r="CH10" i="19"/>
  <c r="CH21" i="19"/>
  <c r="CH23" i="19"/>
  <c r="CH18" i="19"/>
  <c r="CH25" i="19"/>
  <c r="CH20" i="19"/>
  <c r="CH15" i="19"/>
  <c r="E35" i="17"/>
  <c r="E35" i="21" s="1"/>
  <c r="CH12" i="19"/>
  <c r="CH16" i="19"/>
  <c r="CH19" i="19"/>
  <c r="CH5" i="19"/>
  <c r="BP29" i="19"/>
  <c r="CH29" i="19" s="1"/>
  <c r="CH27" i="19"/>
  <c r="CH8" i="19"/>
  <c r="BY5" i="19"/>
  <c r="BG29" i="19"/>
  <c r="BY29" i="19" s="1"/>
  <c r="CH28" i="19"/>
  <c r="AX29" i="19"/>
  <c r="CH24" i="19"/>
  <c r="CH26" i="19"/>
  <c r="CH7" i="19"/>
  <c r="CH17" i="19"/>
  <c r="M20" i="15"/>
  <c r="M11" i="15"/>
  <c r="M26" i="15"/>
  <c r="M28" i="15"/>
  <c r="M27" i="15"/>
  <c r="M18" i="15"/>
  <c r="M19" i="15"/>
  <c r="M22" i="15"/>
  <c r="M14" i="15"/>
  <c r="M29" i="15"/>
  <c r="E21" i="15"/>
  <c r="AD21" i="15" s="1"/>
  <c r="E13" i="15"/>
  <c r="AD13" i="15" s="1"/>
  <c r="E6" i="15"/>
  <c r="E16" i="15"/>
  <c r="AD16" i="15" s="1"/>
  <c r="E8" i="15"/>
  <c r="AD8" i="15" s="1"/>
  <c r="E24" i="15"/>
  <c r="AD24" i="15" s="1"/>
  <c r="E12" i="15"/>
  <c r="AD12" i="15" s="1"/>
  <c r="E23" i="15"/>
  <c r="AD23" i="15" s="1"/>
  <c r="E10" i="15"/>
  <c r="AD10" i="15" s="1"/>
  <c r="E25" i="15"/>
  <c r="AD25" i="15" s="1"/>
  <c r="E17" i="15"/>
  <c r="AD17" i="15" s="1"/>
  <c r="E9" i="15"/>
  <c r="AD9" i="15" s="1"/>
  <c r="E15" i="15"/>
  <c r="AD15" i="15" s="1"/>
  <c r="E7" i="15"/>
  <c r="AD7" i="15" s="1"/>
  <c r="E27" i="7"/>
  <c r="E25" i="7"/>
  <c r="E17" i="7"/>
  <c r="E15" i="7"/>
  <c r="E13" i="7"/>
  <c r="E28" i="7"/>
  <c r="E21" i="7"/>
  <c r="E18" i="7"/>
  <c r="E10" i="7"/>
  <c r="M35" i="8"/>
  <c r="E19" i="7"/>
  <c r="E7" i="7"/>
  <c r="E20" i="7"/>
  <c r="E23" i="7"/>
  <c r="M36" i="8"/>
  <c r="O35" i="8"/>
  <c r="L35" i="8"/>
  <c r="D29" i="7"/>
  <c r="O36" i="8"/>
  <c r="P34" i="8"/>
  <c r="O37" i="8"/>
  <c r="L37" i="8"/>
  <c r="L36" i="8"/>
  <c r="M34" i="8"/>
  <c r="C5" i="7"/>
  <c r="D11" i="17" s="1"/>
  <c r="D11" i="21" s="1"/>
  <c r="L34" i="8"/>
  <c r="O34" i="8"/>
  <c r="P36" i="8"/>
  <c r="P37" i="8"/>
  <c r="P35" i="8"/>
  <c r="E35" i="20" l="1"/>
  <c r="D35" i="17"/>
  <c r="D35" i="21" s="1"/>
  <c r="D11" i="20"/>
  <c r="D35" i="20" s="1"/>
  <c r="E30" i="15"/>
  <c r="M6" i="15"/>
  <c r="AD6" i="15"/>
  <c r="M5" i="7" s="1"/>
  <c r="F29" i="17"/>
  <c r="F33" i="17"/>
  <c r="F13" i="17"/>
  <c r="F16" i="17"/>
  <c r="F26" i="17"/>
  <c r="F19" i="17"/>
  <c r="F25" i="17"/>
  <c r="F27" i="17"/>
  <c r="F21" i="17"/>
  <c r="F31" i="17"/>
  <c r="F24" i="17"/>
  <c r="F34" i="17"/>
  <c r="F23" i="17"/>
  <c r="M10" i="7"/>
  <c r="AD10" i="7" s="1"/>
  <c r="M17" i="7"/>
  <c r="M26" i="7"/>
  <c r="M21" i="7"/>
  <c r="M25" i="7"/>
  <c r="M10" i="15"/>
  <c r="M21" i="15"/>
  <c r="M18" i="7"/>
  <c r="M23" i="15"/>
  <c r="M13" i="15"/>
  <c r="M12" i="15"/>
  <c r="M28" i="7"/>
  <c r="M25" i="15"/>
  <c r="M7" i="15"/>
  <c r="M24" i="15"/>
  <c r="M27" i="7"/>
  <c r="E12" i="7"/>
  <c r="M15" i="15"/>
  <c r="M8" i="15"/>
  <c r="M13" i="7"/>
  <c r="M9" i="15"/>
  <c r="M16" i="15"/>
  <c r="M19" i="7"/>
  <c r="M17" i="15"/>
  <c r="E9" i="7"/>
  <c r="E11" i="7"/>
  <c r="E8" i="7"/>
  <c r="E16" i="7"/>
  <c r="E24" i="7"/>
  <c r="E14" i="7"/>
  <c r="E6" i="7"/>
  <c r="V36" i="8"/>
  <c r="E22" i="7"/>
  <c r="E26" i="7"/>
  <c r="C29" i="7"/>
  <c r="E5" i="7"/>
  <c r="F21" i="20" l="1"/>
  <c r="F21" i="21"/>
  <c r="F24" i="20"/>
  <c r="F24" i="21"/>
  <c r="F13" i="20"/>
  <c r="F13" i="21"/>
  <c r="F31" i="20"/>
  <c r="F31" i="21"/>
  <c r="F33" i="20"/>
  <c r="F33" i="21"/>
  <c r="F25" i="20"/>
  <c r="F25" i="21"/>
  <c r="F29" i="20"/>
  <c r="F29" i="21"/>
  <c r="F19" i="20"/>
  <c r="F19" i="21"/>
  <c r="F23" i="20"/>
  <c r="F23" i="21"/>
  <c r="F26" i="20"/>
  <c r="F26" i="21"/>
  <c r="F27" i="20"/>
  <c r="F27" i="21"/>
  <c r="F34" i="20"/>
  <c r="F34" i="21"/>
  <c r="F16" i="20"/>
  <c r="F16" i="21"/>
  <c r="F20" i="17"/>
  <c r="F30" i="17"/>
  <c r="F14" i="17"/>
  <c r="L32" i="17"/>
  <c r="L23" i="17"/>
  <c r="F32" i="17"/>
  <c r="F18" i="17"/>
  <c r="L16" i="17"/>
  <c r="F12" i="17"/>
  <c r="F17" i="17"/>
  <c r="F28" i="17"/>
  <c r="F22" i="17"/>
  <c r="F15" i="17"/>
  <c r="F11" i="17"/>
  <c r="L11" i="17"/>
  <c r="AD17" i="7"/>
  <c r="AE17" i="7" s="1"/>
  <c r="AD13" i="7"/>
  <c r="AM13" i="7" s="1"/>
  <c r="L19" i="17"/>
  <c r="AD25" i="7"/>
  <c r="AM25" i="7" s="1"/>
  <c r="L31" i="17"/>
  <c r="AD28" i="7"/>
  <c r="AM28" i="7" s="1"/>
  <c r="L34" i="17"/>
  <c r="AD21" i="7"/>
  <c r="AM21" i="7" s="1"/>
  <c r="L27" i="17"/>
  <c r="AD27" i="7"/>
  <c r="AV27" i="7" s="1"/>
  <c r="BN27" i="7" s="1"/>
  <c r="L33" i="17"/>
  <c r="AD18" i="7"/>
  <c r="AE18" i="7" s="1"/>
  <c r="L24" i="17"/>
  <c r="AD19" i="7"/>
  <c r="AM19" i="7" s="1"/>
  <c r="L25" i="17"/>
  <c r="AD5" i="7"/>
  <c r="AE5" i="7" s="1"/>
  <c r="M20" i="7"/>
  <c r="M12" i="7"/>
  <c r="M6" i="7"/>
  <c r="M15" i="7"/>
  <c r="M22" i="7"/>
  <c r="M14" i="7"/>
  <c r="M24" i="7"/>
  <c r="M8" i="7"/>
  <c r="M7" i="7"/>
  <c r="AD30" i="15"/>
  <c r="M11" i="7"/>
  <c r="M16" i="7"/>
  <c r="M23" i="7"/>
  <c r="M9" i="7"/>
  <c r="M30" i="15"/>
  <c r="AV10" i="7"/>
  <c r="BN10" i="7" s="1"/>
  <c r="AD26" i="7"/>
  <c r="E29" i="7"/>
  <c r="AE10" i="7"/>
  <c r="AM10" i="7"/>
  <c r="V37" i="8"/>
  <c r="V34" i="8"/>
  <c r="Q35" i="8"/>
  <c r="Q36" i="8"/>
  <c r="Q34" i="8"/>
  <c r="F11" i="20" l="1"/>
  <c r="F11" i="21"/>
  <c r="F15" i="20"/>
  <c r="F15" i="21"/>
  <c r="F22" i="20"/>
  <c r="F22" i="21"/>
  <c r="F28" i="20"/>
  <c r="F28" i="21"/>
  <c r="F14" i="20"/>
  <c r="F14" i="21"/>
  <c r="F17" i="20"/>
  <c r="F17" i="21"/>
  <c r="F30" i="20"/>
  <c r="F30" i="21"/>
  <c r="F32" i="20"/>
  <c r="F32" i="21"/>
  <c r="F12" i="20"/>
  <c r="F12" i="21"/>
  <c r="F20" i="20"/>
  <c r="F20" i="21"/>
  <c r="F18" i="20"/>
  <c r="F18" i="21"/>
  <c r="L11" i="20"/>
  <c r="L11" i="21"/>
  <c r="L34" i="20"/>
  <c r="L34" i="21"/>
  <c r="L23" i="20"/>
  <c r="L23" i="21"/>
  <c r="L27" i="20"/>
  <c r="L27" i="21"/>
  <c r="L24" i="20"/>
  <c r="L24" i="21"/>
  <c r="L31" i="20"/>
  <c r="L31" i="21"/>
  <c r="L32" i="20"/>
  <c r="L32" i="21"/>
  <c r="L25" i="20"/>
  <c r="L25" i="21"/>
  <c r="L33" i="20"/>
  <c r="L33" i="21"/>
  <c r="L19" i="20"/>
  <c r="L19" i="21"/>
  <c r="L16" i="20"/>
  <c r="L16" i="21"/>
  <c r="AV21" i="7"/>
  <c r="BN21" i="7" s="1"/>
  <c r="AV28" i="7"/>
  <c r="BN28" i="7" s="1"/>
  <c r="AV17" i="7"/>
  <c r="BN17" i="7" s="1"/>
  <c r="L35" i="18"/>
  <c r="AV19" i="7"/>
  <c r="BN19" i="7" s="1"/>
  <c r="F35" i="17"/>
  <c r="J39" i="17" s="1"/>
  <c r="AV13" i="7"/>
  <c r="BN13" i="7" s="1"/>
  <c r="AE19" i="7"/>
  <c r="AE13" i="7"/>
  <c r="AM17" i="7"/>
  <c r="AE21" i="7"/>
  <c r="AV25" i="7"/>
  <c r="BN25" i="7" s="1"/>
  <c r="AE25" i="7"/>
  <c r="AE28" i="7"/>
  <c r="AD22" i="7"/>
  <c r="AV22" i="7" s="1"/>
  <c r="BN22" i="7" s="1"/>
  <c r="L28" i="17"/>
  <c r="AD8" i="7"/>
  <c r="AE8" i="7" s="1"/>
  <c r="L14" i="17"/>
  <c r="AV18" i="7"/>
  <c r="BN18" i="7" s="1"/>
  <c r="AD15" i="7"/>
  <c r="AM15" i="7" s="1"/>
  <c r="L21" i="17"/>
  <c r="AD24" i="7"/>
  <c r="AV24" i="7" s="1"/>
  <c r="BN24" i="7" s="1"/>
  <c r="L30" i="17"/>
  <c r="AD6" i="7"/>
  <c r="AM6" i="7" s="1"/>
  <c r="L12" i="17"/>
  <c r="AD9" i="7"/>
  <c r="AV9" i="7" s="1"/>
  <c r="BN9" i="7" s="1"/>
  <c r="L15" i="17"/>
  <c r="AD12" i="7"/>
  <c r="L18" i="17"/>
  <c r="AD20" i="7"/>
  <c r="AM20" i="7" s="1"/>
  <c r="L26" i="17"/>
  <c r="AD16" i="7"/>
  <c r="L22" i="17"/>
  <c r="AD14" i="7"/>
  <c r="AM14" i="7" s="1"/>
  <c r="L20" i="17"/>
  <c r="AE27" i="7"/>
  <c r="AD11" i="7"/>
  <c r="AV11" i="7" s="1"/>
  <c r="BN11" i="7" s="1"/>
  <c r="L17" i="17"/>
  <c r="AD23" i="7"/>
  <c r="AV23" i="7" s="1"/>
  <c r="BN23" i="7" s="1"/>
  <c r="L29" i="17"/>
  <c r="AM27" i="7"/>
  <c r="AM18" i="7"/>
  <c r="AD7" i="7"/>
  <c r="AV7" i="7" s="1"/>
  <c r="BN7" i="7" s="1"/>
  <c r="L13" i="17"/>
  <c r="BE10" i="7"/>
  <c r="BW10" i="7" s="1"/>
  <c r="BE13" i="7"/>
  <c r="BW13" i="7" s="1"/>
  <c r="BE28" i="7"/>
  <c r="BW28" i="7" s="1"/>
  <c r="AV26" i="7"/>
  <c r="BN26" i="7" s="1"/>
  <c r="BE21" i="7"/>
  <c r="BW21" i="7" s="1"/>
  <c r="BE25" i="7"/>
  <c r="BW25" i="7" s="1"/>
  <c r="BE19" i="7"/>
  <c r="BW19" i="7" s="1"/>
  <c r="AO29" i="7"/>
  <c r="BG29" i="7" s="1"/>
  <c r="M29" i="7"/>
  <c r="AE26" i="7"/>
  <c r="AM26" i="7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13" i="13"/>
  <c r="F35" i="21" l="1"/>
  <c r="F35" i="20"/>
  <c r="L14" i="20"/>
  <c r="L14" i="21"/>
  <c r="L29" i="20"/>
  <c r="L29" i="21"/>
  <c r="L28" i="20"/>
  <c r="L28" i="21"/>
  <c r="L22" i="20"/>
  <c r="L22" i="21"/>
  <c r="L26" i="20"/>
  <c r="L26" i="21"/>
  <c r="L17" i="20"/>
  <c r="L17" i="21"/>
  <c r="L18" i="20"/>
  <c r="L18" i="21"/>
  <c r="L21" i="20"/>
  <c r="L21" i="21"/>
  <c r="L12" i="20"/>
  <c r="L12" i="21"/>
  <c r="L13" i="20"/>
  <c r="L13" i="21"/>
  <c r="L39" i="18"/>
  <c r="L30" i="20"/>
  <c r="L30" i="21"/>
  <c r="L20" i="20"/>
  <c r="L20" i="21"/>
  <c r="L15" i="20"/>
  <c r="L15" i="21"/>
  <c r="I39" i="17"/>
  <c r="H39" i="17"/>
  <c r="G39" i="17"/>
  <c r="K39" i="17"/>
  <c r="AE20" i="7"/>
  <c r="AV20" i="7"/>
  <c r="BN20" i="7" s="1"/>
  <c r="AE22" i="7"/>
  <c r="AM22" i="7"/>
  <c r="BE18" i="7"/>
  <c r="BW18" i="7" s="1"/>
  <c r="AE6" i="7"/>
  <c r="BE17" i="7"/>
  <c r="BW17" i="7" s="1"/>
  <c r="AE23" i="7"/>
  <c r="AM23" i="7"/>
  <c r="AE14" i="7"/>
  <c r="BE27" i="7"/>
  <c r="BW27" i="7" s="1"/>
  <c r="AV8" i="7"/>
  <c r="BN8" i="7" s="1"/>
  <c r="AV14" i="7"/>
  <c r="BE20" i="7"/>
  <c r="BW20" i="7" s="1"/>
  <c r="AM8" i="7"/>
  <c r="AM24" i="7"/>
  <c r="L35" i="17"/>
  <c r="L39" i="17" s="1"/>
  <c r="AE24" i="7"/>
  <c r="AM11" i="7"/>
  <c r="BE11" i="7" s="1"/>
  <c r="BW11" i="7" s="1"/>
  <c r="AE11" i="7"/>
  <c r="AV6" i="7"/>
  <c r="AM9" i="7"/>
  <c r="AE16" i="7"/>
  <c r="AV16" i="7"/>
  <c r="AM16" i="7"/>
  <c r="AV15" i="7"/>
  <c r="AE15" i="7"/>
  <c r="AM7" i="7"/>
  <c r="AV12" i="7"/>
  <c r="AE12" i="7"/>
  <c r="AM12" i="7"/>
  <c r="AE9" i="7"/>
  <c r="AE7" i="7"/>
  <c r="BE6" i="7"/>
  <c r="BW6" i="7" s="1"/>
  <c r="BE14" i="7"/>
  <c r="BE15" i="7"/>
  <c r="BW15" i="7" s="1"/>
  <c r="AV5" i="7"/>
  <c r="BN5" i="7" s="1"/>
  <c r="BE26" i="7"/>
  <c r="AM5" i="7"/>
  <c r="AD29" i="7"/>
  <c r="AI40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10" i="1"/>
  <c r="AO58" i="1"/>
  <c r="AO52" i="1"/>
  <c r="AO53" i="1" s="1"/>
  <c r="AO4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G40" i="1"/>
  <c r="AF40" i="1"/>
  <c r="AE40" i="1"/>
  <c r="AM40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0" i="1"/>
  <c r="AH37" i="1" s="1"/>
  <c r="K35" i="1"/>
  <c r="K36" i="1"/>
  <c r="P20" i="1"/>
  <c r="AG21" i="1"/>
  <c r="AG29" i="1"/>
  <c r="D34" i="1"/>
  <c r="F34" i="1"/>
  <c r="G34" i="1"/>
  <c r="H34" i="1"/>
  <c r="I34" i="1"/>
  <c r="J34" i="1"/>
  <c r="L34" i="1"/>
  <c r="M34" i="1"/>
  <c r="N34" i="1"/>
  <c r="O34" i="1"/>
  <c r="D35" i="1"/>
  <c r="F35" i="1"/>
  <c r="G35" i="1"/>
  <c r="H35" i="1"/>
  <c r="I35" i="1"/>
  <c r="J35" i="1"/>
  <c r="L35" i="1"/>
  <c r="M35" i="1"/>
  <c r="N35" i="1"/>
  <c r="O35" i="1"/>
  <c r="D36" i="1"/>
  <c r="F36" i="1"/>
  <c r="G36" i="1"/>
  <c r="H36" i="1"/>
  <c r="I36" i="1"/>
  <c r="J36" i="1"/>
  <c r="L36" i="1"/>
  <c r="M36" i="1"/>
  <c r="N36" i="1"/>
  <c r="O36" i="1"/>
  <c r="O37" i="1"/>
  <c r="O38" i="1" s="1"/>
  <c r="N37" i="1"/>
  <c r="N38" i="1" s="1"/>
  <c r="M37" i="1"/>
  <c r="M38" i="1" s="1"/>
  <c r="L37" i="1"/>
  <c r="J37" i="1"/>
  <c r="H37" i="1"/>
  <c r="F37" i="1"/>
  <c r="D37" i="1"/>
  <c r="C37" i="1"/>
  <c r="C38" i="1" s="1"/>
  <c r="G37" i="1"/>
  <c r="Q11" i="1"/>
  <c r="T11" i="1" s="1"/>
  <c r="Q12" i="1"/>
  <c r="W12" i="1" s="1"/>
  <c r="Q13" i="1"/>
  <c r="T13" i="1" s="1"/>
  <c r="Q14" i="1"/>
  <c r="W14" i="1" s="1"/>
  <c r="Q15" i="1"/>
  <c r="T15" i="1" s="1"/>
  <c r="Q16" i="1"/>
  <c r="Q17" i="1"/>
  <c r="T17" i="1"/>
  <c r="Z17" i="1" s="1"/>
  <c r="Q18" i="1"/>
  <c r="W18" i="1" s="1"/>
  <c r="Q19" i="1"/>
  <c r="W19" i="1" s="1"/>
  <c r="Q20" i="1"/>
  <c r="T20" i="1" s="1"/>
  <c r="Q21" i="1"/>
  <c r="W21" i="1" s="1"/>
  <c r="Q22" i="1"/>
  <c r="P23" i="1"/>
  <c r="S23" i="1" s="1"/>
  <c r="Q23" i="1"/>
  <c r="T23" i="1" s="1"/>
  <c r="Z23" i="1" s="1"/>
  <c r="Q24" i="1"/>
  <c r="W24" i="1" s="1"/>
  <c r="Q25" i="1"/>
  <c r="T25" i="1" s="1"/>
  <c r="Z25" i="1" s="1"/>
  <c r="Q26" i="1"/>
  <c r="W26" i="1" s="1"/>
  <c r="Q27" i="1"/>
  <c r="W27" i="1" s="1"/>
  <c r="Q28" i="1"/>
  <c r="W28" i="1" s="1"/>
  <c r="Q29" i="1"/>
  <c r="T29" i="1" s="1"/>
  <c r="Z29" i="1" s="1"/>
  <c r="Q30" i="1"/>
  <c r="T30" i="1" s="1"/>
  <c r="Z30" i="1" s="1"/>
  <c r="Q31" i="1"/>
  <c r="Q32" i="1"/>
  <c r="W32" i="1" s="1"/>
  <c r="P33" i="1"/>
  <c r="V33" i="1" s="1"/>
  <c r="Q33" i="1"/>
  <c r="W33" i="1" s="1"/>
  <c r="Q10" i="1"/>
  <c r="T10" i="1" s="1"/>
  <c r="Z10" i="1" s="1"/>
  <c r="AE11" i="1"/>
  <c r="AM11" i="1" s="1"/>
  <c r="AE12" i="1"/>
  <c r="AE13" i="1"/>
  <c r="AM13" i="1" s="1"/>
  <c r="AE14" i="1"/>
  <c r="AM14" i="1" s="1"/>
  <c r="AE15" i="1"/>
  <c r="AM15" i="1" s="1"/>
  <c r="AE16" i="1"/>
  <c r="AM16" i="1" s="1"/>
  <c r="AF16" i="1"/>
  <c r="AE17" i="1"/>
  <c r="AM17" i="1" s="1"/>
  <c r="AE18" i="1"/>
  <c r="AF18" i="1"/>
  <c r="AE19" i="1"/>
  <c r="AM19" i="1" s="1"/>
  <c r="AF19" i="1"/>
  <c r="AE20" i="1"/>
  <c r="AM20" i="1" s="1"/>
  <c r="AF20" i="1"/>
  <c r="AE21" i="1"/>
  <c r="AM21" i="1" s="1"/>
  <c r="AF21" i="1"/>
  <c r="AE22" i="1"/>
  <c r="AF22" i="1"/>
  <c r="AE23" i="1"/>
  <c r="AF23" i="1"/>
  <c r="AE24" i="1"/>
  <c r="AM24" i="1" s="1"/>
  <c r="AF24" i="1"/>
  <c r="AE25" i="1"/>
  <c r="AM25" i="1" s="1"/>
  <c r="AF25" i="1"/>
  <c r="AG25" i="1"/>
  <c r="AE26" i="1"/>
  <c r="AF26" i="1"/>
  <c r="AE27" i="1"/>
  <c r="AM27" i="1" s="1"/>
  <c r="AF27" i="1"/>
  <c r="AE28" i="1"/>
  <c r="AM28" i="1" s="1"/>
  <c r="AF28" i="1"/>
  <c r="AE29" i="1"/>
  <c r="AM29" i="1" s="1"/>
  <c r="AF29" i="1"/>
  <c r="AE30" i="1"/>
  <c r="AF30" i="1"/>
  <c r="AE31" i="1"/>
  <c r="AM31" i="1" s="1"/>
  <c r="AF31" i="1"/>
  <c r="AE32" i="1"/>
  <c r="AM32" i="1" s="1"/>
  <c r="AF32" i="1"/>
  <c r="AE33" i="1"/>
  <c r="AM33" i="1" s="1"/>
  <c r="AF33" i="1"/>
  <c r="AG33" i="1"/>
  <c r="AE10" i="1"/>
  <c r="AE36" i="1" s="1"/>
  <c r="AG23" i="1"/>
  <c r="P24" i="1"/>
  <c r="AF10" i="1"/>
  <c r="AF37" i="1" s="1"/>
  <c r="D38" i="1"/>
  <c r="AI37" i="1"/>
  <c r="AI35" i="1"/>
  <c r="AI34" i="1"/>
  <c r="AI36" i="1"/>
  <c r="K34" i="1"/>
  <c r="AF17" i="1"/>
  <c r="AF13" i="1"/>
  <c r="P29" i="1"/>
  <c r="R29" i="1" s="1"/>
  <c r="P26" i="1"/>
  <c r="P16" i="1"/>
  <c r="R16" i="1" s="1"/>
  <c r="S20" i="1"/>
  <c r="AG30" i="1"/>
  <c r="AG26" i="1"/>
  <c r="AG22" i="1"/>
  <c r="AG18" i="1"/>
  <c r="AG14" i="1"/>
  <c r="P32" i="1"/>
  <c r="V32" i="1" s="1"/>
  <c r="P19" i="1"/>
  <c r="AF14" i="1"/>
  <c r="P22" i="1"/>
  <c r="S22" i="1" s="1"/>
  <c r="P12" i="1"/>
  <c r="V12" i="1" s="1"/>
  <c r="AG31" i="1"/>
  <c r="AG27" i="1"/>
  <c r="AG19" i="1"/>
  <c r="AG11" i="1"/>
  <c r="P31" i="1"/>
  <c r="S31" i="1" s="1"/>
  <c r="Y31" i="1" s="1"/>
  <c r="P28" i="1"/>
  <c r="R28" i="1" s="1"/>
  <c r="P25" i="1"/>
  <c r="R25" i="1" s="1"/>
  <c r="P18" i="1"/>
  <c r="V18" i="1" s="1"/>
  <c r="V23" i="1"/>
  <c r="W17" i="1"/>
  <c r="I37" i="1"/>
  <c r="AF15" i="1"/>
  <c r="AF11" i="1"/>
  <c r="P21" i="1"/>
  <c r="S21" i="1" s="1"/>
  <c r="P11" i="1"/>
  <c r="S11" i="1" s="1"/>
  <c r="V20" i="1"/>
  <c r="AG32" i="1"/>
  <c r="AG28" i="1"/>
  <c r="AG24" i="1"/>
  <c r="AG20" i="1"/>
  <c r="AG16" i="1"/>
  <c r="AG12" i="1"/>
  <c r="P27" i="1"/>
  <c r="V27" i="1" s="1"/>
  <c r="P14" i="1"/>
  <c r="AF12" i="1"/>
  <c r="P30" i="1"/>
  <c r="S30" i="1" s="1"/>
  <c r="P17" i="1"/>
  <c r="V17" i="1" s="1"/>
  <c r="W29" i="1"/>
  <c r="AG17" i="1"/>
  <c r="AG15" i="1"/>
  <c r="AF34" i="1"/>
  <c r="K37" i="1"/>
  <c r="P15" i="1"/>
  <c r="V15" i="1" s="1"/>
  <c r="AM12" i="1"/>
  <c r="R12" i="1"/>
  <c r="P10" i="1"/>
  <c r="AG13" i="1"/>
  <c r="P13" i="1"/>
  <c r="AM26" i="1"/>
  <c r="V29" i="1"/>
  <c r="AG10" i="1"/>
  <c r="AG34" i="1" s="1"/>
  <c r="AE34" i="1"/>
  <c r="AE35" i="1"/>
  <c r="AM30" i="1"/>
  <c r="AM23" i="1"/>
  <c r="AM18" i="1"/>
  <c r="AM22" i="1"/>
  <c r="C35" i="1"/>
  <c r="C36" i="1"/>
  <c r="C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29" i="1" l="1"/>
  <c r="Y29" i="1" s="1"/>
  <c r="S12" i="1"/>
  <c r="Y12" i="1" s="1"/>
  <c r="S33" i="1"/>
  <c r="T14" i="1"/>
  <c r="Z14" i="1" s="1"/>
  <c r="V22" i="1"/>
  <c r="W15" i="1"/>
  <c r="X15" i="1" s="1"/>
  <c r="AL15" i="1" s="1"/>
  <c r="W25" i="1"/>
  <c r="S28" i="1"/>
  <c r="Y28" i="1" s="1"/>
  <c r="X27" i="1"/>
  <c r="AL27" i="1" s="1"/>
  <c r="R14" i="1"/>
  <c r="V31" i="1"/>
  <c r="U11" i="1"/>
  <c r="AK11" i="1" s="1"/>
  <c r="W23" i="1"/>
  <c r="I38" i="1"/>
  <c r="T33" i="1"/>
  <c r="U33" i="1" s="1"/>
  <c r="AK33" i="1" s="1"/>
  <c r="X23" i="1"/>
  <c r="AL23" i="1" s="1"/>
  <c r="S17" i="1"/>
  <c r="Y17" i="1" s="1"/>
  <c r="AA17" i="1" s="1"/>
  <c r="AB17" i="1" s="1"/>
  <c r="R21" i="1"/>
  <c r="X33" i="1"/>
  <c r="AL33" i="1" s="1"/>
  <c r="T19" i="1"/>
  <c r="Z19" i="1" s="1"/>
  <c r="R33" i="1"/>
  <c r="K38" i="1"/>
  <c r="R31" i="1"/>
  <c r="W10" i="1"/>
  <c r="S27" i="1"/>
  <c r="Y27" i="1" s="1"/>
  <c r="S14" i="1"/>
  <c r="R26" i="1"/>
  <c r="U20" i="1"/>
  <c r="AK20" i="1" s="1"/>
  <c r="R13" i="1"/>
  <c r="R19" i="1"/>
  <c r="V19" i="1"/>
  <c r="X19" i="1" s="1"/>
  <c r="AL19" i="1" s="1"/>
  <c r="X12" i="1"/>
  <c r="AL12" i="1" s="1"/>
  <c r="T18" i="1"/>
  <c r="Z18" i="1" s="1"/>
  <c r="X18" i="1"/>
  <c r="AL18" i="1" s="1"/>
  <c r="AM10" i="1"/>
  <c r="AM34" i="1" s="1"/>
  <c r="V13" i="1"/>
  <c r="R18" i="1"/>
  <c r="S19" i="1"/>
  <c r="Y19" i="1" s="1"/>
  <c r="S25" i="1"/>
  <c r="Y25" i="1" s="1"/>
  <c r="AA25" i="1" s="1"/>
  <c r="AB25" i="1" s="1"/>
  <c r="T31" i="1"/>
  <c r="U31" i="1" s="1"/>
  <c r="AK31" i="1" s="1"/>
  <c r="R22" i="1"/>
  <c r="R27" i="1"/>
  <c r="E34" i="1"/>
  <c r="V21" i="1"/>
  <c r="X21" i="1" s="1"/>
  <c r="AL21" i="1" s="1"/>
  <c r="T12" i="1"/>
  <c r="T26" i="1"/>
  <c r="Z26" i="1" s="1"/>
  <c r="W30" i="1"/>
  <c r="AF43" i="1"/>
  <c r="AG36" i="1"/>
  <c r="Y33" i="1"/>
  <c r="R23" i="1"/>
  <c r="R24" i="1"/>
  <c r="L35" i="20"/>
  <c r="L35" i="21"/>
  <c r="BE23" i="7"/>
  <c r="BW23" i="7" s="1"/>
  <c r="BE22" i="7"/>
  <c r="BW22" i="7" s="1"/>
  <c r="BE24" i="7"/>
  <c r="BN14" i="7"/>
  <c r="BE8" i="7"/>
  <c r="AE29" i="7"/>
  <c r="BN15" i="7"/>
  <c r="BN12" i="7"/>
  <c r="BE16" i="7"/>
  <c r="BN6" i="7"/>
  <c r="BE7" i="7"/>
  <c r="BN16" i="7"/>
  <c r="BE9" i="7"/>
  <c r="BE12" i="7"/>
  <c r="BE5" i="7"/>
  <c r="BW5" i="7" s="1"/>
  <c r="BW14" i="7"/>
  <c r="AJ35" i="1"/>
  <c r="S13" i="1"/>
  <c r="U13" i="1" s="1"/>
  <c r="AK13" i="1" s="1"/>
  <c r="V26" i="1"/>
  <c r="X26" i="1" s="1"/>
  <c r="AL26" i="1" s="1"/>
  <c r="Y30" i="1"/>
  <c r="AA30" i="1" s="1"/>
  <c r="AB30" i="1" s="1"/>
  <c r="V16" i="1"/>
  <c r="V25" i="1"/>
  <c r="Z15" i="1"/>
  <c r="AH36" i="1"/>
  <c r="AG37" i="1"/>
  <c r="AG43" i="1" s="1"/>
  <c r="S16" i="1"/>
  <c r="Y16" i="1" s="1"/>
  <c r="AI43" i="1"/>
  <c r="AH35" i="1"/>
  <c r="AJ36" i="1"/>
  <c r="Y21" i="1"/>
  <c r="S18" i="1"/>
  <c r="S26" i="1"/>
  <c r="P34" i="1"/>
  <c r="G38" i="1"/>
  <c r="AH34" i="1"/>
  <c r="Q36" i="1"/>
  <c r="X29" i="1"/>
  <c r="AL29" i="1" s="1"/>
  <c r="W16" i="1"/>
  <c r="S15" i="1"/>
  <c r="U15" i="1" s="1"/>
  <c r="AK15" i="1" s="1"/>
  <c r="R32" i="1"/>
  <c r="R17" i="1"/>
  <c r="X17" i="1"/>
  <c r="AL17" i="1" s="1"/>
  <c r="S24" i="1"/>
  <c r="Y24" i="1" s="1"/>
  <c r="E36" i="1"/>
  <c r="R15" i="1"/>
  <c r="Y20" i="1"/>
  <c r="T21" i="1"/>
  <c r="Z21" i="1" s="1"/>
  <c r="V24" i="1"/>
  <c r="X24" i="1" s="1"/>
  <c r="AL24" i="1" s="1"/>
  <c r="U30" i="1"/>
  <c r="AK30" i="1" s="1"/>
  <c r="T16" i="1"/>
  <c r="Z16" i="1" s="1"/>
  <c r="Z13" i="1"/>
  <c r="U23" i="1"/>
  <c r="AK23" i="1" s="1"/>
  <c r="Y23" i="1"/>
  <c r="AA23" i="1" s="1"/>
  <c r="AB23" i="1" s="1"/>
  <c r="AA29" i="1"/>
  <c r="AB29" i="1" s="1"/>
  <c r="X32" i="1"/>
  <c r="AL32" i="1" s="1"/>
  <c r="W22" i="1"/>
  <c r="X22" i="1" s="1"/>
  <c r="AL22" i="1" s="1"/>
  <c r="E37" i="1"/>
  <c r="E35" i="1"/>
  <c r="V10" i="1"/>
  <c r="R10" i="1"/>
  <c r="Y11" i="1"/>
  <c r="P37" i="1"/>
  <c r="AG35" i="1"/>
  <c r="S32" i="1"/>
  <c r="V30" i="1"/>
  <c r="V14" i="1"/>
  <c r="X14" i="1" s="1"/>
  <c r="AL14" i="1" s="1"/>
  <c r="AJ34" i="1"/>
  <c r="W31" i="1"/>
  <c r="T27" i="1"/>
  <c r="Z27" i="1" s="1"/>
  <c r="S10" i="1"/>
  <c r="U29" i="1"/>
  <c r="AK29" i="1" s="1"/>
  <c r="Y22" i="1"/>
  <c r="P36" i="1"/>
  <c r="R30" i="1"/>
  <c r="V28" i="1"/>
  <c r="X28" i="1" s="1"/>
  <c r="AL28" i="1" s="1"/>
  <c r="V11" i="1"/>
  <c r="T28" i="1"/>
  <c r="Z28" i="1" s="1"/>
  <c r="AE37" i="1"/>
  <c r="AE43" i="1" s="1"/>
  <c r="AM43" i="1" s="1"/>
  <c r="T24" i="1"/>
  <c r="W11" i="1"/>
  <c r="P35" i="1"/>
  <c r="AF35" i="1"/>
  <c r="Q35" i="1"/>
  <c r="Q34" i="1"/>
  <c r="AF36" i="1"/>
  <c r="W13" i="1"/>
  <c r="T32" i="1"/>
  <c r="Z32" i="1" s="1"/>
  <c r="AJ37" i="1"/>
  <c r="AJ43" i="1" s="1"/>
  <c r="T22" i="1"/>
  <c r="U22" i="1" s="1"/>
  <c r="AK22" i="1" s="1"/>
  <c r="AH43" i="1"/>
  <c r="U17" i="1"/>
  <c r="AK17" i="1" s="1"/>
  <c r="R11" i="1"/>
  <c r="W20" i="1"/>
  <c r="X20" i="1" s="1"/>
  <c r="AL20" i="1" s="1"/>
  <c r="Z11" i="1"/>
  <c r="R20" i="1"/>
  <c r="Q37" i="1"/>
  <c r="Z20" i="1"/>
  <c r="BW26" i="7"/>
  <c r="AM29" i="7"/>
  <c r="AV29" i="7"/>
  <c r="BN29" i="7" s="1"/>
  <c r="G34" i="8"/>
  <c r="G35" i="8"/>
  <c r="G37" i="8"/>
  <c r="G36" i="8"/>
  <c r="Z33" i="1" l="1"/>
  <c r="U14" i="1"/>
  <c r="AK14" i="1" s="1"/>
  <c r="X25" i="1"/>
  <c r="AL25" i="1" s="1"/>
  <c r="X31" i="1"/>
  <c r="AL31" i="1" s="1"/>
  <c r="U18" i="1"/>
  <c r="AK18" i="1" s="1"/>
  <c r="Y13" i="1"/>
  <c r="Y14" i="1"/>
  <c r="AA14" i="1" s="1"/>
  <c r="AB14" i="1" s="1"/>
  <c r="X30" i="1"/>
  <c r="AL30" i="1" s="1"/>
  <c r="Z31" i="1"/>
  <c r="AA31" i="1" s="1"/>
  <c r="AB31" i="1" s="1"/>
  <c r="U25" i="1"/>
  <c r="AK25" i="1" s="1"/>
  <c r="AA27" i="1"/>
  <c r="AB27" i="1" s="1"/>
  <c r="U19" i="1"/>
  <c r="AK19" i="1" s="1"/>
  <c r="AA19" i="1"/>
  <c r="AB19" i="1" s="1"/>
  <c r="X11" i="1"/>
  <c r="AL11" i="1" s="1"/>
  <c r="AA21" i="1"/>
  <c r="AB21" i="1" s="1"/>
  <c r="AM37" i="1"/>
  <c r="AM46" i="1" s="1"/>
  <c r="AA33" i="1"/>
  <c r="AB33" i="1" s="1"/>
  <c r="U26" i="1"/>
  <c r="AK26" i="1" s="1"/>
  <c r="X16" i="1"/>
  <c r="AL16" i="1" s="1"/>
  <c r="AM36" i="1"/>
  <c r="AM35" i="1"/>
  <c r="Y15" i="1"/>
  <c r="AA15" i="1" s="1"/>
  <c r="AB15" i="1" s="1"/>
  <c r="Y18" i="1"/>
  <c r="AA18" i="1" s="1"/>
  <c r="AB18" i="1" s="1"/>
  <c r="AA20" i="1"/>
  <c r="AB20" i="1" s="1"/>
  <c r="X13" i="1"/>
  <c r="AL13" i="1" s="1"/>
  <c r="U24" i="1"/>
  <c r="AK24" i="1" s="1"/>
  <c r="Z12" i="1"/>
  <c r="AA12" i="1" s="1"/>
  <c r="AB12" i="1" s="1"/>
  <c r="U12" i="1"/>
  <c r="AK12" i="1" s="1"/>
  <c r="BW24" i="7"/>
  <c r="BW8" i="7"/>
  <c r="BW7" i="7"/>
  <c r="BW12" i="7"/>
  <c r="BW16" i="7"/>
  <c r="BW9" i="7"/>
  <c r="BE29" i="7"/>
  <c r="BW29" i="7" s="1"/>
  <c r="W36" i="1"/>
  <c r="Y26" i="1"/>
  <c r="AA26" i="1" s="1"/>
  <c r="AB26" i="1" s="1"/>
  <c r="W37" i="1"/>
  <c r="AA13" i="1"/>
  <c r="AB13" i="1" s="1"/>
  <c r="AA16" i="1"/>
  <c r="AB16" i="1" s="1"/>
  <c r="U16" i="1"/>
  <c r="AK16" i="1" s="1"/>
  <c r="U21" i="1"/>
  <c r="AK21" i="1" s="1"/>
  <c r="S35" i="1"/>
  <c r="S36" i="1"/>
  <c r="U10" i="1"/>
  <c r="S34" i="1"/>
  <c r="S37" i="1"/>
  <c r="X10" i="1"/>
  <c r="V37" i="1"/>
  <c r="V35" i="1"/>
  <c r="V34" i="1"/>
  <c r="V36" i="1"/>
  <c r="U32" i="1"/>
  <c r="AK32" i="1" s="1"/>
  <c r="Y32" i="1"/>
  <c r="AA32" i="1" s="1"/>
  <c r="AB32" i="1" s="1"/>
  <c r="T34" i="1"/>
  <c r="T35" i="1"/>
  <c r="U28" i="1"/>
  <c r="AK28" i="1" s="1"/>
  <c r="W34" i="1"/>
  <c r="W35" i="1"/>
  <c r="Z22" i="1"/>
  <c r="E39" i="1"/>
  <c r="D39" i="1"/>
  <c r="AM52" i="1"/>
  <c r="AP52" i="1" s="1"/>
  <c r="AM47" i="1"/>
  <c r="E38" i="1"/>
  <c r="AM57" i="1"/>
  <c r="AP57" i="1" s="1"/>
  <c r="U27" i="1"/>
  <c r="AK27" i="1" s="1"/>
  <c r="T37" i="1"/>
  <c r="T36" i="1"/>
  <c r="Z24" i="1"/>
  <c r="AA24" i="1" s="1"/>
  <c r="AB24" i="1" s="1"/>
  <c r="R37" i="1"/>
  <c r="R35" i="1"/>
  <c r="R36" i="1"/>
  <c r="R34" i="1"/>
  <c r="Y10" i="1"/>
  <c r="C39" i="1"/>
  <c r="AA11" i="1"/>
  <c r="AB11" i="1" s="1"/>
  <c r="AA28" i="1"/>
  <c r="AB28" i="1" s="1"/>
  <c r="Z34" i="1" l="1"/>
  <c r="AA22" i="1"/>
  <c r="AB22" i="1" s="1"/>
  <c r="X34" i="1"/>
  <c r="X35" i="1"/>
  <c r="X36" i="1"/>
  <c r="X37" i="1"/>
  <c r="AL10" i="1"/>
  <c r="Y34" i="1"/>
  <c r="Y37" i="1"/>
  <c r="Y36" i="1"/>
  <c r="AA10" i="1"/>
  <c r="Y35" i="1"/>
  <c r="U34" i="1"/>
  <c r="U36" i="1"/>
  <c r="AK10" i="1"/>
  <c r="U37" i="1"/>
  <c r="U35" i="1"/>
  <c r="Z36" i="1"/>
  <c r="Z37" i="1"/>
  <c r="Z35" i="1"/>
  <c r="O3" i="1"/>
  <c r="O5" i="1"/>
  <c r="AP47" i="1"/>
  <c r="AM48" i="1"/>
  <c r="AP46" i="1"/>
  <c r="AP48" i="1" s="1"/>
  <c r="T3" i="1" s="1"/>
  <c r="J3" i="1"/>
  <c r="AK37" i="1" l="1"/>
  <c r="AK43" i="1" s="1"/>
  <c r="AK36" i="1"/>
  <c r="AK35" i="1"/>
  <c r="AK34" i="1"/>
  <c r="AL35" i="1"/>
  <c r="AL37" i="1"/>
  <c r="AL36" i="1"/>
  <c r="AL34" i="1"/>
  <c r="AA34" i="1"/>
  <c r="AA35" i="1"/>
  <c r="AA36" i="1"/>
  <c r="AA37" i="1"/>
  <c r="AB10" i="1"/>
  <c r="AL43" i="1" l="1"/>
  <c r="AM51" i="1"/>
  <c r="AM56" i="1"/>
  <c r="AB37" i="1"/>
  <c r="AB35" i="1"/>
  <c r="AB36" i="1"/>
  <c r="AB34" i="1"/>
  <c r="K39" i="1"/>
  <c r="N39" i="1"/>
  <c r="G39" i="1"/>
  <c r="I39" i="1"/>
  <c r="M39" i="1"/>
  <c r="O39" i="1"/>
  <c r="S39" i="1"/>
  <c r="T39" i="1"/>
  <c r="AP56" i="1" l="1"/>
  <c r="AP58" i="1" s="1"/>
  <c r="AM58" i="1"/>
  <c r="AM53" i="1"/>
  <c r="AP51" i="1"/>
  <c r="AP53" i="1" s="1"/>
  <c r="T5" i="1" s="1"/>
  <c r="J5" i="1"/>
  <c r="V26" i="7" l="1"/>
  <c r="AV24" i="19"/>
  <c r="AY24" i="19" s="1"/>
  <c r="BE24" i="19"/>
  <c r="AG24" i="19"/>
  <c r="V11" i="7"/>
  <c r="AV7" i="19"/>
  <c r="AY7" i="19" s="1"/>
  <c r="BE7" i="19"/>
  <c r="AG7" i="19"/>
  <c r="V21" i="7"/>
  <c r="BE12" i="19"/>
  <c r="AV12" i="19"/>
  <c r="AY12" i="19" s="1"/>
  <c r="AG12" i="19"/>
  <c r="BE23" i="19"/>
  <c r="AV23" i="19"/>
  <c r="AY23" i="19" s="1"/>
  <c r="AG23" i="19"/>
  <c r="V25" i="7"/>
  <c r="V24" i="7"/>
  <c r="V15" i="7"/>
  <c r="V16" i="7"/>
  <c r="AV28" i="19"/>
  <c r="AY28" i="19" s="1"/>
  <c r="BE28" i="19"/>
  <c r="AG28" i="19"/>
  <c r="BE6" i="19"/>
  <c r="AV6" i="19"/>
  <c r="AY6" i="19" s="1"/>
  <c r="AG6" i="19"/>
  <c r="BE15" i="19"/>
  <c r="AV15" i="19"/>
  <c r="AY15" i="19" s="1"/>
  <c r="AG15" i="19"/>
  <c r="V28" i="7"/>
  <c r="AV14" i="19"/>
  <c r="AY14" i="19" s="1"/>
  <c r="BE14" i="19"/>
  <c r="AG14" i="19"/>
  <c r="V8" i="7"/>
  <c r="AV27" i="19"/>
  <c r="AY27" i="19" s="1"/>
  <c r="AG27" i="19"/>
  <c r="BE27" i="19"/>
  <c r="V10" i="7"/>
  <c r="AV20" i="19"/>
  <c r="AY20" i="19" s="1"/>
  <c r="BE20" i="19"/>
  <c r="AG20" i="19"/>
  <c r="V19" i="7"/>
  <c r="V6" i="7"/>
  <c r="AV17" i="19"/>
  <c r="AY17" i="19" s="1"/>
  <c r="BE17" i="19"/>
  <c r="AG17" i="19"/>
  <c r="V17" i="7"/>
  <c r="AV22" i="19"/>
  <c r="AY22" i="19" s="1"/>
  <c r="BE22" i="19"/>
  <c r="AG22" i="19"/>
  <c r="V9" i="7"/>
  <c r="BE11" i="19"/>
  <c r="AV11" i="19"/>
  <c r="AY11" i="19" s="1"/>
  <c r="AG11" i="19"/>
  <c r="V12" i="7"/>
  <c r="BE9" i="19"/>
  <c r="AV9" i="19"/>
  <c r="AY9" i="19" s="1"/>
  <c r="AG9" i="19"/>
  <c r="V18" i="7"/>
  <c r="S29" i="7"/>
  <c r="V5" i="7"/>
  <c r="AV21" i="19"/>
  <c r="AY21" i="19" s="1"/>
  <c r="BE21" i="19"/>
  <c r="AG21" i="19"/>
  <c r="BE5" i="19"/>
  <c r="AG5" i="19"/>
  <c r="AV5" i="19"/>
  <c r="AD29" i="19"/>
  <c r="AV26" i="19"/>
  <c r="AY26" i="19" s="1"/>
  <c r="BE26" i="19"/>
  <c r="AG26" i="19"/>
  <c r="V13" i="7"/>
  <c r="AV10" i="19"/>
  <c r="AY10" i="19" s="1"/>
  <c r="AG10" i="19"/>
  <c r="BE10" i="19"/>
  <c r="V14" i="7"/>
  <c r="BE13" i="19"/>
  <c r="AV13" i="19"/>
  <c r="AY13" i="19" s="1"/>
  <c r="AG13" i="19"/>
  <c r="V27" i="7"/>
  <c r="V7" i="7"/>
  <c r="V20" i="7"/>
  <c r="AV25" i="19"/>
  <c r="AY25" i="19" s="1"/>
  <c r="BE25" i="19"/>
  <c r="AG25" i="19"/>
  <c r="BE8" i="19"/>
  <c r="AV8" i="19"/>
  <c r="AY8" i="19" s="1"/>
  <c r="AG8" i="19"/>
  <c r="BE16" i="19"/>
  <c r="AV16" i="19"/>
  <c r="AY16" i="19" s="1"/>
  <c r="AG16" i="19"/>
  <c r="BE19" i="19"/>
  <c r="AV19" i="19"/>
  <c r="AY19" i="19" s="1"/>
  <c r="AG19" i="19"/>
  <c r="V22" i="7"/>
  <c r="AV18" i="19"/>
  <c r="AY18" i="19" s="1"/>
  <c r="AG18" i="19"/>
  <c r="BE18" i="19"/>
  <c r="V23" i="7"/>
  <c r="AN10" i="7" l="1"/>
  <c r="V11" i="15"/>
  <c r="AN23" i="7"/>
  <c r="V24" i="15"/>
  <c r="AN7" i="7"/>
  <c r="V8" i="15"/>
  <c r="AN18" i="7"/>
  <c r="V19" i="15"/>
  <c r="AN16" i="7"/>
  <c r="V17" i="15"/>
  <c r="AN11" i="7"/>
  <c r="V12" i="15"/>
  <c r="AN27" i="7"/>
  <c r="V28" i="15"/>
  <c r="AN17" i="7"/>
  <c r="V18" i="15"/>
  <c r="BF5" i="7"/>
  <c r="V6" i="15"/>
  <c r="AN19" i="7"/>
  <c r="V20" i="15"/>
  <c r="AN15" i="7"/>
  <c r="V16" i="15"/>
  <c r="AN21" i="7"/>
  <c r="V22" i="15"/>
  <c r="AN14" i="7"/>
  <c r="V15" i="15"/>
  <c r="AN20" i="7"/>
  <c r="V21" i="15"/>
  <c r="AN9" i="7"/>
  <c r="V10" i="15"/>
  <c r="AN28" i="7"/>
  <c r="V29" i="15"/>
  <c r="AN12" i="7"/>
  <c r="V13" i="15"/>
  <c r="AN25" i="7"/>
  <c r="V26" i="15"/>
  <c r="AN22" i="7"/>
  <c r="V23" i="15"/>
  <c r="AN24" i="7"/>
  <c r="V25" i="15"/>
  <c r="AN26" i="7"/>
  <c r="V27" i="15"/>
  <c r="AN13" i="7"/>
  <c r="V14" i="15"/>
  <c r="AN6" i="7"/>
  <c r="V7" i="15"/>
  <c r="AN8" i="7"/>
  <c r="V9" i="15"/>
  <c r="BN24" i="19"/>
  <c r="CF24" i="19" s="1"/>
  <c r="BF17" i="7"/>
  <c r="BN20" i="19"/>
  <c r="CF20" i="19" s="1"/>
  <c r="BF26" i="7"/>
  <c r="BN14" i="19"/>
  <c r="CF14" i="19" s="1"/>
  <c r="BN17" i="19"/>
  <c r="BQ17" i="19" s="1"/>
  <c r="BN28" i="19"/>
  <c r="BQ28" i="19" s="1"/>
  <c r="BF13" i="7"/>
  <c r="BN15" i="19"/>
  <c r="BQ15" i="19" s="1"/>
  <c r="BN22" i="19"/>
  <c r="BQ22" i="19" s="1"/>
  <c r="BN16" i="19"/>
  <c r="BQ16" i="19" s="1"/>
  <c r="BN10" i="19"/>
  <c r="CF10" i="19" s="1"/>
  <c r="BN12" i="19"/>
  <c r="BQ12" i="19" s="1"/>
  <c r="BF21" i="7"/>
  <c r="BH27" i="19"/>
  <c r="BW27" i="19"/>
  <c r="BW16" i="19"/>
  <c r="BH16" i="19"/>
  <c r="BN25" i="19"/>
  <c r="BH13" i="19"/>
  <c r="BW13" i="19"/>
  <c r="BN26" i="19"/>
  <c r="BW21" i="19"/>
  <c r="BH21" i="19"/>
  <c r="AW18" i="7"/>
  <c r="BW20" i="19"/>
  <c r="BH20" i="19"/>
  <c r="BW28" i="19"/>
  <c r="BH28" i="19"/>
  <c r="BN7" i="19"/>
  <c r="AW14" i="7"/>
  <c r="AW12" i="7"/>
  <c r="BW14" i="19"/>
  <c r="BH14" i="19"/>
  <c r="AW15" i="7"/>
  <c r="AW25" i="7"/>
  <c r="BH12" i="19"/>
  <c r="BW12" i="19"/>
  <c r="BW7" i="19"/>
  <c r="BH7" i="19"/>
  <c r="BH24" i="19"/>
  <c r="BW24" i="19"/>
  <c r="BH18" i="19"/>
  <c r="BW18" i="19"/>
  <c r="BN19" i="19"/>
  <c r="BN8" i="19"/>
  <c r="AW13" i="7"/>
  <c r="AV29" i="19"/>
  <c r="AY5" i="19"/>
  <c r="AY29" i="19" s="1"/>
  <c r="V29" i="7"/>
  <c r="AW6" i="7"/>
  <c r="BO6" i="7" s="1"/>
  <c r="BN27" i="19"/>
  <c r="BW15" i="19"/>
  <c r="BH15" i="19"/>
  <c r="AW17" i="7"/>
  <c r="P35" i="18"/>
  <c r="AG29" i="19"/>
  <c r="AW10" i="7"/>
  <c r="BN23" i="19"/>
  <c r="AW7" i="7"/>
  <c r="BN18" i="19"/>
  <c r="BH19" i="19"/>
  <c r="BW19" i="19"/>
  <c r="BW8" i="19"/>
  <c r="BH8" i="19"/>
  <c r="AW20" i="7"/>
  <c r="AW27" i="7"/>
  <c r="BN5" i="19"/>
  <c r="AN5" i="7"/>
  <c r="AK29" i="7"/>
  <c r="BN9" i="19"/>
  <c r="BN11" i="19"/>
  <c r="BW22" i="19"/>
  <c r="BH22" i="19"/>
  <c r="BH17" i="19"/>
  <c r="BW17" i="19"/>
  <c r="AW19" i="7"/>
  <c r="AW8" i="7"/>
  <c r="BN6" i="19"/>
  <c r="AW9" i="7"/>
  <c r="AW23" i="7"/>
  <c r="BW10" i="19"/>
  <c r="BH10" i="19"/>
  <c r="BH5" i="19"/>
  <c r="BE29" i="19"/>
  <c r="BW29" i="19" s="1"/>
  <c r="BW5" i="19"/>
  <c r="AW21" i="7"/>
  <c r="AW22" i="7"/>
  <c r="BH25" i="19"/>
  <c r="BW25" i="19"/>
  <c r="BN13" i="19"/>
  <c r="BW26" i="19"/>
  <c r="BH26" i="19"/>
  <c r="BN21" i="19"/>
  <c r="AW5" i="7"/>
  <c r="BO5" i="7" s="1"/>
  <c r="AT29" i="7"/>
  <c r="BL29" i="7" s="1"/>
  <c r="BH9" i="19"/>
  <c r="BW9" i="19"/>
  <c r="BW11" i="19"/>
  <c r="BH11" i="19"/>
  <c r="AW28" i="7"/>
  <c r="BH6" i="19"/>
  <c r="BW6" i="19"/>
  <c r="AW16" i="7"/>
  <c r="AW24" i="7"/>
  <c r="BH23" i="19"/>
  <c r="BW23" i="19"/>
  <c r="AW11" i="7"/>
  <c r="AW26" i="7"/>
  <c r="AN29" i="7" l="1"/>
  <c r="BF19" i="7"/>
  <c r="U25" i="17" s="1"/>
  <c r="W25" i="17" s="1"/>
  <c r="BQ10" i="19"/>
  <c r="U16" i="18" s="1"/>
  <c r="BQ20" i="19"/>
  <c r="CI20" i="19" s="1"/>
  <c r="BQ24" i="19"/>
  <c r="CI24" i="19" s="1"/>
  <c r="CF22" i="19"/>
  <c r="CF28" i="19"/>
  <c r="BF16" i="7"/>
  <c r="BX16" i="7" s="1"/>
  <c r="CF17" i="19"/>
  <c r="BQ14" i="19"/>
  <c r="U20" i="18" s="1"/>
  <c r="CF12" i="19"/>
  <c r="CF15" i="19"/>
  <c r="CF16" i="19"/>
  <c r="BZ10" i="19"/>
  <c r="T16" i="18"/>
  <c r="T12" i="18"/>
  <c r="BZ6" i="19"/>
  <c r="T11" i="18"/>
  <c r="BH29" i="19"/>
  <c r="BZ29" i="19" s="1"/>
  <c r="BZ5" i="19"/>
  <c r="BF11" i="7"/>
  <c r="BX5" i="7"/>
  <c r="U11" i="17"/>
  <c r="BO25" i="7"/>
  <c r="T31" i="17"/>
  <c r="V31" i="17" s="1"/>
  <c r="CF7" i="19"/>
  <c r="BQ7" i="19"/>
  <c r="BO18" i="7"/>
  <c r="T24" i="17"/>
  <c r="V24" i="17" s="1"/>
  <c r="T22" i="18"/>
  <c r="BZ16" i="19"/>
  <c r="BQ27" i="19"/>
  <c r="CF27" i="19"/>
  <c r="AW29" i="7"/>
  <c r="BO29" i="7" s="1"/>
  <c r="O2" i="15" s="1"/>
  <c r="T11" i="17"/>
  <c r="T28" i="17"/>
  <c r="V28" i="17" s="1"/>
  <c r="BO22" i="7"/>
  <c r="BQ6" i="19"/>
  <c r="CF6" i="19"/>
  <c r="T23" i="18"/>
  <c r="BZ17" i="19"/>
  <c r="BF14" i="7"/>
  <c r="T25" i="18"/>
  <c r="BZ19" i="19"/>
  <c r="U18" i="18"/>
  <c r="CI12" i="19"/>
  <c r="T19" i="17"/>
  <c r="V19" i="17" s="1"/>
  <c r="BO13" i="7"/>
  <c r="BZ21" i="19"/>
  <c r="T27" i="18"/>
  <c r="BF22" i="7"/>
  <c r="BZ25" i="19"/>
  <c r="T31" i="18"/>
  <c r="CI17" i="19"/>
  <c r="U23" i="18"/>
  <c r="BO23" i="7"/>
  <c r="T29" i="17"/>
  <c r="V29" i="17" s="1"/>
  <c r="BF28" i="7"/>
  <c r="T28" i="18"/>
  <c r="BZ22" i="19"/>
  <c r="BO27" i="7"/>
  <c r="T33" i="17"/>
  <c r="V33" i="17" s="1"/>
  <c r="CF18" i="19"/>
  <c r="BQ18" i="19"/>
  <c r="CF23" i="19"/>
  <c r="BQ23" i="19"/>
  <c r="BX13" i="7"/>
  <c r="U19" i="17"/>
  <c r="W19" i="17" s="1"/>
  <c r="BF25" i="7"/>
  <c r="T12" i="17"/>
  <c r="V12" i="17" s="1"/>
  <c r="T30" i="18"/>
  <c r="BZ24" i="19"/>
  <c r="BO15" i="7"/>
  <c r="T21" i="17"/>
  <c r="V21" i="17" s="1"/>
  <c r="T18" i="17"/>
  <c r="V18" i="17" s="1"/>
  <c r="BO12" i="7"/>
  <c r="T26" i="18"/>
  <c r="BZ20" i="19"/>
  <c r="BF23" i="7"/>
  <c r="BQ5" i="19"/>
  <c r="BN29" i="19"/>
  <c r="CF29" i="19" s="1"/>
  <c r="CF5" i="19"/>
  <c r="BF8" i="7"/>
  <c r="BZ11" i="19"/>
  <c r="T17" i="18"/>
  <c r="T32" i="18"/>
  <c r="BZ26" i="19"/>
  <c r="T14" i="17"/>
  <c r="V14" i="17" s="1"/>
  <c r="BO8" i="7"/>
  <c r="T16" i="17"/>
  <c r="V16" i="17" s="1"/>
  <c r="BO10" i="7"/>
  <c r="BF15" i="7"/>
  <c r="BF9" i="7"/>
  <c r="BF27" i="7"/>
  <c r="T13" i="18"/>
  <c r="BZ7" i="19"/>
  <c r="T20" i="17"/>
  <c r="V20" i="17" s="1"/>
  <c r="BO14" i="7"/>
  <c r="BQ26" i="19"/>
  <c r="CF26" i="19"/>
  <c r="BF24" i="7"/>
  <c r="BZ18" i="19"/>
  <c r="T24" i="18"/>
  <c r="T29" i="18"/>
  <c r="BZ23" i="19"/>
  <c r="CF21" i="19"/>
  <c r="BQ21" i="19"/>
  <c r="BO24" i="7"/>
  <c r="T30" i="17"/>
  <c r="V30" i="17" s="1"/>
  <c r="T32" i="17"/>
  <c r="V32" i="17" s="1"/>
  <c r="BO26" i="7"/>
  <c r="BO16" i="7"/>
  <c r="T22" i="17"/>
  <c r="V22" i="17" s="1"/>
  <c r="BO21" i="7"/>
  <c r="T27" i="17"/>
  <c r="V27" i="17" s="1"/>
  <c r="U28" i="18"/>
  <c r="CI22" i="19"/>
  <c r="BO9" i="7"/>
  <c r="T15" i="17"/>
  <c r="V15" i="17" s="1"/>
  <c r="BQ11" i="19"/>
  <c r="CF11" i="19"/>
  <c r="T23" i="17"/>
  <c r="V23" i="17" s="1"/>
  <c r="BO17" i="7"/>
  <c r="U34" i="18"/>
  <c r="CI28" i="19"/>
  <c r="BF12" i="7"/>
  <c r="BF20" i="7"/>
  <c r="U21" i="18"/>
  <c r="CI15" i="19"/>
  <c r="BF6" i="7"/>
  <c r="T34" i="18"/>
  <c r="BZ28" i="19"/>
  <c r="CF13" i="19"/>
  <c r="BQ13" i="19"/>
  <c r="BF10" i="7"/>
  <c r="BQ9" i="19"/>
  <c r="CF9" i="19"/>
  <c r="T26" i="17"/>
  <c r="V26" i="17" s="1"/>
  <c r="BO20" i="7"/>
  <c r="T13" i="17"/>
  <c r="V13" i="17" s="1"/>
  <c r="BO7" i="7"/>
  <c r="BF18" i="7"/>
  <c r="CF8" i="19"/>
  <c r="BQ8" i="19"/>
  <c r="BZ14" i="19"/>
  <c r="T20" i="18"/>
  <c r="U23" i="17"/>
  <c r="W23" i="17" s="1"/>
  <c r="BX17" i="7"/>
  <c r="T19" i="18"/>
  <c r="BZ13" i="19"/>
  <c r="BO28" i="7"/>
  <c r="T34" i="17"/>
  <c r="V34" i="17" s="1"/>
  <c r="BX21" i="7"/>
  <c r="U27" i="17"/>
  <c r="W27" i="17" s="1"/>
  <c r="T17" i="17"/>
  <c r="V17" i="17" s="1"/>
  <c r="BO11" i="7"/>
  <c r="BZ9" i="19"/>
  <c r="T15" i="18"/>
  <c r="BF7" i="7"/>
  <c r="U32" i="17"/>
  <c r="W32" i="17" s="1"/>
  <c r="BX26" i="7"/>
  <c r="BO19" i="7"/>
  <c r="T25" i="17"/>
  <c r="V25" i="17" s="1"/>
  <c r="T14" i="18"/>
  <c r="BZ8" i="19"/>
  <c r="BC29" i="7"/>
  <c r="BU29" i="7" s="1"/>
  <c r="BZ15" i="19"/>
  <c r="T21" i="18"/>
  <c r="BQ19" i="19"/>
  <c r="CF19" i="19"/>
  <c r="T18" i="18"/>
  <c r="BZ12" i="19"/>
  <c r="U22" i="18"/>
  <c r="CI16" i="19"/>
  <c r="CF25" i="19"/>
  <c r="BQ25" i="19"/>
  <c r="BZ27" i="19"/>
  <c r="T33" i="18"/>
  <c r="T33" i="21" l="1"/>
  <c r="T18" i="21"/>
  <c r="T21" i="21"/>
  <c r="T34" i="21"/>
  <c r="T24" i="21"/>
  <c r="T26" i="21"/>
  <c r="T19" i="21"/>
  <c r="T11" i="21"/>
  <c r="T29" i="21"/>
  <c r="T28" i="21"/>
  <c r="T22" i="21"/>
  <c r="T13" i="21"/>
  <c r="T23" i="21"/>
  <c r="U23" i="21"/>
  <c r="T31" i="21"/>
  <c r="T12" i="21"/>
  <c r="T20" i="21"/>
  <c r="T16" i="21"/>
  <c r="T14" i="21"/>
  <c r="T32" i="21"/>
  <c r="T25" i="21"/>
  <c r="T15" i="21"/>
  <c r="T17" i="21"/>
  <c r="T30" i="21"/>
  <c r="T27" i="21"/>
  <c r="CI10" i="19"/>
  <c r="P12" i="20"/>
  <c r="P14" i="20"/>
  <c r="P16" i="20"/>
  <c r="P18" i="20"/>
  <c r="P20" i="20"/>
  <c r="P22" i="20"/>
  <c r="P24" i="20"/>
  <c r="P26" i="20"/>
  <c r="P28" i="20"/>
  <c r="P30" i="20"/>
  <c r="P32" i="20"/>
  <c r="P34" i="20"/>
  <c r="P13" i="20"/>
  <c r="P15" i="20"/>
  <c r="P17" i="20"/>
  <c r="P19" i="20"/>
  <c r="P21" i="20"/>
  <c r="P23" i="20"/>
  <c r="P25" i="20"/>
  <c r="P27" i="20"/>
  <c r="P29" i="20"/>
  <c r="P31" i="20"/>
  <c r="P33" i="20"/>
  <c r="V12" i="18"/>
  <c r="S12" i="20"/>
  <c r="V18" i="18"/>
  <c r="S18" i="20"/>
  <c r="V14" i="18"/>
  <c r="S14" i="20"/>
  <c r="V19" i="18"/>
  <c r="S19" i="20"/>
  <c r="W21" i="18"/>
  <c r="V32" i="18"/>
  <c r="S32" i="20"/>
  <c r="V25" i="18"/>
  <c r="S25" i="20"/>
  <c r="V17" i="18"/>
  <c r="S17" i="20"/>
  <c r="V27" i="18"/>
  <c r="S27" i="20"/>
  <c r="V29" i="18"/>
  <c r="S29" i="20"/>
  <c r="V21" i="18"/>
  <c r="S21" i="20"/>
  <c r="V20" i="18"/>
  <c r="S20" i="20"/>
  <c r="V24" i="18"/>
  <c r="S24" i="20"/>
  <c r="V26" i="18"/>
  <c r="S26" i="20"/>
  <c r="W23" i="18"/>
  <c r="T23" i="20"/>
  <c r="S11" i="20"/>
  <c r="V33" i="18"/>
  <c r="S33" i="20"/>
  <c r="V30" i="18"/>
  <c r="S30" i="20"/>
  <c r="V34" i="18"/>
  <c r="S34" i="20"/>
  <c r="V13" i="18"/>
  <c r="S13" i="20"/>
  <c r="V23" i="18"/>
  <c r="S23" i="20"/>
  <c r="W20" i="18"/>
  <c r="V31" i="18"/>
  <c r="S31" i="20"/>
  <c r="W28" i="18"/>
  <c r="V28" i="18"/>
  <c r="S28" i="20"/>
  <c r="W18" i="18"/>
  <c r="V22" i="18"/>
  <c r="S22" i="20"/>
  <c r="V16" i="18"/>
  <c r="S16" i="20"/>
  <c r="W16" i="18"/>
  <c r="W22" i="18"/>
  <c r="W34" i="18"/>
  <c r="V15" i="18"/>
  <c r="S15" i="20"/>
  <c r="BX19" i="7"/>
  <c r="U26" i="18"/>
  <c r="U30" i="18"/>
  <c r="CI14" i="19"/>
  <c r="U22" i="17"/>
  <c r="W22" i="17" s="1"/>
  <c r="BF29" i="7"/>
  <c r="BX29" i="7" s="1"/>
  <c r="R2" i="15" s="1"/>
  <c r="BX12" i="7"/>
  <c r="U18" i="17"/>
  <c r="W18" i="17" s="1"/>
  <c r="U29" i="18"/>
  <c r="CI23" i="19"/>
  <c r="U34" i="17"/>
  <c r="W34" i="17" s="1"/>
  <c r="BX28" i="7"/>
  <c r="U28" i="17"/>
  <c r="W28" i="17" s="1"/>
  <c r="BX22" i="7"/>
  <c r="U21" i="17"/>
  <c r="W21" i="17" s="1"/>
  <c r="BX15" i="7"/>
  <c r="BX24" i="7"/>
  <c r="U30" i="17"/>
  <c r="W30" i="17" s="1"/>
  <c r="BX23" i="7"/>
  <c r="U29" i="17"/>
  <c r="W29" i="17" s="1"/>
  <c r="U15" i="18"/>
  <c r="CI9" i="19"/>
  <c r="U12" i="17"/>
  <c r="W12" i="17" s="1"/>
  <c r="BX6" i="7"/>
  <c r="U24" i="18"/>
  <c r="CI18" i="19"/>
  <c r="T35" i="18"/>
  <c r="V11" i="18"/>
  <c r="U14" i="18"/>
  <c r="CI8" i="19"/>
  <c r="CI19" i="19"/>
  <c r="U25" i="18"/>
  <c r="BX10" i="7"/>
  <c r="U16" i="17"/>
  <c r="W16" i="17" s="1"/>
  <c r="U27" i="18"/>
  <c r="CI21" i="19"/>
  <c r="BX8" i="7"/>
  <c r="U14" i="17"/>
  <c r="W14" i="17" s="1"/>
  <c r="U20" i="17"/>
  <c r="W20" i="17" s="1"/>
  <c r="BX14" i="7"/>
  <c r="V11" i="17"/>
  <c r="T35" i="17"/>
  <c r="W11" i="17"/>
  <c r="CI25" i="19"/>
  <c r="U31" i="18"/>
  <c r="U24" i="17"/>
  <c r="W24" i="17" s="1"/>
  <c r="BX18" i="7"/>
  <c r="BX27" i="7"/>
  <c r="U33" i="17"/>
  <c r="W33" i="17" s="1"/>
  <c r="BX25" i="7"/>
  <c r="U31" i="17"/>
  <c r="W31" i="17" s="1"/>
  <c r="U12" i="18"/>
  <c r="CI6" i="19"/>
  <c r="U19" i="18"/>
  <c r="CI13" i="19"/>
  <c r="U26" i="17"/>
  <c r="W26" i="17" s="1"/>
  <c r="BX20" i="7"/>
  <c r="U15" i="17"/>
  <c r="W15" i="17" s="1"/>
  <c r="BX9" i="7"/>
  <c r="CI7" i="19"/>
  <c r="U13" i="18"/>
  <c r="BQ29" i="19"/>
  <c r="CI29" i="19" s="1"/>
  <c r="CI5" i="19"/>
  <c r="U11" i="18"/>
  <c r="BX7" i="7"/>
  <c r="U13" i="17"/>
  <c r="W13" i="17" s="1"/>
  <c r="U17" i="18"/>
  <c r="CI11" i="19"/>
  <c r="U32" i="18"/>
  <c r="CI26" i="19"/>
  <c r="U33" i="18"/>
  <c r="CI27" i="19"/>
  <c r="U17" i="17"/>
  <c r="W17" i="17" s="1"/>
  <c r="BX11" i="7"/>
  <c r="V21" i="21" l="1"/>
  <c r="V25" i="21"/>
  <c r="V16" i="21"/>
  <c r="V31" i="21"/>
  <c r="V26" i="21"/>
  <c r="V29" i="21"/>
  <c r="V32" i="21"/>
  <c r="U27" i="21"/>
  <c r="V18" i="21"/>
  <c r="V30" i="21"/>
  <c r="V12" i="21"/>
  <c r="V28" i="21"/>
  <c r="V13" i="21"/>
  <c r="V14" i="21"/>
  <c r="V34" i="21"/>
  <c r="V35" i="17"/>
  <c r="U11" i="21"/>
  <c r="U25" i="21"/>
  <c r="V22" i="21"/>
  <c r="V24" i="21"/>
  <c r="V27" i="21"/>
  <c r="U32" i="21"/>
  <c r="V15" i="21"/>
  <c r="V19" i="21"/>
  <c r="V23" i="21"/>
  <c r="V33" i="21"/>
  <c r="U19" i="21"/>
  <c r="V20" i="21"/>
  <c r="V17" i="21"/>
  <c r="U17" i="21"/>
  <c r="U30" i="21"/>
  <c r="U14" i="21"/>
  <c r="U12" i="21"/>
  <c r="U24" i="21"/>
  <c r="U29" i="21"/>
  <c r="V35" i="18"/>
  <c r="T35" i="21"/>
  <c r="U26" i="21"/>
  <c r="U16" i="21"/>
  <c r="U21" i="21"/>
  <c r="U33" i="21"/>
  <c r="U22" i="21"/>
  <c r="U20" i="21"/>
  <c r="U13" i="21"/>
  <c r="U31" i="21"/>
  <c r="U18" i="21"/>
  <c r="U15" i="21"/>
  <c r="V11" i="21"/>
  <c r="U34" i="21"/>
  <c r="U28" i="21"/>
  <c r="U24" i="20"/>
  <c r="U20" i="20"/>
  <c r="U17" i="20"/>
  <c r="U28" i="20"/>
  <c r="U14" i="20"/>
  <c r="U25" i="20"/>
  <c r="U34" i="20"/>
  <c r="U18" i="20"/>
  <c r="U13" i="20"/>
  <c r="V23" i="20"/>
  <c r="U21" i="20"/>
  <c r="U16" i="20"/>
  <c r="U31" i="20"/>
  <c r="U26" i="20"/>
  <c r="U29" i="20"/>
  <c r="U32" i="20"/>
  <c r="U12" i="20"/>
  <c r="U30" i="20"/>
  <c r="T11" i="20"/>
  <c r="U22" i="20"/>
  <c r="U27" i="20"/>
  <c r="U15" i="20"/>
  <c r="U23" i="20"/>
  <c r="U33" i="20"/>
  <c r="U19" i="20"/>
  <c r="P35" i="17"/>
  <c r="P35" i="21" s="1"/>
  <c r="P11" i="20"/>
  <c r="P35" i="20" s="1"/>
  <c r="U11" i="20"/>
  <c r="T22" i="20"/>
  <c r="V22" i="20"/>
  <c r="V16" i="20"/>
  <c r="T28" i="20"/>
  <c r="V28" i="20"/>
  <c r="W25" i="18"/>
  <c r="T25" i="20"/>
  <c r="W12" i="18"/>
  <c r="T12" i="20"/>
  <c r="W24" i="18"/>
  <c r="T24" i="20"/>
  <c r="W29" i="18"/>
  <c r="T29" i="20"/>
  <c r="S35" i="20"/>
  <c r="W19" i="18"/>
  <c r="T19" i="20"/>
  <c r="T34" i="20"/>
  <c r="W33" i="18"/>
  <c r="T33" i="20"/>
  <c r="W32" i="18"/>
  <c r="T32" i="20"/>
  <c r="W13" i="18"/>
  <c r="T13" i="20"/>
  <c r="W31" i="18"/>
  <c r="T31" i="20"/>
  <c r="W14" i="18"/>
  <c r="T14" i="20"/>
  <c r="W15" i="18"/>
  <c r="T15" i="20"/>
  <c r="V34" i="20"/>
  <c r="T20" i="20"/>
  <c r="W30" i="18"/>
  <c r="T30" i="20"/>
  <c r="V18" i="20"/>
  <c r="V20" i="20"/>
  <c r="T21" i="20"/>
  <c r="T18" i="20"/>
  <c r="W17" i="18"/>
  <c r="T17" i="20"/>
  <c r="W27" i="18"/>
  <c r="T27" i="20"/>
  <c r="W26" i="18"/>
  <c r="T26" i="20"/>
  <c r="T16" i="20"/>
  <c r="V21" i="20"/>
  <c r="U35" i="17"/>
  <c r="W11" i="18"/>
  <c r="U35" i="18"/>
  <c r="AA31" i="18" l="1"/>
  <c r="V35" i="21"/>
  <c r="W35" i="17"/>
  <c r="U35" i="20"/>
  <c r="W35" i="18"/>
  <c r="U35" i="21"/>
  <c r="V17" i="20"/>
  <c r="V24" i="20"/>
  <c r="V27" i="20"/>
  <c r="V30" i="20"/>
  <c r="V31" i="20"/>
  <c r="V12" i="20"/>
  <c r="V15" i="20"/>
  <c r="V32" i="20"/>
  <c r="V29" i="20"/>
  <c r="V26" i="20"/>
  <c r="V14" i="20"/>
  <c r="V33" i="20"/>
  <c r="V11" i="20"/>
  <c r="V19" i="20"/>
  <c r="V13" i="20"/>
  <c r="V25" i="20"/>
  <c r="T35" i="20"/>
  <c r="V35" i="20" l="1"/>
</calcChain>
</file>

<file path=xl/sharedStrings.xml><?xml version="1.0" encoding="utf-8"?>
<sst xmlns="http://schemas.openxmlformats.org/spreadsheetml/2006/main" count="599" uniqueCount="194">
  <si>
    <t>DAILY TRADING SIMULATION for:</t>
  </si>
  <si>
    <t>AVERAGE, All Day Type</t>
  </si>
  <si>
    <t>Excluding WESM Sold Capacities:</t>
  </si>
  <si>
    <t xml:space="preserve">  GENERATION RATE, P/kWh:</t>
  </si>
  <si>
    <t xml:space="preserve">  TRANSMISSION RATE, P/kWh:</t>
  </si>
  <si>
    <t>ESTIMATED SAVINGS, P/kWh:</t>
  </si>
  <si>
    <t>Including WESM Sold Capacities:</t>
  </si>
  <si>
    <t xml:space="preserve">  I. CAPACITY NOMINATION, MW</t>
  </si>
  <si>
    <t xml:space="preserve">  II. VARIABLE COST, PhP</t>
  </si>
  <si>
    <t>Hour</t>
  </si>
  <si>
    <t>Demand</t>
  </si>
  <si>
    <t>Spot Price</t>
  </si>
  <si>
    <t>PEDC 1,2</t>
  </si>
  <si>
    <t>PEDC3</t>
  </si>
  <si>
    <t>PPC</t>
  </si>
  <si>
    <t>KSPC</t>
  </si>
  <si>
    <t>APRI</t>
  </si>
  <si>
    <t>EDC</t>
  </si>
  <si>
    <t>Total BCQ Supply</t>
  </si>
  <si>
    <t xml:space="preserve">WESM Purchased (+) </t>
  </si>
  <si>
    <t>WESM Sold (-)</t>
  </si>
  <si>
    <t>Total Supply</t>
  </si>
  <si>
    <t>Supply vs Demand</t>
  </si>
  <si>
    <t>PEDC 3</t>
  </si>
  <si>
    <t>WESM PURCHASED</t>
  </si>
  <si>
    <t>WESM SOLD</t>
  </si>
  <si>
    <r>
      <rPr>
        <sz val="12"/>
        <color theme="1"/>
        <rFont val="Calibri"/>
        <family val="2"/>
        <scheme val="minor"/>
      </rPr>
      <t xml:space="preserve">TOTAL
</t>
    </r>
    <r>
      <rPr>
        <sz val="8"/>
        <color theme="1"/>
        <rFont val="Calibri"/>
        <family val="2"/>
        <scheme val="minor"/>
      </rPr>
      <t xml:space="preserve"> (EXC WESM SOLD)</t>
    </r>
  </si>
  <si>
    <t>Embedded</t>
  </si>
  <si>
    <t>Grid</t>
  </si>
  <si>
    <t>Total</t>
  </si>
  <si>
    <t>PEDC1,2</t>
  </si>
  <si>
    <t>Minimum</t>
  </si>
  <si>
    <t>Average</t>
  </si>
  <si>
    <t>Maximum</t>
  </si>
  <si>
    <t>Sum</t>
  </si>
  <si>
    <t>LF (%)</t>
  </si>
  <si>
    <t xml:space="preserve"> Share (%)</t>
  </si>
  <si>
    <t>III. FIXED COST, PhP</t>
  </si>
  <si>
    <t>IV. MISCELLANEOUS FEES &amp; VAT CHARGES, PhP</t>
  </si>
  <si>
    <t>W/O WESM SOLD</t>
  </si>
  <si>
    <t>Gen Charge</t>
  </si>
  <si>
    <t>Trans Charge</t>
  </si>
  <si>
    <t>W/ WESM SOLD</t>
  </si>
  <si>
    <t>W/ MISC &amp; VAT</t>
  </si>
  <si>
    <t xml:space="preserve">Note: PECO RATE as of Jun 2019 Billing </t>
  </si>
  <si>
    <t>Instruction:  Please fill-in all data needed in yellow cells.</t>
  </si>
  <si>
    <t>Trading Date:</t>
  </si>
  <si>
    <t xml:space="preserve">Day Type:   </t>
  </si>
  <si>
    <t>Fri</t>
  </si>
  <si>
    <t>Trader Name:</t>
  </si>
  <si>
    <t>I. CAPACITY &amp; RATES, P/kWh</t>
  </si>
  <si>
    <t>A. WHOLESALE ELECTRICITY SPOT MARKET</t>
  </si>
  <si>
    <t>HOUR</t>
  </si>
  <si>
    <t xml:space="preserve">LAST WEEK, SAME DAY WESM PRICES (P/kWh):     </t>
  </si>
  <si>
    <t xml:space="preserve">PREVIOUS DAY WESM PRICES (P/kWh):      </t>
  </si>
  <si>
    <t xml:space="preserve">PROJECTED NEXT DAY WESM PRICES (P/kWh):      </t>
  </si>
  <si>
    <t>ILOMORE01
(08PEDC_T1L1)</t>
  </si>
  <si>
    <t>SBAMORE02
(08BANTAP_L01)</t>
  </si>
  <si>
    <t>SBAMORE03
(08STBAR_T1L1)</t>
  </si>
  <si>
    <t>PN1MORE04
(08PEDC_T1L2)</t>
  </si>
  <si>
    <t>PN1MORE05
(08PEDC_T1L2)</t>
  </si>
  <si>
    <t>SCPC
(03CALACA_G01)</t>
  </si>
  <si>
    <t>KSPC
(05KSPC_G01)</t>
  </si>
  <si>
    <t>EDC
(04LEYTE_A)</t>
  </si>
  <si>
    <t>PEDC
(08PEDC_U01)</t>
  </si>
  <si>
    <t>RESERVED</t>
  </si>
  <si>
    <t>AVERAGE</t>
  </si>
  <si>
    <t>B. BILATERAL SUPPLY CONTRACT</t>
  </si>
  <si>
    <t>C. PSALM's LUZON TOU RATES, P/kWh</t>
  </si>
  <si>
    <t>ITEM</t>
  </si>
  <si>
    <t>SCPC B1</t>
  </si>
  <si>
    <t>SCPC B2</t>
  </si>
  <si>
    <t>KSPC B1</t>
  </si>
  <si>
    <t>KSPC B2</t>
  </si>
  <si>
    <t>PEDC</t>
  </si>
  <si>
    <t>RESERVE</t>
  </si>
  <si>
    <t>WESM</t>
  </si>
  <si>
    <t>Mon-Sat</t>
  </si>
  <si>
    <t>Sun/Hol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</si>
  <si>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</si>
  <si>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</si>
  <si>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</si>
  <si>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</si>
  <si>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</si>
  <si>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</si>
  <si>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</si>
  <si>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</si>
  <si>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</si>
  <si>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</si>
  <si>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</si>
  <si>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</si>
  <si>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</si>
  <si>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</si>
  <si>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</si>
  <si>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</si>
  <si>
    <t>Day Type</t>
  </si>
  <si>
    <t>Trader</t>
  </si>
  <si>
    <t>Sun</t>
  </si>
  <si>
    <t>Adrian B. Igcasenza</t>
  </si>
  <si>
    <t>Mon</t>
  </si>
  <si>
    <t>Alyssa Alexandra S. Lee</t>
  </si>
  <si>
    <t>Tue</t>
  </si>
  <si>
    <t>Justin Laurence F. Lunar</t>
  </si>
  <si>
    <t>Wed</t>
  </si>
  <si>
    <t>Aira Aim S. Seterra</t>
  </si>
  <si>
    <t>Thu</t>
  </si>
  <si>
    <t>Sat</t>
  </si>
  <si>
    <t>Hol</t>
  </si>
  <si>
    <t>II. DEMAND &amp; PRICE FORECAST</t>
  </si>
  <si>
    <t>ACTUAL: LAST WEEK, SAME DAY</t>
  </si>
  <si>
    <t>ACTUAL: PREVIOUS DAY</t>
  </si>
  <si>
    <t>PROJECTED: NEXT DAY</t>
  </si>
  <si>
    <t>(OVERRIDE) PROJECTED: NEXT DAY</t>
  </si>
  <si>
    <r>
      <t xml:space="preserve">Temperature 
</t>
    </r>
    <r>
      <rPr>
        <sz val="11"/>
        <color theme="1"/>
        <rFont val="Calibri"/>
        <family val="2"/>
      </rPr>
      <t>°C</t>
    </r>
  </si>
  <si>
    <t>Ave WESM Price
PhP/kWh</t>
  </si>
  <si>
    <t>Gross
kWH</t>
  </si>
  <si>
    <t>Contestable 
kWH</t>
  </si>
  <si>
    <t>Captive
kWH</t>
  </si>
  <si>
    <t>WESM Price
PhP/kWh</t>
  </si>
  <si>
    <t>MIN</t>
  </si>
  <si>
    <t>AVE</t>
  </si>
  <si>
    <t>MAX</t>
  </si>
  <si>
    <t>SUM</t>
  </si>
  <si>
    <t>QUICK VIEW:</t>
  </si>
  <si>
    <t xml:space="preserve"> Rate (VAT Exc), P/kWh</t>
  </si>
  <si>
    <t xml:space="preserve"> Rate (VAT Inc), P/kWh</t>
  </si>
  <si>
    <t>III. NOMINATION</t>
  </si>
  <si>
    <t>Energy Consumption, kWh</t>
  </si>
  <si>
    <t>Suggested Bilateral Contract Nomination, kWh</t>
  </si>
  <si>
    <t>WESM
kWh</t>
  </si>
  <si>
    <t>OVERRIDE Suggested Bilateral Contract Nomination, kWh</t>
  </si>
  <si>
    <t>WESM 
(VAT Inc)
P/kWh</t>
  </si>
  <si>
    <t>BCQ Variable
(VAT Inc)
P/kWh</t>
  </si>
  <si>
    <t>(FINAL) Bilateral Contract Nomination, kWh</t>
  </si>
  <si>
    <t>Gross</t>
  </si>
  <si>
    <t>Contestable</t>
  </si>
  <si>
    <t>Captive</t>
  </si>
  <si>
    <t>SUM/AVE</t>
  </si>
  <si>
    <t>date_entered</t>
  </si>
  <si>
    <t>time_entered</t>
  </si>
  <si>
    <t>LAPAZ SUBSTATION</t>
  </si>
  <si>
    <t>JARO SUBSTATION</t>
  </si>
  <si>
    <t>MANDURRIAO SUBSTATION</t>
  </si>
  <si>
    <t>MOLO SUBSTATION</t>
  </si>
  <si>
    <t>CITY PROPER SUBSTATION</t>
  </si>
  <si>
    <t>10/12.5 MVA MOBILE SUBSTATION</t>
  </si>
  <si>
    <t>MORE01</t>
  </si>
  <si>
    <t>MORE02</t>
  </si>
  <si>
    <t>IV. TOTAL COST AND BLENDED GENERATION RATE</t>
  </si>
  <si>
    <t>Energy,  kWh</t>
  </si>
  <si>
    <t>Bilateral Contract Nomination, kWh</t>
  </si>
  <si>
    <t>Fixed Cost, PhP</t>
  </si>
  <si>
    <t>Variable Cost, PhP</t>
  </si>
  <si>
    <t>Value Added Taxt, PhP</t>
  </si>
  <si>
    <t>Total Cost (VAT Exclusive), PhP</t>
  </si>
  <si>
    <t>Total Cost (VAT Inclusive), PhP</t>
  </si>
  <si>
    <t>Total Effective Rate (VAT Exclusive), P/kWh</t>
  </si>
  <si>
    <t>Total Effective Rate (VAT Inclusive), P/kWh</t>
  </si>
  <si>
    <t xml:space="preserve">CORPORATE PLANNING &amp; REGULATORY AFFAIRS   </t>
  </si>
  <si>
    <t xml:space="preserve">ENERGY SOURCING GROUP   </t>
  </si>
  <si>
    <t>DAY-AHEAD PROJECTION REPORT</t>
  </si>
  <si>
    <r>
      <t xml:space="preserve">ENERGY, </t>
    </r>
    <r>
      <rPr>
        <sz val="11.5"/>
        <color theme="1"/>
        <rFont val="Calibri Light"/>
        <family val="2"/>
        <scheme val="major"/>
      </rPr>
      <t>kWh</t>
    </r>
  </si>
  <si>
    <r>
      <t xml:space="preserve">BILATERAL CONTRACT QUANTITY, </t>
    </r>
    <r>
      <rPr>
        <sz val="11.5"/>
        <color theme="1"/>
        <rFont val="Calibri Light"/>
        <family val="2"/>
        <scheme val="major"/>
      </rPr>
      <t>kWh</t>
    </r>
  </si>
  <si>
    <r>
      <t xml:space="preserve">WESM, 
</t>
    </r>
    <r>
      <rPr>
        <sz val="11.5"/>
        <color theme="1"/>
        <rFont val="Calibri Light"/>
        <family val="2"/>
        <scheme val="major"/>
      </rPr>
      <t>kWh</t>
    </r>
  </si>
  <si>
    <r>
      <t xml:space="preserve">ELECTRICITY FEE </t>
    </r>
    <r>
      <rPr>
        <sz val="11.5"/>
        <color theme="1"/>
        <rFont val="Calibri Light"/>
        <family val="2"/>
        <scheme val="major"/>
      </rPr>
      <t>(VAT EX)</t>
    </r>
    <r>
      <rPr>
        <b/>
        <sz val="11.5"/>
        <color theme="1"/>
        <rFont val="Calibri Light"/>
        <family val="2"/>
        <scheme val="major"/>
      </rPr>
      <t xml:space="preserve">, </t>
    </r>
    <r>
      <rPr>
        <sz val="11.5"/>
        <color theme="1"/>
        <rFont val="Calibri Light"/>
        <family val="2"/>
        <scheme val="major"/>
      </rPr>
      <t>P/KWh</t>
    </r>
  </si>
  <si>
    <r>
      <t xml:space="preserve">WESM,
 </t>
    </r>
    <r>
      <rPr>
        <sz val="11.5"/>
        <color theme="1"/>
        <rFont val="Calibri Light"/>
        <family val="2"/>
        <scheme val="major"/>
      </rPr>
      <t>P/kWh</t>
    </r>
  </si>
  <si>
    <r>
      <t xml:space="preserve">BCQ Variable
</t>
    </r>
    <r>
      <rPr>
        <sz val="11.5"/>
        <color theme="1"/>
        <rFont val="Calibri Light"/>
        <family val="2"/>
        <scheme val="major"/>
      </rPr>
      <t>P/kWh</t>
    </r>
  </si>
  <si>
    <r>
      <t xml:space="preserve">Generation Cost, </t>
    </r>
    <r>
      <rPr>
        <sz val="11.5"/>
        <color theme="1"/>
        <rFont val="Calibri Light"/>
        <family val="2"/>
        <scheme val="major"/>
      </rPr>
      <t>PhP</t>
    </r>
  </si>
  <si>
    <r>
      <t xml:space="preserve">Generation Rate, </t>
    </r>
    <r>
      <rPr>
        <sz val="11.5"/>
        <color theme="1"/>
        <rFont val="Calibri Light"/>
        <family val="2"/>
        <scheme val="major"/>
      </rPr>
      <t>PhP/kWH</t>
    </r>
  </si>
  <si>
    <t>GROSS</t>
  </si>
  <si>
    <t>CC</t>
  </si>
  <si>
    <t>NET</t>
  </si>
  <si>
    <t>SCPC</t>
  </si>
  <si>
    <t>VAT 
Exclusive</t>
  </si>
  <si>
    <t>VAT
 Inclusive</t>
  </si>
  <si>
    <t>POWER SUPPLIERS</t>
  </si>
  <si>
    <t>-</t>
  </si>
  <si>
    <t>SEMCAL</t>
  </si>
  <si>
    <t>Load Factor</t>
  </si>
  <si>
    <t>Generation Mix</t>
  </si>
  <si>
    <t>Prepared by:</t>
  </si>
  <si>
    <t>Reviewed by:</t>
  </si>
  <si>
    <t>Approved by:</t>
  </si>
  <si>
    <t>Raphael B. Dorilag</t>
  </si>
  <si>
    <t>Niel V. Parcon</t>
  </si>
  <si>
    <t>V. ACTUAL ENERGY AND PRICES</t>
  </si>
  <si>
    <t>Energy, kWh</t>
  </si>
  <si>
    <t xml:space="preserve">ACTUAL WESM PRICES (P/kWh)   :     </t>
  </si>
  <si>
    <t>MORE
WESM
P/kWh</t>
  </si>
  <si>
    <t>END-OF-DAY TRADING REPORT</t>
  </si>
  <si>
    <t>DAY-AHEAD Projection vs END-OF-DAY Report</t>
  </si>
  <si>
    <r>
      <t xml:space="preserve">BCQ Variable,
</t>
    </r>
    <r>
      <rPr>
        <sz val="11.5"/>
        <color theme="1"/>
        <rFont val="Calibri Light"/>
        <family val="2"/>
        <scheme val="major"/>
      </rPr>
      <t>P/kWh</t>
    </r>
  </si>
  <si>
    <t>BCQ Variable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</si>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</sst>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[$-F800]dddd\,\ mmmm\ dd\,\ yyyy"/>
    <numFmt numFmtId="171" formatCode="#,##0.0000_ ;\-#,##0.0000\ "/>
    <numFmt numFmtId="172" formatCode="_(* #,##0.00_);_(* \(#,##0.00\);_(* \-??_);_(@_)"/>
    <numFmt numFmtId="173" formatCode="\ * #,##0.00\ ;\ * \(#,##0.00\);\ * \-#\ ;\ @\ "/>
    <numFmt numFmtId="174" formatCode="0.0"/>
    <numFmt numFmtId="175" formatCode="#,##0.0"/>
    <numFmt numFmtId="176" formatCode="#,##0.00_ ;\-#,##0.00\ "/>
    <numFmt numFmtId="177" formatCode="#,##0.0000"/>
    <numFmt numFmtId="178" formatCode="[$-3409]dd\-mmm\-yy;@"/>
    <numFmt numFmtId="179" formatCode="#,##0.0000_);\(#,##0.0000\)"/>
    <numFmt numFmtId="180" formatCode="#,##0.000000_ ;\-#,##0.000000\ "/>
    <numFmt numFmtId="181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5"/>
      <color rgb="FFFFFF0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.5"/>
      <color theme="1"/>
      <name val="Calibri Light"/>
      <family val="2"/>
      <scheme val="major"/>
    </font>
    <font>
      <sz val="11.5"/>
      <color theme="1"/>
      <name val="Calibri Light"/>
      <family val="2"/>
      <scheme val="major"/>
    </font>
    <font>
      <sz val="11.5"/>
      <name val="Calibri Light"/>
      <family val="2"/>
      <scheme val="major"/>
    </font>
    <font>
      <i/>
      <sz val="11.5"/>
      <color theme="8" tint="-0.24997711111789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BEE3D3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20" applyNumberFormat="0" applyAlignment="0" applyProtection="0"/>
    <xf numFmtId="0" fontId="27" fillId="12" borderId="21" applyNumberFormat="0" applyAlignment="0" applyProtection="0"/>
    <xf numFmtId="0" fontId="28" fillId="12" borderId="20" applyNumberFormat="0" applyAlignment="0" applyProtection="0"/>
    <xf numFmtId="0" fontId="29" fillId="0" borderId="22" applyNumberFormat="0" applyFill="0" applyAlignment="0" applyProtection="0"/>
    <xf numFmtId="0" fontId="5" fillId="13" borderId="23" applyNumberFormat="0" applyAlignment="0" applyProtection="0"/>
    <xf numFmtId="0" fontId="30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9" fontId="32" fillId="0" borderId="0" applyBorder="0" applyProtection="0"/>
    <xf numFmtId="172" fontId="32" fillId="0" borderId="0" applyBorder="0" applyProtection="0"/>
    <xf numFmtId="0" fontId="33" fillId="0" borderId="0"/>
    <xf numFmtId="173" fontId="33" fillId="0" borderId="0" applyBorder="0" applyProtection="0"/>
    <xf numFmtId="0" fontId="34" fillId="39" borderId="0" applyBorder="0" applyProtection="0"/>
    <xf numFmtId="164" fontId="1" fillId="0" borderId="0" applyFont="0" applyFill="0" applyBorder="0" applyAlignment="0" applyProtection="0"/>
    <xf numFmtId="0" fontId="36" fillId="0" borderId="0"/>
    <xf numFmtId="173" fontId="32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1" applyNumberFormat="1" applyFont="1" applyAlignment="1" applyProtection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164" fontId="0" fillId="3" borderId="1" xfId="1" applyFont="1" applyFill="1" applyBorder="1" applyAlignment="1" applyProtection="1">
      <alignment horizontal="center" vertical="center"/>
    </xf>
    <xf numFmtId="164" fontId="0" fillId="0" borderId="0" xfId="1" applyFont="1" applyAlignment="1" applyProtection="1">
      <alignment horizontal="center" vertical="center"/>
    </xf>
    <xf numFmtId="2" fontId="6" fillId="4" borderId="7" xfId="0" applyNumberFormat="1" applyFon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164" fontId="6" fillId="4" borderId="1" xfId="1" applyFont="1" applyFill="1" applyBorder="1" applyAlignment="1" applyProtection="1">
      <alignment horizontal="right" vertical="center"/>
    </xf>
    <xf numFmtId="164" fontId="0" fillId="0" borderId="0" xfId="1" applyFont="1" applyAlignment="1" applyProtection="1">
      <alignment horizontal="right" vertical="center"/>
    </xf>
    <xf numFmtId="169" fontId="6" fillId="4" borderId="1" xfId="1" applyNumberFormat="1" applyFont="1" applyFill="1" applyBorder="1" applyAlignment="1" applyProtection="1">
      <alignment horizontal="right" vertical="center"/>
    </xf>
    <xf numFmtId="167" fontId="0" fillId="0" borderId="0" xfId="1" applyNumberFormat="1" applyFont="1" applyAlignment="1" applyProtection="1">
      <alignment horizontal="right" vertical="center"/>
    </xf>
    <xf numFmtId="167" fontId="0" fillId="0" borderId="0" xfId="0" applyNumberFormat="1" applyAlignment="1">
      <alignment horizontal="center"/>
    </xf>
    <xf numFmtId="10" fontId="6" fillId="4" borderId="1" xfId="3" applyNumberFormat="1" applyFont="1" applyFill="1" applyBorder="1" applyAlignment="1" applyProtection="1">
      <alignment horizontal="center"/>
    </xf>
    <xf numFmtId="10" fontId="6" fillId="4" borderId="1" xfId="3" applyNumberFormat="1" applyFont="1" applyFill="1" applyBorder="1" applyAlignment="1" applyProtection="1">
      <alignment horizontal="center" vertical="center"/>
    </xf>
    <xf numFmtId="10" fontId="0" fillId="0" borderId="0" xfId="3" applyNumberFormat="1" applyFont="1" applyAlignment="1" applyProtection="1">
      <alignment horizontal="right" vertical="center"/>
    </xf>
    <xf numFmtId="2" fontId="0" fillId="0" borderId="0" xfId="0" applyNumberFormat="1" applyAlignment="1">
      <alignment horizontal="center" vertical="center"/>
    </xf>
    <xf numFmtId="10" fontId="0" fillId="0" borderId="0" xfId="3" applyNumberFormat="1" applyFont="1" applyAlignment="1" applyProtection="1">
      <alignment horizontal="center"/>
    </xf>
    <xf numFmtId="2" fontId="2" fillId="0" borderId="0" xfId="0" applyNumberFormat="1" applyFont="1" applyAlignment="1">
      <alignment horizontal="left" vertical="center"/>
    </xf>
    <xf numFmtId="167" fontId="1" fillId="0" borderId="0" xfId="1" applyNumberFormat="1" applyFont="1" applyBorder="1" applyAlignment="1" applyProtection="1">
      <alignment horizontal="center"/>
    </xf>
    <xf numFmtId="167" fontId="1" fillId="0" borderId="0" xfId="1" applyNumberFormat="1" applyFont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7" fontId="0" fillId="0" borderId="0" xfId="1" applyNumberFormat="1" applyFont="1" applyAlignment="1" applyProtection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6" borderId="0" xfId="1" applyNumberFormat="1" applyFont="1" applyFill="1" applyAlignment="1" applyProtection="1">
      <alignment horizontal="center" vertical="center"/>
    </xf>
    <xf numFmtId="164" fontId="0" fillId="0" borderId="1" xfId="1" applyFon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5" fontId="9" fillId="5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center"/>
    </xf>
    <xf numFmtId="176" fontId="6" fillId="40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1" fontId="6" fillId="40" borderId="1" xfId="0" applyNumberFormat="1" applyFont="1" applyFill="1" applyBorder="1" applyAlignment="1">
      <alignment horizontal="center" vertical="center"/>
    </xf>
    <xf numFmtId="171" fontId="40" fillId="41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/>
    <xf numFmtId="0" fontId="45" fillId="7" borderId="36" xfId="0" applyFont="1" applyFill="1" applyBorder="1" applyAlignment="1">
      <alignment horizontal="center" vertical="center" wrapText="1"/>
    </xf>
    <xf numFmtId="0" fontId="45" fillId="7" borderId="36" xfId="0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67" fontId="45" fillId="0" borderId="36" xfId="1" applyNumberFormat="1" applyFont="1" applyFill="1" applyBorder="1" applyAlignment="1">
      <alignment horizontal="center" vertical="center"/>
    </xf>
    <xf numFmtId="164" fontId="45" fillId="0" borderId="36" xfId="1" applyFont="1" applyFill="1" applyBorder="1" applyAlignment="1">
      <alignment horizontal="center" vertical="center"/>
    </xf>
    <xf numFmtId="1" fontId="45" fillId="42" borderId="36" xfId="0" applyNumberFormat="1" applyFont="1" applyFill="1" applyBorder="1" applyAlignment="1">
      <alignment horizontal="center" vertical="center"/>
    </xf>
    <xf numFmtId="167" fontId="45" fillId="42" borderId="36" xfId="1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7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9" fontId="45" fillId="0" borderId="36" xfId="1" applyNumberFormat="1" applyFont="1" applyFill="1" applyBorder="1" applyAlignment="1">
      <alignment horizontal="center" vertical="center"/>
    </xf>
    <xf numFmtId="179" fontId="46" fillId="0" borderId="36" xfId="1" applyNumberFormat="1" applyFont="1" applyFill="1" applyBorder="1" applyAlignment="1">
      <alignment horizontal="center" vertical="center"/>
    </xf>
    <xf numFmtId="179" fontId="44" fillId="42" borderId="36" xfId="1" applyNumberFormat="1" applyFont="1" applyFill="1" applyBorder="1" applyAlignment="1">
      <alignment horizontal="center" vertical="center"/>
    </xf>
    <xf numFmtId="37" fontId="45" fillId="0" borderId="36" xfId="1" applyNumberFormat="1" applyFont="1" applyFill="1" applyBorder="1" applyAlignment="1">
      <alignment horizontal="center" vertical="center"/>
    </xf>
    <xf numFmtId="37" fontId="46" fillId="0" borderId="36" xfId="1" applyNumberFormat="1" applyFont="1" applyFill="1" applyBorder="1" applyAlignment="1">
      <alignment horizontal="center" vertical="center"/>
    </xf>
    <xf numFmtId="37" fontId="45" fillId="42" borderId="36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4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0" fontId="15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44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170" fontId="15" fillId="6" borderId="30" xfId="0" applyNumberFormat="1" applyFont="1" applyFill="1" applyBorder="1" applyAlignment="1" applyProtection="1">
      <alignment horizontal="center" vertical="center"/>
      <protection locked="0"/>
    </xf>
    <xf numFmtId="171" fontId="0" fillId="43" borderId="1" xfId="0" applyNumberFormat="1" applyFill="1" applyBorder="1" applyAlignment="1" applyProtection="1">
      <alignment horizontal="center" vertical="center"/>
      <protection locked="0"/>
    </xf>
    <xf numFmtId="170" fontId="4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5" fontId="0" fillId="3" borderId="1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174" fontId="0" fillId="43" borderId="14" xfId="0" applyNumberFormat="1" applyFill="1" applyBorder="1" applyAlignment="1" applyProtection="1">
      <alignment horizontal="center" vertical="center"/>
      <protection locked="0"/>
    </xf>
    <xf numFmtId="3" fontId="0" fillId="43" borderId="11" xfId="0" applyNumberFormat="1" applyFill="1" applyBorder="1" applyAlignment="1" applyProtection="1">
      <alignment horizontal="center" vertical="center"/>
      <protection locked="0"/>
    </xf>
    <xf numFmtId="175" fontId="0" fillId="43" borderId="11" xfId="0" applyNumberFormat="1" applyFill="1" applyBorder="1" applyAlignment="1" applyProtection="1">
      <alignment horizontal="center" vertical="center"/>
      <protection locked="0"/>
    </xf>
    <xf numFmtId="177" fontId="0" fillId="43" borderId="11" xfId="0" applyNumberFormat="1" applyFill="1" applyBorder="1" applyAlignment="1" applyProtection="1">
      <alignment horizontal="center" vertical="center"/>
      <protection locked="0"/>
    </xf>
    <xf numFmtId="176" fontId="0" fillId="43" borderId="1" xfId="0" applyNumberForma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80" fontId="0" fillId="43" borderId="1" xfId="0" applyNumberFormat="1" applyFill="1" applyBorder="1" applyAlignment="1" applyProtection="1">
      <alignment horizontal="center" vertical="center"/>
      <protection locked="0"/>
    </xf>
    <xf numFmtId="9" fontId="0" fillId="0" borderId="0" xfId="3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81" fontId="0" fillId="0" borderId="53" xfId="3" applyNumberFormat="1" applyFont="1" applyBorder="1" applyAlignment="1">
      <alignment horizontal="center" vertical="center"/>
    </xf>
    <xf numFmtId="181" fontId="0" fillId="0" borderId="54" xfId="3" applyNumberFormat="1" applyFont="1" applyBorder="1" applyAlignment="1">
      <alignment horizontal="center" vertical="center"/>
    </xf>
    <xf numFmtId="0" fontId="45" fillId="7" borderId="56" xfId="0" applyFont="1" applyFill="1" applyBorder="1" applyAlignment="1">
      <alignment horizontal="center" vertical="center" wrapText="1"/>
    </xf>
    <xf numFmtId="0" fontId="44" fillId="7" borderId="56" xfId="0" applyFont="1" applyFill="1" applyBorder="1" applyAlignment="1">
      <alignment horizontal="center" vertical="center" wrapText="1"/>
    </xf>
    <xf numFmtId="0" fontId="44" fillId="7" borderId="57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44" fillId="7" borderId="55" xfId="0" applyFont="1" applyFill="1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18" fontId="0" fillId="0" borderId="0" xfId="0" applyNumberFormat="1" applyAlignment="1">
      <alignment horizontal="center" vertical="center"/>
    </xf>
    <xf numFmtId="10" fontId="45" fillId="0" borderId="36" xfId="3" applyNumberFormat="1" applyFont="1" applyFill="1" applyBorder="1" applyAlignment="1">
      <alignment horizontal="center" vertical="center"/>
    </xf>
    <xf numFmtId="10" fontId="46" fillId="0" borderId="36" xfId="3" applyNumberFormat="1" applyFont="1" applyFill="1" applyBorder="1" applyAlignment="1">
      <alignment horizontal="center" vertical="center"/>
    </xf>
    <xf numFmtId="10" fontId="45" fillId="42" borderId="36" xfId="3" applyNumberFormat="1" applyFont="1" applyFill="1" applyBorder="1" applyAlignment="1">
      <alignment horizontal="center" vertical="center"/>
    </xf>
    <xf numFmtId="10" fontId="44" fillId="42" borderId="36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81" fontId="0" fillId="0" borderId="0" xfId="3" applyNumberFormat="1" applyFont="1" applyBorder="1" applyAlignment="1">
      <alignment horizontal="center" vertical="center"/>
    </xf>
    <xf numFmtId="170" fontId="8" fillId="0" borderId="0" xfId="0" applyNumberFormat="1" applyFont="1" applyAlignment="1" applyProtection="1">
      <alignment horizontal="left"/>
      <protection locked="0"/>
    </xf>
    <xf numFmtId="0" fontId="11" fillId="5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0" fontId="37" fillId="40" borderId="7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left" vertical="center" wrapText="1"/>
    </xf>
    <xf numFmtId="170" fontId="37" fillId="40" borderId="9" xfId="0" applyNumberFormat="1" applyFont="1" applyFill="1" applyBorder="1" applyAlignment="1">
      <alignment horizontal="left" vertical="center" wrapText="1"/>
    </xf>
    <xf numFmtId="170" fontId="15" fillId="6" borderId="27" xfId="0" applyNumberFormat="1" applyFont="1" applyFill="1" applyBorder="1" applyAlignment="1" applyProtection="1">
      <alignment horizontal="center" vertical="center"/>
      <protection locked="0"/>
    </xf>
    <xf numFmtId="170" fontId="15" fillId="6" borderId="28" xfId="0" applyNumberFormat="1" applyFont="1" applyFill="1" applyBorder="1" applyAlignment="1" applyProtection="1">
      <alignment horizontal="center" vertical="center"/>
      <protection locked="0"/>
    </xf>
    <xf numFmtId="170" fontId="15" fillId="6" borderId="29" xfId="0" applyNumberFormat="1" applyFont="1" applyFill="1" applyBorder="1" applyAlignment="1" applyProtection="1">
      <alignment horizontal="center" vertical="center"/>
      <protection locked="0"/>
    </xf>
    <xf numFmtId="0" fontId="37" fillId="40" borderId="1" xfId="0" applyFont="1" applyFill="1" applyBorder="1" applyAlignment="1">
      <alignment horizontal="center" vertical="center" wrapText="1"/>
    </xf>
    <xf numFmtId="15" fontId="5" fillId="40" borderId="14" xfId="0" applyNumberFormat="1" applyFont="1" applyFill="1" applyBorder="1" applyAlignment="1">
      <alignment horizontal="center" vertical="center" wrapText="1"/>
    </xf>
    <xf numFmtId="15" fontId="5" fillId="40" borderId="16" xfId="0" applyNumberFormat="1" applyFont="1" applyFill="1" applyBorder="1" applyAlignment="1">
      <alignment horizontal="center" vertical="center" wrapText="1"/>
    </xf>
    <xf numFmtId="0" fontId="5" fillId="40" borderId="15" xfId="0" applyFont="1" applyFill="1" applyBorder="1" applyAlignment="1">
      <alignment horizontal="center" vertical="center" wrapText="1"/>
    </xf>
    <xf numFmtId="170" fontId="0" fillId="3" borderId="14" xfId="0" applyNumberFormat="1" applyFill="1" applyBorder="1" applyAlignment="1">
      <alignment horizontal="center" vertical="center" wrapText="1"/>
    </xf>
    <xf numFmtId="170" fontId="0" fillId="3" borderId="16" xfId="0" applyNumberFormat="1" applyFill="1" applyBorder="1" applyAlignment="1">
      <alignment horizontal="center" vertical="center" wrapText="1"/>
    </xf>
    <xf numFmtId="170" fontId="0" fillId="3" borderId="15" xfId="0" applyNumberFormat="1" applyFill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28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5" fillId="40" borderId="12" xfId="0" applyFont="1" applyFill="1" applyBorder="1" applyAlignment="1">
      <alignment horizontal="center" vertical="center" wrapText="1"/>
    </xf>
    <xf numFmtId="0" fontId="5" fillId="40" borderId="26" xfId="0" applyFont="1" applyFill="1" applyBorder="1" applyAlignment="1">
      <alignment horizontal="center" vertical="center" wrapText="1"/>
    </xf>
    <xf numFmtId="0" fontId="5" fillId="40" borderId="13" xfId="0" applyFont="1" applyFill="1" applyBorder="1" applyAlignment="1">
      <alignment horizontal="center" vertical="center" wrapText="1"/>
    </xf>
    <xf numFmtId="170" fontId="5" fillId="40" borderId="14" xfId="0" applyNumberFormat="1" applyFont="1" applyFill="1" applyBorder="1" applyAlignment="1">
      <alignment horizontal="center" vertical="center" wrapText="1"/>
    </xf>
    <xf numFmtId="170" fontId="5" fillId="40" borderId="16" xfId="0" applyNumberFormat="1" applyFont="1" applyFill="1" applyBorder="1" applyAlignment="1">
      <alignment horizontal="center" vertical="center" wrapText="1"/>
    </xf>
    <xf numFmtId="170" fontId="5" fillId="40" borderId="15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left"/>
    </xf>
    <xf numFmtId="0" fontId="45" fillId="7" borderId="31" xfId="0" applyFont="1" applyFill="1" applyBorder="1" applyAlignment="1">
      <alignment horizontal="center" vertical="center"/>
    </xf>
    <xf numFmtId="0" fontId="45" fillId="7" borderId="35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 wrapText="1"/>
    </xf>
    <xf numFmtId="0" fontId="44" fillId="7" borderId="33" xfId="0" applyFont="1" applyFill="1" applyBorder="1" applyAlignment="1">
      <alignment horizontal="center" vertical="center" wrapText="1"/>
    </xf>
    <xf numFmtId="170" fontId="49" fillId="0" borderId="0" xfId="0" applyNumberFormat="1" applyFont="1" applyAlignment="1">
      <alignment horizontal="center" vertical="center"/>
    </xf>
    <xf numFmtId="0" fontId="44" fillId="7" borderId="37" xfId="0" applyFont="1" applyFill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6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" xr:uid="{00000000-0005-0000-0000-00001C000000}"/>
    <cellStyle name="Comma 2 2" xfId="49" xr:uid="{00000000-0005-0000-0000-00001D000000}"/>
    <cellStyle name="Comma 2 2 2" xfId="64" xr:uid="{00000000-0005-0000-0000-00001E000000}"/>
    <cellStyle name="Comma 2 3" xfId="53" xr:uid="{00000000-0005-0000-0000-00001F000000}"/>
    <cellStyle name="Comma 2 4" xfId="60" xr:uid="{00000000-0005-0000-0000-000020000000}"/>
    <cellStyle name="Comma 3" xfId="4" xr:uid="{00000000-0005-0000-0000-000021000000}"/>
    <cellStyle name="Comma 3 2" xfId="55" xr:uid="{00000000-0005-0000-0000-000022000000}"/>
    <cellStyle name="Comma 3 3" xfId="61" xr:uid="{00000000-0005-0000-0000-000023000000}"/>
    <cellStyle name="Comma 4" xfId="47" xr:uid="{00000000-0005-0000-0000-000024000000}"/>
    <cellStyle name="Comma 4 2" xfId="59" xr:uid="{00000000-0005-0000-0000-000025000000}"/>
    <cellStyle name="Comma 4 3" xfId="62" xr:uid="{00000000-0005-0000-0000-000026000000}"/>
    <cellStyle name="Comma 5" xfId="48" xr:uid="{00000000-0005-0000-0000-000027000000}"/>
    <cellStyle name="Comma 5 2" xfId="63" xr:uid="{00000000-0005-0000-0000-000028000000}"/>
    <cellStyle name="Comma 6" xfId="50" xr:uid="{00000000-0005-0000-0000-000029000000}"/>
    <cellStyle name="Comma 6 2" xfId="65" xr:uid="{00000000-0005-0000-0000-00002A000000}"/>
    <cellStyle name="Comma 7" xfId="57" xr:uid="{00000000-0005-0000-0000-00002B000000}"/>
    <cellStyle name="Explanatory Text" xfId="21" builtinId="53" customBuiltin="1"/>
    <cellStyle name="Explanatory Text 2" xfId="56" xr:uid="{00000000-0005-0000-0000-00002D000000}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5" xr:uid="{00000000-0005-0000-0000-000037000000}"/>
    <cellStyle name="Normal 3" xfId="51" xr:uid="{00000000-0005-0000-0000-000038000000}"/>
    <cellStyle name="Normal 4" xfId="54" xr:uid="{00000000-0005-0000-0000-000039000000}"/>
    <cellStyle name="Normal 5" xfId="58" xr:uid="{00000000-0005-0000-0000-00003A000000}"/>
    <cellStyle name="Note" xfId="20" builtinId="10" customBuiltin="1"/>
    <cellStyle name="Output" xfId="15" builtinId="21" customBuiltin="1"/>
    <cellStyle name="Percent" xfId="3" builtinId="5"/>
    <cellStyle name="Percent 2" xfId="52" xr:uid="{00000000-0005-0000-0000-00003E000000}"/>
    <cellStyle name="Title" xfId="6" builtinId="15" customBuiltin="1"/>
    <cellStyle name="Total" xfId="22" builtinId="25" customBuiltin="1"/>
    <cellStyle name="Warning Text" xfId="19" builtinId="11" customBuiltin="1"/>
  </cellStyles>
  <dxfs count="7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theme="1"/>
      </font>
    </dxf>
  </dxfs>
  <tableStyles count="0" defaultTableStyle="TableStyleMedium2" defaultPivotStyle="PivotStyleLight16"/>
  <colors>
    <mruColors>
      <color rgb="FFFFFF66"/>
      <color rgb="FFFFFFCC"/>
      <color rgb="FFFFE7E7"/>
      <color rgb="FFFFCDCD"/>
      <color rgb="FFFF99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Temperature Profile</a:t>
            </a:r>
          </a:p>
        </c:rich>
      </c:tx>
      <c:layout>
        <c:manualLayout>
          <c:xMode val="edge"/>
          <c:yMode val="edge"/>
          <c:x val="0.31871134323344957"/>
          <c:y val="4.9189442178817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5407357188266"/>
          <c:y val="0.21547393941404458"/>
          <c:w val="0.81014650289883905"/>
          <c:h val="0.5829797996504634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Energy'!$C$10:$C$33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Energy'!$H$10:$H$33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Energy'!$M$10:$M$33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96-9ED0-9D9449E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8640"/>
        <c:axId val="142956256"/>
      </c:lineChart>
      <c:catAx>
        <c:axId val="14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56"/>
        <c:crosses val="autoZero"/>
        <c:auto val="1"/>
        <c:lblAlgn val="ctr"/>
        <c:lblOffset val="100"/>
        <c:noMultiLvlLbl val="0"/>
      </c:catAx>
      <c:valAx>
        <c:axId val="1429562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Temperature,</a:t>
                </a:r>
                <a:r>
                  <a:rPr lang="en-PH" baseline="0"/>
                  <a:t> Deg Celcius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3.3871132262681051E-3"/>
              <c:y val="0.2911211275667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1089485929217E-2"/>
          <c:y val="0.88943145065775719"/>
          <c:w val="0.94761638738397158"/>
          <c:h val="8.871958081444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ENERGY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(%)'!$D$11:$D$34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DD6-8354-D9706C13603F}"/>
            </c:ext>
          </c:extLst>
        </c:ser>
        <c:ser>
          <c:idx val="1"/>
          <c:order val="1"/>
          <c:tx>
            <c:v>CC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(%)'!$E$11:$E$34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DD6-8354-D9706C13603F}"/>
            </c:ext>
          </c:extLst>
        </c:ser>
        <c:ser>
          <c:idx val="2"/>
          <c:order val="2"/>
          <c:tx>
            <c:v>NET ENERGY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(%)'!$F$11:$F$34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DD6-8354-D9706C13603F}"/>
            </c:ext>
          </c:extLst>
        </c:ser>
        <c:ser>
          <c:idx val="3"/>
          <c:order val="3"/>
          <c:tx>
            <c:strRef>
              <c:f>'9. Variance (%)'!$L$9:$L$10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(%)'!$L$11:$L$34</c:f>
              <c:numCache>
                <c:formatCode>0.00%</c:formatCode>
                <c:ptCount val="24"/>
                <c:pt idx="0">
                  <c:v>2.7648278352326905</c:v>
                </c:pt>
                <c:pt idx="1">
                  <c:v>2.6135600847230358</c:v>
                </c:pt>
                <c:pt idx="2">
                  <c:v>2.5015907449462906</c:v>
                </c:pt>
                <c:pt idx="3">
                  <c:v>2.4312450735665658</c:v>
                </c:pt>
                <c:pt idx="4">
                  <c:v>2.4259605739910324</c:v>
                </c:pt>
                <c:pt idx="5">
                  <c:v>1.7572940458597603</c:v>
                </c:pt>
                <c:pt idx="6">
                  <c:v>1.8231969450727923</c:v>
                </c:pt>
                <c:pt idx="7">
                  <c:v>1.9874923545911343</c:v>
                </c:pt>
                <c:pt idx="8">
                  <c:v>1.8460350303279986</c:v>
                </c:pt>
                <c:pt idx="9">
                  <c:v>2.0317766858595001</c:v>
                </c:pt>
                <c:pt idx="10">
                  <c:v>2.1705876469269456</c:v>
                </c:pt>
                <c:pt idx="11">
                  <c:v>2.230411685569373</c:v>
                </c:pt>
                <c:pt idx="12">
                  <c:v>2.1936209620897351</c:v>
                </c:pt>
                <c:pt idx="13">
                  <c:v>1.8536686029766611</c:v>
                </c:pt>
                <c:pt idx="14">
                  <c:v>1.8937502899039267</c:v>
                </c:pt>
                <c:pt idx="15">
                  <c:v>1.8936675177303082</c:v>
                </c:pt>
                <c:pt idx="16">
                  <c:v>1.2750928582878107</c:v>
                </c:pt>
                <c:pt idx="17">
                  <c:v>1.1696416636462881</c:v>
                </c:pt>
                <c:pt idx="18">
                  <c:v>1.1712319049534263</c:v>
                </c:pt>
                <c:pt idx="19">
                  <c:v>1.1133878458098279</c:v>
                </c:pt>
                <c:pt idx="20">
                  <c:v>1.0769376675133913</c:v>
                </c:pt>
                <c:pt idx="21">
                  <c:v>1.0485160217866591</c:v>
                </c:pt>
                <c:pt idx="22">
                  <c:v>1.4495213747605453</c:v>
                </c:pt>
                <c:pt idx="23">
                  <c:v>1.6994602739480851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DD6-8354-D9706C13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RATE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Variance (%)'!$R$9:$R$10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(%)'!$R$11:$R$34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11A-96DB-DECDDADE09DF}"/>
            </c:ext>
          </c:extLst>
        </c:ser>
        <c:ser>
          <c:idx val="1"/>
          <c:order val="1"/>
          <c:tx>
            <c:strRef>
              <c:f>'9. Variance (%)'!$U$10</c:f>
              <c:strCache>
                <c:ptCount val="1"/>
                <c:pt idx="0">
                  <c:v>VAT 
Exclusive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(%)'!$U$11:$U$34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11A-96DB-DECDDADE09DF}"/>
            </c:ext>
          </c:extLst>
        </c:ser>
        <c:ser>
          <c:idx val="2"/>
          <c:order val="2"/>
          <c:tx>
            <c:strRef>
              <c:f>'9. Variance (%)'!$V$10</c:f>
              <c:strCache>
                <c:ptCount val="1"/>
                <c:pt idx="0">
                  <c:v>VAT
 Inclusive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(%)'!$V$11:$V$34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11A-96DB-DECDDADE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Captive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60E-88F8-DE463A8C83EB}"/>
              </c:ext>
            </c:extLst>
          </c:dPt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Energy'!$G$10:$G$33</c:f>
              <c:numCache>
                <c:formatCode>#,##0</c:formatCode>
                <c:ptCount val="24"/>
                <c:pt idx="0">
                  <c:v>62566.108420454257</c:v>
                </c:pt>
                <c:pt idx="1">
                  <c:v>59065.941406413476</c:v>
                </c:pt>
                <c:pt idx="2">
                  <c:v>56319.551057487683</c:v>
                </c:pt>
                <c:pt idx="3">
                  <c:v>54736.670277409474</c:v>
                </c:pt>
                <c:pt idx="4">
                  <c:v>54638.642725620477</c:v>
                </c:pt>
                <c:pt idx="5">
                  <c:v>57384.567393147561</c:v>
                </c:pt>
                <c:pt idx="6">
                  <c:v>58141.215765581393</c:v>
                </c:pt>
                <c:pt idx="7">
                  <c:v>63147.884387971331</c:v>
                </c:pt>
                <c:pt idx="8">
                  <c:v>77692.413864230155</c:v>
                </c:pt>
                <c:pt idx="9">
                  <c:v>86293.414863895174</c:v>
                </c:pt>
                <c:pt idx="10">
                  <c:v>92177.417704378939</c:v>
                </c:pt>
                <c:pt idx="11">
                  <c:v>95200.788621410014</c:v>
                </c:pt>
                <c:pt idx="12">
                  <c:v>93696.545242768858</c:v>
                </c:pt>
                <c:pt idx="13">
                  <c:v>99920.415826484459</c:v>
                </c:pt>
                <c:pt idx="14">
                  <c:v>102657.29200151163</c:v>
                </c:pt>
                <c:pt idx="15">
                  <c:v>103187.97367166329</c:v>
                </c:pt>
                <c:pt idx="16">
                  <c:v>97858.794187739826</c:v>
                </c:pt>
                <c:pt idx="17">
                  <c:v>90334.680153298366</c:v>
                </c:pt>
                <c:pt idx="18">
                  <c:v>90636.09612766483</c:v>
                </c:pt>
                <c:pt idx="19">
                  <c:v>86045.585322559855</c:v>
                </c:pt>
                <c:pt idx="20">
                  <c:v>82737.601319421883</c:v>
                </c:pt>
                <c:pt idx="21">
                  <c:v>81177.217561692611</c:v>
                </c:pt>
                <c:pt idx="22">
                  <c:v>76456.398402591381</c:v>
                </c:pt>
                <c:pt idx="23">
                  <c:v>71993.384727078301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Energy'!$L$10:$L$33</c:f>
              <c:numCache>
                <c:formatCode>#,##0</c:formatCode>
                <c:ptCount val="24"/>
                <c:pt idx="0">
                  <c:v>67092.790934552118</c:v>
                </c:pt>
                <c:pt idx="1">
                  <c:v>63508.123449995343</c:v>
                </c:pt>
                <c:pt idx="2">
                  <c:v>61009.946798680714</c:v>
                </c:pt>
                <c:pt idx="3">
                  <c:v>59295.444997571438</c:v>
                </c:pt>
                <c:pt idx="4">
                  <c:v>59149.244970251741</c:v>
                </c:pt>
                <c:pt idx="5">
                  <c:v>61670.037479213745</c:v>
                </c:pt>
                <c:pt idx="6">
                  <c:v>62735.53630534016</c:v>
                </c:pt>
                <c:pt idx="7">
                  <c:v>65895.204023925937</c:v>
                </c:pt>
                <c:pt idx="8">
                  <c:v>79041.901206439608</c:v>
                </c:pt>
                <c:pt idx="9">
                  <c:v>86112.54080818317</c:v>
                </c:pt>
                <c:pt idx="10">
                  <c:v>92008.337316072721</c:v>
                </c:pt>
                <c:pt idx="11">
                  <c:v>94078.434998474535</c:v>
                </c:pt>
                <c:pt idx="12">
                  <c:v>92448.140815308274</c:v>
                </c:pt>
                <c:pt idx="13">
                  <c:v>96661.139519190445</c:v>
                </c:pt>
                <c:pt idx="14">
                  <c:v>98174.926242799789</c:v>
                </c:pt>
                <c:pt idx="15">
                  <c:v>98794.892163662371</c:v>
                </c:pt>
                <c:pt idx="16">
                  <c:v>95317.773842863491</c:v>
                </c:pt>
                <c:pt idx="17">
                  <c:v>86866.031889114252</c:v>
                </c:pt>
                <c:pt idx="18">
                  <c:v>86805.537472779251</c:v>
                </c:pt>
                <c:pt idx="19">
                  <c:v>82632.673317629087</c:v>
                </c:pt>
                <c:pt idx="20">
                  <c:v>80418.455308856879</c:v>
                </c:pt>
                <c:pt idx="21">
                  <c:v>77672.959738986247</c:v>
                </c:pt>
                <c:pt idx="22">
                  <c:v>75743.345947265901</c:v>
                </c:pt>
                <c:pt idx="23">
                  <c:v>72460.738558508965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 Energy'!$Q$10:$Q$33</c:f>
              <c:numCache>
                <c:formatCode>#,##0</c:formatCode>
                <c:ptCount val="24"/>
                <c:pt idx="0">
                  <c:v>62208.626292735535</c:v>
                </c:pt>
                <c:pt idx="1">
                  <c:v>58805.101906268304</c:v>
                </c:pt>
                <c:pt idx="2">
                  <c:v>56285.791761291541</c:v>
                </c:pt>
                <c:pt idx="3">
                  <c:v>54703.014155247729</c:v>
                </c:pt>
                <c:pt idx="4">
                  <c:v>54584.112914798228</c:v>
                </c:pt>
                <c:pt idx="5">
                  <c:v>57112.056490442214</c:v>
                </c:pt>
                <c:pt idx="6">
                  <c:v>59253.900714865747</c:v>
                </c:pt>
                <c:pt idx="7">
                  <c:v>64593.501524211861</c:v>
                </c:pt>
                <c:pt idx="8">
                  <c:v>78456.48878893994</c:v>
                </c:pt>
                <c:pt idx="9">
                  <c:v>86350.50914902876</c:v>
                </c:pt>
                <c:pt idx="10">
                  <c:v>92249.97499439519</c:v>
                </c:pt>
                <c:pt idx="11">
                  <c:v>94792.496636698343</c:v>
                </c:pt>
                <c:pt idx="12">
                  <c:v>93228.890888813738</c:v>
                </c:pt>
                <c:pt idx="13">
                  <c:v>97317.60165627471</c:v>
                </c:pt>
                <c:pt idx="14">
                  <c:v>99421.890219956156</c:v>
                </c:pt>
                <c:pt idx="15">
                  <c:v>99417.54468084118</c:v>
                </c:pt>
                <c:pt idx="16">
                  <c:v>95631.964371585796</c:v>
                </c:pt>
                <c:pt idx="17">
                  <c:v>87723.124773471602</c:v>
                </c:pt>
                <c:pt idx="18">
                  <c:v>87842.392871506978</c:v>
                </c:pt>
                <c:pt idx="19">
                  <c:v>83504.088435737096</c:v>
                </c:pt>
                <c:pt idx="20">
                  <c:v>80770.325063504337</c:v>
                </c:pt>
                <c:pt idx="21">
                  <c:v>78638.70163399943</c:v>
                </c:pt>
                <c:pt idx="22">
                  <c:v>76099.872174928634</c:v>
                </c:pt>
                <c:pt idx="23">
                  <c:v>72227.061642793618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  <c:max val="1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206002244459892"/>
          <c:h val="7.729250746030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WESM Price Profile</a:t>
            </a:r>
          </a:p>
        </c:rich>
      </c:tx>
      <c:layout>
        <c:manualLayout>
          <c:xMode val="edge"/>
          <c:yMode val="edge"/>
          <c:x val="0.36598255019837761"/>
          <c:y val="3.810126679904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Energy'!$D$10:$D$33</c:f>
              <c:numCache>
                <c:formatCode>0.0000</c:formatCode>
                <c:ptCount val="24"/>
                <c:pt idx="0">
                  <c:v>2.7411548733333331</c:v>
                </c:pt>
                <c:pt idx="1">
                  <c:v>1.0773140616666665</c:v>
                </c:pt>
                <c:pt idx="2">
                  <c:v>5.6878598333333329E-2</c:v>
                </c:pt>
                <c:pt idx="3">
                  <c:v>0.93084493666666668</c:v>
                </c:pt>
                <c:pt idx="4">
                  <c:v>2.0684925083333332</c:v>
                </c:pt>
                <c:pt idx="5">
                  <c:v>3.3009967216666665</c:v>
                </c:pt>
                <c:pt idx="6">
                  <c:v>2.9945202483333331</c:v>
                </c:pt>
                <c:pt idx="7">
                  <c:v>3.4116822650000005</c:v>
                </c:pt>
                <c:pt idx="8">
                  <c:v>3.1456058683333334</c:v>
                </c:pt>
                <c:pt idx="9">
                  <c:v>3.2894044249999999</c:v>
                </c:pt>
                <c:pt idx="10">
                  <c:v>3.4719981400000002</c:v>
                </c:pt>
                <c:pt idx="11">
                  <c:v>2.6952361883333338</c:v>
                </c:pt>
                <c:pt idx="12">
                  <c:v>2.9897764600000003</c:v>
                </c:pt>
                <c:pt idx="13">
                  <c:v>3.2626439116666668</c:v>
                </c:pt>
                <c:pt idx="14">
                  <c:v>3.3402676383333336</c:v>
                </c:pt>
                <c:pt idx="15">
                  <c:v>3.4962769300000005</c:v>
                </c:pt>
                <c:pt idx="16">
                  <c:v>3.4376853733333332</c:v>
                </c:pt>
                <c:pt idx="17">
                  <c:v>3.6420023216666673</c:v>
                </c:pt>
                <c:pt idx="18">
                  <c:v>4.3135480816666671</c:v>
                </c:pt>
                <c:pt idx="19">
                  <c:v>3.3957915750000005</c:v>
                </c:pt>
                <c:pt idx="20">
                  <c:v>3.47789546</c:v>
                </c:pt>
                <c:pt idx="21">
                  <c:v>3.1808366233333332</c:v>
                </c:pt>
                <c:pt idx="22">
                  <c:v>3.1848890049999996</c:v>
                </c:pt>
                <c:pt idx="23">
                  <c:v>2.189731173333334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Energy'!$I$10:$I$33</c:f>
              <c:numCache>
                <c:formatCode>0.0000</c:formatCode>
                <c:ptCount val="24"/>
                <c:pt idx="0">
                  <c:v>3.0270779883333332</c:v>
                </c:pt>
                <c:pt idx="1">
                  <c:v>3.3028994283333333</c:v>
                </c:pt>
                <c:pt idx="2">
                  <c:v>2.5393447666666669</c:v>
                </c:pt>
                <c:pt idx="3">
                  <c:v>2.3491110549999994</c:v>
                </c:pt>
                <c:pt idx="4">
                  <c:v>2.6711873699999997</c:v>
                </c:pt>
                <c:pt idx="5">
                  <c:v>2.7057292799999999</c:v>
                </c:pt>
                <c:pt idx="6">
                  <c:v>2.3817053583333334</c:v>
                </c:pt>
                <c:pt idx="7">
                  <c:v>2.382461001666667</c:v>
                </c:pt>
                <c:pt idx="8">
                  <c:v>2.5853152316666668</c:v>
                </c:pt>
                <c:pt idx="9">
                  <c:v>2.9605830766666665</c:v>
                </c:pt>
                <c:pt idx="10">
                  <c:v>2.6678300933333334</c:v>
                </c:pt>
                <c:pt idx="11">
                  <c:v>2.6406540033333337</c:v>
                </c:pt>
                <c:pt idx="12">
                  <c:v>2.5251441283333333</c:v>
                </c:pt>
                <c:pt idx="13">
                  <c:v>3.4517462433333335</c:v>
                </c:pt>
                <c:pt idx="14">
                  <c:v>3.6597462133333338</c:v>
                </c:pt>
                <c:pt idx="15">
                  <c:v>3.5806168483333338</c:v>
                </c:pt>
                <c:pt idx="16">
                  <c:v>6.8976040466666673</c:v>
                </c:pt>
                <c:pt idx="17">
                  <c:v>4.9231515083333326</c:v>
                </c:pt>
                <c:pt idx="18">
                  <c:v>5.8835564683333335</c:v>
                </c:pt>
                <c:pt idx="19">
                  <c:v>3.7606182949999996</c:v>
                </c:pt>
                <c:pt idx="20">
                  <c:v>3.5152531133333342</c:v>
                </c:pt>
                <c:pt idx="21">
                  <c:v>2.9619744900000002</c:v>
                </c:pt>
                <c:pt idx="22">
                  <c:v>2.9784487583333337</c:v>
                </c:pt>
                <c:pt idx="23">
                  <c:v>2.8070102466666667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'2. Energy'!$N$10:$N$33</c:f>
              <c:numCache>
                <c:formatCode>#,##0.0000</c:formatCode>
                <c:ptCount val="24"/>
                <c:pt idx="0">
                  <c:v>2.8307857319047622</c:v>
                </c:pt>
                <c:pt idx="1">
                  <c:v>2.1515253821428573</c:v>
                </c:pt>
                <c:pt idx="2">
                  <c:v>1.0881953983333335</c:v>
                </c:pt>
                <c:pt idx="3">
                  <c:v>1.1612468554761903</c:v>
                </c:pt>
                <c:pt idx="4">
                  <c:v>2.2224229392857144</c:v>
                </c:pt>
                <c:pt idx="5">
                  <c:v>2.7972217783333337</c:v>
                </c:pt>
                <c:pt idx="6">
                  <c:v>2.8223892276190474</c:v>
                </c:pt>
                <c:pt idx="7">
                  <c:v>2.4495059886666666</c:v>
                </c:pt>
                <c:pt idx="8">
                  <c:v>3.1170035086666665</c:v>
                </c:pt>
                <c:pt idx="9">
                  <c:v>2.9711063429999998</c:v>
                </c:pt>
                <c:pt idx="10">
                  <c:v>3.0793276533333334</c:v>
                </c:pt>
                <c:pt idx="11">
                  <c:v>2.7918443083333337</c:v>
                </c:pt>
                <c:pt idx="12">
                  <c:v>2.9954505513333332</c:v>
                </c:pt>
                <c:pt idx="13">
                  <c:v>3.5249936367272725</c:v>
                </c:pt>
                <c:pt idx="14">
                  <c:v>3.3787969903333339</c:v>
                </c:pt>
                <c:pt idx="15">
                  <c:v>3.361733596333333</c:v>
                </c:pt>
                <c:pt idx="16">
                  <c:v>4.2792219193333336</c:v>
                </c:pt>
                <c:pt idx="17">
                  <c:v>7.6612190760000001</c:v>
                </c:pt>
                <c:pt idx="18">
                  <c:v>4.0099177849999998</c:v>
                </c:pt>
                <c:pt idx="19">
                  <c:v>3.6375795923333336</c:v>
                </c:pt>
                <c:pt idx="20">
                  <c:v>3.6266923579999997</c:v>
                </c:pt>
                <c:pt idx="21">
                  <c:v>3.4167050713333333</c:v>
                </c:pt>
                <c:pt idx="22">
                  <c:v>3.3535632563333331</c:v>
                </c:pt>
                <c:pt idx="23">
                  <c:v>3.0389962330000002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WESM Price, P/kWh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3330436270244E-2"/>
          <c:y val="0.88620673124875804"/>
          <c:w val="0.90086128312423286"/>
          <c:h val="9.17720075370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Contestable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Energy'!$F$10:$F$33</c:f>
              <c:numCache>
                <c:formatCode>#,##0</c:formatCode>
                <c:ptCount val="24"/>
                <c:pt idx="0">
                  <c:v>5528.949999999998</c:v>
                </c:pt>
                <c:pt idx="1">
                  <c:v>5461.8189999999977</c:v>
                </c:pt>
                <c:pt idx="2">
                  <c:v>5404.1309999999976</c:v>
                </c:pt>
                <c:pt idx="3">
                  <c:v>5210.6269999999986</c:v>
                </c:pt>
                <c:pt idx="4">
                  <c:v>5372.2719999999972</c:v>
                </c:pt>
                <c:pt idx="5">
                  <c:v>5531.4119999999975</c:v>
                </c:pt>
                <c:pt idx="6">
                  <c:v>6397.2109999999993</c:v>
                </c:pt>
                <c:pt idx="7">
                  <c:v>7176.5509999999977</c:v>
                </c:pt>
                <c:pt idx="8">
                  <c:v>8919.114999999998</c:v>
                </c:pt>
                <c:pt idx="9">
                  <c:v>14717.68399999999</c:v>
                </c:pt>
                <c:pt idx="10">
                  <c:v>15897.727999999999</c:v>
                </c:pt>
                <c:pt idx="11">
                  <c:v>15119.626</c:v>
                </c:pt>
                <c:pt idx="12">
                  <c:v>15866.133999999987</c:v>
                </c:pt>
                <c:pt idx="13">
                  <c:v>15305.382000000001</c:v>
                </c:pt>
                <c:pt idx="14">
                  <c:v>15078.94299999999</c:v>
                </c:pt>
                <c:pt idx="15">
                  <c:v>15320.38699999999</c:v>
                </c:pt>
                <c:pt idx="16">
                  <c:v>15787.733999999999</c:v>
                </c:pt>
                <c:pt idx="17">
                  <c:v>15613.687999999996</c:v>
                </c:pt>
                <c:pt idx="18">
                  <c:v>14597.855</c:v>
                </c:pt>
                <c:pt idx="19">
                  <c:v>13497.847</c:v>
                </c:pt>
                <c:pt idx="20">
                  <c:v>11821.516</c:v>
                </c:pt>
                <c:pt idx="21">
                  <c:v>8101.3099999999995</c:v>
                </c:pt>
                <c:pt idx="22">
                  <c:v>6261.9199999999983</c:v>
                </c:pt>
                <c:pt idx="23">
                  <c:v>5710.3049999999985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3BE-9D06-0664DD5B8CA1}"/>
            </c:ext>
          </c:extLst>
        </c:ser>
        <c:ser>
          <c:idx val="1"/>
          <c:order val="1"/>
          <c:tx>
            <c:v>Previous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Energy'!$K$10:$K$33</c:f>
              <c:numCache>
                <c:formatCode>#,##0</c:formatCode>
                <c:ptCount val="24"/>
                <c:pt idx="0">
                  <c:v>5284.6007074110357</c:v>
                </c:pt>
                <c:pt idx="1">
                  <c:v>5211.9852819520911</c:v>
                </c:pt>
                <c:pt idx="2">
                  <c:v>5149.7512016914825</c:v>
                </c:pt>
                <c:pt idx="3">
                  <c:v>5145.3186895728522</c:v>
                </c:pt>
                <c:pt idx="4">
                  <c:v>5143.5792398787817</c:v>
                </c:pt>
                <c:pt idx="5">
                  <c:v>5314.6995942288922</c:v>
                </c:pt>
                <c:pt idx="6">
                  <c:v>5898.9459142151818</c:v>
                </c:pt>
                <c:pt idx="7">
                  <c:v>7358.8272891739953</c:v>
                </c:pt>
                <c:pt idx="8">
                  <c:v>9125.7982282186949</c:v>
                </c:pt>
                <c:pt idx="9">
                  <c:v>15083.641223897623</c:v>
                </c:pt>
                <c:pt idx="10">
                  <c:v>15835.963802210999</c:v>
                </c:pt>
                <c:pt idx="11">
                  <c:v>15763.109004725202</c:v>
                </c:pt>
                <c:pt idx="12">
                  <c:v>15756.533674585387</c:v>
                </c:pt>
                <c:pt idx="13">
                  <c:v>15595.95875634603</c:v>
                </c:pt>
                <c:pt idx="14">
                  <c:v>15580.521165</c:v>
                </c:pt>
                <c:pt idx="15">
                  <c:v>15741.288749999996</c:v>
                </c:pt>
                <c:pt idx="16">
                  <c:v>15875.557352941176</c:v>
                </c:pt>
                <c:pt idx="17">
                  <c:v>15918.337990196072</c:v>
                </c:pt>
                <c:pt idx="18">
                  <c:v>15393.183333333331</c:v>
                </c:pt>
                <c:pt idx="19">
                  <c:v>13689.013725490195</c:v>
                </c:pt>
                <c:pt idx="20">
                  <c:v>11887.813235294116</c:v>
                </c:pt>
                <c:pt idx="21">
                  <c:v>8996.9107843137244</c:v>
                </c:pt>
                <c:pt idx="22">
                  <c:v>6224.5044117647058</c:v>
                </c:pt>
                <c:pt idx="23">
                  <c:v>5724.6264999999994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3BE-9D06-0664DD5B8CA1}"/>
            </c:ext>
          </c:extLst>
        </c:ser>
        <c:ser>
          <c:idx val="2"/>
          <c:order val="2"/>
          <c:tx>
            <c:v>Next 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Energy'!$P$10:$P$33</c:f>
              <c:numCache>
                <c:formatCode>#,##0</c:formatCode>
                <c:ptCount val="24"/>
                <c:pt idx="0">
                  <c:v>5300.2405192682254</c:v>
                </c:pt>
                <c:pt idx="1">
                  <c:v>5231.7440848701544</c:v>
                </c:pt>
                <c:pt idx="2">
                  <c:v>5172.9645141120864</c:v>
                </c:pt>
                <c:pt idx="3">
                  <c:v>5075.9463236804486</c:v>
                </c:pt>
                <c:pt idx="4">
                  <c:v>5154.3237133020193</c:v>
                </c:pt>
                <c:pt idx="5">
                  <c:v>5316.2001736245902</c:v>
                </c:pt>
                <c:pt idx="6">
                  <c:v>6026.9370229463693</c:v>
                </c:pt>
                <c:pt idx="7">
                  <c:v>7195.7318263237594</c:v>
                </c:pt>
                <c:pt idx="8">
                  <c:v>8933.1253605043021</c:v>
                </c:pt>
                <c:pt idx="9">
                  <c:v>14753.131298959213</c:v>
                </c:pt>
                <c:pt idx="10">
                  <c:v>15709.748416936136</c:v>
                </c:pt>
                <c:pt idx="11">
                  <c:v>15288.482675606536</c:v>
                </c:pt>
                <c:pt idx="12">
                  <c:v>15654.785977517513</c:v>
                </c:pt>
                <c:pt idx="13">
                  <c:v>15297.693443735659</c:v>
                </c:pt>
                <c:pt idx="14">
                  <c:v>15177.952556930688</c:v>
                </c:pt>
                <c:pt idx="15">
                  <c:v>15377.067202970291</c:v>
                </c:pt>
                <c:pt idx="16">
                  <c:v>15674.896709376819</c:v>
                </c:pt>
                <c:pt idx="17">
                  <c:v>15609.913856532707</c:v>
                </c:pt>
                <c:pt idx="18">
                  <c:v>14847.048679867985</c:v>
                </c:pt>
                <c:pt idx="19">
                  <c:v>13458.841943311978</c:v>
                </c:pt>
                <c:pt idx="20">
                  <c:v>11737.29170064065</c:v>
                </c:pt>
                <c:pt idx="21">
                  <c:v>8464.465734808773</c:v>
                </c:pt>
                <c:pt idx="22">
                  <c:v>6243.2122058823516</c:v>
                </c:pt>
                <c:pt idx="23">
                  <c:v>5717.4657499999994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43BE-9D06-0664DD5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152920589068629"/>
          <c:h val="7.81210406353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Nomination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'6. DAP Report'!$G$10</c:f>
              <c:strCache>
                <c:ptCount val="1"/>
                <c:pt idx="0">
                  <c:v>SCPC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Report'!$G$11:$G$34</c:f>
              <c:numCache>
                <c:formatCode>#,##0_);\(#,##0\)</c:formatCode>
                <c:ptCount val="24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12500</c:v>
                </c:pt>
                <c:pt idx="15">
                  <c:v>12500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12500</c:v>
                </c:pt>
                <c:pt idx="23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88F-8D91-BD34BCE237CF}"/>
            </c:ext>
          </c:extLst>
        </c:ser>
        <c:ser>
          <c:idx val="3"/>
          <c:order val="1"/>
          <c:tx>
            <c:strRef>
              <c:f>'6. DAP Report'!$J$10</c:f>
              <c:strCache>
                <c:ptCount val="1"/>
                <c:pt idx="0">
                  <c:v>PEDC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Report'!$J$11:$J$34</c:f>
              <c:numCache>
                <c:formatCode>#,##0_);\(#,##0\)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1-488F-8D91-BD34BCE237CF}"/>
            </c:ext>
          </c:extLst>
        </c:ser>
        <c:ser>
          <c:idx val="1"/>
          <c:order val="2"/>
          <c:tx>
            <c:strRef>
              <c:f>'6. DAP Report'!$H$10</c:f>
              <c:strCache>
                <c:ptCount val="1"/>
                <c:pt idx="0">
                  <c:v>KSPC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Report'!$H$11:$H$34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88F-8D91-BD34BCE237CF}"/>
            </c:ext>
          </c:extLst>
        </c:ser>
        <c:ser>
          <c:idx val="2"/>
          <c:order val="3"/>
          <c:tx>
            <c:strRef>
              <c:f>'6. DAP Report'!$I$10</c:f>
              <c:strCache>
                <c:ptCount val="1"/>
                <c:pt idx="0">
                  <c:v>EDC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Report'!$I$11:$I$34</c:f>
              <c:numCache>
                <c:formatCode>#,##0_);\(#,##0\)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1-488F-8D91-BD34BCE237CF}"/>
            </c:ext>
          </c:extLst>
        </c:ser>
        <c:ser>
          <c:idx val="4"/>
          <c:order val="4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solidFill>
              <a:srgbClr val="FFFF6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39708.626292735535</c:v>
                </c:pt>
                <c:pt idx="1">
                  <c:v>36305.101906268304</c:v>
                </c:pt>
                <c:pt idx="2">
                  <c:v>33785.791761291541</c:v>
                </c:pt>
                <c:pt idx="3">
                  <c:v>32203.014155247729</c:v>
                </c:pt>
                <c:pt idx="4">
                  <c:v>32084.112914798228</c:v>
                </c:pt>
                <c:pt idx="5">
                  <c:v>24612.056490442214</c:v>
                </c:pt>
                <c:pt idx="6">
                  <c:v>26753.900714865747</c:v>
                </c:pt>
                <c:pt idx="7">
                  <c:v>32093.501524211861</c:v>
                </c:pt>
                <c:pt idx="8">
                  <c:v>35956.48878893994</c:v>
                </c:pt>
                <c:pt idx="9">
                  <c:v>43850.50914902876</c:v>
                </c:pt>
                <c:pt idx="10">
                  <c:v>49749.97499439519</c:v>
                </c:pt>
                <c:pt idx="11">
                  <c:v>52292.496636698343</c:v>
                </c:pt>
                <c:pt idx="12">
                  <c:v>50728.890888813738</c:v>
                </c:pt>
                <c:pt idx="13">
                  <c:v>44817.60165627471</c:v>
                </c:pt>
                <c:pt idx="14">
                  <c:v>46921.890219956156</c:v>
                </c:pt>
                <c:pt idx="15">
                  <c:v>46917.54468084118</c:v>
                </c:pt>
                <c:pt idx="16">
                  <c:v>20631.964371585796</c:v>
                </c:pt>
                <c:pt idx="17">
                  <c:v>12723.124773471602</c:v>
                </c:pt>
                <c:pt idx="18">
                  <c:v>12842.392871506978</c:v>
                </c:pt>
                <c:pt idx="19">
                  <c:v>8504.088435737096</c:v>
                </c:pt>
                <c:pt idx="20">
                  <c:v>5770.3250635043369</c:v>
                </c:pt>
                <c:pt idx="21">
                  <c:v>3638.7016339994298</c:v>
                </c:pt>
                <c:pt idx="22">
                  <c:v>23599.872174928634</c:v>
                </c:pt>
                <c:pt idx="23">
                  <c:v>29727.061642793618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1-488F-8D91-BD34BC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3424"/>
        <c:axId val="374142464"/>
      </c:areaChart>
      <c:lineChart>
        <c:grouping val="standard"/>
        <c:varyColors val="0"/>
        <c:ser>
          <c:idx val="5"/>
          <c:order val="5"/>
          <c:tx>
            <c:v>NET ENERGY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62208.626292735535</c:v>
                </c:pt>
                <c:pt idx="1">
                  <c:v>58805.101906268304</c:v>
                </c:pt>
                <c:pt idx="2">
                  <c:v>56285.791761291541</c:v>
                </c:pt>
                <c:pt idx="3">
                  <c:v>54703.014155247729</c:v>
                </c:pt>
                <c:pt idx="4">
                  <c:v>54584.112914798228</c:v>
                </c:pt>
                <c:pt idx="5">
                  <c:v>57112.056490442214</c:v>
                </c:pt>
                <c:pt idx="6">
                  <c:v>59253.900714865747</c:v>
                </c:pt>
                <c:pt idx="7">
                  <c:v>64593.501524211861</c:v>
                </c:pt>
                <c:pt idx="8">
                  <c:v>78456.48878893994</c:v>
                </c:pt>
                <c:pt idx="9">
                  <c:v>86350.50914902876</c:v>
                </c:pt>
                <c:pt idx="10">
                  <c:v>92249.97499439519</c:v>
                </c:pt>
                <c:pt idx="11">
                  <c:v>94792.496636698343</c:v>
                </c:pt>
                <c:pt idx="12">
                  <c:v>93228.890888813738</c:v>
                </c:pt>
                <c:pt idx="13">
                  <c:v>97317.60165627471</c:v>
                </c:pt>
                <c:pt idx="14">
                  <c:v>99421.890219956156</c:v>
                </c:pt>
                <c:pt idx="15">
                  <c:v>99417.54468084118</c:v>
                </c:pt>
                <c:pt idx="16">
                  <c:v>95631.964371585796</c:v>
                </c:pt>
                <c:pt idx="17">
                  <c:v>87723.124773471602</c:v>
                </c:pt>
                <c:pt idx="18">
                  <c:v>87842.392871506978</c:v>
                </c:pt>
                <c:pt idx="19">
                  <c:v>83504.088435737096</c:v>
                </c:pt>
                <c:pt idx="20">
                  <c:v>80770.325063504337</c:v>
                </c:pt>
                <c:pt idx="21">
                  <c:v>78638.70163399943</c:v>
                </c:pt>
                <c:pt idx="22">
                  <c:v>76099.872174928634</c:v>
                </c:pt>
                <c:pt idx="23">
                  <c:v>72227.061642793618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CD2-8750-E2048D5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43424"/>
        <c:axId val="374142464"/>
      </c:lineChart>
      <c:catAx>
        <c:axId val="3741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2464"/>
        <c:crosses val="autoZero"/>
        <c:auto val="1"/>
        <c:lblAlgn val="ctr"/>
        <c:lblOffset val="100"/>
        <c:noMultiLvlLbl val="0"/>
      </c:catAx>
      <c:valAx>
        <c:axId val="37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70C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39708.626292735535</c:v>
                </c:pt>
                <c:pt idx="1">
                  <c:v>36305.101906268304</c:v>
                </c:pt>
                <c:pt idx="2">
                  <c:v>33785.791761291541</c:v>
                </c:pt>
                <c:pt idx="3">
                  <c:v>32203.014155247729</c:v>
                </c:pt>
                <c:pt idx="4">
                  <c:v>32084.112914798228</c:v>
                </c:pt>
                <c:pt idx="5">
                  <c:v>24612.056490442214</c:v>
                </c:pt>
                <c:pt idx="6">
                  <c:v>26753.900714865747</c:v>
                </c:pt>
                <c:pt idx="7">
                  <c:v>32093.501524211861</c:v>
                </c:pt>
                <c:pt idx="8">
                  <c:v>35956.48878893994</c:v>
                </c:pt>
                <c:pt idx="9">
                  <c:v>43850.50914902876</c:v>
                </c:pt>
                <c:pt idx="10">
                  <c:v>49749.97499439519</c:v>
                </c:pt>
                <c:pt idx="11">
                  <c:v>52292.496636698343</c:v>
                </c:pt>
                <c:pt idx="12">
                  <c:v>50728.890888813738</c:v>
                </c:pt>
                <c:pt idx="13">
                  <c:v>44817.60165627471</c:v>
                </c:pt>
                <c:pt idx="14">
                  <c:v>46921.890219956156</c:v>
                </c:pt>
                <c:pt idx="15">
                  <c:v>46917.54468084118</c:v>
                </c:pt>
                <c:pt idx="16">
                  <c:v>20631.964371585796</c:v>
                </c:pt>
                <c:pt idx="17">
                  <c:v>12723.124773471602</c:v>
                </c:pt>
                <c:pt idx="18">
                  <c:v>12842.392871506978</c:v>
                </c:pt>
                <c:pt idx="19">
                  <c:v>8504.088435737096</c:v>
                </c:pt>
                <c:pt idx="20">
                  <c:v>5770.3250635043369</c:v>
                </c:pt>
                <c:pt idx="21">
                  <c:v>3638.7016339994298</c:v>
                </c:pt>
                <c:pt idx="22">
                  <c:v>23599.872174928634</c:v>
                </c:pt>
                <c:pt idx="23">
                  <c:v>29727.061642793618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"/>
        <c:axId val="312882176"/>
        <c:axId val="312888896"/>
      </c:barChart>
      <c:lineChart>
        <c:grouping val="standard"/>
        <c:varyColors val="0"/>
        <c:ser>
          <c:idx val="0"/>
          <c:order val="0"/>
          <c:tx>
            <c:strRef>
              <c:f>'6. DAP Report'!$M$10</c:f>
              <c:strCache>
                <c:ptCount val="1"/>
                <c:pt idx="0">
                  <c:v>SCPC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Report'!$M$11:$M$34</c:f>
              <c:numCache>
                <c:formatCode>#,##0.0000_);\(#,##0.0000\)</c:formatCode>
                <c:ptCount val="24"/>
                <c:pt idx="0">
                  <c:v>4.8988272734992879</c:v>
                </c:pt>
                <c:pt idx="1">
                  <c:v>4.8988272734992879</c:v>
                </c:pt>
                <c:pt idx="2">
                  <c:v>4.8988272734992879</c:v>
                </c:pt>
                <c:pt idx="3">
                  <c:v>4.8988272734992879</c:v>
                </c:pt>
                <c:pt idx="4">
                  <c:v>4.8988272734992879</c:v>
                </c:pt>
                <c:pt idx="5">
                  <c:v>4.8988272734992879</c:v>
                </c:pt>
                <c:pt idx="6">
                  <c:v>4.8988272734992879</c:v>
                </c:pt>
                <c:pt idx="7">
                  <c:v>4.8988272734992879</c:v>
                </c:pt>
                <c:pt idx="8">
                  <c:v>4.8988272734992879</c:v>
                </c:pt>
                <c:pt idx="9">
                  <c:v>4.8988272734992879</c:v>
                </c:pt>
                <c:pt idx="10">
                  <c:v>4.8988272734992879</c:v>
                </c:pt>
                <c:pt idx="11">
                  <c:v>4.8988272734992879</c:v>
                </c:pt>
                <c:pt idx="12">
                  <c:v>4.8988272734992879</c:v>
                </c:pt>
                <c:pt idx="13">
                  <c:v>4.8988272734992879</c:v>
                </c:pt>
                <c:pt idx="14">
                  <c:v>4.8988272734992879</c:v>
                </c:pt>
                <c:pt idx="15">
                  <c:v>4.8988272734992879</c:v>
                </c:pt>
                <c:pt idx="16">
                  <c:v>4.8988272734992879</c:v>
                </c:pt>
                <c:pt idx="17">
                  <c:v>4.8988272734992879</c:v>
                </c:pt>
                <c:pt idx="18">
                  <c:v>4.8988272734992879</c:v>
                </c:pt>
                <c:pt idx="19">
                  <c:v>4.8988272734992879</c:v>
                </c:pt>
                <c:pt idx="20">
                  <c:v>4.8988272734992879</c:v>
                </c:pt>
                <c:pt idx="21">
                  <c:v>4.8988272734992879</c:v>
                </c:pt>
                <c:pt idx="22">
                  <c:v>4.8988272734992879</c:v>
                </c:pt>
                <c:pt idx="23">
                  <c:v>4.8988272734992879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4-45B7-85E5-6E30C04A8BB7}"/>
            </c:ext>
          </c:extLst>
        </c:ser>
        <c:ser>
          <c:idx val="1"/>
          <c:order val="1"/>
          <c:tx>
            <c:strRef>
              <c:f>'6. DAP Report'!$N$10</c:f>
              <c:strCache>
                <c:ptCount val="1"/>
                <c:pt idx="0">
                  <c:v>KSPC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Report'!$N$11:$N$34</c:f>
              <c:numCache>
                <c:formatCode>#,##0.0000_);\(#,##0.0000\)</c:formatCode>
                <c:ptCount val="24"/>
                <c:pt idx="0">
                  <c:v>4.9301699122161846</c:v>
                </c:pt>
                <c:pt idx="1">
                  <c:v>4.9301699122161846</c:v>
                </c:pt>
                <c:pt idx="2">
                  <c:v>4.9301699122161846</c:v>
                </c:pt>
                <c:pt idx="3">
                  <c:v>4.9301699122161846</c:v>
                </c:pt>
                <c:pt idx="4">
                  <c:v>4.9301699122161846</c:v>
                </c:pt>
                <c:pt idx="5">
                  <c:v>4.9301699122161846</c:v>
                </c:pt>
                <c:pt idx="6">
                  <c:v>4.9301699122161846</c:v>
                </c:pt>
                <c:pt idx="7">
                  <c:v>4.9301699122161846</c:v>
                </c:pt>
                <c:pt idx="8">
                  <c:v>4.9301699122161846</c:v>
                </c:pt>
                <c:pt idx="9">
                  <c:v>4.9301699122161846</c:v>
                </c:pt>
                <c:pt idx="10">
                  <c:v>4.9301699122161846</c:v>
                </c:pt>
                <c:pt idx="11">
                  <c:v>4.9301699122161846</c:v>
                </c:pt>
                <c:pt idx="12">
                  <c:v>4.9301699122161846</c:v>
                </c:pt>
                <c:pt idx="13">
                  <c:v>4.9301699122161846</c:v>
                </c:pt>
                <c:pt idx="14">
                  <c:v>4.9301699122161846</c:v>
                </c:pt>
                <c:pt idx="15">
                  <c:v>4.9301699122161846</c:v>
                </c:pt>
                <c:pt idx="16">
                  <c:v>4.9301699122161846</c:v>
                </c:pt>
                <c:pt idx="17">
                  <c:v>4.9301699122161846</c:v>
                </c:pt>
                <c:pt idx="18">
                  <c:v>4.9301699122161846</c:v>
                </c:pt>
                <c:pt idx="19">
                  <c:v>4.9301699122161846</c:v>
                </c:pt>
                <c:pt idx="20">
                  <c:v>4.9301699122161846</c:v>
                </c:pt>
                <c:pt idx="21">
                  <c:v>4.9301699122161846</c:v>
                </c:pt>
                <c:pt idx="22">
                  <c:v>4.9301699122161846</c:v>
                </c:pt>
                <c:pt idx="23">
                  <c:v>4.9301699122161846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4-45B7-85E5-6E30C04A8BB7}"/>
            </c:ext>
          </c:extLst>
        </c:ser>
        <c:ser>
          <c:idx val="2"/>
          <c:order val="2"/>
          <c:tx>
            <c:strRef>
              <c:f>'6. DAP Report'!$O$10</c:f>
              <c:strCache>
                <c:ptCount val="1"/>
                <c:pt idx="0">
                  <c:v>EDC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Report'!$O$11:$O$34</c:f>
              <c:numCache>
                <c:formatCode>#,##0.0000_);\(#,##0.0000\)</c:formatCode>
                <c:ptCount val="24"/>
                <c:pt idx="0">
                  <c:v>6.1814</c:v>
                </c:pt>
                <c:pt idx="1">
                  <c:v>6.1814</c:v>
                </c:pt>
                <c:pt idx="2">
                  <c:v>6.1814</c:v>
                </c:pt>
                <c:pt idx="3">
                  <c:v>6.1814</c:v>
                </c:pt>
                <c:pt idx="4">
                  <c:v>6.1814</c:v>
                </c:pt>
                <c:pt idx="5">
                  <c:v>6.1814</c:v>
                </c:pt>
                <c:pt idx="6">
                  <c:v>6.1814</c:v>
                </c:pt>
                <c:pt idx="7">
                  <c:v>6.1814</c:v>
                </c:pt>
                <c:pt idx="8">
                  <c:v>6.1814</c:v>
                </c:pt>
                <c:pt idx="9">
                  <c:v>6.1814</c:v>
                </c:pt>
                <c:pt idx="10">
                  <c:v>6.1814</c:v>
                </c:pt>
                <c:pt idx="11">
                  <c:v>6.1814</c:v>
                </c:pt>
                <c:pt idx="12">
                  <c:v>6.1814</c:v>
                </c:pt>
                <c:pt idx="13">
                  <c:v>6.1814</c:v>
                </c:pt>
                <c:pt idx="14">
                  <c:v>6.1814</c:v>
                </c:pt>
                <c:pt idx="15">
                  <c:v>6.1814</c:v>
                </c:pt>
                <c:pt idx="16">
                  <c:v>6.1814</c:v>
                </c:pt>
                <c:pt idx="17">
                  <c:v>6.1814</c:v>
                </c:pt>
                <c:pt idx="18">
                  <c:v>6.1814</c:v>
                </c:pt>
                <c:pt idx="19">
                  <c:v>6.1814</c:v>
                </c:pt>
                <c:pt idx="20">
                  <c:v>6.1814</c:v>
                </c:pt>
                <c:pt idx="21">
                  <c:v>6.1814</c:v>
                </c:pt>
                <c:pt idx="22">
                  <c:v>6.1814</c:v>
                </c:pt>
                <c:pt idx="23">
                  <c:v>6.1814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4-45B7-85E5-6E30C04A8BB7}"/>
            </c:ext>
          </c:extLst>
        </c:ser>
        <c:ser>
          <c:idx val="3"/>
          <c:order val="3"/>
          <c:tx>
            <c:strRef>
              <c:f>'6. DAP Report'!$P$10</c:f>
              <c:strCache>
                <c:ptCount val="1"/>
                <c:pt idx="0">
                  <c:v>PEDC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Report'!$P$11:$P$34</c:f>
              <c:numCache>
                <c:formatCode>#,##0.0000_);\(#,##0.0000\)</c:formatCode>
                <c:ptCount val="24"/>
                <c:pt idx="0">
                  <c:v>5.7783174591513138</c:v>
                </c:pt>
                <c:pt idx="1">
                  <c:v>5.7783174591513138</c:v>
                </c:pt>
                <c:pt idx="2">
                  <c:v>5.7783174591513138</c:v>
                </c:pt>
                <c:pt idx="3">
                  <c:v>5.7783174591513138</c:v>
                </c:pt>
                <c:pt idx="4">
                  <c:v>5.7783174591513138</c:v>
                </c:pt>
                <c:pt idx="5">
                  <c:v>5.7783174591513138</c:v>
                </c:pt>
                <c:pt idx="6">
                  <c:v>5.7783174591513138</c:v>
                </c:pt>
                <c:pt idx="7">
                  <c:v>5.7783174591513138</c:v>
                </c:pt>
                <c:pt idx="8">
                  <c:v>5.7783174591513138</c:v>
                </c:pt>
                <c:pt idx="9">
                  <c:v>5.7783174591513138</c:v>
                </c:pt>
                <c:pt idx="10">
                  <c:v>5.7783174591513138</c:v>
                </c:pt>
                <c:pt idx="11">
                  <c:v>5.7783174591513138</c:v>
                </c:pt>
                <c:pt idx="12">
                  <c:v>5.7783174591513138</c:v>
                </c:pt>
                <c:pt idx="13">
                  <c:v>5.7783174591513138</c:v>
                </c:pt>
                <c:pt idx="14">
                  <c:v>5.7783174591513138</c:v>
                </c:pt>
                <c:pt idx="15">
                  <c:v>5.7783174591513138</c:v>
                </c:pt>
                <c:pt idx="16">
                  <c:v>5.7783174591513138</c:v>
                </c:pt>
                <c:pt idx="17">
                  <c:v>5.7783174591513138</c:v>
                </c:pt>
                <c:pt idx="18">
                  <c:v>5.7783174591513138</c:v>
                </c:pt>
                <c:pt idx="19">
                  <c:v>5.7783174591513138</c:v>
                </c:pt>
                <c:pt idx="20">
                  <c:v>5.7783174591513138</c:v>
                </c:pt>
                <c:pt idx="21">
                  <c:v>5.7783174591513138</c:v>
                </c:pt>
                <c:pt idx="22">
                  <c:v>5.7783174591513138</c:v>
                </c:pt>
                <c:pt idx="23">
                  <c:v>5.7783174591513138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4-45B7-85E5-6E30C04A8BB7}"/>
            </c:ext>
          </c:extLst>
        </c:ser>
        <c:ser>
          <c:idx val="4"/>
          <c:order val="4"/>
          <c:tx>
            <c:strRef>
              <c:f>'6. DAP Report'!$R$9:$R$10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2.8307857319047622</c:v>
                </c:pt>
                <c:pt idx="1">
                  <c:v>2.1515253821428573</c:v>
                </c:pt>
                <c:pt idx="2">
                  <c:v>1.0881953983333335</c:v>
                </c:pt>
                <c:pt idx="3">
                  <c:v>1.1612468554761903</c:v>
                </c:pt>
                <c:pt idx="4">
                  <c:v>2.2224229392857144</c:v>
                </c:pt>
                <c:pt idx="5">
                  <c:v>2.7972217783333337</c:v>
                </c:pt>
                <c:pt idx="6">
                  <c:v>2.8223892276190474</c:v>
                </c:pt>
                <c:pt idx="7">
                  <c:v>2.4495059886666666</c:v>
                </c:pt>
                <c:pt idx="8">
                  <c:v>3.1170035086666665</c:v>
                </c:pt>
                <c:pt idx="9">
                  <c:v>2.9711063429999998</c:v>
                </c:pt>
                <c:pt idx="10">
                  <c:v>3.0793276533333334</c:v>
                </c:pt>
                <c:pt idx="11">
                  <c:v>2.7918443083333337</c:v>
                </c:pt>
                <c:pt idx="12">
                  <c:v>2.9954505513333332</c:v>
                </c:pt>
                <c:pt idx="13">
                  <c:v>3.5249936367272725</c:v>
                </c:pt>
                <c:pt idx="14">
                  <c:v>3.3787969903333339</c:v>
                </c:pt>
                <c:pt idx="15">
                  <c:v>3.361733596333333</c:v>
                </c:pt>
                <c:pt idx="16">
                  <c:v>4.2792219193333336</c:v>
                </c:pt>
                <c:pt idx="17">
                  <c:v>7.6612190760000001</c:v>
                </c:pt>
                <c:pt idx="18">
                  <c:v>4.0099177849999998</c:v>
                </c:pt>
                <c:pt idx="19">
                  <c:v>3.6375795923333336</c:v>
                </c:pt>
                <c:pt idx="20">
                  <c:v>3.6266923579999997</c:v>
                </c:pt>
                <c:pt idx="21">
                  <c:v>3.4167050713333333</c:v>
                </c:pt>
                <c:pt idx="22">
                  <c:v>3.3535632563333331</c:v>
                </c:pt>
                <c:pt idx="23">
                  <c:v>3.0389962330000002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888"/>
        <c:axId val="387512048"/>
      </c:lineChart>
      <c:catAx>
        <c:axId val="387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2048"/>
        <c:crosses val="autoZero"/>
        <c:auto val="1"/>
        <c:lblAlgn val="ctr"/>
        <c:lblOffset val="100"/>
        <c:noMultiLvlLbl val="0"/>
      </c:catAx>
      <c:valAx>
        <c:axId val="387512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5888"/>
        <c:crosses val="autoZero"/>
        <c:crossBetween val="between"/>
      </c:valAx>
      <c:valAx>
        <c:axId val="312888896"/>
        <c:scaling>
          <c:orientation val="minMax"/>
          <c:max val="80000"/>
          <c:min val="-75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2176"/>
        <c:crosses val="max"/>
        <c:crossBetween val="between"/>
      </c:valAx>
      <c:catAx>
        <c:axId val="31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vs. EOD</a:t>
            </a:r>
          </a:p>
          <a:p>
            <a:pPr>
              <a:defRPr/>
            </a:pPr>
            <a:r>
              <a:rPr lang="en-PH" sz="1050" b="0"/>
              <a:t>Captive Energy,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Report'!$F$11:$F$34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188-9EA4-E39669D86883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62208.626292735535</c:v>
                </c:pt>
                <c:pt idx="1">
                  <c:v>58805.101906268304</c:v>
                </c:pt>
                <c:pt idx="2">
                  <c:v>56285.791761291541</c:v>
                </c:pt>
                <c:pt idx="3">
                  <c:v>54703.014155247729</c:v>
                </c:pt>
                <c:pt idx="4">
                  <c:v>54584.112914798228</c:v>
                </c:pt>
                <c:pt idx="5">
                  <c:v>57112.056490442214</c:v>
                </c:pt>
                <c:pt idx="6">
                  <c:v>59253.900714865747</c:v>
                </c:pt>
                <c:pt idx="7">
                  <c:v>64593.501524211861</c:v>
                </c:pt>
                <c:pt idx="8">
                  <c:v>78456.48878893994</c:v>
                </c:pt>
                <c:pt idx="9">
                  <c:v>86350.50914902876</c:v>
                </c:pt>
                <c:pt idx="10">
                  <c:v>92249.97499439519</c:v>
                </c:pt>
                <c:pt idx="11">
                  <c:v>94792.496636698343</c:v>
                </c:pt>
                <c:pt idx="12">
                  <c:v>93228.890888813738</c:v>
                </c:pt>
                <c:pt idx="13">
                  <c:v>97317.60165627471</c:v>
                </c:pt>
                <c:pt idx="14">
                  <c:v>99421.890219956156</c:v>
                </c:pt>
                <c:pt idx="15">
                  <c:v>99417.54468084118</c:v>
                </c:pt>
                <c:pt idx="16">
                  <c:v>95631.964371585796</c:v>
                </c:pt>
                <c:pt idx="17">
                  <c:v>87723.124773471602</c:v>
                </c:pt>
                <c:pt idx="18">
                  <c:v>87842.392871506978</c:v>
                </c:pt>
                <c:pt idx="19">
                  <c:v>83504.088435737096</c:v>
                </c:pt>
                <c:pt idx="20">
                  <c:v>80770.325063504337</c:v>
                </c:pt>
                <c:pt idx="21">
                  <c:v>78638.70163399943</c:v>
                </c:pt>
                <c:pt idx="22">
                  <c:v>76099.872174928634</c:v>
                </c:pt>
                <c:pt idx="23">
                  <c:v>72227.061642793618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188-9EA4-E39669D8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</a:t>
            </a:r>
          </a:p>
          <a:p>
            <a:pPr>
              <a:defRPr/>
            </a:pPr>
            <a:r>
              <a:rPr lang="en-PH" sz="1050" b="0"/>
              <a:t>WESM Exposure, KWH</a:t>
            </a:r>
          </a:p>
        </c:rich>
      </c:tx>
      <c:layout>
        <c:manualLayout>
          <c:xMode val="edge"/>
          <c:yMode val="edge"/>
          <c:x val="0.39131786663422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'7. EOD Report'!$L$11:$L$34</c:f>
              <c:numCache>
                <c:formatCode>_-* #,##0_-;\-* #,##0_-;_-* "-"??_-;_-@_-</c:formatCode>
                <c:ptCount val="24"/>
                <c:pt idx="0">
                  <c:v>-22500</c:v>
                </c:pt>
                <c:pt idx="1">
                  <c:v>-22500</c:v>
                </c:pt>
                <c:pt idx="2">
                  <c:v>-22500</c:v>
                </c:pt>
                <c:pt idx="3">
                  <c:v>-22500</c:v>
                </c:pt>
                <c:pt idx="4">
                  <c:v>-22500</c:v>
                </c:pt>
                <c:pt idx="5">
                  <c:v>-32500</c:v>
                </c:pt>
                <c:pt idx="6">
                  <c:v>-32500</c:v>
                </c:pt>
                <c:pt idx="7">
                  <c:v>-32500</c:v>
                </c:pt>
                <c:pt idx="8">
                  <c:v>-42500</c:v>
                </c:pt>
                <c:pt idx="9">
                  <c:v>-42500</c:v>
                </c:pt>
                <c:pt idx="10">
                  <c:v>-42500</c:v>
                </c:pt>
                <c:pt idx="11">
                  <c:v>-42500</c:v>
                </c:pt>
                <c:pt idx="12">
                  <c:v>-42500</c:v>
                </c:pt>
                <c:pt idx="13">
                  <c:v>-52500</c:v>
                </c:pt>
                <c:pt idx="14">
                  <c:v>-52500</c:v>
                </c:pt>
                <c:pt idx="15">
                  <c:v>-52500</c:v>
                </c:pt>
                <c:pt idx="16">
                  <c:v>-75000</c:v>
                </c:pt>
                <c:pt idx="17">
                  <c:v>-75000</c:v>
                </c:pt>
                <c:pt idx="18">
                  <c:v>-75000</c:v>
                </c:pt>
                <c:pt idx="19">
                  <c:v>-75000</c:v>
                </c:pt>
                <c:pt idx="20">
                  <c:v>-75000</c:v>
                </c:pt>
                <c:pt idx="21">
                  <c:v>-75000</c:v>
                </c:pt>
                <c:pt idx="22">
                  <c:v>-52500</c:v>
                </c:pt>
                <c:pt idx="23">
                  <c:v>-42500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87B-9385-E11D51327678}"/>
            </c:ext>
          </c:extLst>
        </c:ser>
        <c:ser>
          <c:idx val="1"/>
          <c:order val="1"/>
          <c:tx>
            <c:v>DAP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39708.626292735535</c:v>
                </c:pt>
                <c:pt idx="1">
                  <c:v>36305.101906268304</c:v>
                </c:pt>
                <c:pt idx="2">
                  <c:v>33785.791761291541</c:v>
                </c:pt>
                <c:pt idx="3">
                  <c:v>32203.014155247729</c:v>
                </c:pt>
                <c:pt idx="4">
                  <c:v>32084.112914798228</c:v>
                </c:pt>
                <c:pt idx="5">
                  <c:v>24612.056490442214</c:v>
                </c:pt>
                <c:pt idx="6">
                  <c:v>26753.900714865747</c:v>
                </c:pt>
                <c:pt idx="7">
                  <c:v>32093.501524211861</c:v>
                </c:pt>
                <c:pt idx="8">
                  <c:v>35956.48878893994</c:v>
                </c:pt>
                <c:pt idx="9">
                  <c:v>43850.50914902876</c:v>
                </c:pt>
                <c:pt idx="10">
                  <c:v>49749.97499439519</c:v>
                </c:pt>
                <c:pt idx="11">
                  <c:v>52292.496636698343</c:v>
                </c:pt>
                <c:pt idx="12">
                  <c:v>50728.890888813738</c:v>
                </c:pt>
                <c:pt idx="13">
                  <c:v>44817.60165627471</c:v>
                </c:pt>
                <c:pt idx="14">
                  <c:v>46921.890219956156</c:v>
                </c:pt>
                <c:pt idx="15">
                  <c:v>46917.54468084118</c:v>
                </c:pt>
                <c:pt idx="16">
                  <c:v>20631.964371585796</c:v>
                </c:pt>
                <c:pt idx="17">
                  <c:v>12723.124773471602</c:v>
                </c:pt>
                <c:pt idx="18">
                  <c:v>12842.392871506978</c:v>
                </c:pt>
                <c:pt idx="19">
                  <c:v>8504.088435737096</c:v>
                </c:pt>
                <c:pt idx="20">
                  <c:v>5770.3250635043369</c:v>
                </c:pt>
                <c:pt idx="21">
                  <c:v>3638.7016339994298</c:v>
                </c:pt>
                <c:pt idx="22">
                  <c:v>23599.872174928634</c:v>
                </c:pt>
                <c:pt idx="23">
                  <c:v>29727.061642793618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87B-9385-E11D513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42"/>
        <c:axId val="2005973024"/>
        <c:axId val="2005974464"/>
      </c:bar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</a:t>
            </a:r>
            <a:r>
              <a:rPr lang="en-PH" baseline="0"/>
              <a:t> vs EOD</a:t>
            </a:r>
          </a:p>
          <a:p>
            <a:pPr>
              <a:defRPr/>
            </a:pPr>
            <a:r>
              <a:rPr lang="en-PH" sz="1100" b="0"/>
              <a:t>WESM Prices, PHP/KWH</a:t>
            </a:r>
          </a:p>
        </c:rich>
      </c:tx>
      <c:layout>
        <c:manualLayout>
          <c:xMode val="edge"/>
          <c:yMode val="edge"/>
          <c:x val="0.40195688686222181"/>
          <c:y val="4.56423258898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Report'!$R$11:$R$34</c:f>
              <c:numCache>
                <c:formatCode>#,##0.0000_);\(#,##0.0000\)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6D9-8168-19CBA3419547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2.8307857319047622</c:v>
                </c:pt>
                <c:pt idx="1">
                  <c:v>2.1515253821428573</c:v>
                </c:pt>
                <c:pt idx="2">
                  <c:v>1.0881953983333335</c:v>
                </c:pt>
                <c:pt idx="3">
                  <c:v>1.1612468554761903</c:v>
                </c:pt>
                <c:pt idx="4">
                  <c:v>2.2224229392857144</c:v>
                </c:pt>
                <c:pt idx="5">
                  <c:v>2.7972217783333337</c:v>
                </c:pt>
                <c:pt idx="6">
                  <c:v>2.8223892276190474</c:v>
                </c:pt>
                <c:pt idx="7">
                  <c:v>2.4495059886666666</c:v>
                </c:pt>
                <c:pt idx="8">
                  <c:v>3.1170035086666665</c:v>
                </c:pt>
                <c:pt idx="9">
                  <c:v>2.9711063429999998</c:v>
                </c:pt>
                <c:pt idx="10">
                  <c:v>3.0793276533333334</c:v>
                </c:pt>
                <c:pt idx="11">
                  <c:v>2.7918443083333337</c:v>
                </c:pt>
                <c:pt idx="12">
                  <c:v>2.9954505513333332</c:v>
                </c:pt>
                <c:pt idx="13">
                  <c:v>3.5249936367272725</c:v>
                </c:pt>
                <c:pt idx="14">
                  <c:v>3.3787969903333339</c:v>
                </c:pt>
                <c:pt idx="15">
                  <c:v>3.361733596333333</c:v>
                </c:pt>
                <c:pt idx="16">
                  <c:v>4.2792219193333336</c:v>
                </c:pt>
                <c:pt idx="17">
                  <c:v>7.6612190760000001</c:v>
                </c:pt>
                <c:pt idx="18">
                  <c:v>4.0099177849999998</c:v>
                </c:pt>
                <c:pt idx="19">
                  <c:v>3.6375795923333336</c:v>
                </c:pt>
                <c:pt idx="20">
                  <c:v>3.6266923579999997</c:v>
                </c:pt>
                <c:pt idx="21">
                  <c:v>3.4167050713333333</c:v>
                </c:pt>
                <c:pt idx="22">
                  <c:v>3.3535632563333331</c:v>
                </c:pt>
                <c:pt idx="23">
                  <c:v>3.0389962330000002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6D9-8168-19CBA3419547}"/>
            </c:ext>
          </c:extLst>
        </c:ser>
        <c:ser>
          <c:idx val="2"/>
          <c:order val="2"/>
          <c:tx>
            <c:strRef>
              <c:f>'7. EOD Report'!$S$10</c:f>
              <c:strCache>
                <c:ptCount val="1"/>
                <c:pt idx="0">
                  <c:v>BCQ Variable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Report'!$S$11:$S$34</c:f>
              <c:numCache>
                <c:formatCode>#,##0.0000_);\(#,##0.0000\)</c:formatCode>
                <c:ptCount val="24"/>
                <c:pt idx="0">
                  <c:v>3.293039964610883</c:v>
                </c:pt>
                <c:pt idx="1">
                  <c:v>3.293039964610883</c:v>
                </c:pt>
                <c:pt idx="2">
                  <c:v>3.293039964610883</c:v>
                </c:pt>
                <c:pt idx="3">
                  <c:v>3.293039964610883</c:v>
                </c:pt>
                <c:pt idx="4">
                  <c:v>3.293039964610883</c:v>
                </c:pt>
                <c:pt idx="5">
                  <c:v>4.1817661293459958</c:v>
                </c:pt>
                <c:pt idx="6">
                  <c:v>4.1817661293459958</c:v>
                </c:pt>
                <c:pt idx="7">
                  <c:v>4.1817661293459958</c:v>
                </c:pt>
                <c:pt idx="8">
                  <c:v>4.6522682165587028</c:v>
                </c:pt>
                <c:pt idx="9">
                  <c:v>4.6522682165587028</c:v>
                </c:pt>
                <c:pt idx="10">
                  <c:v>4.6522682165587028</c:v>
                </c:pt>
                <c:pt idx="11">
                  <c:v>4.6522682165587028</c:v>
                </c:pt>
                <c:pt idx="12">
                  <c:v>4.6522682165587028</c:v>
                </c:pt>
                <c:pt idx="13">
                  <c:v>4.4271156913382477</c:v>
                </c:pt>
                <c:pt idx="14">
                  <c:v>4.4271156913382477</c:v>
                </c:pt>
                <c:pt idx="15">
                  <c:v>4.4271156913382477</c:v>
                </c:pt>
                <c:pt idx="16">
                  <c:v>4.0868929733200376</c:v>
                </c:pt>
                <c:pt idx="17">
                  <c:v>4.0868929733200376</c:v>
                </c:pt>
                <c:pt idx="18">
                  <c:v>4.0868929733200376</c:v>
                </c:pt>
                <c:pt idx="19">
                  <c:v>4.0868929733200376</c:v>
                </c:pt>
                <c:pt idx="20">
                  <c:v>4.0868929733200376</c:v>
                </c:pt>
                <c:pt idx="21">
                  <c:v>4.0868929733200376</c:v>
                </c:pt>
                <c:pt idx="22">
                  <c:v>4.4271156913382477</c:v>
                </c:pt>
                <c:pt idx="23">
                  <c:v>4.6522682165587028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E5F-8DA7-0457BA1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7746</xdr:colOff>
      <xdr:row>37</xdr:row>
      <xdr:rowOff>85725</xdr:rowOff>
    </xdr:from>
    <xdr:to>
      <xdr:col>6</xdr:col>
      <xdr:colOff>371475</xdr:colOff>
      <xdr:row>53</xdr:row>
      <xdr:rowOff>133350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AFCA1BB-DD67-4587-B009-8C00F93C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422853</xdr:colOff>
      <xdr:row>37</xdr:row>
      <xdr:rowOff>91580</xdr:rowOff>
    </xdr:from>
    <xdr:to>
      <xdr:col>11</xdr:col>
      <xdr:colOff>575253</xdr:colOff>
      <xdr:row>53</xdr:row>
      <xdr:rowOff>128443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F917D-8D69-467D-AE89-45EBCB7E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891310</xdr:colOff>
      <xdr:row>37</xdr:row>
      <xdr:rowOff>86964</xdr:rowOff>
    </xdr:from>
    <xdr:to>
      <xdr:col>23</xdr:col>
      <xdr:colOff>14432</xdr:colOff>
      <xdr:row>53</xdr:row>
      <xdr:rowOff>142877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F0FDC-D6F9-4E8E-8AE7-E607AB4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663864</xdr:colOff>
      <xdr:row>37</xdr:row>
      <xdr:rowOff>86591</xdr:rowOff>
    </xdr:from>
    <xdr:to>
      <xdr:col>16</xdr:col>
      <xdr:colOff>816264</xdr:colOff>
      <xdr:row>53</xdr:row>
      <xdr:rowOff>123454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C0DE-4A12-41AD-ADCA-B73BEFC5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99C79-C78E-4E98-8D58-397818F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71" y="0"/>
          <a:ext cx="3276282" cy="105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236855</xdr:colOff>
      <xdr:row>8</xdr:row>
      <xdr:rowOff>15240</xdr:rowOff>
    </xdr:from>
    <xdr:to>
      <xdr:col>38</xdr:col>
      <xdr:colOff>396875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8A1CB-EDC8-2438-714A-8687B1F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212090</xdr:colOff>
      <xdr:row>21</xdr:row>
      <xdr:rowOff>234949</xdr:rowOff>
    </xdr:from>
    <xdr:to>
      <xdr:col>38</xdr:col>
      <xdr:colOff>440690</xdr:colOff>
      <xdr:row>48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B5A97-F8DC-6E52-AAAF-0A7AE990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0.08491</cdr:x>
      <cdr:y>0.47503</cdr:y>
    </cdr:from>
    <cdr:to>
      <cdr:x>0.31068</cdr:x>
      <cdr:y>0.53368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7A1A6-DF88-B083-A717-3B0EFE2BC24E}"/>
            </a:ext>
          </a:extLst>
        </cdr:cNvPr>
        <cdr:cNvSpPr txBox="1"/>
      </cdr:nvSpPr>
      <cdr:spPr>
        <a:xfrm xmlns:a="http://schemas.openxmlformats.org/drawingml/2006/main">
          <a:off x="783695" y="2862571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WESM PURCHASE/(SOLD)</a:t>
          </a:r>
        </a:p>
      </cdr:txBody>
    </cdr:sp>
  </cdr:relSizeAnchor>
  <cdr:relSizeAnchor xmlns:cdr="http://schemas.openxmlformats.org/drawingml/2006/chartDrawing">
    <cdr:from>
      <cdr:x>0.07525</cdr:x>
      <cdr:y>0.67499</cdr:y>
    </cdr:from>
    <cdr:to>
      <cdr:x>0.30102</cdr:x>
      <cdr:y>0.73364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C3A7C86-5B9B-F507-6707-159333BD707C}"/>
            </a:ext>
          </a:extLst>
        </cdr:cNvPr>
        <cdr:cNvSpPr txBox="1"/>
      </cdr:nvSpPr>
      <cdr:spPr>
        <a:xfrm xmlns:a="http://schemas.openxmlformats.org/drawingml/2006/main">
          <a:off x="694536" y="4067488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ELECTRICITY RATE, PHP/KWH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58586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21B26-F1C4-4C02-9F26-A319AD3F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03" y="0"/>
          <a:ext cx="3292530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1258</xdr:colOff>
      <xdr:row>8</xdr:row>
      <xdr:rowOff>0</xdr:rowOff>
    </xdr:from>
    <xdr:to>
      <xdr:col>36</xdr:col>
      <xdr:colOff>11906</xdr:colOff>
      <xdr:row>17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1340B-8969-4866-A40B-7D007F29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2380</xdr:colOff>
      <xdr:row>17</xdr:row>
      <xdr:rowOff>59531</xdr:rowOff>
    </xdr:from>
    <xdr:to>
      <xdr:col>36</xdr:col>
      <xdr:colOff>0</xdr:colOff>
      <xdr:row>29</xdr:row>
      <xdr:rowOff>70401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</xdr:colOff>
      <xdr:row>29</xdr:row>
      <xdr:rowOff>115252</xdr:rowOff>
    </xdr:from>
    <xdr:to>
      <xdr:col>36</xdr:col>
      <xdr:colOff>11905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C093C-008A-45CD-98A5-9273B2085044}"/>
            </a:ext>
            <a:ext uri="{147F2762-F138-4A5C-976F-8EAC2B608ADB}">
              <a16:predDERef xmlns:a16="http://schemas.microsoft.com/office/drawing/2014/main" pre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0.09385</cdr:x>
      <cdr:y>0.12511</cdr:y>
    </cdr:from>
    <cdr:to>
      <cdr:x>0.32587</cdr:x>
      <cdr:y>0.28015</cdr:y>
    </cdr:to>
    <cdr:sp macro="" textlink="'7. EOD Report'!$AA$3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AEB43-524A-56CA-BA68-79E77F971525}"/>
            </a:ext>
          </a:extLst>
        </cdr:cNvPr>
        <cdr:cNvSpPr txBox="1"/>
      </cdr:nvSpPr>
      <cdr:spPr>
        <a:xfrm xmlns:a="http://schemas.openxmlformats.org/drawingml/2006/main">
          <a:off x="668645" y="382403"/>
          <a:ext cx="1653074" cy="4738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C51053-38A7-4A72-BE83-E3EC3D31290E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EOD = 0.0000 P/kWh DAP = 4.9349 P/kWh</a:t>
          </a:fld>
          <a:endParaRPr lang="en-PH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31949-AFAF-4A89-A500-4EFAE94F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13" y="0"/>
          <a:ext cx="3382065" cy="10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4A28C-79D1-4D33-8094-A7B526AB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78" y="0"/>
          <a:ext cx="3302055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83343</xdr:colOff>
      <xdr:row>8</xdr:row>
      <xdr:rowOff>11906</xdr:rowOff>
    </xdr:from>
    <xdr:to>
      <xdr:col>34</xdr:col>
      <xdr:colOff>446483</xdr:colOff>
      <xdr:row>20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30EDA-0DE5-413A-9FA3-281998A7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20</xdr:row>
      <xdr:rowOff>142875</xdr:rowOff>
    </xdr:from>
    <xdr:to>
      <xdr:col>34</xdr:col>
      <xdr:colOff>434577</xdr:colOff>
      <xdr:row>34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A9CCE-F61B-4BF6-8D7A-A55A3F94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repowerph-my.sharepoint.com/personal/rbdorilag_morepower_ph/Documents/01_Energy%20Sourcing%20Files/03_Daily%20Reports/01_Day%20Ahead%20Projections/2025/001.%20January%202025/Supplier%20Rates%20for%20the%20Month_January%202025.xlsx" TargetMode="External"/><Relationship Id="rId1" Type="http://schemas.openxmlformats.org/officeDocument/2006/relationships/externalLinkPath" Target="Supplier%20Rates%20for%20the%20Month_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Supplier Rates for the Month_Ja"/>
    </sheetNames>
    <sheetDataSet>
      <sheetData sheetId="0">
        <row r="3">
          <cell r="C3">
            <v>20000</v>
          </cell>
          <cell r="D3">
            <v>5000</v>
          </cell>
          <cell r="E3">
            <v>10000</v>
          </cell>
          <cell r="F3">
            <v>10000</v>
          </cell>
          <cell r="G3">
            <v>20000</v>
          </cell>
          <cell r="H3">
            <v>10000</v>
          </cell>
        </row>
        <row r="4">
          <cell r="C4">
            <v>10000</v>
          </cell>
          <cell r="D4">
            <v>2500</v>
          </cell>
          <cell r="E4">
            <v>5000</v>
          </cell>
          <cell r="F4">
            <v>5000</v>
          </cell>
          <cell r="G4">
            <v>0</v>
          </cell>
          <cell r="H4">
            <v>0</v>
          </cell>
        </row>
        <row r="6">
          <cell r="C6">
            <v>1.1970000000000001</v>
          </cell>
          <cell r="D6">
            <v>1.1970000000000001</v>
          </cell>
          <cell r="E6">
            <v>0.51019999999999999</v>
          </cell>
          <cell r="F6">
            <v>0.5544</v>
          </cell>
          <cell r="H6">
            <v>1.623</v>
          </cell>
        </row>
        <row r="7">
          <cell r="C7">
            <v>0.41910447761194025</v>
          </cell>
          <cell r="D7">
            <v>0.41910447761194025</v>
          </cell>
          <cell r="E7">
            <v>1.0919334867008814</v>
          </cell>
          <cell r="F7">
            <v>1.0919334867008814</v>
          </cell>
          <cell r="H7">
            <v>0.68510000000000004</v>
          </cell>
        </row>
        <row r="8">
          <cell r="C8">
            <v>5.2329850746268655E-2</v>
          </cell>
          <cell r="D8">
            <v>5.2329850746268655E-2</v>
          </cell>
          <cell r="E8">
            <v>9.3731343283582083E-2</v>
          </cell>
          <cell r="F8">
            <v>9.3731343283582083E-2</v>
          </cell>
          <cell r="G8">
            <v>6.1814</v>
          </cell>
          <cell r="H8">
            <v>0.25550562448304381</v>
          </cell>
        </row>
        <row r="9">
          <cell r="C9">
            <v>3.2303929451410784</v>
          </cell>
          <cell r="D9">
            <v>3.2303929451410784</v>
          </cell>
          <cell r="E9">
            <v>3.2055663132317211</v>
          </cell>
          <cell r="F9">
            <v>3.2055663132317211</v>
          </cell>
          <cell r="H9">
            <v>3.2147118346682695</v>
          </cell>
        </row>
        <row r="12">
          <cell r="E12">
            <v>6.6387690000000001E-3</v>
          </cell>
          <cell r="F12">
            <v>6.6387690000000001E-3</v>
          </cell>
        </row>
        <row r="22">
          <cell r="C22">
            <v>0.12</v>
          </cell>
          <cell r="D22">
            <v>0.12</v>
          </cell>
          <cell r="E22">
            <v>0.12</v>
          </cell>
          <cell r="F22">
            <v>0.12</v>
          </cell>
          <cell r="G22">
            <v>0</v>
          </cell>
          <cell r="H22">
            <v>0.12</v>
          </cell>
          <cell r="J22">
            <v>8.4165685451444885E-2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P61"/>
  <sheetViews>
    <sheetView showGridLines="0" zoomScale="75" zoomScaleNormal="75" workbookViewId="0">
      <pane xSplit="7" ySplit="12" topLeftCell="H13" activePane="bottomRight" state="frozen"/>
      <selection pane="topRight" activeCell="H1" sqref="H1"/>
      <selection pane="bottomLeft" activeCell="A10" sqref="A10"/>
      <selection pane="bottomRight" activeCell="M1" sqref="M1"/>
    </sheetView>
  </sheetViews>
  <sheetFormatPr defaultColWidth="8.5546875" defaultRowHeight="14.4" x14ac:dyDescent="0.3"/>
  <cols>
    <col min="1" max="1" width="1.5546875" customWidth="1"/>
    <col min="2" max="2" width="9.5546875" customWidth="1"/>
    <col min="3" max="4" width="10.5546875" style="1" customWidth="1"/>
    <col min="5" max="5" width="12" style="1" customWidth="1"/>
    <col min="6" max="6" width="10.5546875" style="1" customWidth="1"/>
    <col min="7" max="15" width="11.44140625" style="1" customWidth="1"/>
    <col min="16" max="18" width="10.5546875" style="1" customWidth="1"/>
    <col min="19" max="24" width="11.5546875" style="1" customWidth="1"/>
    <col min="25" max="28" width="10.5546875" style="1" customWidth="1"/>
    <col min="29" max="29" width="1.5546875" style="1" customWidth="1"/>
    <col min="30" max="30" width="1.44140625" customWidth="1"/>
    <col min="31" max="36" width="12.44140625" style="1" customWidth="1"/>
    <col min="37" max="37" width="13.5546875" style="1" customWidth="1"/>
    <col min="38" max="38" width="12.5546875" style="1" customWidth="1"/>
    <col min="39" max="39" width="15.5546875" style="1" customWidth="1"/>
    <col min="40" max="40" width="1.44140625" customWidth="1"/>
    <col min="41" max="42" width="10.5546875" customWidth="1"/>
  </cols>
  <sheetData>
    <row r="1" spans="2:39" ht="26.1" customHeight="1" x14ac:dyDescent="0.5">
      <c r="B1" s="49" t="s">
        <v>0</v>
      </c>
      <c r="G1" s="143" t="s">
        <v>1</v>
      </c>
      <c r="H1" s="143"/>
      <c r="I1" s="143"/>
      <c r="J1" s="143"/>
      <c r="K1" s="143"/>
    </row>
    <row r="2" spans="2:39" ht="10.35" customHeight="1" x14ac:dyDescent="0.3"/>
    <row r="3" spans="2:39" ht="22.5" customHeight="1" x14ac:dyDescent="0.3">
      <c r="B3" s="47" t="s">
        <v>2</v>
      </c>
      <c r="G3" s="144" t="s">
        <v>3</v>
      </c>
      <c r="H3" s="144"/>
      <c r="I3" s="144"/>
      <c r="J3" s="45" t="e">
        <f>AM46</f>
        <v>#REF!</v>
      </c>
      <c r="L3" s="144" t="s">
        <v>4</v>
      </c>
      <c r="M3" s="144"/>
      <c r="N3" s="144"/>
      <c r="O3" s="45" t="e">
        <f>AM47</f>
        <v>#REF!</v>
      </c>
      <c r="Q3" s="144" t="s">
        <v>5</v>
      </c>
      <c r="R3" s="144"/>
      <c r="S3" s="144"/>
      <c r="T3" s="45" t="e">
        <f>AP48</f>
        <v>#REF!</v>
      </c>
    </row>
    <row r="4" spans="2:39" ht="6" customHeight="1" x14ac:dyDescent="0.45">
      <c r="B4" s="48"/>
      <c r="H4" s="2"/>
      <c r="I4" s="3"/>
      <c r="J4" s="4"/>
      <c r="L4" s="2"/>
      <c r="M4" s="5"/>
      <c r="N4" s="4"/>
      <c r="Q4" s="2"/>
      <c r="R4" s="6"/>
      <c r="Z4" s="2"/>
      <c r="AA4" s="6"/>
      <c r="AB4" s="6"/>
      <c r="AD4" s="1"/>
    </row>
    <row r="5" spans="2:39" ht="22.5" customHeight="1" x14ac:dyDescent="0.3">
      <c r="B5" s="47" t="s">
        <v>6</v>
      </c>
      <c r="G5" s="144" t="s">
        <v>3</v>
      </c>
      <c r="H5" s="144"/>
      <c r="I5" s="144"/>
      <c r="J5" s="45" t="e">
        <f>AM51</f>
        <v>#REF!</v>
      </c>
      <c r="L5" s="144" t="s">
        <v>4</v>
      </c>
      <c r="M5" s="144"/>
      <c r="N5" s="144"/>
      <c r="O5" s="45" t="e">
        <f>AM47</f>
        <v>#REF!</v>
      </c>
      <c r="Q5" s="144" t="s">
        <v>5</v>
      </c>
      <c r="R5" s="144"/>
      <c r="S5" s="144"/>
      <c r="T5" s="45" t="e">
        <f>AP53</f>
        <v>#REF!</v>
      </c>
    </row>
    <row r="6" spans="2:39" ht="8.1" customHeight="1" x14ac:dyDescent="0.3">
      <c r="B6" s="7"/>
      <c r="H6" s="2"/>
      <c r="I6" s="3"/>
      <c r="J6" s="4"/>
      <c r="L6" s="2"/>
      <c r="M6" s="5"/>
      <c r="N6" s="4"/>
      <c r="Q6" s="2"/>
      <c r="R6" s="6"/>
      <c r="Z6" s="2"/>
      <c r="AA6" s="6"/>
      <c r="AB6" s="6"/>
      <c r="AD6" s="1"/>
    </row>
    <row r="7" spans="2:39" ht="18" customHeight="1" x14ac:dyDescent="0.3"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E7" s="10" t="s">
        <v>8</v>
      </c>
      <c r="AF7" s="11"/>
      <c r="AG7" s="11"/>
      <c r="AH7" s="11"/>
      <c r="AI7" s="11"/>
      <c r="AJ7" s="11"/>
      <c r="AK7" s="11"/>
      <c r="AL7" s="11"/>
      <c r="AM7" s="11"/>
    </row>
    <row r="8" spans="2:39" s="12" customFormat="1" ht="17.850000000000001" customHeight="1" x14ac:dyDescent="0.3">
      <c r="B8" s="158" t="s">
        <v>9</v>
      </c>
      <c r="C8" s="150" t="s">
        <v>10</v>
      </c>
      <c r="D8" s="151"/>
      <c r="E8" s="152"/>
      <c r="F8" s="158" t="s">
        <v>11</v>
      </c>
      <c r="G8" s="162" t="s">
        <v>12</v>
      </c>
      <c r="H8" s="162"/>
      <c r="I8" s="162" t="s">
        <v>13</v>
      </c>
      <c r="J8" s="162"/>
      <c r="K8" s="162" t="s">
        <v>14</v>
      </c>
      <c r="L8" s="162"/>
      <c r="M8" s="160" t="s">
        <v>15</v>
      </c>
      <c r="N8" s="160" t="s">
        <v>16</v>
      </c>
      <c r="O8" s="160" t="s">
        <v>17</v>
      </c>
      <c r="P8" s="150" t="s">
        <v>18</v>
      </c>
      <c r="Q8" s="151"/>
      <c r="R8" s="152"/>
      <c r="S8" s="153" t="s">
        <v>19</v>
      </c>
      <c r="T8" s="154"/>
      <c r="U8" s="155"/>
      <c r="V8" s="153" t="s">
        <v>20</v>
      </c>
      <c r="W8" s="154"/>
      <c r="X8" s="155"/>
      <c r="Y8" s="145" t="s">
        <v>21</v>
      </c>
      <c r="Z8" s="146"/>
      <c r="AA8" s="147"/>
      <c r="AB8" s="148" t="s">
        <v>22</v>
      </c>
      <c r="AC8" s="1"/>
      <c r="AE8" s="158" t="s">
        <v>12</v>
      </c>
      <c r="AF8" s="158" t="s">
        <v>23</v>
      </c>
      <c r="AG8" s="158" t="s">
        <v>14</v>
      </c>
      <c r="AH8" s="158" t="s">
        <v>15</v>
      </c>
      <c r="AI8" s="158" t="s">
        <v>16</v>
      </c>
      <c r="AJ8" s="158" t="s">
        <v>17</v>
      </c>
      <c r="AK8" s="148" t="s">
        <v>24</v>
      </c>
      <c r="AL8" s="148" t="s">
        <v>25</v>
      </c>
      <c r="AM8" s="156" t="s">
        <v>26</v>
      </c>
    </row>
    <row r="9" spans="2:39" s="12" customFormat="1" ht="17.850000000000001" customHeight="1" x14ac:dyDescent="0.3">
      <c r="B9" s="159"/>
      <c r="C9" s="13" t="s">
        <v>27</v>
      </c>
      <c r="D9" s="13" t="s">
        <v>28</v>
      </c>
      <c r="E9" s="13" t="s">
        <v>29</v>
      </c>
      <c r="F9" s="159"/>
      <c r="G9" s="51" t="s">
        <v>27</v>
      </c>
      <c r="H9" s="51" t="s">
        <v>28</v>
      </c>
      <c r="I9" s="51" t="s">
        <v>27</v>
      </c>
      <c r="J9" s="51" t="s">
        <v>28</v>
      </c>
      <c r="K9" s="51" t="s">
        <v>27</v>
      </c>
      <c r="L9" s="51" t="s">
        <v>28</v>
      </c>
      <c r="M9" s="161"/>
      <c r="N9" s="161"/>
      <c r="O9" s="161"/>
      <c r="P9" s="13" t="s">
        <v>27</v>
      </c>
      <c r="Q9" s="13" t="s">
        <v>28</v>
      </c>
      <c r="R9" s="13" t="s">
        <v>29</v>
      </c>
      <c r="S9" s="51" t="s">
        <v>27</v>
      </c>
      <c r="T9" s="51" t="s">
        <v>28</v>
      </c>
      <c r="U9" s="51" t="s">
        <v>29</v>
      </c>
      <c r="V9" s="51" t="s">
        <v>27</v>
      </c>
      <c r="W9" s="51" t="s">
        <v>28</v>
      </c>
      <c r="X9" s="51" t="s">
        <v>29</v>
      </c>
      <c r="Y9" s="13" t="s">
        <v>27</v>
      </c>
      <c r="Z9" s="13" t="s">
        <v>28</v>
      </c>
      <c r="AA9" s="13" t="s">
        <v>29</v>
      </c>
      <c r="AB9" s="149"/>
      <c r="AC9" s="1"/>
      <c r="AE9" s="159" t="s">
        <v>30</v>
      </c>
      <c r="AF9" s="159" t="s">
        <v>13</v>
      </c>
      <c r="AG9" s="159" t="s">
        <v>14</v>
      </c>
      <c r="AH9" s="159" t="s">
        <v>15</v>
      </c>
      <c r="AI9" s="159" t="s">
        <v>16</v>
      </c>
      <c r="AJ9" s="159"/>
      <c r="AK9" s="149"/>
      <c r="AL9" s="149"/>
      <c r="AM9" s="157"/>
    </row>
    <row r="10" spans="2:39" x14ac:dyDescent="0.3">
      <c r="B10" s="14">
        <v>1</v>
      </c>
      <c r="C10" s="42">
        <v>22.100718232044205</v>
      </c>
      <c r="D10" s="42">
        <v>34.426801104972363</v>
      </c>
      <c r="E10" s="15">
        <f t="shared" ref="E10:E33" si="0">SUM(C10:D10)</f>
        <v>56.527519337016571</v>
      </c>
      <c r="F10" s="43">
        <v>3.4600279104475171</v>
      </c>
      <c r="G10" s="44">
        <v>22.2</v>
      </c>
      <c r="H10" s="44"/>
      <c r="I10" s="44"/>
      <c r="J10" s="44">
        <v>20</v>
      </c>
      <c r="K10" s="44"/>
      <c r="L10" s="44"/>
      <c r="M10" s="44">
        <v>5</v>
      </c>
      <c r="N10" s="44">
        <v>10</v>
      </c>
      <c r="O10" s="44"/>
      <c r="P10" s="15">
        <f>G10+I10+K10</f>
        <v>22.2</v>
      </c>
      <c r="Q10" s="15">
        <f>H10+J10+L10+M10+N10+O10</f>
        <v>35</v>
      </c>
      <c r="R10" s="15">
        <f t="shared" ref="R10" si="1">SUM(P10:Q10)</f>
        <v>57.2</v>
      </c>
      <c r="S10" s="16">
        <f>IF((C10-P10)&gt;0,(C10-P10),0)</f>
        <v>0</v>
      </c>
      <c r="T10" s="16">
        <f>IF((D10-Q10)&gt;0,(D10-Q10),0)</f>
        <v>0</v>
      </c>
      <c r="U10" s="16">
        <f>SUM(S10:T10)</f>
        <v>0</v>
      </c>
      <c r="V10" s="16">
        <f>IF((C10-P10)&lt;0,(C10-P10),0)</f>
        <v>-9.9281767955794464E-2</v>
      </c>
      <c r="W10" s="16">
        <f>IF((D10-Q10)&lt;0,(D10-Q10),0)</f>
        <v>-0.57319889502763743</v>
      </c>
      <c r="X10" s="16">
        <f>SUM(V10:W10)</f>
        <v>-0.6724806629834319</v>
      </c>
      <c r="Y10" s="15">
        <f>P10+S10</f>
        <v>22.2</v>
      </c>
      <c r="Z10" s="15">
        <f>Q10+T10</f>
        <v>35</v>
      </c>
      <c r="AA10" s="15">
        <f>SUM(Y10:Z10)</f>
        <v>57.2</v>
      </c>
      <c r="AB10" s="15">
        <f>AA10-E10</f>
        <v>0.6724806629834319</v>
      </c>
      <c r="AC10" s="17"/>
      <c r="AE10" s="15" t="e">
        <f>(G10+H10)*(#REF!+#REF!)*1000</f>
        <v>#REF!</v>
      </c>
      <c r="AF10" s="15" t="e">
        <f>(I10+J10)*(#REF!+#REF!)*1000</f>
        <v>#REF!</v>
      </c>
      <c r="AG10" s="15" t="e">
        <f>(K10+L10)*(#REF!+#REF!)*1000</f>
        <v>#REF!</v>
      </c>
      <c r="AH10" s="15" t="e">
        <f>#REF!*#REF!*1000</f>
        <v>#REF!</v>
      </c>
      <c r="AI10" s="15" t="e">
        <f>N10*(#REF!+#REF!)*1000</f>
        <v>#REF!</v>
      </c>
      <c r="AJ10" s="15" t="str">
        <f>IF(O10="","",(#REF!*#REF!*1000))</f>
        <v/>
      </c>
      <c r="AK10" s="15">
        <f>(F10*U10*1000)+(S10*0.45*1000)</f>
        <v>0</v>
      </c>
      <c r="AL10" s="15">
        <f>(F10*X10*1000)-(V10*0.45*1000)</f>
        <v>-2282.1250675788174</v>
      </c>
      <c r="AM10" s="15" t="e">
        <f>SUM(AE10:AK10)</f>
        <v>#REF!</v>
      </c>
    </row>
    <row r="11" spans="2:39" x14ac:dyDescent="0.3">
      <c r="B11" s="14">
        <v>2</v>
      </c>
      <c r="C11" s="42">
        <v>21.23317127071822</v>
      </c>
      <c r="D11" s="42">
        <v>32.838607734806629</v>
      </c>
      <c r="E11" s="15">
        <f t="shared" si="0"/>
        <v>54.071779005524846</v>
      </c>
      <c r="F11" s="43">
        <v>3.3224787511436484</v>
      </c>
      <c r="G11" s="44">
        <v>22.2</v>
      </c>
      <c r="H11" s="44"/>
      <c r="I11" s="44"/>
      <c r="J11" s="44">
        <v>20</v>
      </c>
      <c r="K11" s="44"/>
      <c r="L11" s="44"/>
      <c r="M11" s="44">
        <v>5</v>
      </c>
      <c r="N11" s="44">
        <v>10</v>
      </c>
      <c r="O11" s="44"/>
      <c r="P11" s="15">
        <f t="shared" ref="P11:P33" si="2">G11+I11+K11</f>
        <v>22.2</v>
      </c>
      <c r="Q11" s="15">
        <f t="shared" ref="Q11:Q33" si="3">H11+J11+L11+M11+N11+O11</f>
        <v>35</v>
      </c>
      <c r="R11" s="15">
        <f t="shared" ref="R11:R33" si="4">SUM(P11:Q11)</f>
        <v>57.2</v>
      </c>
      <c r="S11" s="16">
        <f t="shared" ref="S11:S33" si="5">IF((C11-P11)&gt;0,(C11-P11),0)</f>
        <v>0</v>
      </c>
      <c r="T11" s="16">
        <f t="shared" ref="T11:T33" si="6">IF((D11-Q11)&gt;0,(D11-Q11),0)</f>
        <v>0</v>
      </c>
      <c r="U11" s="16">
        <f t="shared" ref="U11:U33" si="7">SUM(S11:T11)</f>
        <v>0</v>
      </c>
      <c r="V11" s="16">
        <f t="shared" ref="V11:V33" si="8">IF((C11-P11)&lt;0,(C11-P11),0)</f>
        <v>-0.96682872928177943</v>
      </c>
      <c r="W11" s="16">
        <f t="shared" ref="W11:W33" si="9">IF((D11-Q11)&lt;0,(D11-Q11),0)</f>
        <v>-2.1613922651933706</v>
      </c>
      <c r="X11" s="16">
        <f t="shared" ref="X11:X33" si="10">SUM(V11:W11)</f>
        <v>-3.12822099447515</v>
      </c>
      <c r="Y11" s="15">
        <f t="shared" ref="Y11:Y33" si="11">P11+S11</f>
        <v>22.2</v>
      </c>
      <c r="Z11" s="15">
        <f t="shared" ref="Z11:Z33" si="12">Q11+T11</f>
        <v>35</v>
      </c>
      <c r="AA11" s="15">
        <f t="shared" ref="AA11:AA33" si="13">SUM(Y11:Z11)</f>
        <v>57.2</v>
      </c>
      <c r="AB11" s="15">
        <f t="shared" ref="AB11:AB33" si="14">AA11-E11</f>
        <v>3.1282209944751571</v>
      </c>
      <c r="AC11" s="17"/>
      <c r="AE11" s="15" t="e">
        <f>(G11+H11)*(#REF!+#REF!)*1000</f>
        <v>#REF!</v>
      </c>
      <c r="AF11" s="15" t="e">
        <f>(I11+J11)*(#REF!+#REF!)*1000</f>
        <v>#REF!</v>
      </c>
      <c r="AG11" s="15" t="e">
        <f>(K11+L11)*(#REF!+#REF!)*1000</f>
        <v>#REF!</v>
      </c>
      <c r="AH11" s="15" t="e">
        <f>#REF!*#REF!*1000</f>
        <v>#REF!</v>
      </c>
      <c r="AI11" s="15" t="e">
        <f>N11*(#REF!+#REF!)*1000</f>
        <v>#REF!</v>
      </c>
      <c r="AJ11" s="15" t="str">
        <f>IF(O11="","",(#REF!*#REF!*1000))</f>
        <v/>
      </c>
      <c r="AK11" s="15">
        <f t="shared" ref="AK11:AK33" si="15">(F11*U11*1000)+(S11*0.45*1000)</f>
        <v>0</v>
      </c>
      <c r="AL11" s="15">
        <f t="shared" ref="AL11:AL33" si="16">(F11*X11*1000)-(V11*0.45*1000)</f>
        <v>-9958.3748548483381</v>
      </c>
      <c r="AM11" s="15" t="e">
        <f>SUM(AE11:AK11)</f>
        <v>#REF!</v>
      </c>
    </row>
    <row r="12" spans="2:39" x14ac:dyDescent="0.3">
      <c r="B12" s="14">
        <v>3</v>
      </c>
      <c r="C12" s="42">
        <v>20.623071823204423</v>
      </c>
      <c r="D12" s="42">
        <v>31.587138121546968</v>
      </c>
      <c r="E12" s="15">
        <f t="shared" si="0"/>
        <v>52.210209944751391</v>
      </c>
      <c r="F12" s="43">
        <v>2.9997355026408852</v>
      </c>
      <c r="G12" s="44">
        <v>22.2</v>
      </c>
      <c r="H12" s="44"/>
      <c r="I12" s="44"/>
      <c r="J12" s="44">
        <v>20</v>
      </c>
      <c r="K12" s="44"/>
      <c r="L12" s="44"/>
      <c r="M12" s="44">
        <v>5</v>
      </c>
      <c r="N12" s="44">
        <v>10</v>
      </c>
      <c r="O12" s="44"/>
      <c r="P12" s="15">
        <f t="shared" si="2"/>
        <v>22.2</v>
      </c>
      <c r="Q12" s="15">
        <f t="shared" si="3"/>
        <v>35</v>
      </c>
      <c r="R12" s="15">
        <f t="shared" si="4"/>
        <v>57.2</v>
      </c>
      <c r="S12" s="16">
        <f t="shared" si="5"/>
        <v>0</v>
      </c>
      <c r="T12" s="16">
        <f t="shared" si="6"/>
        <v>0</v>
      </c>
      <c r="U12" s="16">
        <f t="shared" si="7"/>
        <v>0</v>
      </c>
      <c r="V12" s="16">
        <f t="shared" si="8"/>
        <v>-1.5769281767955761</v>
      </c>
      <c r="W12" s="16">
        <f t="shared" si="9"/>
        <v>-3.4128618784530325</v>
      </c>
      <c r="X12" s="16">
        <f t="shared" si="10"/>
        <v>-4.9897900552486085</v>
      </c>
      <c r="Y12" s="15">
        <f t="shared" si="11"/>
        <v>22.2</v>
      </c>
      <c r="Z12" s="15">
        <f t="shared" si="12"/>
        <v>35</v>
      </c>
      <c r="AA12" s="15">
        <f t="shared" si="13"/>
        <v>57.2</v>
      </c>
      <c r="AB12" s="15">
        <f t="shared" si="14"/>
        <v>4.9897900552486121</v>
      </c>
      <c r="AC12" s="17"/>
      <c r="AE12" s="15" t="e">
        <f>(G12+H12)*(#REF!+#REF!)*1000</f>
        <v>#REF!</v>
      </c>
      <c r="AF12" s="15" t="e">
        <f>(I12+J12)*(#REF!+#REF!)*1000</f>
        <v>#REF!</v>
      </c>
      <c r="AG12" s="15" t="e">
        <f>(K12+L12)*(#REF!+#REF!)*1000</f>
        <v>#REF!</v>
      </c>
      <c r="AH12" s="15" t="e">
        <f>#REF!*#REF!*1000</f>
        <v>#REF!</v>
      </c>
      <c r="AI12" s="15" t="e">
        <f>N12*(#REF!+#REF!)*1000</f>
        <v>#REF!</v>
      </c>
      <c r="AJ12" s="15" t="str">
        <f>IF(O12="","",(#REF!*#REF!*1000))</f>
        <v/>
      </c>
      <c r="AK12" s="15">
        <f t="shared" si="15"/>
        <v>0</v>
      </c>
      <c r="AL12" s="15">
        <f t="shared" si="16"/>
        <v>-14258.432699895668</v>
      </c>
      <c r="AM12" s="15" t="e">
        <f>SUM(AE12:AK12)</f>
        <v>#REF!</v>
      </c>
    </row>
    <row r="13" spans="2:39" x14ac:dyDescent="0.3">
      <c r="B13" s="14">
        <v>4</v>
      </c>
      <c r="C13" s="42">
        <v>20.327143646408835</v>
      </c>
      <c r="D13" s="42">
        <v>30.849287292817692</v>
      </c>
      <c r="E13" s="15">
        <f t="shared" si="0"/>
        <v>51.176430939226528</v>
      </c>
      <c r="F13" s="43">
        <v>2.7656585483370169</v>
      </c>
      <c r="G13" s="44">
        <v>22.2</v>
      </c>
      <c r="H13" s="44"/>
      <c r="I13" s="44"/>
      <c r="J13" s="44">
        <v>20</v>
      </c>
      <c r="K13" s="44"/>
      <c r="L13" s="44"/>
      <c r="M13" s="44">
        <v>5</v>
      </c>
      <c r="N13" s="44">
        <v>10</v>
      </c>
      <c r="O13" s="44"/>
      <c r="P13" s="15">
        <f t="shared" si="2"/>
        <v>22.2</v>
      </c>
      <c r="Q13" s="15">
        <f t="shared" si="3"/>
        <v>35</v>
      </c>
      <c r="R13" s="15">
        <f t="shared" si="4"/>
        <v>57.2</v>
      </c>
      <c r="S13" s="16">
        <f t="shared" si="5"/>
        <v>0</v>
      </c>
      <c r="T13" s="16">
        <f t="shared" si="6"/>
        <v>0</v>
      </c>
      <c r="U13" s="16">
        <f t="shared" si="7"/>
        <v>0</v>
      </c>
      <c r="V13" s="16">
        <f t="shared" si="8"/>
        <v>-1.872856353591164</v>
      </c>
      <c r="W13" s="16">
        <f t="shared" si="9"/>
        <v>-4.1507127071823078</v>
      </c>
      <c r="X13" s="16">
        <f t="shared" si="10"/>
        <v>-6.0235690607734718</v>
      </c>
      <c r="Y13" s="15">
        <f t="shared" si="11"/>
        <v>22.2</v>
      </c>
      <c r="Z13" s="15">
        <f t="shared" si="12"/>
        <v>35</v>
      </c>
      <c r="AA13" s="15">
        <f t="shared" si="13"/>
        <v>57.2</v>
      </c>
      <c r="AB13" s="15">
        <f t="shared" si="14"/>
        <v>6.0235690607734753</v>
      </c>
      <c r="AC13" s="17"/>
      <c r="AE13" s="15" t="e">
        <f>(G13+H13)*(#REF!+#REF!)*1000</f>
        <v>#REF!</v>
      </c>
      <c r="AF13" s="15" t="e">
        <f>(I13+J13)*(#REF!+#REF!)*1000</f>
        <v>#REF!</v>
      </c>
      <c r="AG13" s="15" t="e">
        <f>(K13+L13)*(#REF!+#REF!)*1000</f>
        <v>#REF!</v>
      </c>
      <c r="AH13" s="15" t="e">
        <f>#REF!*#REF!*1000</f>
        <v>#REF!</v>
      </c>
      <c r="AI13" s="15" t="e">
        <f>N13*(#REF!+#REF!)*1000</f>
        <v>#REF!</v>
      </c>
      <c r="AJ13" s="15" t="str">
        <f>IF(O13="","",(#REF!*#REF!*1000))</f>
        <v/>
      </c>
      <c r="AK13" s="15">
        <f t="shared" si="15"/>
        <v>0</v>
      </c>
      <c r="AL13" s="15">
        <f t="shared" si="16"/>
        <v>-15816.349905310504</v>
      </c>
      <c r="AM13" s="15" t="e">
        <f t="shared" ref="AM13:AM32" si="17">SUM(AE13:AK13)</f>
        <v>#REF!</v>
      </c>
    </row>
    <row r="14" spans="2:39" x14ac:dyDescent="0.3">
      <c r="B14" s="14">
        <v>5</v>
      </c>
      <c r="C14" s="42">
        <v>20.639320441988936</v>
      </c>
      <c r="D14" s="42">
        <v>31.474077348066292</v>
      </c>
      <c r="E14" s="15">
        <f t="shared" si="0"/>
        <v>52.113397790055231</v>
      </c>
      <c r="F14" s="43">
        <v>2.8359339100939227</v>
      </c>
      <c r="G14" s="44">
        <v>22.2</v>
      </c>
      <c r="H14" s="44"/>
      <c r="I14" s="44"/>
      <c r="J14" s="44">
        <v>20</v>
      </c>
      <c r="K14" s="44"/>
      <c r="L14" s="44"/>
      <c r="M14" s="44">
        <v>5</v>
      </c>
      <c r="N14" s="44">
        <v>10</v>
      </c>
      <c r="O14" s="44"/>
      <c r="P14" s="15">
        <f t="shared" si="2"/>
        <v>22.2</v>
      </c>
      <c r="Q14" s="15">
        <f t="shared" si="3"/>
        <v>35</v>
      </c>
      <c r="R14" s="15">
        <f t="shared" si="4"/>
        <v>57.2</v>
      </c>
      <c r="S14" s="16">
        <f t="shared" si="5"/>
        <v>0</v>
      </c>
      <c r="T14" s="16">
        <f t="shared" si="6"/>
        <v>0</v>
      </c>
      <c r="U14" s="16">
        <f t="shared" si="7"/>
        <v>0</v>
      </c>
      <c r="V14" s="16">
        <f t="shared" si="8"/>
        <v>-1.5606795580110635</v>
      </c>
      <c r="W14" s="16">
        <f t="shared" si="9"/>
        <v>-3.5259226519337084</v>
      </c>
      <c r="X14" s="16">
        <f t="shared" si="10"/>
        <v>-5.0866022099447719</v>
      </c>
      <c r="Y14" s="15">
        <f t="shared" si="11"/>
        <v>22.2</v>
      </c>
      <c r="Z14" s="15">
        <f t="shared" si="12"/>
        <v>35</v>
      </c>
      <c r="AA14" s="15">
        <f t="shared" si="13"/>
        <v>57.2</v>
      </c>
      <c r="AB14" s="15">
        <f t="shared" si="14"/>
        <v>5.0866022099447719</v>
      </c>
      <c r="AC14" s="17"/>
      <c r="AE14" s="15" t="e">
        <f>(G14+H14)*(#REF!+#REF!)*1000</f>
        <v>#REF!</v>
      </c>
      <c r="AF14" s="15" t="e">
        <f>(I14+J14)*(#REF!+#REF!)*1000</f>
        <v>#REF!</v>
      </c>
      <c r="AG14" s="15" t="e">
        <f>(K14+L14)*(#REF!+#REF!)*1000</f>
        <v>#REF!</v>
      </c>
      <c r="AH14" s="15" t="e">
        <f>#REF!*#REF!*1000</f>
        <v>#REF!</v>
      </c>
      <c r="AI14" s="15" t="e">
        <f>N14*(#REF!+#REF!)*1000</f>
        <v>#REF!</v>
      </c>
      <c r="AJ14" s="15" t="str">
        <f>IF(O14="","",(#REF!*#REF!*1000))</f>
        <v/>
      </c>
      <c r="AK14" s="15">
        <f t="shared" si="15"/>
        <v>0</v>
      </c>
      <c r="AL14" s="15">
        <f t="shared" si="16"/>
        <v>-13722.961893236086</v>
      </c>
      <c r="AM14" s="15" t="e">
        <f t="shared" si="17"/>
        <v>#REF!</v>
      </c>
    </row>
    <row r="15" spans="2:39" x14ac:dyDescent="0.3">
      <c r="B15" s="14">
        <v>6</v>
      </c>
      <c r="C15" s="42">
        <v>21.471828729281768</v>
      </c>
      <c r="D15" s="42">
        <v>32.682883977900566</v>
      </c>
      <c r="E15" s="15">
        <f t="shared" si="0"/>
        <v>54.154712707182334</v>
      </c>
      <c r="F15" s="43">
        <v>2.7600177359116027</v>
      </c>
      <c r="G15" s="44">
        <v>22.2</v>
      </c>
      <c r="H15" s="44"/>
      <c r="I15" s="44"/>
      <c r="J15" s="44">
        <v>20</v>
      </c>
      <c r="K15" s="44"/>
      <c r="L15" s="44"/>
      <c r="M15" s="44">
        <v>5</v>
      </c>
      <c r="N15" s="44">
        <v>10</v>
      </c>
      <c r="O15" s="44"/>
      <c r="P15" s="15">
        <f t="shared" si="2"/>
        <v>22.2</v>
      </c>
      <c r="Q15" s="15">
        <f t="shared" si="3"/>
        <v>35</v>
      </c>
      <c r="R15" s="15">
        <f t="shared" si="4"/>
        <v>57.2</v>
      </c>
      <c r="S15" s="16">
        <f t="shared" si="5"/>
        <v>0</v>
      </c>
      <c r="T15" s="16">
        <f t="shared" si="6"/>
        <v>0</v>
      </c>
      <c r="U15" s="16">
        <f t="shared" si="7"/>
        <v>0</v>
      </c>
      <c r="V15" s="16">
        <f t="shared" si="8"/>
        <v>-0.72817127071823151</v>
      </c>
      <c r="W15" s="16">
        <f t="shared" si="9"/>
        <v>-2.3171160220994338</v>
      </c>
      <c r="X15" s="16">
        <f t="shared" si="10"/>
        <v>-3.0452872928176653</v>
      </c>
      <c r="Y15" s="15">
        <f t="shared" si="11"/>
        <v>22.2</v>
      </c>
      <c r="Z15" s="15">
        <f t="shared" si="12"/>
        <v>35</v>
      </c>
      <c r="AA15" s="15">
        <f t="shared" si="13"/>
        <v>57.2</v>
      </c>
      <c r="AB15" s="15">
        <f t="shared" si="14"/>
        <v>3.0452872928176689</v>
      </c>
      <c r="AC15" s="17"/>
      <c r="AE15" s="15" t="e">
        <f>(G15+H15)*(#REF!+#REF!)*1000</f>
        <v>#REF!</v>
      </c>
      <c r="AF15" s="15" t="e">
        <f>(I15+J15)*(#REF!+#REF!)*1000</f>
        <v>#REF!</v>
      </c>
      <c r="AG15" s="15" t="e">
        <f>(K15+L15)*(#REF!+#REF!)*1000</f>
        <v>#REF!</v>
      </c>
      <c r="AH15" s="15" t="e">
        <f>#REF!*#REF!*1000</f>
        <v>#REF!</v>
      </c>
      <c r="AI15" s="15" t="e">
        <f>N15*(#REF!+#REF!)*1000</f>
        <v>#REF!</v>
      </c>
      <c r="AJ15" s="15" t="str">
        <f>IF(O15="","",(#REF!*#REF!*1000))</f>
        <v/>
      </c>
      <c r="AK15" s="15">
        <f t="shared" si="15"/>
        <v>0</v>
      </c>
      <c r="AL15" s="15">
        <f t="shared" si="16"/>
        <v>-8077.3698672997816</v>
      </c>
      <c r="AM15" s="15" t="e">
        <f t="shared" si="17"/>
        <v>#REF!</v>
      </c>
    </row>
    <row r="16" spans="2:39" x14ac:dyDescent="0.3">
      <c r="B16" s="14">
        <v>7</v>
      </c>
      <c r="C16" s="42">
        <v>22.651729281767956</v>
      </c>
      <c r="D16" s="42">
        <v>32.362425414364644</v>
      </c>
      <c r="E16" s="15">
        <f t="shared" si="0"/>
        <v>55.0141546961326</v>
      </c>
      <c r="F16" s="43">
        <v>2.1973075690607731</v>
      </c>
      <c r="G16" s="44">
        <v>23</v>
      </c>
      <c r="H16" s="44"/>
      <c r="I16" s="44"/>
      <c r="J16" s="44">
        <v>20</v>
      </c>
      <c r="K16" s="44"/>
      <c r="L16" s="44"/>
      <c r="M16" s="44">
        <v>5</v>
      </c>
      <c r="N16" s="44">
        <v>10</v>
      </c>
      <c r="O16" s="44"/>
      <c r="P16" s="15">
        <f t="shared" si="2"/>
        <v>23</v>
      </c>
      <c r="Q16" s="15">
        <f t="shared" si="3"/>
        <v>35</v>
      </c>
      <c r="R16" s="15">
        <f t="shared" si="4"/>
        <v>58</v>
      </c>
      <c r="S16" s="16">
        <f t="shared" si="5"/>
        <v>0</v>
      </c>
      <c r="T16" s="16">
        <f t="shared" si="6"/>
        <v>0</v>
      </c>
      <c r="U16" s="16">
        <f t="shared" si="7"/>
        <v>0</v>
      </c>
      <c r="V16" s="16">
        <f t="shared" si="8"/>
        <v>-0.34827071823204392</v>
      </c>
      <c r="W16" s="16">
        <f t="shared" si="9"/>
        <v>-2.6375745856353561</v>
      </c>
      <c r="X16" s="16">
        <f t="shared" si="10"/>
        <v>-2.9858453038674</v>
      </c>
      <c r="Y16" s="15">
        <f t="shared" si="11"/>
        <v>23</v>
      </c>
      <c r="Z16" s="15">
        <f t="shared" si="12"/>
        <v>35</v>
      </c>
      <c r="AA16" s="15">
        <f t="shared" si="13"/>
        <v>58</v>
      </c>
      <c r="AB16" s="15">
        <f t="shared" si="14"/>
        <v>2.9858453038674</v>
      </c>
      <c r="AC16" s="17"/>
      <c r="AE16" s="15" t="e">
        <f>(G16+H16)*(#REF!+#REF!)*1000</f>
        <v>#REF!</v>
      </c>
      <c r="AF16" s="15" t="e">
        <f>(I16+J16)*(#REF!+#REF!)*1000</f>
        <v>#REF!</v>
      </c>
      <c r="AG16" s="15" t="e">
        <f>(K16+L16)*(#REF!+#REF!)*1000</f>
        <v>#REF!</v>
      </c>
      <c r="AH16" s="15" t="e">
        <f>#REF!*#REF!*1000</f>
        <v>#REF!</v>
      </c>
      <c r="AI16" s="15" t="e">
        <f>N16*(#REF!+#REF!)*1000</f>
        <v>#REF!</v>
      </c>
      <c r="AJ16" s="15" t="str">
        <f>IF(O16="","",(#REF!*#REF!*1000))</f>
        <v/>
      </c>
      <c r="AK16" s="15">
        <f t="shared" si="15"/>
        <v>0</v>
      </c>
      <c r="AL16" s="15">
        <f t="shared" si="16"/>
        <v>-6404.0986630279822</v>
      </c>
      <c r="AM16" s="15" t="e">
        <f t="shared" si="17"/>
        <v>#REF!</v>
      </c>
    </row>
    <row r="17" spans="2:39" x14ac:dyDescent="0.3">
      <c r="B17" s="14">
        <v>8</v>
      </c>
      <c r="C17" s="42">
        <v>27.42697790055248</v>
      </c>
      <c r="D17" s="42">
        <v>36.531994475138106</v>
      </c>
      <c r="E17" s="15">
        <f t="shared" si="0"/>
        <v>63.958972375690585</v>
      </c>
      <c r="F17" s="43">
        <v>2.7849906002596674</v>
      </c>
      <c r="G17" s="44">
        <v>30</v>
      </c>
      <c r="H17" s="44"/>
      <c r="I17" s="44"/>
      <c r="J17" s="44">
        <v>22</v>
      </c>
      <c r="K17" s="44"/>
      <c r="L17" s="44"/>
      <c r="M17" s="44">
        <v>5</v>
      </c>
      <c r="N17" s="44">
        <v>10</v>
      </c>
      <c r="O17" s="44"/>
      <c r="P17" s="15">
        <f t="shared" si="2"/>
        <v>30</v>
      </c>
      <c r="Q17" s="15">
        <f t="shared" si="3"/>
        <v>37</v>
      </c>
      <c r="R17" s="15">
        <f t="shared" si="4"/>
        <v>67</v>
      </c>
      <c r="S17" s="16">
        <f t="shared" si="5"/>
        <v>0</v>
      </c>
      <c r="T17" s="16">
        <f t="shared" si="6"/>
        <v>0</v>
      </c>
      <c r="U17" s="16">
        <f t="shared" si="7"/>
        <v>0</v>
      </c>
      <c r="V17" s="16">
        <f t="shared" si="8"/>
        <v>-2.5730220994475204</v>
      </c>
      <c r="W17" s="16">
        <f t="shared" si="9"/>
        <v>-0.46800552486189417</v>
      </c>
      <c r="X17" s="16">
        <f t="shared" si="10"/>
        <v>-3.0410276243094145</v>
      </c>
      <c r="Y17" s="15">
        <f t="shared" si="11"/>
        <v>30</v>
      </c>
      <c r="Z17" s="15">
        <f t="shared" si="12"/>
        <v>37</v>
      </c>
      <c r="AA17" s="15">
        <f t="shared" si="13"/>
        <v>67</v>
      </c>
      <c r="AB17" s="15">
        <f t="shared" si="14"/>
        <v>3.0410276243094145</v>
      </c>
      <c r="AC17" s="17"/>
      <c r="AE17" s="15" t="e">
        <f>(G17+H17)*(#REF!+#REF!)*1000</f>
        <v>#REF!</v>
      </c>
      <c r="AF17" s="15" t="e">
        <f>(I17+J17)*(#REF!+#REF!)*1000</f>
        <v>#REF!</v>
      </c>
      <c r="AG17" s="15" t="e">
        <f>(K17+L17)*(#REF!+#REF!)*1000</f>
        <v>#REF!</v>
      </c>
      <c r="AH17" s="15" t="e">
        <f>#REF!*#REF!*1000</f>
        <v>#REF!</v>
      </c>
      <c r="AI17" s="15" t="e">
        <f>N17*(#REF!+#REF!)*1000</f>
        <v>#REF!</v>
      </c>
      <c r="AJ17" s="15" t="str">
        <f>IF(O17="","",(#REF!*#REF!*1000))</f>
        <v/>
      </c>
      <c r="AK17" s="15">
        <f t="shared" si="15"/>
        <v>0</v>
      </c>
      <c r="AL17" s="15">
        <f t="shared" si="16"/>
        <v>-7311.3734040803229</v>
      </c>
      <c r="AM17" s="15" t="e">
        <f t="shared" si="17"/>
        <v>#REF!</v>
      </c>
    </row>
    <row r="18" spans="2:39" x14ac:dyDescent="0.3">
      <c r="B18" s="14">
        <v>9</v>
      </c>
      <c r="C18" s="42">
        <v>34.485287292817681</v>
      </c>
      <c r="D18" s="42">
        <v>44.292016574585631</v>
      </c>
      <c r="E18" s="15">
        <f t="shared" si="0"/>
        <v>78.777303867403305</v>
      </c>
      <c r="F18" s="43">
        <v>4.5666709334696103</v>
      </c>
      <c r="G18" s="44">
        <v>35</v>
      </c>
      <c r="H18" s="44"/>
      <c r="I18" s="44"/>
      <c r="J18" s="44">
        <v>25</v>
      </c>
      <c r="K18" s="44"/>
      <c r="L18" s="44"/>
      <c r="M18" s="44">
        <v>5</v>
      </c>
      <c r="N18" s="44">
        <v>10</v>
      </c>
      <c r="O18" s="44"/>
      <c r="P18" s="15">
        <f t="shared" si="2"/>
        <v>35</v>
      </c>
      <c r="Q18" s="15">
        <f t="shared" si="3"/>
        <v>40</v>
      </c>
      <c r="R18" s="15">
        <f t="shared" si="4"/>
        <v>75</v>
      </c>
      <c r="S18" s="16">
        <f t="shared" si="5"/>
        <v>0</v>
      </c>
      <c r="T18" s="16">
        <f t="shared" si="6"/>
        <v>4.2920165745856309</v>
      </c>
      <c r="U18" s="16">
        <f t="shared" si="7"/>
        <v>4.2920165745856309</v>
      </c>
      <c r="V18" s="16">
        <f t="shared" si="8"/>
        <v>-0.51471270718231921</v>
      </c>
      <c r="W18" s="16">
        <f t="shared" si="9"/>
        <v>0</v>
      </c>
      <c r="X18" s="16">
        <f t="shared" si="10"/>
        <v>-0.51471270718231921</v>
      </c>
      <c r="Y18" s="15">
        <f t="shared" si="11"/>
        <v>35</v>
      </c>
      <c r="Z18" s="15">
        <f t="shared" si="12"/>
        <v>44.292016574585631</v>
      </c>
      <c r="AA18" s="15">
        <f t="shared" si="13"/>
        <v>79.292016574585631</v>
      </c>
      <c r="AB18" s="15">
        <f t="shared" si="14"/>
        <v>0.51471270718232631</v>
      </c>
      <c r="AC18" s="17"/>
      <c r="AE18" s="15" t="e">
        <f>(G18+H18)*(#REF!+#REF!)*1000</f>
        <v>#REF!</v>
      </c>
      <c r="AF18" s="15" t="e">
        <f>(I18+J18)*(#REF!+#REF!)*1000</f>
        <v>#REF!</v>
      </c>
      <c r="AG18" s="15" t="e">
        <f>(K18+L18)*(#REF!+#REF!)*1000</f>
        <v>#REF!</v>
      </c>
      <c r="AH18" s="15" t="e">
        <f>#REF!*#REF!*1000</f>
        <v>#REF!</v>
      </c>
      <c r="AI18" s="15" t="e">
        <f>N18*(#REF!+#REF!)*1000</f>
        <v>#REF!</v>
      </c>
      <c r="AJ18" s="15" t="str">
        <f>IF(O18="","",(#REF!*#REF!*1000))</f>
        <v/>
      </c>
      <c r="AK18" s="15">
        <f t="shared" si="15"/>
        <v>19600.22733713</v>
      </c>
      <c r="AL18" s="15">
        <f t="shared" si="16"/>
        <v>-2118.9028407449082</v>
      </c>
      <c r="AM18" s="15" t="e">
        <f t="shared" si="17"/>
        <v>#REF!</v>
      </c>
    </row>
    <row r="19" spans="2:39" x14ac:dyDescent="0.3">
      <c r="B19" s="14">
        <v>10</v>
      </c>
      <c r="C19" s="42">
        <v>38.902911602209947</v>
      </c>
      <c r="D19" s="42">
        <v>51.358386740331497</v>
      </c>
      <c r="E19" s="15">
        <f t="shared" si="0"/>
        <v>90.261298342541437</v>
      </c>
      <c r="F19" s="43">
        <v>5.1650170769336983</v>
      </c>
      <c r="G19" s="44">
        <v>37</v>
      </c>
      <c r="H19" s="44"/>
      <c r="I19" s="44">
        <v>3</v>
      </c>
      <c r="J19" s="44">
        <v>22</v>
      </c>
      <c r="K19" s="44"/>
      <c r="L19" s="44">
        <v>15</v>
      </c>
      <c r="M19" s="44">
        <v>5</v>
      </c>
      <c r="N19" s="44">
        <v>10</v>
      </c>
      <c r="O19" s="44"/>
      <c r="P19" s="15">
        <f t="shared" si="2"/>
        <v>40</v>
      </c>
      <c r="Q19" s="15">
        <f t="shared" si="3"/>
        <v>52</v>
      </c>
      <c r="R19" s="15">
        <f t="shared" si="4"/>
        <v>92</v>
      </c>
      <c r="S19" s="16">
        <f t="shared" si="5"/>
        <v>0</v>
      </c>
      <c r="T19" s="16">
        <f t="shared" si="6"/>
        <v>0</v>
      </c>
      <c r="U19" s="16">
        <f t="shared" si="7"/>
        <v>0</v>
      </c>
      <c r="V19" s="16">
        <f t="shared" si="8"/>
        <v>-1.0970883977900527</v>
      </c>
      <c r="W19" s="16">
        <f t="shared" si="9"/>
        <v>-0.64161325966850313</v>
      </c>
      <c r="X19" s="16">
        <f t="shared" si="10"/>
        <v>-1.7387016574585559</v>
      </c>
      <c r="Y19" s="15">
        <f t="shared" si="11"/>
        <v>40</v>
      </c>
      <c r="Z19" s="15">
        <f t="shared" si="12"/>
        <v>52</v>
      </c>
      <c r="AA19" s="15">
        <f t="shared" si="13"/>
        <v>92</v>
      </c>
      <c r="AB19" s="15">
        <f t="shared" si="14"/>
        <v>1.738701657458563</v>
      </c>
      <c r="AC19" s="17"/>
      <c r="AE19" s="15" t="e">
        <f>(G19+H19)*(#REF!+#REF!)*1000</f>
        <v>#REF!</v>
      </c>
      <c r="AF19" s="15" t="e">
        <f>(I19+J19)*(#REF!+#REF!)*1000</f>
        <v>#REF!</v>
      </c>
      <c r="AG19" s="15" t="e">
        <f>(K19+L19)*(#REF!+#REF!)*1000</f>
        <v>#REF!</v>
      </c>
      <c r="AH19" s="15" t="e">
        <f>#REF!*#REF!*1000</f>
        <v>#REF!</v>
      </c>
      <c r="AI19" s="15" t="e">
        <f>N19*(#REF!+#REF!)*1000</f>
        <v>#REF!</v>
      </c>
      <c r="AJ19" s="15" t="str">
        <f>IF(O19="","",(#REF!*#REF!*1000))</f>
        <v/>
      </c>
      <c r="AK19" s="15">
        <f t="shared" si="15"/>
        <v>0</v>
      </c>
      <c r="AL19" s="15">
        <f t="shared" si="16"/>
        <v>-8486.7339734608413</v>
      </c>
      <c r="AM19" s="15" t="e">
        <f t="shared" si="17"/>
        <v>#REF!</v>
      </c>
    </row>
    <row r="20" spans="2:39" x14ac:dyDescent="0.3">
      <c r="B20" s="14">
        <v>11</v>
      </c>
      <c r="C20" s="42">
        <v>40.281674033149159</v>
      </c>
      <c r="D20" s="42">
        <v>54.058977900552499</v>
      </c>
      <c r="E20" s="15">
        <f t="shared" si="0"/>
        <v>94.34065193370165</v>
      </c>
      <c r="F20" s="43">
        <v>5.7745199527900564</v>
      </c>
      <c r="G20" s="44">
        <v>37</v>
      </c>
      <c r="H20" s="44"/>
      <c r="I20" s="44">
        <v>4</v>
      </c>
      <c r="J20" s="44">
        <v>21</v>
      </c>
      <c r="K20" s="44"/>
      <c r="L20" s="44">
        <v>18</v>
      </c>
      <c r="M20" s="44">
        <v>5</v>
      </c>
      <c r="N20" s="44">
        <v>10</v>
      </c>
      <c r="O20" s="44"/>
      <c r="P20" s="15">
        <f t="shared" si="2"/>
        <v>41</v>
      </c>
      <c r="Q20" s="15">
        <f t="shared" si="3"/>
        <v>54</v>
      </c>
      <c r="R20" s="15">
        <f t="shared" si="4"/>
        <v>95</v>
      </c>
      <c r="S20" s="16">
        <f t="shared" si="5"/>
        <v>0</v>
      </c>
      <c r="T20" s="16">
        <f t="shared" si="6"/>
        <v>5.8977900552498852E-2</v>
      </c>
      <c r="U20" s="16">
        <f t="shared" si="7"/>
        <v>5.8977900552498852E-2</v>
      </c>
      <c r="V20" s="16">
        <f t="shared" si="8"/>
        <v>-0.71832596685084127</v>
      </c>
      <c r="W20" s="16">
        <f t="shared" si="9"/>
        <v>0</v>
      </c>
      <c r="X20" s="16">
        <f t="shared" si="10"/>
        <v>-0.71832596685084127</v>
      </c>
      <c r="Y20" s="15">
        <f t="shared" si="11"/>
        <v>41</v>
      </c>
      <c r="Z20" s="15">
        <f t="shared" si="12"/>
        <v>54.058977900552499</v>
      </c>
      <c r="AA20" s="15">
        <f t="shared" si="13"/>
        <v>95.058977900552492</v>
      </c>
      <c r="AB20" s="15">
        <f t="shared" si="14"/>
        <v>0.71832596685084127</v>
      </c>
      <c r="AC20" s="17"/>
      <c r="AE20" s="15" t="e">
        <f>(G20+H20)*(#REF!+#REF!)*1000</f>
        <v>#REF!</v>
      </c>
      <c r="AF20" s="15" t="e">
        <f>(I20+J20)*(#REF!+#REF!)*1000</f>
        <v>#REF!</v>
      </c>
      <c r="AG20" s="15" t="e">
        <f>(K20+L20)*(#REF!+#REF!)*1000</f>
        <v>#REF!</v>
      </c>
      <c r="AH20" s="15" t="e">
        <f>#REF!*#REF!*1000</f>
        <v>#REF!</v>
      </c>
      <c r="AI20" s="15" t="e">
        <f>N20*(#REF!+#REF!)*1000</f>
        <v>#REF!</v>
      </c>
      <c r="AJ20" s="15" t="str">
        <f>IF(O20="","",(#REF!*#REF!*1000))</f>
        <v/>
      </c>
      <c r="AK20" s="15">
        <f t="shared" si="15"/>
        <v>340.5690635140723</v>
      </c>
      <c r="AL20" s="15">
        <f t="shared" si="16"/>
        <v>-3824.7409431045126</v>
      </c>
      <c r="AM20" s="15" t="e">
        <f t="shared" si="17"/>
        <v>#REF!</v>
      </c>
    </row>
    <row r="21" spans="2:39" x14ac:dyDescent="0.3">
      <c r="B21" s="14">
        <v>12</v>
      </c>
      <c r="C21" s="42">
        <v>40.057977900552501</v>
      </c>
      <c r="D21" s="42">
        <v>53.967430939226524</v>
      </c>
      <c r="E21" s="15">
        <f t="shared" si="0"/>
        <v>94.025408839779033</v>
      </c>
      <c r="F21" s="43">
        <v>4.6710616185856324</v>
      </c>
      <c r="G21" s="44">
        <v>37</v>
      </c>
      <c r="H21" s="44"/>
      <c r="I21" s="44">
        <v>4</v>
      </c>
      <c r="J21" s="44">
        <v>21</v>
      </c>
      <c r="K21" s="44"/>
      <c r="L21" s="44">
        <v>18</v>
      </c>
      <c r="M21" s="44">
        <v>5</v>
      </c>
      <c r="N21" s="44">
        <v>10</v>
      </c>
      <c r="O21" s="44"/>
      <c r="P21" s="15">
        <f t="shared" si="2"/>
        <v>41</v>
      </c>
      <c r="Q21" s="15">
        <f t="shared" si="3"/>
        <v>54</v>
      </c>
      <c r="R21" s="15">
        <f t="shared" si="4"/>
        <v>95</v>
      </c>
      <c r="S21" s="16">
        <f t="shared" si="5"/>
        <v>0</v>
      </c>
      <c r="T21" s="16">
        <f t="shared" si="6"/>
        <v>0</v>
      </c>
      <c r="U21" s="16">
        <f t="shared" si="7"/>
        <v>0</v>
      </c>
      <c r="V21" s="16">
        <f t="shared" si="8"/>
        <v>-0.94202209944749882</v>
      </c>
      <c r="W21" s="16">
        <f t="shared" si="9"/>
        <v>-3.2569060773475655E-2</v>
      </c>
      <c r="X21" s="16">
        <f t="shared" si="10"/>
        <v>-0.97459116022097447</v>
      </c>
      <c r="Y21" s="15">
        <f t="shared" si="11"/>
        <v>41</v>
      </c>
      <c r="Z21" s="15">
        <f t="shared" si="12"/>
        <v>54</v>
      </c>
      <c r="AA21" s="15">
        <f t="shared" si="13"/>
        <v>95</v>
      </c>
      <c r="AB21" s="15">
        <f t="shared" si="14"/>
        <v>0.97459116022096737</v>
      </c>
      <c r="AC21" s="17"/>
      <c r="AE21" s="15" t="e">
        <f>(G21+H21)*(#REF!+#REF!)*1000</f>
        <v>#REF!</v>
      </c>
      <c r="AF21" s="15" t="e">
        <f>(I21+J21)*(#REF!+#REF!)*1000</f>
        <v>#REF!</v>
      </c>
      <c r="AG21" s="15" t="e">
        <f>(K21+L21)*(#REF!+#REF!)*1000</f>
        <v>#REF!</v>
      </c>
      <c r="AH21" s="15" t="e">
        <f>#REF!*#REF!*1000</f>
        <v>#REF!</v>
      </c>
      <c r="AI21" s="15" t="e">
        <f>N21*(#REF!+#REF!)*1000</f>
        <v>#REF!</v>
      </c>
      <c r="AJ21" s="15" t="str">
        <f>IF(O21="","",(#REF!*#REF!*1000))</f>
        <v/>
      </c>
      <c r="AK21" s="15">
        <f t="shared" si="15"/>
        <v>0</v>
      </c>
      <c r="AL21" s="15">
        <f t="shared" si="16"/>
        <v>-4128.4654175696596</v>
      </c>
      <c r="AM21" s="15" t="e">
        <f t="shared" si="17"/>
        <v>#REF!</v>
      </c>
    </row>
    <row r="22" spans="2:39" x14ac:dyDescent="0.3">
      <c r="B22" s="14">
        <v>13</v>
      </c>
      <c r="C22" s="42">
        <v>40.141022099447525</v>
      </c>
      <c r="D22" s="42">
        <v>53.772591160221005</v>
      </c>
      <c r="E22" s="15">
        <f t="shared" si="0"/>
        <v>93.913613259668523</v>
      </c>
      <c r="F22" s="43">
        <v>4.726539085110498</v>
      </c>
      <c r="G22" s="44">
        <v>37</v>
      </c>
      <c r="H22" s="44"/>
      <c r="I22" s="44">
        <v>4</v>
      </c>
      <c r="J22" s="44">
        <v>21</v>
      </c>
      <c r="K22" s="44"/>
      <c r="L22" s="44">
        <v>18</v>
      </c>
      <c r="M22" s="44">
        <v>5</v>
      </c>
      <c r="N22" s="44">
        <v>10</v>
      </c>
      <c r="O22" s="44"/>
      <c r="P22" s="15">
        <f t="shared" si="2"/>
        <v>41</v>
      </c>
      <c r="Q22" s="15">
        <f t="shared" si="3"/>
        <v>54</v>
      </c>
      <c r="R22" s="15">
        <f t="shared" si="4"/>
        <v>95</v>
      </c>
      <c r="S22" s="16">
        <f t="shared" si="5"/>
        <v>0</v>
      </c>
      <c r="T22" s="16">
        <f t="shared" si="6"/>
        <v>0</v>
      </c>
      <c r="U22" s="16">
        <f t="shared" si="7"/>
        <v>0</v>
      </c>
      <c r="V22" s="16">
        <f t="shared" si="8"/>
        <v>-0.85897790055247469</v>
      </c>
      <c r="W22" s="16">
        <f t="shared" si="9"/>
        <v>-0.22740883977899529</v>
      </c>
      <c r="X22" s="16">
        <f t="shared" si="10"/>
        <v>-1.08638674033147</v>
      </c>
      <c r="Y22" s="15">
        <f t="shared" si="11"/>
        <v>41</v>
      </c>
      <c r="Z22" s="15">
        <f t="shared" si="12"/>
        <v>54</v>
      </c>
      <c r="AA22" s="15">
        <f t="shared" si="13"/>
        <v>95</v>
      </c>
      <c r="AB22" s="15">
        <f t="shared" si="14"/>
        <v>1.0863867403314771</v>
      </c>
      <c r="AC22" s="17"/>
      <c r="AE22" s="15" t="e">
        <f>(G22+H22)*(#REF!+#REF!)*1000</f>
        <v>#REF!</v>
      </c>
      <c r="AF22" s="15" t="e">
        <f>(I22+J22)*(#REF!+#REF!)*1000</f>
        <v>#REF!</v>
      </c>
      <c r="AG22" s="15" t="e">
        <f>(K22+L22)*(#REF!+#REF!)*1000</f>
        <v>#REF!</v>
      </c>
      <c r="AH22" s="15" t="e">
        <f>#REF!*#REF!*1000</f>
        <v>#REF!</v>
      </c>
      <c r="AI22" s="15" t="e">
        <f>N22*(#REF!+#REF!)*1000</f>
        <v>#REF!</v>
      </c>
      <c r="AJ22" s="15" t="str">
        <f>IF(O22="","",(#REF!*#REF!*1000))</f>
        <v/>
      </c>
      <c r="AK22" s="15">
        <f t="shared" si="15"/>
        <v>0</v>
      </c>
      <c r="AL22" s="15">
        <f t="shared" si="16"/>
        <v>-4748.3093344738691</v>
      </c>
      <c r="AM22" s="15" t="e">
        <f t="shared" si="17"/>
        <v>#REF!</v>
      </c>
    </row>
    <row r="23" spans="2:39" x14ac:dyDescent="0.3">
      <c r="B23" s="14">
        <v>14</v>
      </c>
      <c r="C23" s="42">
        <v>40.688281767955793</v>
      </c>
      <c r="D23" s="42">
        <v>55.337806629834247</v>
      </c>
      <c r="E23" s="15">
        <f t="shared" si="0"/>
        <v>96.026088397790033</v>
      </c>
      <c r="F23" s="43">
        <v>7.4211996712430937</v>
      </c>
      <c r="G23" s="44">
        <v>37</v>
      </c>
      <c r="H23" s="44"/>
      <c r="I23" s="44">
        <v>4</v>
      </c>
      <c r="J23" s="44">
        <v>21</v>
      </c>
      <c r="K23" s="44"/>
      <c r="L23" s="44">
        <v>18</v>
      </c>
      <c r="M23" s="44">
        <v>5</v>
      </c>
      <c r="N23" s="44">
        <v>10</v>
      </c>
      <c r="O23" s="44"/>
      <c r="P23" s="15">
        <f t="shared" si="2"/>
        <v>41</v>
      </c>
      <c r="Q23" s="15">
        <f t="shared" si="3"/>
        <v>54</v>
      </c>
      <c r="R23" s="15">
        <f t="shared" si="4"/>
        <v>95</v>
      </c>
      <c r="S23" s="16">
        <f t="shared" si="5"/>
        <v>0</v>
      </c>
      <c r="T23" s="16">
        <f t="shared" si="6"/>
        <v>1.3378066298342475</v>
      </c>
      <c r="U23" s="16">
        <f t="shared" si="7"/>
        <v>1.3378066298342475</v>
      </c>
      <c r="V23" s="16">
        <f t="shared" si="8"/>
        <v>-0.3117182320442069</v>
      </c>
      <c r="W23" s="16">
        <f t="shared" si="9"/>
        <v>0</v>
      </c>
      <c r="X23" s="16">
        <f t="shared" si="10"/>
        <v>-0.3117182320442069</v>
      </c>
      <c r="Y23" s="15">
        <f t="shared" si="11"/>
        <v>41</v>
      </c>
      <c r="Z23" s="15">
        <f t="shared" si="12"/>
        <v>55.337806629834247</v>
      </c>
      <c r="AA23" s="15">
        <f t="shared" si="13"/>
        <v>96.337806629834247</v>
      </c>
      <c r="AB23" s="15">
        <f t="shared" si="14"/>
        <v>0.31171823204421401</v>
      </c>
      <c r="AC23" s="17"/>
      <c r="AE23" s="15" t="e">
        <f>(G23+H23)*(#REF!+#REF!)*1000</f>
        <v>#REF!</v>
      </c>
      <c r="AF23" s="15" t="e">
        <f>(I23+J23)*(#REF!+#REF!)*1000</f>
        <v>#REF!</v>
      </c>
      <c r="AG23" s="15" t="e">
        <f>(K23+L23)*(#REF!+#REF!)*1000</f>
        <v>#REF!</v>
      </c>
      <c r="AH23" s="15" t="e">
        <f>#REF!*#REF!*1000</f>
        <v>#REF!</v>
      </c>
      <c r="AI23" s="15" t="e">
        <f>N23*(#REF!+#REF!)*1000</f>
        <v>#REF!</v>
      </c>
      <c r="AJ23" s="15" t="str">
        <f>IF(O23="","",(#REF!*#REF!*1000))</f>
        <v/>
      </c>
      <c r="AK23" s="15">
        <f t="shared" si="15"/>
        <v>9928.1301215127478</v>
      </c>
      <c r="AL23" s="15">
        <f t="shared" si="16"/>
        <v>-2173.0500367470531</v>
      </c>
      <c r="AM23" s="15" t="e">
        <f t="shared" si="17"/>
        <v>#REF!</v>
      </c>
    </row>
    <row r="24" spans="2:39" x14ac:dyDescent="0.3">
      <c r="B24" s="14">
        <v>15</v>
      </c>
      <c r="C24" s="42">
        <v>40.171524861878432</v>
      </c>
      <c r="D24" s="42">
        <v>54.688038674033116</v>
      </c>
      <c r="E24" s="15">
        <f t="shared" si="0"/>
        <v>94.859563535911548</v>
      </c>
      <c r="F24" s="43">
        <v>7.4752729836685097</v>
      </c>
      <c r="G24" s="44">
        <v>37</v>
      </c>
      <c r="H24" s="44"/>
      <c r="I24" s="44">
        <v>4</v>
      </c>
      <c r="J24" s="44">
        <v>21</v>
      </c>
      <c r="K24" s="44"/>
      <c r="L24" s="44">
        <v>18</v>
      </c>
      <c r="M24" s="44">
        <v>5</v>
      </c>
      <c r="N24" s="44">
        <v>10</v>
      </c>
      <c r="O24" s="44"/>
      <c r="P24" s="15">
        <f t="shared" si="2"/>
        <v>41</v>
      </c>
      <c r="Q24" s="15">
        <f t="shared" si="3"/>
        <v>54</v>
      </c>
      <c r="R24" s="15">
        <f t="shared" si="4"/>
        <v>95</v>
      </c>
      <c r="S24" s="16">
        <f t="shared" si="5"/>
        <v>0</v>
      </c>
      <c r="T24" s="16">
        <f t="shared" si="6"/>
        <v>0.68803867403311614</v>
      </c>
      <c r="U24" s="16">
        <f t="shared" si="7"/>
        <v>0.68803867403311614</v>
      </c>
      <c r="V24" s="16">
        <f t="shared" si="8"/>
        <v>-0.82847513812156848</v>
      </c>
      <c r="W24" s="16">
        <f t="shared" si="9"/>
        <v>0</v>
      </c>
      <c r="X24" s="16">
        <f t="shared" si="10"/>
        <v>-0.82847513812156848</v>
      </c>
      <c r="Y24" s="15">
        <f t="shared" si="11"/>
        <v>41</v>
      </c>
      <c r="Z24" s="15">
        <f t="shared" si="12"/>
        <v>54.688038674033116</v>
      </c>
      <c r="AA24" s="15">
        <f t="shared" si="13"/>
        <v>95.688038674033123</v>
      </c>
      <c r="AB24" s="15">
        <f t="shared" si="14"/>
        <v>0.82847513812157558</v>
      </c>
      <c r="AC24" s="17"/>
      <c r="AE24" s="15" t="e">
        <f>(G24+H24)*(#REF!+#REF!)*1000</f>
        <v>#REF!</v>
      </c>
      <c r="AF24" s="15" t="e">
        <f>(I24+J24)*(#REF!+#REF!)*1000</f>
        <v>#REF!</v>
      </c>
      <c r="AG24" s="15" t="e">
        <f>(K24+L24)*(#REF!+#REF!)*1000</f>
        <v>#REF!</v>
      </c>
      <c r="AH24" s="15" t="e">
        <f>#REF!*#REF!*1000</f>
        <v>#REF!</v>
      </c>
      <c r="AI24" s="15" t="e">
        <f>N24*(#REF!+#REF!)*1000</f>
        <v>#REF!</v>
      </c>
      <c r="AJ24" s="15" t="str">
        <f>IF(O24="","",(#REF!*#REF!*1000))</f>
        <v/>
      </c>
      <c r="AK24" s="15">
        <f t="shared" si="15"/>
        <v>5143.2769117188573</v>
      </c>
      <c r="AL24" s="15">
        <f t="shared" si="16"/>
        <v>-5820.2640054864914</v>
      </c>
      <c r="AM24" s="15" t="e">
        <f t="shared" si="17"/>
        <v>#REF!</v>
      </c>
    </row>
    <row r="25" spans="2:39" x14ac:dyDescent="0.3">
      <c r="B25" s="14">
        <v>16</v>
      </c>
      <c r="C25" s="42">
        <v>38.983469613259679</v>
      </c>
      <c r="D25" s="42">
        <v>53.583552486187841</v>
      </c>
      <c r="E25" s="15">
        <f t="shared" si="0"/>
        <v>92.567022099447513</v>
      </c>
      <c r="F25" s="43">
        <v>8.0468134000662985</v>
      </c>
      <c r="G25" s="44">
        <v>37</v>
      </c>
      <c r="H25" s="44"/>
      <c r="I25" s="44">
        <v>3</v>
      </c>
      <c r="J25" s="44">
        <v>22</v>
      </c>
      <c r="K25" s="44"/>
      <c r="L25" s="44">
        <v>17</v>
      </c>
      <c r="M25" s="44">
        <v>5</v>
      </c>
      <c r="N25" s="44">
        <v>10</v>
      </c>
      <c r="O25" s="44"/>
      <c r="P25" s="15">
        <f t="shared" si="2"/>
        <v>40</v>
      </c>
      <c r="Q25" s="15">
        <f t="shared" si="3"/>
        <v>54</v>
      </c>
      <c r="R25" s="15">
        <f t="shared" si="4"/>
        <v>94</v>
      </c>
      <c r="S25" s="16">
        <f t="shared" si="5"/>
        <v>0</v>
      </c>
      <c r="T25" s="16">
        <f t="shared" si="6"/>
        <v>0</v>
      </c>
      <c r="U25" s="16">
        <f t="shared" si="7"/>
        <v>0</v>
      </c>
      <c r="V25" s="16">
        <f t="shared" si="8"/>
        <v>-1.016530386740321</v>
      </c>
      <c r="W25" s="16">
        <f t="shared" si="9"/>
        <v>-0.41644751381215883</v>
      </c>
      <c r="X25" s="16">
        <f t="shared" si="10"/>
        <v>-1.4329779005524799</v>
      </c>
      <c r="Y25" s="15">
        <f t="shared" si="11"/>
        <v>40</v>
      </c>
      <c r="Z25" s="15">
        <f t="shared" si="12"/>
        <v>54</v>
      </c>
      <c r="AA25" s="15">
        <f t="shared" si="13"/>
        <v>94</v>
      </c>
      <c r="AB25" s="15">
        <f t="shared" si="14"/>
        <v>1.432977900552487</v>
      </c>
      <c r="AC25" s="17"/>
      <c r="AE25" s="15" t="e">
        <f>(G25+H25)*(#REF!+#REF!)*1000</f>
        <v>#REF!</v>
      </c>
      <c r="AF25" s="15" t="e">
        <f>(I25+J25)*(#REF!+#REF!)*1000</f>
        <v>#REF!</v>
      </c>
      <c r="AG25" s="15" t="e">
        <f>(K25+L25)*(#REF!+#REF!)*1000</f>
        <v>#REF!</v>
      </c>
      <c r="AH25" s="15" t="e">
        <f>#REF!*#REF!*1000</f>
        <v>#REF!</v>
      </c>
      <c r="AI25" s="15" t="e">
        <f>N25*(#REF!+#REF!)*1000</f>
        <v>#REF!</v>
      </c>
      <c r="AJ25" s="15" t="str">
        <f>IF(O25="","",(#REF!*#REF!*1000))</f>
        <v/>
      </c>
      <c r="AK25" s="15">
        <f t="shared" si="15"/>
        <v>0</v>
      </c>
      <c r="AL25" s="15">
        <f t="shared" si="16"/>
        <v>-11073.467098131423</v>
      </c>
      <c r="AM25" s="15" t="e">
        <f t="shared" si="17"/>
        <v>#REF!</v>
      </c>
    </row>
    <row r="26" spans="2:39" x14ac:dyDescent="0.3">
      <c r="B26" s="14">
        <v>17</v>
      </c>
      <c r="C26" s="42">
        <v>37.6976685082873</v>
      </c>
      <c r="D26" s="42">
        <v>51.577000000000012</v>
      </c>
      <c r="E26" s="15">
        <f t="shared" si="0"/>
        <v>89.274668508287306</v>
      </c>
      <c r="F26" s="43">
        <v>5.9123749472872902</v>
      </c>
      <c r="G26" s="44">
        <v>37</v>
      </c>
      <c r="H26" s="44"/>
      <c r="I26" s="44">
        <v>2</v>
      </c>
      <c r="J26" s="44">
        <v>23</v>
      </c>
      <c r="K26" s="44"/>
      <c r="L26" s="44">
        <v>14</v>
      </c>
      <c r="M26" s="44">
        <v>5</v>
      </c>
      <c r="N26" s="44">
        <v>10</v>
      </c>
      <c r="O26" s="44"/>
      <c r="P26" s="15">
        <f t="shared" si="2"/>
        <v>39</v>
      </c>
      <c r="Q26" s="15">
        <f t="shared" si="3"/>
        <v>52</v>
      </c>
      <c r="R26" s="15">
        <f t="shared" si="4"/>
        <v>91</v>
      </c>
      <c r="S26" s="16">
        <f t="shared" si="5"/>
        <v>0</v>
      </c>
      <c r="T26" s="16">
        <f t="shared" si="6"/>
        <v>0</v>
      </c>
      <c r="U26" s="16">
        <f t="shared" si="7"/>
        <v>0</v>
      </c>
      <c r="V26" s="16">
        <f t="shared" si="8"/>
        <v>-1.3023314917126996</v>
      </c>
      <c r="W26" s="16">
        <f t="shared" si="9"/>
        <v>-0.42299999999998761</v>
      </c>
      <c r="X26" s="16">
        <f t="shared" si="10"/>
        <v>-1.7253314917126872</v>
      </c>
      <c r="Y26" s="15">
        <f t="shared" si="11"/>
        <v>39</v>
      </c>
      <c r="Z26" s="15">
        <f t="shared" si="12"/>
        <v>52</v>
      </c>
      <c r="AA26" s="15">
        <f t="shared" si="13"/>
        <v>91</v>
      </c>
      <c r="AB26" s="15">
        <f t="shared" si="14"/>
        <v>1.7253314917126943</v>
      </c>
      <c r="AC26" s="17"/>
      <c r="AE26" s="15" t="e">
        <f>(G26+H26)*(#REF!+#REF!)*1000</f>
        <v>#REF!</v>
      </c>
      <c r="AF26" s="15" t="e">
        <f>(I26+J26)*(#REF!+#REF!)*1000</f>
        <v>#REF!</v>
      </c>
      <c r="AG26" s="15" t="e">
        <f>(K26+L26)*(#REF!+#REF!)*1000</f>
        <v>#REF!</v>
      </c>
      <c r="AH26" s="15" t="e">
        <f>#REF!*#REF!*1000</f>
        <v>#REF!</v>
      </c>
      <c r="AI26" s="15" t="e">
        <f>N26*(#REF!+#REF!)*1000</f>
        <v>#REF!</v>
      </c>
      <c r="AJ26" s="15" t="str">
        <f>IF(O26="","",(#REF!*#REF!*1000))</f>
        <v/>
      </c>
      <c r="AK26" s="15">
        <f t="shared" si="15"/>
        <v>0</v>
      </c>
      <c r="AL26" s="15">
        <f t="shared" si="16"/>
        <v>-9614.7575160971865</v>
      </c>
      <c r="AM26" s="15" t="e">
        <f>SUM(AE26:AK26)</f>
        <v>#REF!</v>
      </c>
    </row>
    <row r="27" spans="2:39" x14ac:dyDescent="0.3">
      <c r="B27" s="14">
        <v>18</v>
      </c>
      <c r="C27" s="42">
        <v>36.279508287292821</v>
      </c>
      <c r="D27" s="42">
        <v>50.466580110497276</v>
      </c>
      <c r="E27" s="15">
        <f t="shared" si="0"/>
        <v>86.746088397790089</v>
      </c>
      <c r="F27" s="43">
        <v>5.171406674867403</v>
      </c>
      <c r="G27" s="44">
        <v>37</v>
      </c>
      <c r="H27" s="44"/>
      <c r="I27" s="44"/>
      <c r="J27" s="44">
        <v>25</v>
      </c>
      <c r="K27" s="44"/>
      <c r="L27" s="44">
        <v>10</v>
      </c>
      <c r="M27" s="44">
        <v>5</v>
      </c>
      <c r="N27" s="44">
        <v>10</v>
      </c>
      <c r="O27" s="44"/>
      <c r="P27" s="15">
        <f t="shared" si="2"/>
        <v>37</v>
      </c>
      <c r="Q27" s="15">
        <f t="shared" si="3"/>
        <v>50</v>
      </c>
      <c r="R27" s="15">
        <f t="shared" si="4"/>
        <v>87</v>
      </c>
      <c r="S27" s="16">
        <f t="shared" si="5"/>
        <v>0</v>
      </c>
      <c r="T27" s="16">
        <f t="shared" si="6"/>
        <v>0.46658011049727577</v>
      </c>
      <c r="U27" s="16">
        <f t="shared" si="7"/>
        <v>0.46658011049727577</v>
      </c>
      <c r="V27" s="16">
        <f t="shared" si="8"/>
        <v>-0.72049171270717949</v>
      </c>
      <c r="W27" s="16">
        <f t="shared" si="9"/>
        <v>0</v>
      </c>
      <c r="X27" s="16">
        <f t="shared" si="10"/>
        <v>-0.72049171270717949</v>
      </c>
      <c r="Y27" s="15">
        <f t="shared" si="11"/>
        <v>37</v>
      </c>
      <c r="Z27" s="15">
        <f t="shared" si="12"/>
        <v>50.466580110497276</v>
      </c>
      <c r="AA27" s="15">
        <f t="shared" si="13"/>
        <v>87.466580110497276</v>
      </c>
      <c r="AB27" s="15">
        <f t="shared" si="14"/>
        <v>0.72049171270718659</v>
      </c>
      <c r="AC27" s="17"/>
      <c r="AE27" s="15" t="e">
        <f>(G27+H27)*(#REF!+#REF!)*1000</f>
        <v>#REF!</v>
      </c>
      <c r="AF27" s="15" t="e">
        <f>(I27+J27)*(#REF!+#REF!)*1000</f>
        <v>#REF!</v>
      </c>
      <c r="AG27" s="15" t="e">
        <f>(K27+L27)*(#REF!+#REF!)*1000</f>
        <v>#REF!</v>
      </c>
      <c r="AH27" s="15" t="e">
        <f>#REF!*#REF!*1000</f>
        <v>#REF!</v>
      </c>
      <c r="AI27" s="15" t="e">
        <f>N27*(#REF!+#REF!)*1000</f>
        <v>#REF!</v>
      </c>
      <c r="AJ27" s="15" t="str">
        <f>IF(O27="","",(#REF!*#REF!*1000))</f>
        <v/>
      </c>
      <c r="AK27" s="15">
        <f t="shared" si="15"/>
        <v>2412.8754977859821</v>
      </c>
      <c r="AL27" s="15">
        <f t="shared" si="16"/>
        <v>-3401.7343815623244</v>
      </c>
      <c r="AM27" s="15" t="e">
        <f t="shared" si="17"/>
        <v>#REF!</v>
      </c>
    </row>
    <row r="28" spans="2:39" x14ac:dyDescent="0.3">
      <c r="B28" s="14">
        <v>19</v>
      </c>
      <c r="C28" s="42">
        <v>35.891154696132617</v>
      </c>
      <c r="D28" s="42">
        <v>52.272248618784573</v>
      </c>
      <c r="E28" s="15">
        <f t="shared" si="0"/>
        <v>88.16340331491719</v>
      </c>
      <c r="F28" s="43">
        <v>7.7860138919336981</v>
      </c>
      <c r="G28" s="44">
        <v>37</v>
      </c>
      <c r="H28" s="44"/>
      <c r="I28" s="44"/>
      <c r="J28" s="44">
        <v>25</v>
      </c>
      <c r="K28" s="44"/>
      <c r="L28" s="44">
        <v>10</v>
      </c>
      <c r="M28" s="44">
        <v>5</v>
      </c>
      <c r="N28" s="44">
        <v>10</v>
      </c>
      <c r="O28" s="44"/>
      <c r="P28" s="15">
        <f t="shared" si="2"/>
        <v>37</v>
      </c>
      <c r="Q28" s="15">
        <f t="shared" si="3"/>
        <v>50</v>
      </c>
      <c r="R28" s="15">
        <f t="shared" si="4"/>
        <v>87</v>
      </c>
      <c r="S28" s="16">
        <f t="shared" si="5"/>
        <v>0</v>
      </c>
      <c r="T28" s="16">
        <f t="shared" si="6"/>
        <v>2.2722486187845732</v>
      </c>
      <c r="U28" s="16">
        <f t="shared" si="7"/>
        <v>2.2722486187845732</v>
      </c>
      <c r="V28" s="16">
        <f t="shared" si="8"/>
        <v>-1.1088453038673833</v>
      </c>
      <c r="W28" s="16">
        <f t="shared" si="9"/>
        <v>0</v>
      </c>
      <c r="X28" s="16">
        <f t="shared" si="10"/>
        <v>-1.1088453038673833</v>
      </c>
      <c r="Y28" s="15">
        <f t="shared" si="11"/>
        <v>37</v>
      </c>
      <c r="Z28" s="15">
        <f t="shared" si="12"/>
        <v>52.272248618784573</v>
      </c>
      <c r="AA28" s="15">
        <f t="shared" si="13"/>
        <v>89.272248618784573</v>
      </c>
      <c r="AB28" s="15">
        <f t="shared" si="14"/>
        <v>1.1088453038673833</v>
      </c>
      <c r="AC28" s="17"/>
      <c r="AE28" s="15" t="e">
        <f>(G28+H28)*(#REF!+#REF!)*1000</f>
        <v>#REF!</v>
      </c>
      <c r="AF28" s="15" t="e">
        <f>(I28+J28)*(#REF!+#REF!)*1000</f>
        <v>#REF!</v>
      </c>
      <c r="AG28" s="15" t="e">
        <f>(K28+L28)*(#REF!+#REF!)*1000</f>
        <v>#REF!</v>
      </c>
      <c r="AH28" s="15" t="e">
        <f>#REF!*#REF!*1000</f>
        <v>#REF!</v>
      </c>
      <c r="AI28" s="15" t="e">
        <f>N28*(#REF!+#REF!)*1000</f>
        <v>#REF!</v>
      </c>
      <c r="AJ28" s="15" t="str">
        <f>IF(O28="","",(#REF!*#REF!*1000))</f>
        <v/>
      </c>
      <c r="AK28" s="15">
        <f t="shared" si="15"/>
        <v>17691.759311783844</v>
      </c>
      <c r="AL28" s="15">
        <f t="shared" si="16"/>
        <v>-8134.5045531765682</v>
      </c>
      <c r="AM28" s="15" t="e">
        <f t="shared" si="17"/>
        <v>#REF!</v>
      </c>
    </row>
    <row r="29" spans="2:39" x14ac:dyDescent="0.3">
      <c r="B29" s="14">
        <v>20</v>
      </c>
      <c r="C29" s="42">
        <v>32.63364088397789</v>
      </c>
      <c r="D29" s="42">
        <v>49.661082872928183</v>
      </c>
      <c r="E29" s="15">
        <f t="shared" si="0"/>
        <v>82.29472375690608</v>
      </c>
      <c r="F29" s="43">
        <v>7.0421427460718222</v>
      </c>
      <c r="G29" s="44">
        <v>35</v>
      </c>
      <c r="H29" s="44"/>
      <c r="I29" s="44"/>
      <c r="J29" s="44">
        <v>25</v>
      </c>
      <c r="K29" s="44"/>
      <c r="L29" s="44">
        <v>10</v>
      </c>
      <c r="M29" s="44">
        <v>5</v>
      </c>
      <c r="N29" s="44">
        <v>10</v>
      </c>
      <c r="O29" s="44"/>
      <c r="P29" s="15">
        <f t="shared" si="2"/>
        <v>35</v>
      </c>
      <c r="Q29" s="15">
        <f t="shared" si="3"/>
        <v>50</v>
      </c>
      <c r="R29" s="15">
        <f t="shared" si="4"/>
        <v>85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-2.3663591160221102</v>
      </c>
      <c r="W29" s="16">
        <f t="shared" si="9"/>
        <v>-0.33891712707181654</v>
      </c>
      <c r="X29" s="16">
        <f t="shared" si="10"/>
        <v>-2.7052762430939268</v>
      </c>
      <c r="Y29" s="15">
        <f t="shared" si="11"/>
        <v>35</v>
      </c>
      <c r="Z29" s="15">
        <f t="shared" si="12"/>
        <v>50</v>
      </c>
      <c r="AA29" s="15">
        <f t="shared" si="13"/>
        <v>85</v>
      </c>
      <c r="AB29" s="15">
        <f t="shared" si="14"/>
        <v>2.7052762430939197</v>
      </c>
      <c r="AC29" s="17"/>
      <c r="AE29" s="15" t="e">
        <f>(G29+H29)*(#REF!+#REF!)*1000</f>
        <v>#REF!</v>
      </c>
      <c r="AF29" s="15" t="e">
        <f>(I29+J29)*(#REF!+#REF!)*1000</f>
        <v>#REF!</v>
      </c>
      <c r="AG29" s="15" t="e">
        <f>(K29+L29)*(#REF!+#REF!)*1000</f>
        <v>#REF!</v>
      </c>
      <c r="AH29" s="15" t="e">
        <f>#REF!*#REF!*1000</f>
        <v>#REF!</v>
      </c>
      <c r="AI29" s="15" t="e">
        <f>N29*(#REF!+#REF!)*1000</f>
        <v>#REF!</v>
      </c>
      <c r="AJ29" s="15" t="str">
        <f>IF(O29="","",(#REF!*#REF!*1000))</f>
        <v/>
      </c>
      <c r="AK29" s="15">
        <f t="shared" si="15"/>
        <v>0</v>
      </c>
      <c r="AL29" s="15">
        <f t="shared" si="16"/>
        <v>-17986.07986921438</v>
      </c>
      <c r="AM29" s="15" t="e">
        <f t="shared" si="17"/>
        <v>#REF!</v>
      </c>
    </row>
    <row r="30" spans="2:39" x14ac:dyDescent="0.3">
      <c r="B30" s="14">
        <v>21</v>
      </c>
      <c r="C30" s="42">
        <v>29.652475138121556</v>
      </c>
      <c r="D30" s="42">
        <v>46.643618784530389</v>
      </c>
      <c r="E30" s="15">
        <f t="shared" si="0"/>
        <v>76.296093922651949</v>
      </c>
      <c r="F30" s="43">
        <v>7.6907415436187865</v>
      </c>
      <c r="G30" s="44">
        <v>30</v>
      </c>
      <c r="H30" s="44"/>
      <c r="I30" s="44"/>
      <c r="J30" s="44">
        <v>25</v>
      </c>
      <c r="K30" s="44"/>
      <c r="L30" s="44"/>
      <c r="M30" s="44">
        <v>5</v>
      </c>
      <c r="N30" s="44">
        <v>10</v>
      </c>
      <c r="O30" s="44"/>
      <c r="P30" s="15">
        <f t="shared" si="2"/>
        <v>30</v>
      </c>
      <c r="Q30" s="15">
        <f t="shared" si="3"/>
        <v>40</v>
      </c>
      <c r="R30" s="15">
        <f t="shared" si="4"/>
        <v>70</v>
      </c>
      <c r="S30" s="16">
        <f t="shared" si="5"/>
        <v>0</v>
      </c>
      <c r="T30" s="16">
        <f t="shared" si="6"/>
        <v>6.6436187845303891</v>
      </c>
      <c r="U30" s="16">
        <f t="shared" si="7"/>
        <v>6.6436187845303891</v>
      </c>
      <c r="V30" s="16">
        <f t="shared" si="8"/>
        <v>-0.34752486187844411</v>
      </c>
      <c r="W30" s="16">
        <f t="shared" si="9"/>
        <v>0</v>
      </c>
      <c r="X30" s="16">
        <f t="shared" si="10"/>
        <v>-0.34752486187844411</v>
      </c>
      <c r="Y30" s="15">
        <f t="shared" si="11"/>
        <v>30</v>
      </c>
      <c r="Z30" s="15">
        <f t="shared" si="12"/>
        <v>46.643618784530389</v>
      </c>
      <c r="AA30" s="15">
        <f t="shared" si="13"/>
        <v>76.643618784530389</v>
      </c>
      <c r="AB30" s="15">
        <f t="shared" si="14"/>
        <v>0.34752486187844056</v>
      </c>
      <c r="AC30" s="17"/>
      <c r="AE30" s="15" t="e">
        <f>(G30+H30)*(#REF!+#REF!)*1000</f>
        <v>#REF!</v>
      </c>
      <c r="AF30" s="15" t="e">
        <f>(I30+J30)*(#REF!+#REF!)*1000</f>
        <v>#REF!</v>
      </c>
      <c r="AG30" s="15" t="e">
        <f>(K30+L30)*(#REF!+#REF!)*1000</f>
        <v>#REF!</v>
      </c>
      <c r="AH30" s="15" t="e">
        <f>#REF!*#REF!*1000</f>
        <v>#REF!</v>
      </c>
      <c r="AI30" s="15" t="e">
        <f>N30*(#REF!+#REF!)*1000</f>
        <v>#REF!</v>
      </c>
      <c r="AJ30" s="15" t="str">
        <f>IF(O30="","",(#REF!*#REF!*1000))</f>
        <v/>
      </c>
      <c r="AK30" s="15">
        <f t="shared" si="15"/>
        <v>51094.354986154009</v>
      </c>
      <c r="AL30" s="15">
        <f t="shared" si="16"/>
        <v>-2516.3377048436309</v>
      </c>
      <c r="AM30" s="15" t="e">
        <f t="shared" si="17"/>
        <v>#REF!</v>
      </c>
    </row>
    <row r="31" spans="2:39" x14ac:dyDescent="0.3">
      <c r="B31" s="14">
        <v>22</v>
      </c>
      <c r="C31" s="42">
        <v>27.571353591160214</v>
      </c>
      <c r="D31" s="42">
        <v>43.268911602209933</v>
      </c>
      <c r="E31" s="15">
        <f t="shared" si="0"/>
        <v>70.840265193370143</v>
      </c>
      <c r="F31" s="43">
        <v>6.7255202983812197</v>
      </c>
      <c r="G31" s="44">
        <v>30</v>
      </c>
      <c r="H31" s="44"/>
      <c r="I31" s="44"/>
      <c r="J31" s="44">
        <v>25</v>
      </c>
      <c r="K31" s="44"/>
      <c r="L31" s="44"/>
      <c r="M31" s="44">
        <v>5</v>
      </c>
      <c r="N31" s="44">
        <v>10</v>
      </c>
      <c r="O31" s="44"/>
      <c r="P31" s="15">
        <f t="shared" si="2"/>
        <v>30</v>
      </c>
      <c r="Q31" s="15">
        <f t="shared" si="3"/>
        <v>40</v>
      </c>
      <c r="R31" s="15">
        <f t="shared" si="4"/>
        <v>70</v>
      </c>
      <c r="S31" s="16">
        <f t="shared" si="5"/>
        <v>0</v>
      </c>
      <c r="T31" s="16">
        <f t="shared" si="6"/>
        <v>3.2689116022099327</v>
      </c>
      <c r="U31" s="16">
        <f t="shared" si="7"/>
        <v>3.2689116022099327</v>
      </c>
      <c r="V31" s="16">
        <f t="shared" si="8"/>
        <v>-2.4286464088397857</v>
      </c>
      <c r="W31" s="16">
        <f t="shared" si="9"/>
        <v>0</v>
      </c>
      <c r="X31" s="16">
        <f t="shared" si="10"/>
        <v>-2.4286464088397857</v>
      </c>
      <c r="Y31" s="15">
        <f t="shared" si="11"/>
        <v>30</v>
      </c>
      <c r="Z31" s="15">
        <f t="shared" si="12"/>
        <v>43.268911602209933</v>
      </c>
      <c r="AA31" s="15">
        <f t="shared" si="13"/>
        <v>73.268911602209926</v>
      </c>
      <c r="AB31" s="15">
        <f t="shared" si="14"/>
        <v>2.4286464088397821</v>
      </c>
      <c r="AC31" s="17"/>
      <c r="AE31" s="15" t="e">
        <f>(G31+H31)*(#REF!+#REF!)*1000</f>
        <v>#REF!</v>
      </c>
      <c r="AF31" s="15" t="e">
        <f>(I31+J31)*(#REF!+#REF!)*1000</f>
        <v>#REF!</v>
      </c>
      <c r="AG31" s="15" t="e">
        <f>(K31+L31)*(#REF!+#REF!)*1000</f>
        <v>#REF!</v>
      </c>
      <c r="AH31" s="15" t="e">
        <f>#REF!*#REF!*1000</f>
        <v>#REF!</v>
      </c>
      <c r="AI31" s="15" t="e">
        <f>N31*(#REF!+#REF!)*1000</f>
        <v>#REF!</v>
      </c>
      <c r="AJ31" s="15" t="str">
        <f>IF(O31="","",(#REF!*#REF!*1000))</f>
        <v/>
      </c>
      <c r="AK31" s="15">
        <f t="shared" si="15"/>
        <v>21985.131334276775</v>
      </c>
      <c r="AL31" s="15">
        <f t="shared" si="16"/>
        <v>-15241.019836264728</v>
      </c>
      <c r="AM31" s="15" t="e">
        <f>SUM(AE31:AK31)</f>
        <v>#REF!</v>
      </c>
    </row>
    <row r="32" spans="2:39" x14ac:dyDescent="0.3">
      <c r="B32" s="14">
        <v>23</v>
      </c>
      <c r="C32" s="42">
        <v>25.322055248618778</v>
      </c>
      <c r="D32" s="42">
        <v>39.575187845303866</v>
      </c>
      <c r="E32" s="15">
        <f t="shared" si="0"/>
        <v>64.89724309392264</v>
      </c>
      <c r="F32" s="43">
        <v>5.4688584997237566</v>
      </c>
      <c r="G32" s="44">
        <v>27</v>
      </c>
      <c r="H32" s="44"/>
      <c r="I32" s="44"/>
      <c r="J32" s="44">
        <v>25</v>
      </c>
      <c r="K32" s="44"/>
      <c r="L32" s="44"/>
      <c r="M32" s="44">
        <v>5</v>
      </c>
      <c r="N32" s="44">
        <v>10</v>
      </c>
      <c r="O32" s="44"/>
      <c r="P32" s="15">
        <f t="shared" si="2"/>
        <v>27</v>
      </c>
      <c r="Q32" s="15">
        <f t="shared" si="3"/>
        <v>40</v>
      </c>
      <c r="R32" s="15">
        <f t="shared" si="4"/>
        <v>67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-1.6779447513812222</v>
      </c>
      <c r="W32" s="16">
        <f t="shared" si="9"/>
        <v>-0.42481215469613431</v>
      </c>
      <c r="X32" s="16">
        <f t="shared" si="10"/>
        <v>-2.1027569060773565</v>
      </c>
      <c r="Y32" s="15">
        <f t="shared" si="11"/>
        <v>27</v>
      </c>
      <c r="Z32" s="15">
        <f t="shared" si="12"/>
        <v>40</v>
      </c>
      <c r="AA32" s="15">
        <f t="shared" si="13"/>
        <v>67</v>
      </c>
      <c r="AB32" s="15">
        <f t="shared" si="14"/>
        <v>2.1027569060773601</v>
      </c>
      <c r="AC32" s="17"/>
      <c r="AE32" s="15" t="e">
        <f>(G32+H32)*(#REF!+#REF!)*1000</f>
        <v>#REF!</v>
      </c>
      <c r="AF32" s="15" t="e">
        <f>(I32+J32)*(#REF!+#REF!)*1000</f>
        <v>#REF!</v>
      </c>
      <c r="AG32" s="15" t="e">
        <f>(K32+L32)*(#REF!+#REF!)*1000</f>
        <v>#REF!</v>
      </c>
      <c r="AH32" s="15" t="e">
        <f>#REF!*#REF!*1000</f>
        <v>#REF!</v>
      </c>
      <c r="AI32" s="15" t="e">
        <f>N32*(#REF!+#REF!)*1000</f>
        <v>#REF!</v>
      </c>
      <c r="AJ32" s="15" t="str">
        <f>IF(O32="","",(#REF!*#REF!*1000))</f>
        <v/>
      </c>
      <c r="AK32" s="15">
        <f t="shared" si="15"/>
        <v>0</v>
      </c>
      <c r="AL32" s="15">
        <f t="shared" si="16"/>
        <v>-10744.604840532429</v>
      </c>
      <c r="AM32" s="15" t="e">
        <f t="shared" si="17"/>
        <v>#REF!</v>
      </c>
    </row>
    <row r="33" spans="2:42" x14ac:dyDescent="0.3">
      <c r="B33" s="14">
        <v>24</v>
      </c>
      <c r="C33" s="42">
        <v>23.470906077348079</v>
      </c>
      <c r="D33" s="42">
        <v>36.693679558011041</v>
      </c>
      <c r="E33" s="15">
        <f t="shared" si="0"/>
        <v>60.164585635359117</v>
      </c>
      <c r="F33" s="43">
        <v>3.9653590264530387</v>
      </c>
      <c r="G33" s="44">
        <v>25</v>
      </c>
      <c r="H33" s="44"/>
      <c r="I33" s="44"/>
      <c r="J33" s="44">
        <v>23</v>
      </c>
      <c r="K33" s="44"/>
      <c r="L33" s="44"/>
      <c r="M33" s="44">
        <v>5</v>
      </c>
      <c r="N33" s="44">
        <v>10</v>
      </c>
      <c r="O33" s="44"/>
      <c r="P33" s="15">
        <f t="shared" si="2"/>
        <v>25</v>
      </c>
      <c r="Q33" s="15">
        <f t="shared" si="3"/>
        <v>38</v>
      </c>
      <c r="R33" s="15">
        <f t="shared" si="4"/>
        <v>63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-1.5290939226519207</v>
      </c>
      <c r="W33" s="16">
        <f t="shared" si="9"/>
        <v>-1.3063204419889587</v>
      </c>
      <c r="X33" s="16">
        <f t="shared" si="10"/>
        <v>-2.8354143646408794</v>
      </c>
      <c r="Y33" s="15">
        <f t="shared" si="11"/>
        <v>25</v>
      </c>
      <c r="Z33" s="15">
        <f t="shared" si="12"/>
        <v>38</v>
      </c>
      <c r="AA33" s="15">
        <f t="shared" si="13"/>
        <v>63</v>
      </c>
      <c r="AB33" s="15">
        <f t="shared" si="14"/>
        <v>2.8354143646408829</v>
      </c>
      <c r="AC33" s="17"/>
      <c r="AE33" s="15" t="e">
        <f>(G33+H33)*(#REF!+#REF!)*1000</f>
        <v>#REF!</v>
      </c>
      <c r="AF33" s="15" t="e">
        <f>(I33+J33)*(#REF!+#REF!)*1000</f>
        <v>#REF!</v>
      </c>
      <c r="AG33" s="15" t="e">
        <f>(K33+L33)*(#REF!+#REF!)*1000</f>
        <v>#REF!</v>
      </c>
      <c r="AH33" s="15" t="e">
        <f>#REF!*#REF!*1000</f>
        <v>#REF!</v>
      </c>
      <c r="AI33" s="15" t="e">
        <f>N33*(#REF!+#REF!)*1000</f>
        <v>#REF!</v>
      </c>
      <c r="AJ33" s="15" t="str">
        <f>IF(O33="","",(#REF!*#REF!*1000))</f>
        <v/>
      </c>
      <c r="AK33" s="15">
        <f t="shared" si="15"/>
        <v>0</v>
      </c>
      <c r="AL33" s="15">
        <f t="shared" si="16"/>
        <v>-10555.343679369955</v>
      </c>
      <c r="AM33" s="15" t="e">
        <f>SUM(AE33:AK33)</f>
        <v>#REF!</v>
      </c>
    </row>
    <row r="34" spans="2:42" s="20" customFormat="1" ht="17.100000000000001" customHeight="1" x14ac:dyDescent="0.3">
      <c r="B34" s="18" t="s">
        <v>31</v>
      </c>
      <c r="C34" s="19">
        <f>MIN(C$10:C$33)</f>
        <v>20.327143646408835</v>
      </c>
      <c r="D34" s="19">
        <f t="shared" ref="D34:AB34" si="18">MIN(D$10:D$33)</f>
        <v>30.849287292817692</v>
      </c>
      <c r="E34" s="19">
        <f t="shared" si="18"/>
        <v>51.176430939226528</v>
      </c>
      <c r="F34" s="19">
        <f t="shared" si="18"/>
        <v>2.1973075690607731</v>
      </c>
      <c r="G34" s="19">
        <f t="shared" si="18"/>
        <v>22.2</v>
      </c>
      <c r="H34" s="19">
        <f t="shared" si="18"/>
        <v>0</v>
      </c>
      <c r="I34" s="19">
        <f t="shared" si="18"/>
        <v>2</v>
      </c>
      <c r="J34" s="19">
        <f t="shared" si="18"/>
        <v>20</v>
      </c>
      <c r="K34" s="19">
        <f t="shared" si="18"/>
        <v>0</v>
      </c>
      <c r="L34" s="19">
        <f t="shared" si="18"/>
        <v>10</v>
      </c>
      <c r="M34" s="19">
        <f t="shared" si="18"/>
        <v>5</v>
      </c>
      <c r="N34" s="19">
        <f t="shared" si="18"/>
        <v>10</v>
      </c>
      <c r="O34" s="19">
        <f t="shared" si="18"/>
        <v>0</v>
      </c>
      <c r="P34" s="19">
        <f t="shared" si="18"/>
        <v>22.2</v>
      </c>
      <c r="Q34" s="19">
        <f t="shared" si="18"/>
        <v>35</v>
      </c>
      <c r="R34" s="19">
        <f t="shared" si="18"/>
        <v>57.2</v>
      </c>
      <c r="S34" s="19">
        <f t="shared" si="18"/>
        <v>0</v>
      </c>
      <c r="T34" s="19">
        <f t="shared" si="18"/>
        <v>0</v>
      </c>
      <c r="U34" s="19">
        <f t="shared" si="18"/>
        <v>0</v>
      </c>
      <c r="V34" s="19">
        <f t="shared" si="18"/>
        <v>-2.5730220994475204</v>
      </c>
      <c r="W34" s="19">
        <f t="shared" si="18"/>
        <v>-4.1507127071823078</v>
      </c>
      <c r="X34" s="19">
        <f t="shared" si="18"/>
        <v>-6.0235690607734718</v>
      </c>
      <c r="Y34" s="19">
        <f t="shared" si="18"/>
        <v>22.2</v>
      </c>
      <c r="Z34" s="19">
        <f t="shared" si="18"/>
        <v>35</v>
      </c>
      <c r="AA34" s="19">
        <f t="shared" si="18"/>
        <v>57.2</v>
      </c>
      <c r="AB34" s="19">
        <f t="shared" si="18"/>
        <v>0.31171823204421401</v>
      </c>
      <c r="AE34" s="19" t="e">
        <f t="shared" ref="AE34:AM34" si="19">MIN(AE$10:AE$33)</f>
        <v>#REF!</v>
      </c>
      <c r="AF34" s="19" t="e">
        <f t="shared" si="19"/>
        <v>#REF!</v>
      </c>
      <c r="AG34" s="19" t="e">
        <f t="shared" si="19"/>
        <v>#REF!</v>
      </c>
      <c r="AH34" s="19" t="e">
        <f t="shared" si="19"/>
        <v>#REF!</v>
      </c>
      <c r="AI34" s="19" t="e">
        <f t="shared" si="19"/>
        <v>#REF!</v>
      </c>
      <c r="AJ34" s="19">
        <f t="shared" si="19"/>
        <v>0</v>
      </c>
      <c r="AK34" s="19">
        <f t="shared" si="19"/>
        <v>0</v>
      </c>
      <c r="AL34" s="19">
        <f t="shared" si="19"/>
        <v>-17986.07986921438</v>
      </c>
      <c r="AM34" s="19" t="e">
        <f t="shared" si="19"/>
        <v>#REF!</v>
      </c>
    </row>
    <row r="35" spans="2:42" s="20" customFormat="1" ht="17.100000000000001" customHeight="1" x14ac:dyDescent="0.3">
      <c r="B35" s="18" t="s">
        <v>32</v>
      </c>
      <c r="C35" s="21">
        <f>AVERAGE(C$10:C$33)</f>
        <v>30.779369705340702</v>
      </c>
      <c r="D35" s="21">
        <f t="shared" ref="D35:AB35" si="20">AVERAGE(D$10:D$33)</f>
        <v>43.915430248618797</v>
      </c>
      <c r="E35" s="21">
        <f t="shared" si="20"/>
        <v>74.694799953959489</v>
      </c>
      <c r="F35" s="21">
        <f t="shared" si="20"/>
        <v>5.0306526199208097</v>
      </c>
      <c r="G35" s="21">
        <f t="shared" si="20"/>
        <v>30.758333333333336</v>
      </c>
      <c r="H35" s="21" t="e">
        <f t="shared" si="20"/>
        <v>#DIV/0!</v>
      </c>
      <c r="I35" s="21">
        <f t="shared" si="20"/>
        <v>3.5</v>
      </c>
      <c r="J35" s="21">
        <f t="shared" si="20"/>
        <v>22.166666666666668</v>
      </c>
      <c r="K35" s="21" t="e">
        <f t="shared" si="20"/>
        <v>#DIV/0!</v>
      </c>
      <c r="L35" s="21">
        <f t="shared" si="20"/>
        <v>15.090909090909092</v>
      </c>
      <c r="M35" s="21">
        <f t="shared" si="20"/>
        <v>5</v>
      </c>
      <c r="N35" s="21">
        <f t="shared" si="20"/>
        <v>10</v>
      </c>
      <c r="O35" s="21" t="e">
        <f t="shared" si="20"/>
        <v>#DIV/0!</v>
      </c>
      <c r="P35" s="21">
        <f t="shared" si="20"/>
        <v>31.925000000000001</v>
      </c>
      <c r="Q35" s="21">
        <f t="shared" si="20"/>
        <v>44.083333333333336</v>
      </c>
      <c r="R35" s="21">
        <f t="shared" si="20"/>
        <v>76.00833333333334</v>
      </c>
      <c r="S35" s="21">
        <f t="shared" si="20"/>
        <v>0</v>
      </c>
      <c r="T35" s="21">
        <f t="shared" si="20"/>
        <v>0.79284162062615271</v>
      </c>
      <c r="U35" s="21">
        <f t="shared" si="20"/>
        <v>0.79284162062615271</v>
      </c>
      <c r="V35" s="21">
        <f t="shared" si="20"/>
        <v>-1.1456302946593</v>
      </c>
      <c r="W35" s="21">
        <f t="shared" si="20"/>
        <v>-0.96074470534069878</v>
      </c>
      <c r="X35" s="21">
        <f t="shared" si="20"/>
        <v>-2.1063749999999994</v>
      </c>
      <c r="Y35" s="21">
        <f t="shared" si="20"/>
        <v>31.925000000000001</v>
      </c>
      <c r="Z35" s="21">
        <f t="shared" si="20"/>
        <v>44.876174953959492</v>
      </c>
      <c r="AA35" s="21">
        <f t="shared" si="20"/>
        <v>76.801174953959489</v>
      </c>
      <c r="AB35" s="21">
        <f t="shared" si="20"/>
        <v>2.1063750000000012</v>
      </c>
      <c r="AC35" s="22"/>
      <c r="AE35" s="21" t="e">
        <f t="shared" ref="AE35:AM35" si="21">AVERAGE(AE$10:AE$33)</f>
        <v>#REF!</v>
      </c>
      <c r="AF35" s="21" t="e">
        <f t="shared" si="21"/>
        <v>#REF!</v>
      </c>
      <c r="AG35" s="21" t="e">
        <f t="shared" si="21"/>
        <v>#REF!</v>
      </c>
      <c r="AH35" s="21" t="e">
        <f t="shared" si="21"/>
        <v>#REF!</v>
      </c>
      <c r="AI35" s="21" t="e">
        <f t="shared" si="21"/>
        <v>#REF!</v>
      </c>
      <c r="AJ35" s="21" t="e">
        <f t="shared" si="21"/>
        <v>#DIV/0!</v>
      </c>
      <c r="AK35" s="21">
        <f t="shared" si="21"/>
        <v>5341.5135234948457</v>
      </c>
      <c r="AL35" s="21">
        <f t="shared" si="21"/>
        <v>-8266.6417660857296</v>
      </c>
      <c r="AM35" s="21" t="e">
        <f t="shared" si="21"/>
        <v>#REF!</v>
      </c>
    </row>
    <row r="36" spans="2:42" s="20" customFormat="1" ht="17.100000000000001" customHeight="1" x14ac:dyDescent="0.3">
      <c r="B36" s="18" t="s">
        <v>33</v>
      </c>
      <c r="C36" s="21">
        <f>MAX(C$10:C$33)</f>
        <v>40.688281767955793</v>
      </c>
      <c r="D36" s="21">
        <f t="shared" ref="D36:AB36" si="22">MAX(D$10:D$33)</f>
        <v>55.337806629834247</v>
      </c>
      <c r="E36" s="21">
        <f t="shared" si="22"/>
        <v>96.026088397790033</v>
      </c>
      <c r="F36" s="21">
        <f t="shared" si="22"/>
        <v>8.0468134000662985</v>
      </c>
      <c r="G36" s="21">
        <f t="shared" si="22"/>
        <v>37</v>
      </c>
      <c r="H36" s="21">
        <f t="shared" si="22"/>
        <v>0</v>
      </c>
      <c r="I36" s="21">
        <f t="shared" si="22"/>
        <v>4</v>
      </c>
      <c r="J36" s="21">
        <f t="shared" si="22"/>
        <v>25</v>
      </c>
      <c r="K36" s="21">
        <f t="shared" si="22"/>
        <v>0</v>
      </c>
      <c r="L36" s="21">
        <f t="shared" si="22"/>
        <v>18</v>
      </c>
      <c r="M36" s="21">
        <f t="shared" si="22"/>
        <v>5</v>
      </c>
      <c r="N36" s="21">
        <f t="shared" si="22"/>
        <v>10</v>
      </c>
      <c r="O36" s="21">
        <f t="shared" si="22"/>
        <v>0</v>
      </c>
      <c r="P36" s="21">
        <f t="shared" si="22"/>
        <v>41</v>
      </c>
      <c r="Q36" s="21">
        <f t="shared" si="22"/>
        <v>54</v>
      </c>
      <c r="R36" s="21">
        <f t="shared" si="22"/>
        <v>95</v>
      </c>
      <c r="S36" s="21">
        <f t="shared" si="22"/>
        <v>0</v>
      </c>
      <c r="T36" s="21">
        <f t="shared" si="22"/>
        <v>6.6436187845303891</v>
      </c>
      <c r="U36" s="21">
        <f t="shared" si="22"/>
        <v>6.6436187845303891</v>
      </c>
      <c r="V36" s="21">
        <f t="shared" si="22"/>
        <v>-9.9281767955794464E-2</v>
      </c>
      <c r="W36" s="21">
        <f t="shared" si="22"/>
        <v>0</v>
      </c>
      <c r="X36" s="21">
        <f t="shared" si="22"/>
        <v>-0.3117182320442069</v>
      </c>
      <c r="Y36" s="21">
        <f t="shared" si="22"/>
        <v>41</v>
      </c>
      <c r="Z36" s="21">
        <f t="shared" si="22"/>
        <v>55.337806629834247</v>
      </c>
      <c r="AA36" s="21">
        <f t="shared" si="22"/>
        <v>96.337806629834247</v>
      </c>
      <c r="AB36" s="21">
        <f t="shared" si="22"/>
        <v>6.0235690607734753</v>
      </c>
      <c r="AC36" s="22"/>
      <c r="AE36" s="21" t="e">
        <f t="shared" ref="AE36:AM36" si="23">MAX(AE$10:AE$33)</f>
        <v>#REF!</v>
      </c>
      <c r="AF36" s="21" t="e">
        <f t="shared" si="23"/>
        <v>#REF!</v>
      </c>
      <c r="AG36" s="21" t="e">
        <f t="shared" si="23"/>
        <v>#REF!</v>
      </c>
      <c r="AH36" s="21" t="e">
        <f t="shared" si="23"/>
        <v>#REF!</v>
      </c>
      <c r="AI36" s="21" t="e">
        <f t="shared" si="23"/>
        <v>#REF!</v>
      </c>
      <c r="AJ36" s="21">
        <f t="shared" si="23"/>
        <v>0</v>
      </c>
      <c r="AK36" s="21">
        <f t="shared" si="23"/>
        <v>51094.354986154009</v>
      </c>
      <c r="AL36" s="21">
        <f t="shared" si="23"/>
        <v>-2118.9028407449082</v>
      </c>
      <c r="AM36" s="21" t="e">
        <f t="shared" si="23"/>
        <v>#REF!</v>
      </c>
    </row>
    <row r="37" spans="2:42" s="20" customFormat="1" ht="17.100000000000001" customHeight="1" x14ac:dyDescent="0.3">
      <c r="B37" s="18" t="s">
        <v>34</v>
      </c>
      <c r="C37" s="23">
        <f t="shared" ref="C37:F37" si="24">SUM(C$10:C$33)</f>
        <v>738.70487292817688</v>
      </c>
      <c r="D37" s="23">
        <f t="shared" si="24"/>
        <v>1053.9703259668511</v>
      </c>
      <c r="E37" s="23">
        <f t="shared" si="24"/>
        <v>1792.6751988950277</v>
      </c>
      <c r="F37" s="23">
        <f t="shared" si="24"/>
        <v>120.73566287809943</v>
      </c>
      <c r="G37" s="23">
        <f>SUM(G$10:G$33)</f>
        <v>738.2</v>
      </c>
      <c r="H37" s="23">
        <f t="shared" ref="H37:AB37" si="25">SUM(H$10:H$33)</f>
        <v>0</v>
      </c>
      <c r="I37" s="23">
        <f t="shared" si="25"/>
        <v>28</v>
      </c>
      <c r="J37" s="23">
        <f t="shared" si="25"/>
        <v>532</v>
      </c>
      <c r="K37" s="23">
        <f t="shared" si="25"/>
        <v>0</v>
      </c>
      <c r="L37" s="23">
        <f t="shared" si="25"/>
        <v>166</v>
      </c>
      <c r="M37" s="23">
        <f t="shared" si="25"/>
        <v>120</v>
      </c>
      <c r="N37" s="23">
        <f t="shared" si="25"/>
        <v>240</v>
      </c>
      <c r="O37" s="23">
        <f t="shared" si="25"/>
        <v>0</v>
      </c>
      <c r="P37" s="23">
        <f t="shared" si="25"/>
        <v>766.2</v>
      </c>
      <c r="Q37" s="23">
        <f t="shared" si="25"/>
        <v>1058</v>
      </c>
      <c r="R37" s="23">
        <f t="shared" si="25"/>
        <v>1824.2</v>
      </c>
      <c r="S37" s="23">
        <f t="shared" si="25"/>
        <v>0</v>
      </c>
      <c r="T37" s="23">
        <f t="shared" si="25"/>
        <v>19.028198895027664</v>
      </c>
      <c r="U37" s="23">
        <f t="shared" si="25"/>
        <v>19.028198895027664</v>
      </c>
      <c r="V37" s="23">
        <f t="shared" si="25"/>
        <v>-27.495127071823202</v>
      </c>
      <c r="W37" s="23">
        <f t="shared" si="25"/>
        <v>-23.057872928176771</v>
      </c>
      <c r="X37" s="23">
        <f t="shared" si="25"/>
        <v>-50.552999999999983</v>
      </c>
      <c r="Y37" s="23">
        <f t="shared" si="25"/>
        <v>766.2</v>
      </c>
      <c r="Z37" s="23">
        <f t="shared" si="25"/>
        <v>1077.0281988950278</v>
      </c>
      <c r="AA37" s="23">
        <f t="shared" si="25"/>
        <v>1843.2281988950276</v>
      </c>
      <c r="AB37" s="23">
        <f t="shared" si="25"/>
        <v>50.553000000000033</v>
      </c>
      <c r="AC37" s="24"/>
      <c r="AD37" s="25"/>
      <c r="AE37" s="23" t="e">
        <f>SUM(AE$10:AE$33)</f>
        <v>#REF!</v>
      </c>
      <c r="AF37" s="23" t="e">
        <f t="shared" ref="AF37:AL37" si="26">SUM(AF$10:AF$33)</f>
        <v>#REF!</v>
      </c>
      <c r="AG37" s="23" t="e">
        <f t="shared" si="26"/>
        <v>#REF!</v>
      </c>
      <c r="AH37" s="23" t="e">
        <f>SUM(AH$10:AH$33)</f>
        <v>#REF!</v>
      </c>
      <c r="AI37" s="23" t="e">
        <f>SUM(AI$10:AI$33)</f>
        <v>#REF!</v>
      </c>
      <c r="AJ37" s="23">
        <f t="shared" si="26"/>
        <v>0</v>
      </c>
      <c r="AK37" s="23">
        <f>SUM(AK$10:AK$33)</f>
        <v>128196.32456387629</v>
      </c>
      <c r="AL37" s="23">
        <f t="shared" si="26"/>
        <v>-198399.40238605751</v>
      </c>
      <c r="AM37" s="23" t="e">
        <f>SUM(AM$10:AM$33)</f>
        <v>#REF!</v>
      </c>
    </row>
    <row r="38" spans="2:42" s="20" customFormat="1" ht="17.100000000000001" customHeight="1" x14ac:dyDescent="0.3">
      <c r="B38" s="18" t="s">
        <v>35</v>
      </c>
      <c r="C38" s="26">
        <f>C37/(82*24)</f>
        <v>0.37535816713830128</v>
      </c>
      <c r="D38" s="26">
        <f>D37/(24*24)</f>
        <v>1.8298095936924499</v>
      </c>
      <c r="E38" s="26">
        <f>E37/(106*24)</f>
        <v>0.7046679240939574</v>
      </c>
      <c r="F38" s="26"/>
      <c r="G38" s="27">
        <f>(G37+H37)/(37*24)</f>
        <v>0.83130630630630631</v>
      </c>
      <c r="H38" s="26"/>
      <c r="I38" s="27">
        <f>(I37+J37)/(25*24)</f>
        <v>0.93333333333333335</v>
      </c>
      <c r="J38" s="26"/>
      <c r="K38" s="27">
        <f>(K37+L37)/(20*24)</f>
        <v>0.34583333333333333</v>
      </c>
      <c r="L38" s="26"/>
      <c r="M38" s="27">
        <f>(M37)/(5*24)</f>
        <v>1</v>
      </c>
      <c r="N38" s="27">
        <f>(N37)/(10*24)</f>
        <v>1</v>
      </c>
      <c r="O38" s="27" t="e">
        <f>(O37)/(#REF!*24)</f>
        <v>#REF!</v>
      </c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6"/>
      <c r="AA38" s="26"/>
      <c r="AB38" s="26"/>
      <c r="AC38" s="28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2:42" s="20" customFormat="1" ht="17.100000000000001" customHeight="1" x14ac:dyDescent="0.3">
      <c r="B39" s="18" t="s">
        <v>36</v>
      </c>
      <c r="C39" s="26">
        <f>C37/E37</f>
        <v>0.4120684401633386</v>
      </c>
      <c r="D39" s="26">
        <f>D37/E37</f>
        <v>0.58793155983666157</v>
      </c>
      <c r="E39" s="26">
        <f>E37/E37</f>
        <v>1</v>
      </c>
      <c r="F39" s="26"/>
      <c r="G39" s="27">
        <f>(G37+H37)/$AA$37</f>
        <v>0.40049300485015027</v>
      </c>
      <c r="H39" s="27"/>
      <c r="I39" s="27">
        <f>(I37+J37)/$AA$37</f>
        <v>0.30381479641842879</v>
      </c>
      <c r="J39" s="27"/>
      <c r="K39" s="27">
        <f>(K37+L37)/$AA$37</f>
        <v>9.0059386081177112E-2</v>
      </c>
      <c r="L39" s="27"/>
      <c r="M39" s="27">
        <f>M37/$AA$37</f>
        <v>6.5103170661091891E-2</v>
      </c>
      <c r="N39" s="27">
        <f>N37/$AA$37</f>
        <v>0.13020634132218378</v>
      </c>
      <c r="O39" s="27">
        <f>O37/$AA$37</f>
        <v>0</v>
      </c>
      <c r="P39" s="26"/>
      <c r="Q39" s="26"/>
      <c r="R39" s="26"/>
      <c r="S39" s="27">
        <f t="shared" ref="S39" si="27">S37/$AA$37</f>
        <v>0</v>
      </c>
      <c r="T39" s="27">
        <f>T37/$AA$37</f>
        <v>1.0323300666968217E-2</v>
      </c>
      <c r="U39" s="27"/>
      <c r="V39" s="26"/>
      <c r="W39" s="26"/>
      <c r="X39" s="26"/>
      <c r="Y39" s="26"/>
      <c r="Z39" s="26"/>
      <c r="AA39" s="26"/>
      <c r="AB39" s="26"/>
      <c r="AC39" s="30"/>
      <c r="AE39" s="31" t="s">
        <v>37</v>
      </c>
      <c r="AF39" s="29"/>
      <c r="AG39" s="29"/>
      <c r="AH39" s="29"/>
      <c r="AI39" s="29"/>
      <c r="AJ39" s="29"/>
      <c r="AK39" s="29"/>
      <c r="AL39" s="29"/>
      <c r="AM39" s="29"/>
    </row>
    <row r="40" spans="2:42" s="20" customFormat="1" x14ac:dyDescent="0.3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2"/>
      <c r="V40" s="32"/>
      <c r="W40" s="32"/>
      <c r="X40" s="32"/>
      <c r="Y40" s="32"/>
      <c r="Z40" s="32"/>
      <c r="AA40" s="32"/>
      <c r="AB40" s="32"/>
      <c r="AC40" s="25"/>
      <c r="AE40" s="23" t="e">
        <f>(#REF!+#REF!)*#REF!*1000*24</f>
        <v>#REF!</v>
      </c>
      <c r="AF40" s="23" t="e">
        <f>(#REF!+#REF!)*#REF!*1000*24</f>
        <v>#REF!</v>
      </c>
      <c r="AG40" s="23" t="e">
        <f>(#REF!+#REF!)*#REF!*1000*24</f>
        <v>#REF!</v>
      </c>
      <c r="AH40" s="23"/>
      <c r="AI40" s="23" t="e">
        <f>#REF!*#REF!*24*1000</f>
        <v>#REF!</v>
      </c>
      <c r="AJ40" s="23"/>
      <c r="AK40" s="23"/>
      <c r="AL40" s="23"/>
      <c r="AM40" s="23" t="e">
        <f>SUM(AE40:AL40)</f>
        <v>#REF!</v>
      </c>
    </row>
    <row r="41" spans="2:42" s="20" customFormat="1" x14ac:dyDescent="0.3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2"/>
      <c r="V41" s="32"/>
      <c r="W41" s="32"/>
      <c r="X41" s="32"/>
      <c r="Y41" s="32"/>
      <c r="Z41" s="32"/>
      <c r="AA41" s="32"/>
      <c r="AB41" s="32"/>
      <c r="AC41" s="25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2:42" s="20" customFormat="1" x14ac:dyDescent="0.3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4"/>
      <c r="V42" s="34"/>
      <c r="W42" s="34"/>
      <c r="X42" s="34"/>
      <c r="Y42" s="34"/>
      <c r="Z42" s="34"/>
      <c r="AA42" s="34"/>
      <c r="AB42" s="34"/>
      <c r="AC42" s="25"/>
      <c r="AE42" s="31" t="s">
        <v>38</v>
      </c>
      <c r="AF42" s="36"/>
      <c r="AG42" s="36"/>
      <c r="AH42" s="36"/>
      <c r="AI42" s="36"/>
      <c r="AJ42" s="36"/>
      <c r="AK42" s="36"/>
      <c r="AL42" s="36"/>
      <c r="AM42" s="36"/>
    </row>
    <row r="43" spans="2:42" s="20" customFormat="1" x14ac:dyDescent="0.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2"/>
      <c r="V43" s="32"/>
      <c r="W43" s="32"/>
      <c r="X43" s="32"/>
      <c r="Y43" s="32"/>
      <c r="Z43" s="32"/>
      <c r="AA43" s="32"/>
      <c r="AB43" s="32"/>
      <c r="AC43" s="25"/>
      <c r="AE43" s="23" t="e">
        <f>(((G37+H37)*(#REF!+#REF!)*1000)*1.12)+((AE37+AE40)*0.12)</f>
        <v>#REF!</v>
      </c>
      <c r="AF43" s="23" t="e">
        <f>(((I37+J37)*(#REF!+#REF!)*1000)*1.12)+((AF37+AF40)*0.12)</f>
        <v>#REF!</v>
      </c>
      <c r="AG43" s="23" t="e">
        <f>(((K37+L37)*(#REF!+#REF!)*1000)*1.12)+((AG37+AG40)*0.12)</f>
        <v>#REF!</v>
      </c>
      <c r="AH43" s="23" t="e">
        <f>((M37*(#REF!+#REF!)*1000)*1.12)+((AH37+AH40)*0.12)</f>
        <v>#REF!</v>
      </c>
      <c r="AI43" s="23" t="e">
        <f>((N37*(#REF!+#REF!+#REF!)*1000)*1.12)+((AI37+AI40)*0)</f>
        <v>#REF!</v>
      </c>
      <c r="AJ43" s="23" t="e">
        <f>((O37*(#REF!+#REF!)*1000)*1.12)+((AJ37+AJ40)*0)</f>
        <v>#REF!</v>
      </c>
      <c r="AK43" s="23" t="e">
        <f>((U37*(#REF!+#REF!)*1000)*1.12)+((AK37+AK40)*0.07)</f>
        <v>#REF!</v>
      </c>
      <c r="AL43" s="23">
        <f>((AL37+AL40)*0.07)</f>
        <v>-13887.958167024028</v>
      </c>
      <c r="AM43" s="23" t="e">
        <f>SUM(AE43:AL43)</f>
        <v>#REF!</v>
      </c>
    </row>
    <row r="44" spans="2:42" s="20" customFormat="1" x14ac:dyDescent="0.3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2"/>
      <c r="V44" s="32"/>
      <c r="W44" s="32"/>
      <c r="X44" s="32"/>
      <c r="Y44" s="32"/>
      <c r="Z44" s="32"/>
      <c r="AA44" s="32"/>
      <c r="AB44" s="32"/>
      <c r="AC44" s="25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2:42" s="20" customFormat="1" x14ac:dyDescent="0.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2"/>
      <c r="V45" s="32"/>
      <c r="W45" s="32"/>
      <c r="X45" s="32"/>
      <c r="Y45" s="32"/>
      <c r="Z45" s="32"/>
      <c r="AA45" s="32"/>
      <c r="AB45" s="32"/>
      <c r="AC45" s="25"/>
      <c r="AE45" s="29"/>
      <c r="AF45" s="29"/>
      <c r="AG45" s="29"/>
      <c r="AH45" s="29"/>
      <c r="AI45" s="29"/>
      <c r="AJ45" s="29"/>
      <c r="AK45" s="29"/>
      <c r="AL45" s="37" t="s">
        <v>39</v>
      </c>
      <c r="AM45" s="29"/>
    </row>
    <row r="46" spans="2:42" s="20" customFormat="1" ht="15.6" x14ac:dyDescent="0.3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2"/>
      <c r="V46" s="32"/>
      <c r="W46" s="32"/>
      <c r="X46" s="32"/>
      <c r="Y46" s="32"/>
      <c r="Z46" s="32"/>
      <c r="AA46" s="32"/>
      <c r="AB46" s="32"/>
      <c r="AC46" s="25"/>
      <c r="AE46" s="38"/>
      <c r="AF46" s="38"/>
      <c r="AG46" s="29"/>
      <c r="AH46" s="29"/>
      <c r="AI46" s="29"/>
      <c r="AJ46" s="29"/>
      <c r="AK46" s="29"/>
      <c r="AL46" s="39" t="s">
        <v>40</v>
      </c>
      <c r="AM46" s="40" t="e">
        <f>(AM37+AM40)/E37/1000</f>
        <v>#REF!</v>
      </c>
      <c r="AN46" s="40"/>
      <c r="AO46" s="40">
        <v>7.5392000000000001</v>
      </c>
      <c r="AP46" s="40" t="e">
        <f>AO46-AM46</f>
        <v>#REF!</v>
      </c>
    </row>
    <row r="47" spans="2:42" s="20" customFormat="1" ht="15.6" x14ac:dyDescent="0.3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2"/>
      <c r="V47" s="32"/>
      <c r="W47" s="32"/>
      <c r="X47" s="32"/>
      <c r="Y47" s="32"/>
      <c r="Z47" s="32"/>
      <c r="AA47" s="32"/>
      <c r="AB47" s="32"/>
      <c r="AC47" s="25"/>
      <c r="AE47" s="29"/>
      <c r="AF47" s="29"/>
      <c r="AG47" s="29"/>
      <c r="AH47" s="29"/>
      <c r="AI47" s="29"/>
      <c r="AJ47" s="29"/>
      <c r="AK47" s="29"/>
      <c r="AL47" s="39" t="s">
        <v>41</v>
      </c>
      <c r="AM47" s="40" t="e">
        <f>#REF!/Nomination!E37/1000</f>
        <v>#REF!</v>
      </c>
      <c r="AN47" s="40"/>
      <c r="AO47" s="40">
        <v>0.25280000000000002</v>
      </c>
      <c r="AP47" s="40" t="e">
        <f>AO47-AM47</f>
        <v>#REF!</v>
      </c>
    </row>
    <row r="48" spans="2:42" s="20" customFormat="1" ht="15.6" x14ac:dyDescent="0.3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2"/>
      <c r="V48" s="32"/>
      <c r="W48" s="32"/>
      <c r="X48" s="32"/>
      <c r="Y48" s="32"/>
      <c r="Z48" s="32"/>
      <c r="AA48" s="32"/>
      <c r="AB48" s="32"/>
      <c r="AC48" s="25"/>
      <c r="AE48" s="29"/>
      <c r="AF48" s="29"/>
      <c r="AG48" s="29"/>
      <c r="AH48" s="29"/>
      <c r="AI48" s="29"/>
      <c r="AJ48" s="29"/>
      <c r="AK48" s="29"/>
      <c r="AL48" s="29" t="s">
        <v>29</v>
      </c>
      <c r="AM48" s="40" t="e">
        <f>SUM(AM46:AM47)</f>
        <v>#REF!</v>
      </c>
      <c r="AN48" s="40"/>
      <c r="AO48" s="40">
        <f>SUM(AO46:AO47)</f>
        <v>7.7919999999999998</v>
      </c>
      <c r="AP48" s="41" t="e">
        <f>SUM(AP46:AP47)</f>
        <v>#REF!</v>
      </c>
    </row>
    <row r="49" spans="31:42" x14ac:dyDescent="0.3">
      <c r="AE49" s="29"/>
      <c r="AF49" s="29"/>
      <c r="AG49" s="29"/>
      <c r="AH49" s="29"/>
      <c r="AI49" s="29"/>
      <c r="AJ49" s="29"/>
      <c r="AK49" s="29"/>
      <c r="AL49" s="29"/>
      <c r="AM49" s="29"/>
      <c r="AN49" s="20"/>
      <c r="AO49" s="20"/>
      <c r="AP49" s="20"/>
    </row>
    <row r="50" spans="31:42" x14ac:dyDescent="0.3">
      <c r="AE50" s="29"/>
      <c r="AF50" s="29"/>
      <c r="AG50" s="29"/>
      <c r="AH50" s="29"/>
      <c r="AI50" s="29"/>
      <c r="AJ50" s="29"/>
      <c r="AK50" s="29"/>
      <c r="AL50" s="37" t="s">
        <v>42</v>
      </c>
      <c r="AM50" s="29"/>
      <c r="AN50" s="20"/>
      <c r="AO50" s="20"/>
      <c r="AP50" s="20"/>
    </row>
    <row r="51" spans="31:42" ht="15.6" x14ac:dyDescent="0.3">
      <c r="AL51" s="39" t="s">
        <v>40</v>
      </c>
      <c r="AM51" s="40" t="e">
        <f>(AM37+AL37+AM40)/E37/1000</f>
        <v>#REF!</v>
      </c>
      <c r="AN51" s="40"/>
      <c r="AO51" s="40">
        <v>7.5392000000000001</v>
      </c>
      <c r="AP51" s="40" t="e">
        <f t="shared" ref="AP51:AP52" si="28">AO51-AM51</f>
        <v>#REF!</v>
      </c>
    </row>
    <row r="52" spans="31:42" ht="15.6" x14ac:dyDescent="0.3">
      <c r="AL52" s="39" t="s">
        <v>41</v>
      </c>
      <c r="AM52" s="40" t="e">
        <f>#REF!/E37/1000</f>
        <v>#REF!</v>
      </c>
      <c r="AN52" s="40"/>
      <c r="AO52" s="40">
        <f>AO47</f>
        <v>0.25280000000000002</v>
      </c>
      <c r="AP52" s="40" t="e">
        <f t="shared" si="28"/>
        <v>#REF!</v>
      </c>
    </row>
    <row r="53" spans="31:42" ht="15.6" x14ac:dyDescent="0.3">
      <c r="AL53" s="29" t="s">
        <v>29</v>
      </c>
      <c r="AM53" s="40" t="e">
        <f>SUM(AM51:AM52)</f>
        <v>#REF!</v>
      </c>
      <c r="AN53" s="40"/>
      <c r="AO53" s="40">
        <f>SUM(AO51:AO52)</f>
        <v>7.7919999999999998</v>
      </c>
      <c r="AP53" s="41" t="e">
        <f>SUM(AP51:AP52)</f>
        <v>#REF!</v>
      </c>
    </row>
    <row r="55" spans="31:42" x14ac:dyDescent="0.3">
      <c r="AL55" s="37" t="s">
        <v>43</v>
      </c>
    </row>
    <row r="56" spans="31:42" ht="15.6" x14ac:dyDescent="0.3">
      <c r="AL56" s="39" t="s">
        <v>40</v>
      </c>
      <c r="AM56" s="40" t="e">
        <f>(AM37+AL37+AM40+AM43)/E37/1000</f>
        <v>#REF!</v>
      </c>
      <c r="AN56" s="40"/>
      <c r="AO56" s="40">
        <v>8.3933999999999997</v>
      </c>
      <c r="AP56" s="40" t="e">
        <f t="shared" ref="AP56:AP57" si="29">AO56-AM56</f>
        <v>#REF!</v>
      </c>
    </row>
    <row r="57" spans="31:42" ht="15.6" x14ac:dyDescent="0.3">
      <c r="AL57" s="39" t="s">
        <v>41</v>
      </c>
      <c r="AM57" s="40" t="e">
        <f>#REF!/E37/1000</f>
        <v>#REF!</v>
      </c>
      <c r="AN57" s="40"/>
      <c r="AO57" s="40">
        <v>0.28320000000000001</v>
      </c>
      <c r="AP57" s="40" t="e">
        <f t="shared" si="29"/>
        <v>#REF!</v>
      </c>
    </row>
    <row r="58" spans="31:42" ht="15.6" x14ac:dyDescent="0.3">
      <c r="AL58" s="29" t="s">
        <v>29</v>
      </c>
      <c r="AM58" s="40" t="e">
        <f>SUM(AM56:AM57)</f>
        <v>#REF!</v>
      </c>
      <c r="AN58" s="40"/>
      <c r="AO58" s="40">
        <f>SUM(AO56:AO57)</f>
        <v>8.6766000000000005</v>
      </c>
      <c r="AP58" s="41" t="e">
        <f>SUM(AP56:AP57)</f>
        <v>#REF!</v>
      </c>
    </row>
    <row r="61" spans="31:42" x14ac:dyDescent="0.3">
      <c r="AL61" s="46" t="s">
        <v>44</v>
      </c>
    </row>
  </sheetData>
  <mergeCells count="30">
    <mergeCell ref="B8:B9"/>
    <mergeCell ref="P8:R8"/>
    <mergeCell ref="N8:N9"/>
    <mergeCell ref="O8:O9"/>
    <mergeCell ref="S8:U8"/>
    <mergeCell ref="F8:F9"/>
    <mergeCell ref="G8:H8"/>
    <mergeCell ref="I8:J8"/>
    <mergeCell ref="K8:L8"/>
    <mergeCell ref="M8:M9"/>
    <mergeCell ref="Y8:AA8"/>
    <mergeCell ref="AB8:AB9"/>
    <mergeCell ref="C8:E8"/>
    <mergeCell ref="V8:X8"/>
    <mergeCell ref="AM8:AM9"/>
    <mergeCell ref="AK8:AK9"/>
    <mergeCell ref="AL8:AL9"/>
    <mergeCell ref="AE8:AE9"/>
    <mergeCell ref="AF8:AF9"/>
    <mergeCell ref="AG8:AG9"/>
    <mergeCell ref="AH8:AH9"/>
    <mergeCell ref="AI8:AI9"/>
    <mergeCell ref="AJ8:AJ9"/>
    <mergeCell ref="G1:K1"/>
    <mergeCell ref="L3:N3"/>
    <mergeCell ref="Q3:S3"/>
    <mergeCell ref="G5:I5"/>
    <mergeCell ref="L5:N5"/>
    <mergeCell ref="Q5:S5"/>
    <mergeCell ref="G3:I3"/>
  </mergeCells>
  <conditionalFormatting sqref="J3 O3 T3 J5 O5 T5">
    <cfRule type="containsErrors" dxfId="6" priority="9">
      <formula>ISERROR(J3)</formula>
    </cfRule>
  </conditionalFormatting>
  <conditionalFormatting sqref="R10:X33">
    <cfRule type="cellIs" dxfId="5" priority="51" operator="lessThan">
      <formula>0</formula>
    </cfRule>
  </conditionalFormatting>
  <conditionalFormatting sqref="AA10:AB33">
    <cfRule type="cellIs" dxfId="4" priority="3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10:E33" formulaRange="1"/>
    <ignoredError sqref="J3:J5 O3:O5 T3:T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FF0-F31B-44AF-86BE-1E1C0F8F1D4D}">
  <sheetPr>
    <pageSetUpPr fitToPage="1"/>
  </sheetPr>
  <dimension ref="C1:Z41"/>
  <sheetViews>
    <sheetView showGridLines="0" zoomScale="80" zoomScaleNormal="80" zoomScaleSheetLayoutView="70" workbookViewId="0">
      <selection activeCell="P11" sqref="P11:P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45677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65">
        <f>'7. EOD Report'!D11-'6. DAP Report'!D11</f>
        <v>-67508.866812003762</v>
      </c>
      <c r="E11" s="65">
        <f>'7. EOD Report'!E11-'6. DAP Report'!E11</f>
        <v>-5300.2405192682254</v>
      </c>
      <c r="F11" s="65">
        <f>'7. EOD Report'!F11-'6. DAP Report'!F11</f>
        <v>-62208.626292735535</v>
      </c>
      <c r="G11" s="65">
        <f>'7. EOD Report'!G11-'6. DAP Report'!G11</f>
        <v>0</v>
      </c>
      <c r="H11" s="65">
        <f>'7. EOD Report'!H11-'6. DAP Report'!H11</f>
        <v>0</v>
      </c>
      <c r="I11" s="65">
        <f>'7. EOD Report'!I11-'6. DAP Report'!I11</f>
        <v>0</v>
      </c>
      <c r="J11" s="65">
        <f>'7. EOD Report'!J11-'6. DAP Report'!J11</f>
        <v>0</v>
      </c>
      <c r="K11" s="81">
        <f>'5. Actual'!W5</f>
        <v>0</v>
      </c>
      <c r="L11" s="65">
        <f>'7. EOD Report'!L11-'6. DAP Report'!L11</f>
        <v>-62208.626292735535</v>
      </c>
      <c r="M11" s="65">
        <f>'7. EOD Report'!M11-'6. DAP Report'!M11</f>
        <v>0</v>
      </c>
      <c r="N11" s="65">
        <f>'7. EOD Report'!N11-'6. DAP Report'!N11</f>
        <v>0</v>
      </c>
      <c r="O11" s="65">
        <f>'7. EOD Report'!O11-'6. DAP Report'!O11</f>
        <v>0</v>
      </c>
      <c r="P11" s="65">
        <f>'7. EOD Report'!P11-'6. DAP Report'!P11</f>
        <v>0</v>
      </c>
      <c r="Q11" s="78">
        <f>'1. Rates'!$I$57</f>
        <v>0</v>
      </c>
      <c r="R11" s="66" t="e">
        <f>'7. EOD Report'!R11-'6. DAP Report'!R11</f>
        <v>#DIV/0!</v>
      </c>
      <c r="S11" s="66" t="e">
        <f>'7. EOD Report'!T11-'6. DAP Report'!T11</f>
        <v>#DIV/0!</v>
      </c>
      <c r="T11" s="66" t="e">
        <f>'7. EOD Report'!U11-'6. DAP Report'!U11</f>
        <v>#DIV/0!</v>
      </c>
      <c r="U11" s="66" t="e">
        <f>'7. EOD Report'!V11-'6. DAP Report'!V11</f>
        <v>#DIV/0!</v>
      </c>
      <c r="V11" s="66" t="e">
        <f>'7. EOD Report'!W11-'6. DAP Report'!W11</f>
        <v>#DIV/0!</v>
      </c>
    </row>
    <row r="12" spans="3:22" ht="19.350000000000001" customHeight="1" x14ac:dyDescent="0.3">
      <c r="C12" s="64">
        <v>2</v>
      </c>
      <c r="D12" s="65">
        <f>'7. EOD Report'!D12-'6. DAP Report'!D12</f>
        <v>-64036.845991138456</v>
      </c>
      <c r="E12" s="65">
        <f>'7. EOD Report'!E12-'6. DAP Report'!E12</f>
        <v>-5231.7440848701544</v>
      </c>
      <c r="F12" s="65">
        <f>'7. EOD Report'!F12-'6. DAP Report'!F12</f>
        <v>-58805.101906268304</v>
      </c>
      <c r="G12" s="65">
        <f>'7. EOD Report'!G12-'6. DAP Report'!G12</f>
        <v>0</v>
      </c>
      <c r="H12" s="65">
        <f>'7. EOD Report'!H12-'6. DAP Report'!H12</f>
        <v>0</v>
      </c>
      <c r="I12" s="65">
        <f>'7. EOD Report'!I12-'6. DAP Report'!I12</f>
        <v>0</v>
      </c>
      <c r="J12" s="65">
        <f>'7. EOD Report'!J12-'6. DAP Report'!J12</f>
        <v>0</v>
      </c>
      <c r="K12" s="81">
        <f>'5. Actual'!W6</f>
        <v>0</v>
      </c>
      <c r="L12" s="65">
        <f>'7. EOD Report'!L12-'6. DAP Report'!L12</f>
        <v>-58805.101906268304</v>
      </c>
      <c r="M12" s="65">
        <f>'7. EOD Report'!M12-'6. DAP Report'!M12</f>
        <v>0</v>
      </c>
      <c r="N12" s="65">
        <f>'7. EOD Report'!N12-'6. DAP Report'!N12</f>
        <v>0</v>
      </c>
      <c r="O12" s="65">
        <f>'7. EOD Report'!O12-'6. DAP Report'!O12</f>
        <v>0</v>
      </c>
      <c r="P12" s="65">
        <f>'7. EOD Report'!P12-'6. DAP Report'!P12</f>
        <v>0</v>
      </c>
      <c r="Q12" s="78">
        <f>'1. Rates'!$I$57</f>
        <v>0</v>
      </c>
      <c r="R12" s="66" t="e">
        <f>'7. EOD Report'!R12-'6. DAP Report'!R12</f>
        <v>#DIV/0!</v>
      </c>
      <c r="S12" s="66" t="e">
        <f>'7. EOD Report'!T12-'6. DAP Report'!T12</f>
        <v>#DIV/0!</v>
      </c>
      <c r="T12" s="66" t="e">
        <f>'7. EOD Report'!U12-'6. DAP Report'!U12</f>
        <v>#DIV/0!</v>
      </c>
      <c r="U12" s="66" t="e">
        <f>'7. EOD Report'!V12-'6. DAP Report'!V12</f>
        <v>#DIV/0!</v>
      </c>
      <c r="V12" s="66" t="e">
        <f>'7. EOD Report'!W12-'6. DAP Report'!W12</f>
        <v>#DIV/0!</v>
      </c>
    </row>
    <row r="13" spans="3:22" ht="19.350000000000001" customHeight="1" x14ac:dyDescent="0.3">
      <c r="C13" s="64">
        <v>3</v>
      </c>
      <c r="D13" s="65">
        <f>'7. EOD Report'!D13-'6. DAP Report'!D13</f>
        <v>-61458.756275403626</v>
      </c>
      <c r="E13" s="65">
        <f>'7. EOD Report'!E13-'6. DAP Report'!E13</f>
        <v>-5172.9645141120864</v>
      </c>
      <c r="F13" s="65">
        <f>'7. EOD Report'!F13-'6. DAP Report'!F13</f>
        <v>-56285.791761291541</v>
      </c>
      <c r="G13" s="65">
        <f>'7. EOD Report'!G13-'6. DAP Report'!G13</f>
        <v>0</v>
      </c>
      <c r="H13" s="65">
        <f>'7. EOD Report'!H13-'6. DAP Report'!H13</f>
        <v>0</v>
      </c>
      <c r="I13" s="65">
        <f>'7. EOD Report'!I13-'6. DAP Report'!I13</f>
        <v>0</v>
      </c>
      <c r="J13" s="65">
        <f>'7. EOD Report'!J13-'6. DAP Report'!J13</f>
        <v>0</v>
      </c>
      <c r="K13" s="81">
        <f>'5. Actual'!W7</f>
        <v>0</v>
      </c>
      <c r="L13" s="65">
        <f>'7. EOD Report'!L13-'6. DAP Report'!L13</f>
        <v>-56285.791761291541</v>
      </c>
      <c r="M13" s="65">
        <f>'7. EOD Report'!M13-'6. DAP Report'!M13</f>
        <v>0</v>
      </c>
      <c r="N13" s="65">
        <f>'7. EOD Report'!N13-'6. DAP Report'!N13</f>
        <v>0</v>
      </c>
      <c r="O13" s="65">
        <f>'7. EOD Report'!O13-'6. DAP Report'!O13</f>
        <v>0</v>
      </c>
      <c r="P13" s="65">
        <f>'7. EOD Report'!P13-'6. DAP Report'!P13</f>
        <v>0</v>
      </c>
      <c r="Q13" s="78">
        <f>'1. Rates'!$I$57</f>
        <v>0</v>
      </c>
      <c r="R13" s="66" t="e">
        <f>'7. EOD Report'!R13-'6. DAP Report'!R13</f>
        <v>#DIV/0!</v>
      </c>
      <c r="S13" s="66" t="e">
        <f>'7. EOD Report'!T13-'6. DAP Report'!T13</f>
        <v>#DIV/0!</v>
      </c>
      <c r="T13" s="66" t="e">
        <f>'7. EOD Report'!U13-'6. DAP Report'!U13</f>
        <v>#DIV/0!</v>
      </c>
      <c r="U13" s="66" t="e">
        <f>'7. EOD Report'!V13-'6. DAP Report'!V13</f>
        <v>#DIV/0!</v>
      </c>
      <c r="V13" s="66" t="e">
        <f>'7. EOD Report'!W13-'6. DAP Report'!W13</f>
        <v>#DIV/0!</v>
      </c>
    </row>
    <row r="14" spans="3:22" ht="19.350000000000001" customHeight="1" x14ac:dyDescent="0.3">
      <c r="C14" s="64">
        <v>4</v>
      </c>
      <c r="D14" s="65">
        <f>'7. EOD Report'!D14-'6. DAP Report'!D14</f>
        <v>-59778.96047892818</v>
      </c>
      <c r="E14" s="65">
        <f>'7. EOD Report'!E14-'6. DAP Report'!E14</f>
        <v>-5075.9463236804486</v>
      </c>
      <c r="F14" s="65">
        <f>'7. EOD Report'!F14-'6. DAP Report'!F14</f>
        <v>-54703.014155247729</v>
      </c>
      <c r="G14" s="65">
        <f>'7. EOD Report'!G14-'6. DAP Report'!G14</f>
        <v>0</v>
      </c>
      <c r="H14" s="65">
        <f>'7. EOD Report'!H14-'6. DAP Report'!H14</f>
        <v>0</v>
      </c>
      <c r="I14" s="65">
        <f>'7. EOD Report'!I14-'6. DAP Report'!I14</f>
        <v>0</v>
      </c>
      <c r="J14" s="65">
        <f>'7. EOD Report'!J14-'6. DAP Report'!J14</f>
        <v>0</v>
      </c>
      <c r="K14" s="81">
        <f>'5. Actual'!W8</f>
        <v>0</v>
      </c>
      <c r="L14" s="65">
        <f>'7. EOD Report'!L14-'6. DAP Report'!L14</f>
        <v>-54703.014155247729</v>
      </c>
      <c r="M14" s="65">
        <f>'7. EOD Report'!M14-'6. DAP Report'!M14</f>
        <v>0</v>
      </c>
      <c r="N14" s="65">
        <f>'7. EOD Report'!N14-'6. DAP Report'!N14</f>
        <v>0</v>
      </c>
      <c r="O14" s="65">
        <f>'7. EOD Report'!O14-'6. DAP Report'!O14</f>
        <v>0</v>
      </c>
      <c r="P14" s="65">
        <f>'7. EOD Report'!P14-'6. DAP Report'!P14</f>
        <v>0</v>
      </c>
      <c r="Q14" s="78">
        <f>'1. Rates'!$I$57</f>
        <v>0</v>
      </c>
      <c r="R14" s="66" t="e">
        <f>'7. EOD Report'!R14-'6. DAP Report'!R14</f>
        <v>#DIV/0!</v>
      </c>
      <c r="S14" s="66" t="e">
        <f>'7. EOD Report'!T14-'6. DAP Report'!T14</f>
        <v>#DIV/0!</v>
      </c>
      <c r="T14" s="66" t="e">
        <f>'7. EOD Report'!U14-'6. DAP Report'!U14</f>
        <v>#DIV/0!</v>
      </c>
      <c r="U14" s="66" t="e">
        <f>'7. EOD Report'!V14-'6. DAP Report'!V14</f>
        <v>#DIV/0!</v>
      </c>
      <c r="V14" s="66" t="e">
        <f>'7. EOD Report'!W14-'6. DAP Report'!W14</f>
        <v>#DIV/0!</v>
      </c>
    </row>
    <row r="15" spans="3:22" ht="19.350000000000001" customHeight="1" x14ac:dyDescent="0.3">
      <c r="C15" s="64">
        <v>5</v>
      </c>
      <c r="D15" s="65">
        <f>'7. EOD Report'!D15-'6. DAP Report'!D15</f>
        <v>-59738.436628100244</v>
      </c>
      <c r="E15" s="65">
        <f>'7. EOD Report'!E15-'6. DAP Report'!E15</f>
        <v>-5154.3237133020193</v>
      </c>
      <c r="F15" s="65">
        <f>'7. EOD Report'!F15-'6. DAP Report'!F15</f>
        <v>-54584.112914798228</v>
      </c>
      <c r="G15" s="65">
        <f>'7. EOD Report'!G15-'6. DAP Report'!G15</f>
        <v>0</v>
      </c>
      <c r="H15" s="65">
        <f>'7. EOD Report'!H15-'6. DAP Report'!H15</f>
        <v>0</v>
      </c>
      <c r="I15" s="65">
        <f>'7. EOD Report'!I15-'6. DAP Report'!I15</f>
        <v>0</v>
      </c>
      <c r="J15" s="65">
        <f>'7. EOD Report'!J15-'6. DAP Report'!J15</f>
        <v>0</v>
      </c>
      <c r="K15" s="81">
        <f>'5. Actual'!W9</f>
        <v>0</v>
      </c>
      <c r="L15" s="65">
        <f>'7. EOD Report'!L15-'6. DAP Report'!L15</f>
        <v>-54584.112914798228</v>
      </c>
      <c r="M15" s="65">
        <f>'7. EOD Report'!M15-'6. DAP Report'!M15</f>
        <v>0</v>
      </c>
      <c r="N15" s="65">
        <f>'7. EOD Report'!N15-'6. DAP Report'!N15</f>
        <v>0</v>
      </c>
      <c r="O15" s="65">
        <f>'7. EOD Report'!O15-'6. DAP Report'!O15</f>
        <v>0</v>
      </c>
      <c r="P15" s="65">
        <f>'7. EOD Report'!P15-'6. DAP Report'!P15</f>
        <v>0</v>
      </c>
      <c r="Q15" s="78">
        <f>'1. Rates'!$I$57</f>
        <v>0</v>
      </c>
      <c r="R15" s="66" t="e">
        <f>'7. EOD Report'!R15-'6. DAP Report'!R15</f>
        <v>#DIV/0!</v>
      </c>
      <c r="S15" s="66" t="e">
        <f>'7. EOD Report'!T15-'6. DAP Report'!T15</f>
        <v>#DIV/0!</v>
      </c>
      <c r="T15" s="66" t="e">
        <f>'7. EOD Report'!U15-'6. DAP Report'!U15</f>
        <v>#DIV/0!</v>
      </c>
      <c r="U15" s="66" t="e">
        <f>'7. EOD Report'!V15-'6. DAP Report'!V15</f>
        <v>#DIV/0!</v>
      </c>
      <c r="V15" s="66" t="e">
        <f>'7. EOD Report'!W15-'6. DAP Report'!W15</f>
        <v>#DIV/0!</v>
      </c>
    </row>
    <row r="16" spans="3:22" ht="19.350000000000001" customHeight="1" x14ac:dyDescent="0.3">
      <c r="C16" s="64">
        <v>6</v>
      </c>
      <c r="D16" s="65">
        <f>'7. EOD Report'!D16-'6. DAP Report'!D16</f>
        <v>-62428.256664066801</v>
      </c>
      <c r="E16" s="65">
        <f>'7. EOD Report'!E16-'6. DAP Report'!E16</f>
        <v>-5316.2001736245902</v>
      </c>
      <c r="F16" s="65">
        <f>'7. EOD Report'!F16-'6. DAP Report'!F16</f>
        <v>-57112.056490442214</v>
      </c>
      <c r="G16" s="65">
        <f>'7. EOD Report'!G16-'6. DAP Report'!G16</f>
        <v>0</v>
      </c>
      <c r="H16" s="65">
        <f>'7. EOD Report'!H16-'6. DAP Report'!H16</f>
        <v>0</v>
      </c>
      <c r="I16" s="65">
        <f>'7. EOD Report'!I16-'6. DAP Report'!I16</f>
        <v>0</v>
      </c>
      <c r="J16" s="65">
        <f>'7. EOD Report'!J16-'6. DAP Report'!J16</f>
        <v>0</v>
      </c>
      <c r="K16" s="81">
        <f>'5. Actual'!W10</f>
        <v>0</v>
      </c>
      <c r="L16" s="65">
        <f>'7. EOD Report'!L16-'6. DAP Report'!L16</f>
        <v>-57112.056490442214</v>
      </c>
      <c r="M16" s="65">
        <f>'7. EOD Report'!M16-'6. DAP Report'!M16</f>
        <v>0</v>
      </c>
      <c r="N16" s="65">
        <f>'7. EOD Report'!N16-'6. DAP Report'!N16</f>
        <v>0</v>
      </c>
      <c r="O16" s="65">
        <f>'7. EOD Report'!O16-'6. DAP Report'!O16</f>
        <v>0</v>
      </c>
      <c r="P16" s="65">
        <f>'7. EOD Report'!P16-'6. DAP Report'!P16</f>
        <v>0</v>
      </c>
      <c r="Q16" s="78">
        <f>'1. Rates'!$I$57</f>
        <v>0</v>
      </c>
      <c r="R16" s="66" t="e">
        <f>'7. EOD Report'!R16-'6. DAP Report'!R16</f>
        <v>#DIV/0!</v>
      </c>
      <c r="S16" s="66" t="e">
        <f>'7. EOD Report'!T16-'6. DAP Report'!T16</f>
        <v>#DIV/0!</v>
      </c>
      <c r="T16" s="66" t="e">
        <f>'7. EOD Report'!U16-'6. DAP Report'!U16</f>
        <v>#DIV/0!</v>
      </c>
      <c r="U16" s="66" t="e">
        <f>'7. EOD Report'!V16-'6. DAP Report'!V16</f>
        <v>#DIV/0!</v>
      </c>
      <c r="V16" s="66" t="e">
        <f>'7. EOD Report'!W16-'6. DAP Report'!W16</f>
        <v>#DIV/0!</v>
      </c>
    </row>
    <row r="17" spans="3:22" ht="19.350000000000001" customHeight="1" x14ac:dyDescent="0.3">
      <c r="C17" s="64">
        <v>7</v>
      </c>
      <c r="D17" s="65">
        <f>'7. EOD Report'!D17-'6. DAP Report'!D17</f>
        <v>-65280.837737812115</v>
      </c>
      <c r="E17" s="65">
        <f>'7. EOD Report'!E17-'6. DAP Report'!E17</f>
        <v>-6026.9370229463693</v>
      </c>
      <c r="F17" s="65">
        <f>'7. EOD Report'!F17-'6. DAP Report'!F17</f>
        <v>-59253.900714865747</v>
      </c>
      <c r="G17" s="65">
        <f>'7. EOD Report'!G17-'6. DAP Report'!G17</f>
        <v>0</v>
      </c>
      <c r="H17" s="65">
        <f>'7. EOD Report'!H17-'6. DAP Report'!H17</f>
        <v>0</v>
      </c>
      <c r="I17" s="65">
        <f>'7. EOD Report'!I17-'6. DAP Report'!I17</f>
        <v>0</v>
      </c>
      <c r="J17" s="65">
        <f>'7. EOD Report'!J17-'6. DAP Report'!J17</f>
        <v>0</v>
      </c>
      <c r="K17" s="81">
        <f>'5. Actual'!W11</f>
        <v>0</v>
      </c>
      <c r="L17" s="65">
        <f>'7. EOD Report'!L17-'6. DAP Report'!L17</f>
        <v>-59253.900714865747</v>
      </c>
      <c r="M17" s="65">
        <f>'7. EOD Report'!M17-'6. DAP Report'!M17</f>
        <v>0</v>
      </c>
      <c r="N17" s="65">
        <f>'7. EOD Report'!N17-'6. DAP Report'!N17</f>
        <v>0</v>
      </c>
      <c r="O17" s="65">
        <f>'7. EOD Report'!O17-'6. DAP Report'!O17</f>
        <v>0</v>
      </c>
      <c r="P17" s="65">
        <f>'7. EOD Report'!P17-'6. DAP Report'!P17</f>
        <v>0</v>
      </c>
      <c r="Q17" s="78">
        <f>'1. Rates'!$I$57</f>
        <v>0</v>
      </c>
      <c r="R17" s="66" t="e">
        <f>'7. EOD Report'!R17-'6. DAP Report'!R17</f>
        <v>#DIV/0!</v>
      </c>
      <c r="S17" s="66" t="e">
        <f>'7. EOD Report'!T17-'6. DAP Report'!T17</f>
        <v>#DIV/0!</v>
      </c>
      <c r="T17" s="66" t="e">
        <f>'7. EOD Report'!U17-'6. DAP Report'!U17</f>
        <v>#DIV/0!</v>
      </c>
      <c r="U17" s="66" t="e">
        <f>'7. EOD Report'!V17-'6. DAP Report'!V17</f>
        <v>#DIV/0!</v>
      </c>
      <c r="V17" s="66" t="e">
        <f>'7. EOD Report'!W17-'6. DAP Report'!W17</f>
        <v>#DIV/0!</v>
      </c>
    </row>
    <row r="18" spans="3:22" ht="19.350000000000001" customHeight="1" x14ac:dyDescent="0.3">
      <c r="C18" s="64">
        <v>8</v>
      </c>
      <c r="D18" s="65">
        <f>'7. EOD Report'!D18-'6. DAP Report'!D18</f>
        <v>-71789.233350535622</v>
      </c>
      <c r="E18" s="65">
        <f>'7. EOD Report'!E18-'6. DAP Report'!E18</f>
        <v>-7195.7318263237594</v>
      </c>
      <c r="F18" s="65">
        <f>'7. EOD Report'!F18-'6. DAP Report'!F18</f>
        <v>-64593.501524211861</v>
      </c>
      <c r="G18" s="65">
        <f>'7. EOD Report'!G18-'6. DAP Report'!G18</f>
        <v>0</v>
      </c>
      <c r="H18" s="65">
        <f>'7. EOD Report'!H18-'6. DAP Report'!H18</f>
        <v>0</v>
      </c>
      <c r="I18" s="65">
        <f>'7. EOD Report'!I18-'6. DAP Report'!I18</f>
        <v>0</v>
      </c>
      <c r="J18" s="65">
        <f>'7. EOD Report'!J18-'6. DAP Report'!J18</f>
        <v>0</v>
      </c>
      <c r="K18" s="81">
        <f>'5. Actual'!W12</f>
        <v>0</v>
      </c>
      <c r="L18" s="65">
        <f>'7. EOD Report'!L18-'6. DAP Report'!L18</f>
        <v>-64593.501524211861</v>
      </c>
      <c r="M18" s="65">
        <f>'7. EOD Report'!M18-'6. DAP Report'!M18</f>
        <v>0</v>
      </c>
      <c r="N18" s="65">
        <f>'7. EOD Report'!N18-'6. DAP Report'!N18</f>
        <v>0</v>
      </c>
      <c r="O18" s="65">
        <f>'7. EOD Report'!O18-'6. DAP Report'!O18</f>
        <v>0</v>
      </c>
      <c r="P18" s="65">
        <f>'7. EOD Report'!P18-'6. DAP Report'!P18</f>
        <v>0</v>
      </c>
      <c r="Q18" s="78">
        <f>'1. Rates'!$I$57</f>
        <v>0</v>
      </c>
      <c r="R18" s="66" t="e">
        <f>'7. EOD Report'!R18-'6. DAP Report'!R18</f>
        <v>#DIV/0!</v>
      </c>
      <c r="S18" s="66" t="e">
        <f>'7. EOD Report'!T18-'6. DAP Report'!T18</f>
        <v>#DIV/0!</v>
      </c>
      <c r="T18" s="66" t="e">
        <f>'7. EOD Report'!U18-'6. DAP Report'!U18</f>
        <v>#DIV/0!</v>
      </c>
      <c r="U18" s="66" t="e">
        <f>'7. EOD Report'!V18-'6. DAP Report'!V18</f>
        <v>#DIV/0!</v>
      </c>
      <c r="V18" s="66" t="e">
        <f>'7. EOD Report'!W18-'6. DAP Report'!W18</f>
        <v>#DIV/0!</v>
      </c>
    </row>
    <row r="19" spans="3:22" ht="19.350000000000001" customHeight="1" x14ac:dyDescent="0.3">
      <c r="C19" s="64">
        <v>9</v>
      </c>
      <c r="D19" s="65">
        <f>'7. EOD Report'!D19-'6. DAP Report'!D19</f>
        <v>-87389.614149444242</v>
      </c>
      <c r="E19" s="65">
        <f>'7. EOD Report'!E19-'6. DAP Report'!E19</f>
        <v>-8933.1253605043021</v>
      </c>
      <c r="F19" s="65">
        <f>'7. EOD Report'!F19-'6. DAP Report'!F19</f>
        <v>-78456.48878893994</v>
      </c>
      <c r="G19" s="65">
        <f>'7. EOD Report'!G19-'6. DAP Report'!G19</f>
        <v>0</v>
      </c>
      <c r="H19" s="65">
        <f>'7. EOD Report'!H19-'6. DAP Report'!H19</f>
        <v>0</v>
      </c>
      <c r="I19" s="65">
        <f>'7. EOD Report'!I19-'6. DAP Report'!I19</f>
        <v>0</v>
      </c>
      <c r="J19" s="65">
        <f>'7. EOD Report'!J19-'6. DAP Report'!J19</f>
        <v>0</v>
      </c>
      <c r="K19" s="81">
        <f>'5. Actual'!W13</f>
        <v>0</v>
      </c>
      <c r="L19" s="65">
        <f>'7. EOD Report'!L19-'6. DAP Report'!L19</f>
        <v>-78456.48878893994</v>
      </c>
      <c r="M19" s="65">
        <f>'7. EOD Report'!M19-'6. DAP Report'!M19</f>
        <v>0</v>
      </c>
      <c r="N19" s="65">
        <f>'7. EOD Report'!N19-'6. DAP Report'!N19</f>
        <v>0</v>
      </c>
      <c r="O19" s="65">
        <f>'7. EOD Report'!O19-'6. DAP Report'!O19</f>
        <v>0</v>
      </c>
      <c r="P19" s="65">
        <f>'7. EOD Report'!P19-'6. DAP Report'!P19</f>
        <v>0</v>
      </c>
      <c r="Q19" s="78">
        <f>'1. Rates'!$I$57</f>
        <v>0</v>
      </c>
      <c r="R19" s="66" t="e">
        <f>'7. EOD Report'!R19-'6. DAP Report'!R19</f>
        <v>#DIV/0!</v>
      </c>
      <c r="S19" s="66" t="e">
        <f>'7. EOD Report'!T19-'6. DAP Report'!T19</f>
        <v>#DIV/0!</v>
      </c>
      <c r="T19" s="66" t="e">
        <f>'7. EOD Report'!U19-'6. DAP Report'!U19</f>
        <v>#DIV/0!</v>
      </c>
      <c r="U19" s="66" t="e">
        <f>'7. EOD Report'!V19-'6. DAP Report'!V19</f>
        <v>#DIV/0!</v>
      </c>
      <c r="V19" s="66" t="e">
        <f>'7. EOD Report'!W19-'6. DAP Report'!W19</f>
        <v>#DIV/0!</v>
      </c>
    </row>
    <row r="20" spans="3:22" ht="19.350000000000001" customHeight="1" x14ac:dyDescent="0.3">
      <c r="C20" s="64">
        <v>10</v>
      </c>
      <c r="D20" s="65">
        <f>'7. EOD Report'!D20-'6. DAP Report'!D20</f>
        <v>-101103.64044798797</v>
      </c>
      <c r="E20" s="65">
        <f>'7. EOD Report'!E20-'6. DAP Report'!E20</f>
        <v>-14753.131298959213</v>
      </c>
      <c r="F20" s="65">
        <f>'7. EOD Report'!F20-'6. DAP Report'!F20</f>
        <v>-86350.50914902876</v>
      </c>
      <c r="G20" s="65">
        <f>'7. EOD Report'!G20-'6. DAP Report'!G20</f>
        <v>0</v>
      </c>
      <c r="H20" s="65">
        <f>'7. EOD Report'!H20-'6. DAP Report'!H20</f>
        <v>0</v>
      </c>
      <c r="I20" s="65">
        <f>'7. EOD Report'!I20-'6. DAP Report'!I20</f>
        <v>0</v>
      </c>
      <c r="J20" s="65">
        <f>'7. EOD Report'!J20-'6. DAP Report'!J20</f>
        <v>0</v>
      </c>
      <c r="K20" s="81">
        <f>'5. Actual'!W14</f>
        <v>0</v>
      </c>
      <c r="L20" s="65">
        <f>'7. EOD Report'!L20-'6. DAP Report'!L20</f>
        <v>-86350.50914902876</v>
      </c>
      <c r="M20" s="65">
        <f>'7. EOD Report'!M20-'6. DAP Report'!M20</f>
        <v>0</v>
      </c>
      <c r="N20" s="65">
        <f>'7. EOD Report'!N20-'6. DAP Report'!N20</f>
        <v>0</v>
      </c>
      <c r="O20" s="65">
        <f>'7. EOD Report'!O20-'6. DAP Report'!O20</f>
        <v>0</v>
      </c>
      <c r="P20" s="65">
        <f>'7. EOD Report'!P20-'6. DAP Report'!P20</f>
        <v>0</v>
      </c>
      <c r="Q20" s="78">
        <f>'1. Rates'!$I$57</f>
        <v>0</v>
      </c>
      <c r="R20" s="66" t="e">
        <f>'7. EOD Report'!R20-'6. DAP Report'!R20</f>
        <v>#DIV/0!</v>
      </c>
      <c r="S20" s="66" t="e">
        <f>'7. EOD Report'!T20-'6. DAP Report'!T20</f>
        <v>#DIV/0!</v>
      </c>
      <c r="T20" s="66" t="e">
        <f>'7. EOD Report'!U20-'6. DAP Report'!U20</f>
        <v>#DIV/0!</v>
      </c>
      <c r="U20" s="66" t="e">
        <f>'7. EOD Report'!V20-'6. DAP Report'!V20</f>
        <v>#DIV/0!</v>
      </c>
      <c r="V20" s="66" t="e">
        <f>'7. EOD Report'!W20-'6. DAP Report'!W20</f>
        <v>#DIV/0!</v>
      </c>
    </row>
    <row r="21" spans="3:22" ht="19.350000000000001" customHeight="1" x14ac:dyDescent="0.3">
      <c r="C21" s="64">
        <v>11</v>
      </c>
      <c r="D21" s="65">
        <f>'7. EOD Report'!D21-'6. DAP Report'!D21</f>
        <v>-107959.72341133133</v>
      </c>
      <c r="E21" s="65">
        <f>'7. EOD Report'!E21-'6. DAP Report'!E21</f>
        <v>-15709.748416936136</v>
      </c>
      <c r="F21" s="65">
        <f>'7. EOD Report'!F21-'6. DAP Report'!F21</f>
        <v>-92249.97499439519</v>
      </c>
      <c r="G21" s="65">
        <f>'7. EOD Report'!G21-'6. DAP Report'!G21</f>
        <v>0</v>
      </c>
      <c r="H21" s="65">
        <f>'7. EOD Report'!H21-'6. DAP Report'!H21</f>
        <v>0</v>
      </c>
      <c r="I21" s="65">
        <f>'7. EOD Report'!I21-'6. DAP Report'!I21</f>
        <v>0</v>
      </c>
      <c r="J21" s="65">
        <f>'7. EOD Report'!J21-'6. DAP Report'!J21</f>
        <v>0</v>
      </c>
      <c r="K21" s="81">
        <f>'5. Actual'!W15</f>
        <v>0</v>
      </c>
      <c r="L21" s="65">
        <f>'7. EOD Report'!L21-'6. DAP Report'!L21</f>
        <v>-92249.97499439519</v>
      </c>
      <c r="M21" s="65">
        <f>'7. EOD Report'!M21-'6. DAP Report'!M21</f>
        <v>0</v>
      </c>
      <c r="N21" s="65">
        <f>'7. EOD Report'!N21-'6. DAP Report'!N21</f>
        <v>0</v>
      </c>
      <c r="O21" s="65">
        <f>'7. EOD Report'!O21-'6. DAP Report'!O21</f>
        <v>0</v>
      </c>
      <c r="P21" s="65">
        <f>'7. EOD Report'!P21-'6. DAP Report'!P21</f>
        <v>0</v>
      </c>
      <c r="Q21" s="78">
        <f>'1. Rates'!$I$57</f>
        <v>0</v>
      </c>
      <c r="R21" s="66" t="e">
        <f>'7. EOD Report'!R21-'6. DAP Report'!R21</f>
        <v>#DIV/0!</v>
      </c>
      <c r="S21" s="66" t="e">
        <f>'7. EOD Report'!T21-'6. DAP Report'!T21</f>
        <v>#DIV/0!</v>
      </c>
      <c r="T21" s="66" t="e">
        <f>'7. EOD Report'!U21-'6. DAP Report'!U21</f>
        <v>#DIV/0!</v>
      </c>
      <c r="U21" s="66" t="e">
        <f>'7. EOD Report'!V21-'6. DAP Report'!V21</f>
        <v>#DIV/0!</v>
      </c>
      <c r="V21" s="66" t="e">
        <f>'7. EOD Report'!W21-'6. DAP Report'!W21</f>
        <v>#DIV/0!</v>
      </c>
    </row>
    <row r="22" spans="3:22" ht="19.350000000000001" customHeight="1" x14ac:dyDescent="0.3">
      <c r="C22" s="64">
        <v>12</v>
      </c>
      <c r="D22" s="65">
        <f>'7. EOD Report'!D22-'6. DAP Report'!D22</f>
        <v>-110080.97931230487</v>
      </c>
      <c r="E22" s="65">
        <f>'7. EOD Report'!E22-'6. DAP Report'!E22</f>
        <v>-15288.482675606536</v>
      </c>
      <c r="F22" s="65">
        <f>'7. EOD Report'!F22-'6. DAP Report'!F22</f>
        <v>-94792.496636698343</v>
      </c>
      <c r="G22" s="65">
        <f>'7. EOD Report'!G22-'6. DAP Report'!G22</f>
        <v>0</v>
      </c>
      <c r="H22" s="65">
        <f>'7. EOD Report'!H22-'6. DAP Report'!H22</f>
        <v>0</v>
      </c>
      <c r="I22" s="65">
        <f>'7. EOD Report'!I22-'6. DAP Report'!I22</f>
        <v>0</v>
      </c>
      <c r="J22" s="65">
        <f>'7. EOD Report'!J22-'6. DAP Report'!J22</f>
        <v>0</v>
      </c>
      <c r="K22" s="81">
        <f>'5. Actual'!W16</f>
        <v>0</v>
      </c>
      <c r="L22" s="65">
        <f>'7. EOD Report'!L22-'6. DAP Report'!L22</f>
        <v>-94792.496636698343</v>
      </c>
      <c r="M22" s="65">
        <f>'7. EOD Report'!M22-'6. DAP Report'!M22</f>
        <v>0</v>
      </c>
      <c r="N22" s="65">
        <f>'7. EOD Report'!N22-'6. DAP Report'!N22</f>
        <v>0</v>
      </c>
      <c r="O22" s="65">
        <f>'7. EOD Report'!O22-'6. DAP Report'!O22</f>
        <v>0</v>
      </c>
      <c r="P22" s="65">
        <f>'7. EOD Report'!P22-'6. DAP Report'!P22</f>
        <v>0</v>
      </c>
      <c r="Q22" s="78">
        <f>'1. Rates'!$I$57</f>
        <v>0</v>
      </c>
      <c r="R22" s="66" t="e">
        <f>'7. EOD Report'!R22-'6. DAP Report'!R22</f>
        <v>#DIV/0!</v>
      </c>
      <c r="S22" s="66" t="e">
        <f>'7. EOD Report'!T22-'6. DAP Report'!T22</f>
        <v>#DIV/0!</v>
      </c>
      <c r="T22" s="66" t="e">
        <f>'7. EOD Report'!U22-'6. DAP Report'!U22</f>
        <v>#DIV/0!</v>
      </c>
      <c r="U22" s="66" t="e">
        <f>'7. EOD Report'!V22-'6. DAP Report'!V22</f>
        <v>#DIV/0!</v>
      </c>
      <c r="V22" s="66" t="e">
        <f>'7. EOD Report'!W22-'6. DAP Report'!W22</f>
        <v>#DIV/0!</v>
      </c>
    </row>
    <row r="23" spans="3:22" ht="19.350000000000001" customHeight="1" x14ac:dyDescent="0.3">
      <c r="C23" s="64">
        <v>13</v>
      </c>
      <c r="D23" s="65">
        <f>'7. EOD Report'!D23-'6. DAP Report'!D23</f>
        <v>-108883.67686633125</v>
      </c>
      <c r="E23" s="65">
        <f>'7. EOD Report'!E23-'6. DAP Report'!E23</f>
        <v>-15654.785977517513</v>
      </c>
      <c r="F23" s="65">
        <f>'7. EOD Report'!F23-'6. DAP Report'!F23</f>
        <v>-93228.890888813738</v>
      </c>
      <c r="G23" s="65">
        <f>'7. EOD Report'!G23-'6. DAP Report'!G23</f>
        <v>0</v>
      </c>
      <c r="H23" s="65">
        <f>'7. EOD Report'!H23-'6. DAP Report'!H23</f>
        <v>0</v>
      </c>
      <c r="I23" s="65">
        <f>'7. EOD Report'!I23-'6. DAP Report'!I23</f>
        <v>0</v>
      </c>
      <c r="J23" s="65">
        <f>'7. EOD Report'!J23-'6. DAP Report'!J23</f>
        <v>0</v>
      </c>
      <c r="K23" s="81">
        <f>'5. Actual'!W17</f>
        <v>0</v>
      </c>
      <c r="L23" s="65">
        <f>'7. EOD Report'!L23-'6. DAP Report'!L23</f>
        <v>-93228.890888813738</v>
      </c>
      <c r="M23" s="65">
        <f>'7. EOD Report'!M23-'6. DAP Report'!M23</f>
        <v>0</v>
      </c>
      <c r="N23" s="65">
        <f>'7. EOD Report'!N23-'6. DAP Report'!N23</f>
        <v>0</v>
      </c>
      <c r="O23" s="65">
        <f>'7. EOD Report'!O23-'6. DAP Report'!O23</f>
        <v>0</v>
      </c>
      <c r="P23" s="65">
        <f>'7. EOD Report'!P23-'6. DAP Report'!P23</f>
        <v>0</v>
      </c>
      <c r="Q23" s="78">
        <f>'1. Rates'!$I$57</f>
        <v>0</v>
      </c>
      <c r="R23" s="66" t="e">
        <f>'7. EOD Report'!R23-'6. DAP Report'!R23</f>
        <v>#DIV/0!</v>
      </c>
      <c r="S23" s="66" t="e">
        <f>'7. EOD Report'!T23-'6. DAP Report'!T23</f>
        <v>#DIV/0!</v>
      </c>
      <c r="T23" s="66" t="e">
        <f>'7. EOD Report'!U23-'6. DAP Report'!U23</f>
        <v>#DIV/0!</v>
      </c>
      <c r="U23" s="66" t="e">
        <f>'7. EOD Report'!V23-'6. DAP Report'!V23</f>
        <v>#DIV/0!</v>
      </c>
      <c r="V23" s="66" t="e">
        <f>'7. EOD Report'!W23-'6. DAP Report'!W23</f>
        <v>#DIV/0!</v>
      </c>
    </row>
    <row r="24" spans="3:22" ht="19.350000000000001" customHeight="1" x14ac:dyDescent="0.3">
      <c r="C24" s="64">
        <v>14</v>
      </c>
      <c r="D24" s="65">
        <f>'7. EOD Report'!D24-'6. DAP Report'!D24</f>
        <v>-112615.29510001036</v>
      </c>
      <c r="E24" s="65">
        <f>'7. EOD Report'!E24-'6. DAP Report'!E24</f>
        <v>-15297.693443735659</v>
      </c>
      <c r="F24" s="65">
        <f>'7. EOD Report'!F24-'6. DAP Report'!F24</f>
        <v>-97317.60165627471</v>
      </c>
      <c r="G24" s="65">
        <f>'7. EOD Report'!G24-'6. DAP Report'!G24</f>
        <v>0</v>
      </c>
      <c r="H24" s="65">
        <f>'7. EOD Report'!H24-'6. DAP Report'!H24</f>
        <v>0</v>
      </c>
      <c r="I24" s="65">
        <f>'7. EOD Report'!I24-'6. DAP Report'!I24</f>
        <v>0</v>
      </c>
      <c r="J24" s="65">
        <f>'7. EOD Report'!J24-'6. DAP Report'!J24</f>
        <v>0</v>
      </c>
      <c r="K24" s="81">
        <f>'5. Actual'!W18</f>
        <v>0</v>
      </c>
      <c r="L24" s="65">
        <f>'7. EOD Report'!L24-'6. DAP Report'!L24</f>
        <v>-97317.60165627471</v>
      </c>
      <c r="M24" s="65">
        <f>'7. EOD Report'!M24-'6. DAP Report'!M24</f>
        <v>0</v>
      </c>
      <c r="N24" s="65">
        <f>'7. EOD Report'!N24-'6. DAP Report'!N24</f>
        <v>0</v>
      </c>
      <c r="O24" s="65">
        <f>'7. EOD Report'!O24-'6. DAP Report'!O24</f>
        <v>0</v>
      </c>
      <c r="P24" s="65">
        <f>'7. EOD Report'!P24-'6. DAP Report'!P24</f>
        <v>0</v>
      </c>
      <c r="Q24" s="78">
        <f>'1. Rates'!$I$57</f>
        <v>0</v>
      </c>
      <c r="R24" s="66" t="e">
        <f>'7. EOD Report'!R24-'6. DAP Report'!R24</f>
        <v>#DIV/0!</v>
      </c>
      <c r="S24" s="66" t="e">
        <f>'7. EOD Report'!T24-'6. DAP Report'!T24</f>
        <v>#DIV/0!</v>
      </c>
      <c r="T24" s="66" t="e">
        <f>'7. EOD Report'!U24-'6. DAP Report'!U24</f>
        <v>#DIV/0!</v>
      </c>
      <c r="U24" s="66" t="e">
        <f>'7. EOD Report'!V24-'6. DAP Report'!V24</f>
        <v>#DIV/0!</v>
      </c>
      <c r="V24" s="66" t="e">
        <f>'7. EOD Report'!W24-'6. DAP Report'!W24</f>
        <v>#DIV/0!</v>
      </c>
    </row>
    <row r="25" spans="3:22" ht="19.350000000000001" customHeight="1" x14ac:dyDescent="0.3">
      <c r="C25" s="64">
        <v>15</v>
      </c>
      <c r="D25" s="65">
        <f>'7. EOD Report'!D25-'6. DAP Report'!D25</f>
        <v>-114599.84277688684</v>
      </c>
      <c r="E25" s="65">
        <f>'7. EOD Report'!E25-'6. DAP Report'!E25</f>
        <v>-15177.952556930688</v>
      </c>
      <c r="F25" s="65">
        <f>'7. EOD Report'!F25-'6. DAP Report'!F25</f>
        <v>-99421.890219956156</v>
      </c>
      <c r="G25" s="65">
        <f>'7. EOD Report'!G25-'6. DAP Report'!G25</f>
        <v>0</v>
      </c>
      <c r="H25" s="65">
        <f>'7. EOD Report'!H25-'6. DAP Report'!H25</f>
        <v>0</v>
      </c>
      <c r="I25" s="65">
        <f>'7. EOD Report'!I25-'6. DAP Report'!I25</f>
        <v>0</v>
      </c>
      <c r="J25" s="65">
        <f>'7. EOD Report'!J25-'6. DAP Report'!J25</f>
        <v>0</v>
      </c>
      <c r="K25" s="81">
        <f>'5. Actual'!W19</f>
        <v>0</v>
      </c>
      <c r="L25" s="65">
        <f>'7. EOD Report'!L25-'6. DAP Report'!L25</f>
        <v>-99421.890219956156</v>
      </c>
      <c r="M25" s="65">
        <f>'7. EOD Report'!M25-'6. DAP Report'!M25</f>
        <v>0</v>
      </c>
      <c r="N25" s="65">
        <f>'7. EOD Report'!N25-'6. DAP Report'!N25</f>
        <v>0</v>
      </c>
      <c r="O25" s="65">
        <f>'7. EOD Report'!O25-'6. DAP Report'!O25</f>
        <v>0</v>
      </c>
      <c r="P25" s="65">
        <f>'7. EOD Report'!P25-'6. DAP Report'!P25</f>
        <v>0</v>
      </c>
      <c r="Q25" s="78">
        <f>'1. Rates'!$I$57</f>
        <v>0</v>
      </c>
      <c r="R25" s="66" t="e">
        <f>'7. EOD Report'!R25-'6. DAP Report'!R25</f>
        <v>#DIV/0!</v>
      </c>
      <c r="S25" s="66" t="e">
        <f>'7. EOD Report'!T25-'6. DAP Report'!T25</f>
        <v>#DIV/0!</v>
      </c>
      <c r="T25" s="66" t="e">
        <f>'7. EOD Report'!U25-'6. DAP Report'!U25</f>
        <v>#DIV/0!</v>
      </c>
      <c r="U25" s="66" t="e">
        <f>'7. EOD Report'!V25-'6. DAP Report'!V25</f>
        <v>#DIV/0!</v>
      </c>
      <c r="V25" s="66" t="e">
        <f>'7. EOD Report'!W25-'6. DAP Report'!W25</f>
        <v>#DIV/0!</v>
      </c>
    </row>
    <row r="26" spans="3:22" ht="19.350000000000001" customHeight="1" x14ac:dyDescent="0.3">
      <c r="C26" s="64">
        <v>16</v>
      </c>
      <c r="D26" s="65">
        <f>'7. EOD Report'!D26-'6. DAP Report'!D26</f>
        <v>-114794.61188381146</v>
      </c>
      <c r="E26" s="65">
        <f>'7. EOD Report'!E26-'6. DAP Report'!E26</f>
        <v>-15377.067202970291</v>
      </c>
      <c r="F26" s="65">
        <f>'7. EOD Report'!F26-'6. DAP Report'!F26</f>
        <v>-99417.54468084118</v>
      </c>
      <c r="G26" s="65">
        <f>'7. EOD Report'!G26-'6. DAP Report'!G26</f>
        <v>0</v>
      </c>
      <c r="H26" s="65">
        <f>'7. EOD Report'!H26-'6. DAP Report'!H26</f>
        <v>0</v>
      </c>
      <c r="I26" s="65">
        <f>'7. EOD Report'!I26-'6. DAP Report'!I26</f>
        <v>0</v>
      </c>
      <c r="J26" s="65">
        <f>'7. EOD Report'!J26-'6. DAP Report'!J26</f>
        <v>0</v>
      </c>
      <c r="K26" s="81">
        <f>'5. Actual'!W20</f>
        <v>0</v>
      </c>
      <c r="L26" s="65">
        <f>'7. EOD Report'!L26-'6. DAP Report'!L26</f>
        <v>-99417.54468084118</v>
      </c>
      <c r="M26" s="65">
        <f>'7. EOD Report'!M26-'6. DAP Report'!M26</f>
        <v>0</v>
      </c>
      <c r="N26" s="65">
        <f>'7. EOD Report'!N26-'6. DAP Report'!N26</f>
        <v>0</v>
      </c>
      <c r="O26" s="65">
        <f>'7. EOD Report'!O26-'6. DAP Report'!O26</f>
        <v>0</v>
      </c>
      <c r="P26" s="65">
        <f>'7. EOD Report'!P26-'6. DAP Report'!P26</f>
        <v>0</v>
      </c>
      <c r="Q26" s="78">
        <f>'1. Rates'!$I$57</f>
        <v>0</v>
      </c>
      <c r="R26" s="66" t="e">
        <f>'7. EOD Report'!R26-'6. DAP Report'!R26</f>
        <v>#DIV/0!</v>
      </c>
      <c r="S26" s="66" t="e">
        <f>'7. EOD Report'!T26-'6. DAP Report'!T26</f>
        <v>#DIV/0!</v>
      </c>
      <c r="T26" s="66" t="e">
        <f>'7. EOD Report'!U26-'6. DAP Report'!U26</f>
        <v>#DIV/0!</v>
      </c>
      <c r="U26" s="66" t="e">
        <f>'7. EOD Report'!V26-'6. DAP Report'!V26</f>
        <v>#DIV/0!</v>
      </c>
      <c r="V26" s="66" t="e">
        <f>'7. EOD Report'!W26-'6. DAP Report'!W26</f>
        <v>#DIV/0!</v>
      </c>
    </row>
    <row r="27" spans="3:22" ht="19.350000000000001" customHeight="1" x14ac:dyDescent="0.3">
      <c r="C27" s="64">
        <v>17</v>
      </c>
      <c r="D27" s="65">
        <f>'7. EOD Report'!D27-'6. DAP Report'!D27</f>
        <v>-111306.86108096261</v>
      </c>
      <c r="E27" s="65">
        <f>'7. EOD Report'!E27-'6. DAP Report'!E27</f>
        <v>-15674.896709376819</v>
      </c>
      <c r="F27" s="65">
        <f>'7. EOD Report'!F27-'6. DAP Report'!F27</f>
        <v>-95631.964371585796</v>
      </c>
      <c r="G27" s="65">
        <f>'7. EOD Report'!G27-'6. DAP Report'!G27</f>
        <v>0</v>
      </c>
      <c r="H27" s="65">
        <f>'7. EOD Report'!H27-'6. DAP Report'!H27</f>
        <v>0</v>
      </c>
      <c r="I27" s="65">
        <f>'7. EOD Report'!I27-'6. DAP Report'!I27</f>
        <v>0</v>
      </c>
      <c r="J27" s="65">
        <f>'7. EOD Report'!J27-'6. DAP Report'!J27</f>
        <v>0</v>
      </c>
      <c r="K27" s="81">
        <f>'5. Actual'!W21</f>
        <v>0</v>
      </c>
      <c r="L27" s="65">
        <f>'7. EOD Report'!L27-'6. DAP Report'!L27</f>
        <v>-95631.964371585796</v>
      </c>
      <c r="M27" s="65">
        <f>'7. EOD Report'!M27-'6. DAP Report'!M27</f>
        <v>0</v>
      </c>
      <c r="N27" s="65">
        <f>'7. EOD Report'!N27-'6. DAP Report'!N27</f>
        <v>0</v>
      </c>
      <c r="O27" s="65">
        <f>'7. EOD Report'!O27-'6. DAP Report'!O27</f>
        <v>0</v>
      </c>
      <c r="P27" s="65">
        <f>'7. EOD Report'!P27-'6. DAP Report'!P27</f>
        <v>0</v>
      </c>
      <c r="Q27" s="78">
        <f>'1. Rates'!$I$57</f>
        <v>0</v>
      </c>
      <c r="R27" s="66" t="e">
        <f>'7. EOD Report'!R27-'6. DAP Report'!R27</f>
        <v>#DIV/0!</v>
      </c>
      <c r="S27" s="66" t="e">
        <f>'7. EOD Report'!T27-'6. DAP Report'!T27</f>
        <v>#DIV/0!</v>
      </c>
      <c r="T27" s="66" t="e">
        <f>'7. EOD Report'!U27-'6. DAP Report'!U27</f>
        <v>#DIV/0!</v>
      </c>
      <c r="U27" s="66" t="e">
        <f>'7. EOD Report'!V27-'6. DAP Report'!V27</f>
        <v>#DIV/0!</v>
      </c>
      <c r="V27" s="66" t="e">
        <f>'7. EOD Report'!W27-'6. DAP Report'!W27</f>
        <v>#DIV/0!</v>
      </c>
    </row>
    <row r="28" spans="3:22" ht="19.350000000000001" customHeight="1" x14ac:dyDescent="0.3">
      <c r="C28" s="64">
        <v>18</v>
      </c>
      <c r="D28" s="65">
        <f>'7. EOD Report'!D28-'6. DAP Report'!D28</f>
        <v>-103333.0386300043</v>
      </c>
      <c r="E28" s="65">
        <f>'7. EOD Report'!E28-'6. DAP Report'!E28</f>
        <v>-15609.913856532707</v>
      </c>
      <c r="F28" s="65">
        <f>'7. EOD Report'!F28-'6. DAP Report'!F28</f>
        <v>-87723.124773471602</v>
      </c>
      <c r="G28" s="65">
        <f>'7. EOD Report'!G28-'6. DAP Report'!G28</f>
        <v>0</v>
      </c>
      <c r="H28" s="65">
        <f>'7. EOD Report'!H28-'6. DAP Report'!H28</f>
        <v>0</v>
      </c>
      <c r="I28" s="65">
        <f>'7. EOD Report'!I28-'6. DAP Report'!I28</f>
        <v>0</v>
      </c>
      <c r="J28" s="65">
        <f>'7. EOD Report'!J28-'6. DAP Report'!J28</f>
        <v>0</v>
      </c>
      <c r="K28" s="81">
        <f>'5. Actual'!W22</f>
        <v>0</v>
      </c>
      <c r="L28" s="65">
        <f>'7. EOD Report'!L28-'6. DAP Report'!L28</f>
        <v>-87723.124773471602</v>
      </c>
      <c r="M28" s="65">
        <f>'7. EOD Report'!M28-'6. DAP Report'!M28</f>
        <v>0</v>
      </c>
      <c r="N28" s="65">
        <f>'7. EOD Report'!N28-'6. DAP Report'!N28</f>
        <v>0</v>
      </c>
      <c r="O28" s="65">
        <f>'7. EOD Report'!O28-'6. DAP Report'!O28</f>
        <v>0</v>
      </c>
      <c r="P28" s="65">
        <f>'7. EOD Report'!P28-'6. DAP Report'!P28</f>
        <v>0</v>
      </c>
      <c r="Q28" s="78">
        <f>'1. Rates'!$I$57</f>
        <v>0</v>
      </c>
      <c r="R28" s="66" t="e">
        <f>'7. EOD Report'!R28-'6. DAP Report'!R28</f>
        <v>#DIV/0!</v>
      </c>
      <c r="S28" s="66" t="e">
        <f>'7. EOD Report'!T28-'6. DAP Report'!T28</f>
        <v>#DIV/0!</v>
      </c>
      <c r="T28" s="66" t="e">
        <f>'7. EOD Report'!U28-'6. DAP Report'!U28</f>
        <v>#DIV/0!</v>
      </c>
      <c r="U28" s="66" t="e">
        <f>'7. EOD Report'!V28-'6. DAP Report'!V28</f>
        <v>#DIV/0!</v>
      </c>
      <c r="V28" s="66" t="e">
        <f>'7. EOD Report'!W28-'6. DAP Report'!W28</f>
        <v>#DIV/0!</v>
      </c>
    </row>
    <row r="29" spans="3:22" ht="19.350000000000001" customHeight="1" x14ac:dyDescent="0.3">
      <c r="C29" s="64">
        <v>19</v>
      </c>
      <c r="D29" s="65">
        <f>'7. EOD Report'!D29-'6. DAP Report'!D29</f>
        <v>-102689.44155137496</v>
      </c>
      <c r="E29" s="65">
        <f>'7. EOD Report'!E29-'6. DAP Report'!E29</f>
        <v>-14847.048679867985</v>
      </c>
      <c r="F29" s="65">
        <f>'7. EOD Report'!F29-'6. DAP Report'!F29</f>
        <v>-87842.392871506978</v>
      </c>
      <c r="G29" s="65">
        <f>'7. EOD Report'!G29-'6. DAP Report'!G29</f>
        <v>0</v>
      </c>
      <c r="H29" s="65">
        <f>'7. EOD Report'!H29-'6. DAP Report'!H29</f>
        <v>0</v>
      </c>
      <c r="I29" s="65">
        <f>'7. EOD Report'!I29-'6. DAP Report'!I29</f>
        <v>0</v>
      </c>
      <c r="J29" s="65">
        <f>'7. EOD Report'!J29-'6. DAP Report'!J29</f>
        <v>0</v>
      </c>
      <c r="K29" s="81">
        <f>'5. Actual'!W23</f>
        <v>0</v>
      </c>
      <c r="L29" s="65">
        <f>'7. EOD Report'!L29-'6. DAP Report'!L29</f>
        <v>-87842.392871506978</v>
      </c>
      <c r="M29" s="65">
        <f>'7. EOD Report'!M29-'6. DAP Report'!M29</f>
        <v>0</v>
      </c>
      <c r="N29" s="65">
        <f>'7. EOD Report'!N29-'6. DAP Report'!N29</f>
        <v>0</v>
      </c>
      <c r="O29" s="65">
        <f>'7. EOD Report'!O29-'6. DAP Report'!O29</f>
        <v>0</v>
      </c>
      <c r="P29" s="65">
        <f>'7. EOD Report'!P29-'6. DAP Report'!P29</f>
        <v>0</v>
      </c>
      <c r="Q29" s="78">
        <f>'1. Rates'!$I$57</f>
        <v>0</v>
      </c>
      <c r="R29" s="66" t="e">
        <f>'7. EOD Report'!R29-'6. DAP Report'!R29</f>
        <v>#DIV/0!</v>
      </c>
      <c r="S29" s="66" t="e">
        <f>'7. EOD Report'!T29-'6. DAP Report'!T29</f>
        <v>#DIV/0!</v>
      </c>
      <c r="T29" s="66" t="e">
        <f>'7. EOD Report'!U29-'6. DAP Report'!U29</f>
        <v>#DIV/0!</v>
      </c>
      <c r="U29" s="66" t="e">
        <f>'7. EOD Report'!V29-'6. DAP Report'!V29</f>
        <v>#DIV/0!</v>
      </c>
      <c r="V29" s="66" t="e">
        <f>'7. EOD Report'!W29-'6. DAP Report'!W29</f>
        <v>#DIV/0!</v>
      </c>
    </row>
    <row r="30" spans="3:22" ht="19.350000000000001" customHeight="1" x14ac:dyDescent="0.3">
      <c r="C30" s="64">
        <v>20</v>
      </c>
      <c r="D30" s="65">
        <f>'7. EOD Report'!D30-'6. DAP Report'!D30</f>
        <v>-96962.930379049067</v>
      </c>
      <c r="E30" s="65">
        <f>'7. EOD Report'!E30-'6. DAP Report'!E30</f>
        <v>-13458.841943311978</v>
      </c>
      <c r="F30" s="65">
        <f>'7. EOD Report'!F30-'6. DAP Report'!F30</f>
        <v>-83504.088435737096</v>
      </c>
      <c r="G30" s="65">
        <f>'7. EOD Report'!G30-'6. DAP Report'!G30</f>
        <v>0</v>
      </c>
      <c r="H30" s="65">
        <f>'7. EOD Report'!H30-'6. DAP Report'!H30</f>
        <v>0</v>
      </c>
      <c r="I30" s="65">
        <f>'7. EOD Report'!I30-'6. DAP Report'!I30</f>
        <v>0</v>
      </c>
      <c r="J30" s="65">
        <f>'7. EOD Report'!J30-'6. DAP Report'!J30</f>
        <v>0</v>
      </c>
      <c r="K30" s="81">
        <f>'5. Actual'!W24</f>
        <v>0</v>
      </c>
      <c r="L30" s="65">
        <f>'7. EOD Report'!L30-'6. DAP Report'!L30</f>
        <v>-83504.088435737096</v>
      </c>
      <c r="M30" s="65">
        <f>'7. EOD Report'!M30-'6. DAP Report'!M30</f>
        <v>0</v>
      </c>
      <c r="N30" s="65">
        <f>'7. EOD Report'!N30-'6. DAP Report'!N30</f>
        <v>0</v>
      </c>
      <c r="O30" s="65">
        <f>'7. EOD Report'!O30-'6. DAP Report'!O30</f>
        <v>0</v>
      </c>
      <c r="P30" s="65">
        <f>'7. EOD Report'!P30-'6. DAP Report'!P30</f>
        <v>0</v>
      </c>
      <c r="Q30" s="78">
        <f>'1. Rates'!$I$57</f>
        <v>0</v>
      </c>
      <c r="R30" s="66" t="e">
        <f>'7. EOD Report'!R30-'6. DAP Report'!R30</f>
        <v>#DIV/0!</v>
      </c>
      <c r="S30" s="66" t="e">
        <f>'7. EOD Report'!T30-'6. DAP Report'!T30</f>
        <v>#DIV/0!</v>
      </c>
      <c r="T30" s="66" t="e">
        <f>'7. EOD Report'!U30-'6. DAP Report'!U30</f>
        <v>#DIV/0!</v>
      </c>
      <c r="U30" s="66" t="e">
        <f>'7. EOD Report'!V30-'6. DAP Report'!V30</f>
        <v>#DIV/0!</v>
      </c>
      <c r="V30" s="66" t="e">
        <f>'7. EOD Report'!W30-'6. DAP Report'!W30</f>
        <v>#DIV/0!</v>
      </c>
    </row>
    <row r="31" spans="3:22" ht="19.350000000000001" customHeight="1" x14ac:dyDescent="0.3">
      <c r="C31" s="64">
        <v>21</v>
      </c>
      <c r="D31" s="65">
        <f>'7. EOD Report'!D31-'6. DAP Report'!D31</f>
        <v>-92507.616764144987</v>
      </c>
      <c r="E31" s="65">
        <f>'7. EOD Report'!E31-'6. DAP Report'!E31</f>
        <v>-11737.29170064065</v>
      </c>
      <c r="F31" s="65">
        <f>'7. EOD Report'!F31-'6. DAP Report'!F31</f>
        <v>-80770.325063504337</v>
      </c>
      <c r="G31" s="65">
        <f>'7. EOD Report'!G31-'6. DAP Report'!G31</f>
        <v>0</v>
      </c>
      <c r="H31" s="65">
        <f>'7. EOD Report'!H31-'6. DAP Report'!H31</f>
        <v>0</v>
      </c>
      <c r="I31" s="65">
        <f>'7. EOD Report'!I31-'6. DAP Report'!I31</f>
        <v>0</v>
      </c>
      <c r="J31" s="65">
        <f>'7. EOD Report'!J31-'6. DAP Report'!J31</f>
        <v>0</v>
      </c>
      <c r="K31" s="81">
        <f>'5. Actual'!W25</f>
        <v>0</v>
      </c>
      <c r="L31" s="65">
        <f>'7. EOD Report'!L31-'6. DAP Report'!L31</f>
        <v>-80770.325063504337</v>
      </c>
      <c r="M31" s="65">
        <f>'7. EOD Report'!M31-'6. DAP Report'!M31</f>
        <v>0</v>
      </c>
      <c r="N31" s="65">
        <f>'7. EOD Report'!N31-'6. DAP Report'!N31</f>
        <v>0</v>
      </c>
      <c r="O31" s="65">
        <f>'7. EOD Report'!O31-'6. DAP Report'!O31</f>
        <v>0</v>
      </c>
      <c r="P31" s="65">
        <f>'7. EOD Report'!P31-'6. DAP Report'!P31</f>
        <v>0</v>
      </c>
      <c r="Q31" s="78">
        <f>'1. Rates'!$I$57</f>
        <v>0</v>
      </c>
      <c r="R31" s="66" t="e">
        <f>'7. EOD Report'!R31-'6. DAP Report'!R31</f>
        <v>#DIV/0!</v>
      </c>
      <c r="S31" s="66" t="e">
        <f>'7. EOD Report'!T31-'6. DAP Report'!T31</f>
        <v>#DIV/0!</v>
      </c>
      <c r="T31" s="66" t="e">
        <f>'7. EOD Report'!U31-'6. DAP Report'!U31</f>
        <v>#DIV/0!</v>
      </c>
      <c r="U31" s="66" t="e">
        <f>'7. EOD Report'!V31-'6. DAP Report'!V31</f>
        <v>#DIV/0!</v>
      </c>
      <c r="V31" s="66" t="e">
        <f>'7. EOD Report'!W31-'6. DAP Report'!W31</f>
        <v>#DIV/0!</v>
      </c>
    </row>
    <row r="32" spans="3:22" ht="19.350000000000001" customHeight="1" x14ac:dyDescent="0.3">
      <c r="C32" s="64">
        <v>22</v>
      </c>
      <c r="D32" s="65">
        <f>'7. EOD Report'!D32-'6. DAP Report'!D32</f>
        <v>-87103.167368808208</v>
      </c>
      <c r="E32" s="65">
        <f>'7. EOD Report'!E32-'6. DAP Report'!E32</f>
        <v>-8464.465734808773</v>
      </c>
      <c r="F32" s="65">
        <f>'7. EOD Report'!F32-'6. DAP Report'!F32</f>
        <v>-78638.70163399943</v>
      </c>
      <c r="G32" s="65">
        <f>'7. EOD Report'!G32-'6. DAP Report'!G32</f>
        <v>0</v>
      </c>
      <c r="H32" s="65">
        <f>'7. EOD Report'!H32-'6. DAP Report'!H32</f>
        <v>0</v>
      </c>
      <c r="I32" s="65">
        <f>'7. EOD Report'!I32-'6. DAP Report'!I32</f>
        <v>0</v>
      </c>
      <c r="J32" s="65">
        <f>'7. EOD Report'!J32-'6. DAP Report'!J32</f>
        <v>0</v>
      </c>
      <c r="K32" s="81">
        <f>'5. Actual'!W26</f>
        <v>0</v>
      </c>
      <c r="L32" s="65">
        <f>'7. EOD Report'!L32-'6. DAP Report'!L32</f>
        <v>-78638.70163399943</v>
      </c>
      <c r="M32" s="65">
        <f>'7. EOD Report'!M32-'6. DAP Report'!M32</f>
        <v>0</v>
      </c>
      <c r="N32" s="65">
        <f>'7. EOD Report'!N32-'6. DAP Report'!N32</f>
        <v>0</v>
      </c>
      <c r="O32" s="65">
        <f>'7. EOD Report'!O32-'6. DAP Report'!O32</f>
        <v>0</v>
      </c>
      <c r="P32" s="65">
        <f>'7. EOD Report'!P32-'6. DAP Report'!P32</f>
        <v>0</v>
      </c>
      <c r="Q32" s="78">
        <f>'1. Rates'!$I$57</f>
        <v>0</v>
      </c>
      <c r="R32" s="66" t="e">
        <f>'7. EOD Report'!R32-'6. DAP Report'!R32</f>
        <v>#DIV/0!</v>
      </c>
      <c r="S32" s="66" t="e">
        <f>'7. EOD Report'!T32-'6. DAP Report'!T32</f>
        <v>#DIV/0!</v>
      </c>
      <c r="T32" s="66" t="e">
        <f>'7. EOD Report'!U32-'6. DAP Report'!U32</f>
        <v>#DIV/0!</v>
      </c>
      <c r="U32" s="66" t="e">
        <f>'7. EOD Report'!V32-'6. DAP Report'!V32</f>
        <v>#DIV/0!</v>
      </c>
      <c r="V32" s="66" t="e">
        <f>'7. EOD Report'!W32-'6. DAP Report'!W32</f>
        <v>#DIV/0!</v>
      </c>
    </row>
    <row r="33" spans="3:26" ht="19.350000000000001" customHeight="1" x14ac:dyDescent="0.3">
      <c r="C33" s="64">
        <v>23</v>
      </c>
      <c r="D33" s="65">
        <f>'7. EOD Report'!D33-'6. DAP Report'!D33</f>
        <v>-82343.084380810993</v>
      </c>
      <c r="E33" s="65">
        <f>'7. EOD Report'!E33-'6. DAP Report'!E33</f>
        <v>-6243.2122058823516</v>
      </c>
      <c r="F33" s="65">
        <f>'7. EOD Report'!F33-'6. DAP Report'!F33</f>
        <v>-76099.872174928634</v>
      </c>
      <c r="G33" s="65">
        <f>'7. EOD Report'!G33-'6. DAP Report'!G33</f>
        <v>0</v>
      </c>
      <c r="H33" s="65">
        <f>'7. EOD Report'!H33-'6. DAP Report'!H33</f>
        <v>0</v>
      </c>
      <c r="I33" s="65">
        <f>'7. EOD Report'!I33-'6. DAP Report'!I33</f>
        <v>0</v>
      </c>
      <c r="J33" s="65">
        <f>'7. EOD Report'!J33-'6. DAP Report'!J33</f>
        <v>0</v>
      </c>
      <c r="K33" s="81">
        <f>'5. Actual'!W27</f>
        <v>0</v>
      </c>
      <c r="L33" s="65">
        <f>'7. EOD Report'!L33-'6. DAP Report'!L33</f>
        <v>-76099.872174928634</v>
      </c>
      <c r="M33" s="65">
        <f>'7. EOD Report'!M33-'6. DAP Report'!M33</f>
        <v>0</v>
      </c>
      <c r="N33" s="65">
        <f>'7. EOD Report'!N33-'6. DAP Report'!N33</f>
        <v>0</v>
      </c>
      <c r="O33" s="65">
        <f>'7. EOD Report'!O33-'6. DAP Report'!O33</f>
        <v>0</v>
      </c>
      <c r="P33" s="65">
        <f>'7. EOD Report'!P33-'6. DAP Report'!P33</f>
        <v>0</v>
      </c>
      <c r="Q33" s="78">
        <f>'1. Rates'!$I$57</f>
        <v>0</v>
      </c>
      <c r="R33" s="66" t="e">
        <f>'7. EOD Report'!R33-'6. DAP Report'!R33</f>
        <v>#DIV/0!</v>
      </c>
      <c r="S33" s="66" t="e">
        <f>'7. EOD Report'!T33-'6. DAP Report'!T33</f>
        <v>#DIV/0!</v>
      </c>
      <c r="T33" s="66" t="e">
        <f>'7. EOD Report'!U33-'6. DAP Report'!U33</f>
        <v>#DIV/0!</v>
      </c>
      <c r="U33" s="66" t="e">
        <f>'7. EOD Report'!V33-'6. DAP Report'!V33</f>
        <v>#DIV/0!</v>
      </c>
      <c r="V33" s="66" t="e">
        <f>'7. EOD Report'!W33-'6. DAP Report'!W33</f>
        <v>#DIV/0!</v>
      </c>
    </row>
    <row r="34" spans="3:26" ht="20.85" customHeight="1" x14ac:dyDescent="0.3">
      <c r="C34" s="64">
        <v>24</v>
      </c>
      <c r="D34" s="65">
        <f>'7. EOD Report'!D34-'6. DAP Report'!D34</f>
        <v>-77944.527392793621</v>
      </c>
      <c r="E34" s="65">
        <f>'7. EOD Report'!E34-'6. DAP Report'!E34</f>
        <v>-5717.4657499999994</v>
      </c>
      <c r="F34" s="65">
        <f>'7. EOD Report'!F34-'6. DAP Report'!F34</f>
        <v>-72227.061642793618</v>
      </c>
      <c r="G34" s="65">
        <f>'7. EOD Report'!G34-'6. DAP Report'!G34</f>
        <v>0</v>
      </c>
      <c r="H34" s="65">
        <f>'7. EOD Report'!H34-'6. DAP Report'!H34</f>
        <v>0</v>
      </c>
      <c r="I34" s="65">
        <f>'7. EOD Report'!I34-'6. DAP Report'!I34</f>
        <v>0</v>
      </c>
      <c r="J34" s="65">
        <f>'7. EOD Report'!J34-'6. DAP Report'!J34</f>
        <v>0</v>
      </c>
      <c r="K34" s="81">
        <f>'5. Actual'!W28</f>
        <v>0</v>
      </c>
      <c r="L34" s="65">
        <f>'7. EOD Report'!L34-'6. DAP Report'!L34</f>
        <v>-72227.061642793618</v>
      </c>
      <c r="M34" s="65">
        <f>'7. EOD Report'!M34-'6. DAP Report'!M34</f>
        <v>0</v>
      </c>
      <c r="N34" s="65">
        <f>'7. EOD Report'!N34-'6. DAP Report'!N34</f>
        <v>0</v>
      </c>
      <c r="O34" s="65">
        <f>'7. EOD Report'!O34-'6. DAP Report'!O34</f>
        <v>0</v>
      </c>
      <c r="P34" s="65">
        <f>'7. EOD Report'!P34-'6. DAP Report'!P34</f>
        <v>0</v>
      </c>
      <c r="Q34" s="78">
        <f>'1. Rates'!$I$57</f>
        <v>0</v>
      </c>
      <c r="R34" s="66" t="e">
        <f>'7. EOD Report'!R34-'6. DAP Report'!R34</f>
        <v>#DIV/0!</v>
      </c>
      <c r="S34" s="66" t="e">
        <f>'7. EOD Report'!T34-'6. DAP Report'!T34</f>
        <v>#DIV/0!</v>
      </c>
      <c r="T34" s="66" t="e">
        <f>'7. EOD Report'!U34-'6. DAP Report'!U34</f>
        <v>#DIV/0!</v>
      </c>
      <c r="U34" s="66" t="e">
        <f>'7. EOD Report'!V34-'6. DAP Report'!V34</f>
        <v>#DIV/0!</v>
      </c>
      <c r="V34" s="66" t="e">
        <f>'7. EOD Report'!W34-'6. DAP Report'!W34</f>
        <v>#DIV/0!</v>
      </c>
    </row>
    <row r="35" spans="3:26" ht="23.85" customHeight="1" x14ac:dyDescent="0.3">
      <c r="C35" s="67" t="s">
        <v>92</v>
      </c>
      <c r="D35" s="68">
        <f>SUM(D11:D34)</f>
        <v>-2123638.2454340463</v>
      </c>
      <c r="E35" s="68">
        <f>SUM(E11:E34)</f>
        <v>-252419.21169170926</v>
      </c>
      <c r="F35" s="68">
        <f>SUM(F11:F34)</f>
        <v>-1871219.0337423368</v>
      </c>
      <c r="G35" s="82">
        <f t="shared" ref="G35:L35" si="0">SUM(G11:G34)</f>
        <v>0</v>
      </c>
      <c r="H35" s="82">
        <f t="shared" si="0"/>
        <v>0</v>
      </c>
      <c r="I35" s="82">
        <f t="shared" si="0"/>
        <v>0</v>
      </c>
      <c r="J35" s="82">
        <f t="shared" si="0"/>
        <v>0</v>
      </c>
      <c r="K35" s="82">
        <f t="shared" si="0"/>
        <v>0</v>
      </c>
      <c r="L35" s="68">
        <f t="shared" si="0"/>
        <v>-1871219.0337423368</v>
      </c>
      <c r="M35" s="79">
        <f>AVERAGE(M11:M34)</f>
        <v>0</v>
      </c>
      <c r="N35" s="79">
        <f t="shared" ref="N35:R35" si="1">AVERAGE(N11:N34)</f>
        <v>0</v>
      </c>
      <c r="O35" s="79">
        <f t="shared" si="1"/>
        <v>0</v>
      </c>
      <c r="P35" s="79">
        <f t="shared" si="1"/>
        <v>0</v>
      </c>
      <c r="Q35" s="79">
        <f t="shared" si="1"/>
        <v>0</v>
      </c>
      <c r="R35" s="79" t="e">
        <f t="shared" si="1"/>
        <v>#DIV/0!</v>
      </c>
      <c r="S35" s="68" t="e">
        <f>SUM(S11:S34)</f>
        <v>#DIV/0!</v>
      </c>
      <c r="T35" s="68" t="e">
        <f t="shared" ref="T35" si="2">SUM(T11:T34)</f>
        <v>#DIV/0!</v>
      </c>
      <c r="U35" s="79" t="e">
        <f>'7. EOD Report'!V35-'6. DAP Report'!V35</f>
        <v>#DIV/0!</v>
      </c>
      <c r="V35" s="79" t="e">
        <f>'7. EOD Report'!W35-'6. DAP Report'!W35</f>
        <v>#DIV/0!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CEC-C8EA-407C-B1A4-64AAB0EB93EC}">
  <sheetPr>
    <pageSetUpPr fitToPage="1"/>
  </sheetPr>
  <dimension ref="C1:Z41"/>
  <sheetViews>
    <sheetView showGridLines="0" zoomScale="80" zoomScaleNormal="80" zoomScaleSheetLayoutView="70" workbookViewId="0">
      <selection activeCell="T10" sqref="T1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45677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137">
        <f>IFERROR(('7. EOD Report'!D11-'6. DAP Report'!D11)/'7. EOD Report'!D11,0)</f>
        <v>0</v>
      </c>
      <c r="E11" s="137">
        <f>IFERROR(('7. EOD Report'!E11-'6. DAP Report'!E11)/'7. EOD Report'!E11,0)</f>
        <v>0</v>
      </c>
      <c r="F11" s="137">
        <f>IFERROR(('7. EOD Report'!F11-'6. DAP Report'!F11)/'7. EOD Report'!F11,0)</f>
        <v>0</v>
      </c>
      <c r="G11" s="137">
        <f>IFERROR(('7. EOD Report'!G11-'6. DAP Report'!G11)/'7. EOD Report'!G11,0)</f>
        <v>0</v>
      </c>
      <c r="H11" s="137">
        <f>IFERROR(('7. EOD Report'!H11-'6. DAP Report'!H11)/'7. EOD Report'!H11,0)</f>
        <v>0</v>
      </c>
      <c r="I11" s="137">
        <f>IFERROR(('7. EOD Report'!I11-'6. DAP Report'!I11)/'7. EOD Report'!I11,0)</f>
        <v>0</v>
      </c>
      <c r="J11" s="137">
        <f>IFERROR(('7. EOD Report'!J11-'6. DAP Report'!J11)/'7. EOD Report'!J11,0)</f>
        <v>0</v>
      </c>
      <c r="K11" s="138">
        <f>IFERROR(('7. EOD Report'!K11-'6. DAP Report'!K11)/'7. EOD Report'!K11,0)</f>
        <v>0</v>
      </c>
      <c r="L11" s="137">
        <f>IFERROR(('7. EOD Report'!L11-'6. DAP Report'!L11)/'7. EOD Report'!L11,0)</f>
        <v>2.7648278352326905</v>
      </c>
      <c r="M11" s="137">
        <f>IFERROR(('7. EOD Report'!M11-'6. DAP Report'!M11)/'7. EOD Report'!M11,0)</f>
        <v>0</v>
      </c>
      <c r="N11" s="137">
        <f>IFERROR(('7. EOD Report'!N11-'6. DAP Report'!N11)/'7. EOD Report'!N11,0)</f>
        <v>0</v>
      </c>
      <c r="O11" s="137">
        <f>IFERROR(('7. EOD Report'!O11-'6. DAP Report'!O11)/'7. EOD Report'!O11,0)</f>
        <v>0</v>
      </c>
      <c r="P11" s="137">
        <f>IFERROR(('7. EOD Report'!P11-'6. DAP Report'!P11)/'7. EOD Report'!P11,0)</f>
        <v>0</v>
      </c>
      <c r="Q11" s="138">
        <f>IFERROR(('7. EOD Report'!Q11-'6. DAP Report'!Q11)/'7. EOD Report'!Q11,0)</f>
        <v>0</v>
      </c>
      <c r="R11" s="137">
        <f>IFERROR(('7. EOD Report'!R11-'6. DAP Report'!R11)/'7. EOD Report'!R11,0)</f>
        <v>0</v>
      </c>
      <c r="S11" s="137">
        <f>IFERROR(('7. EOD Report'!S11-'6. DAP Report'!S11)/'7. EOD Report'!S11,0)</f>
        <v>0</v>
      </c>
      <c r="T11" s="137">
        <f>IFERROR(('7. EOD Report'!T11-'6. DAP Report'!T11)/'7. EOD Report'!T11,0)</f>
        <v>0</v>
      </c>
      <c r="U11" s="137">
        <f>IFERROR(('7. EOD Report'!U11-'6. DAP Report'!U11)/'7. EOD Report'!U11,0)</f>
        <v>0</v>
      </c>
      <c r="V11" s="137">
        <f>IFERROR(('7. EOD Report'!V11-'6. DAP Report'!V11)/'7. EOD Report'!V11,0)</f>
        <v>0</v>
      </c>
    </row>
    <row r="12" spans="3:22" ht="19.350000000000001" customHeight="1" x14ac:dyDescent="0.3">
      <c r="C12" s="64">
        <v>2</v>
      </c>
      <c r="D12" s="137">
        <f>IFERROR(('7. EOD Report'!D12-'6. DAP Report'!D12)/'7. EOD Report'!D12,0)</f>
        <v>0</v>
      </c>
      <c r="E12" s="137">
        <f>IFERROR(('7. EOD Report'!E12-'6. DAP Report'!E12)/'7. EOD Report'!E12,0)</f>
        <v>0</v>
      </c>
      <c r="F12" s="137">
        <f>IFERROR(('7. EOD Report'!F12-'6. DAP Report'!F12)/'7. EOD Report'!F12,0)</f>
        <v>0</v>
      </c>
      <c r="G12" s="137">
        <f>IFERROR(('7. EOD Report'!G12-'6. DAP Report'!G12)/'7. EOD Report'!G12,0)</f>
        <v>0</v>
      </c>
      <c r="H12" s="137">
        <f>IFERROR(('7. EOD Report'!H12-'6. DAP Report'!H12)/'7. EOD Report'!H12,0)</f>
        <v>0</v>
      </c>
      <c r="I12" s="137">
        <f>IFERROR(('7. EOD Report'!I12-'6. DAP Report'!I12)/'7. EOD Report'!I12,0)</f>
        <v>0</v>
      </c>
      <c r="J12" s="137">
        <f>IFERROR(('7. EOD Report'!J12-'6. DAP Report'!J12)/'7. EOD Report'!J12,0)</f>
        <v>0</v>
      </c>
      <c r="K12" s="138">
        <f>IFERROR(('7. EOD Report'!K12-'6. DAP Report'!K12)/'7. EOD Report'!K12,0)</f>
        <v>0</v>
      </c>
      <c r="L12" s="137">
        <f>IFERROR(('7. EOD Report'!L12-'6. DAP Report'!L12)/'7. EOD Report'!L12,0)</f>
        <v>2.6135600847230358</v>
      </c>
      <c r="M12" s="137">
        <f>IFERROR(('7. EOD Report'!M12-'6. DAP Report'!M12)/'7. EOD Report'!M12,0)</f>
        <v>0</v>
      </c>
      <c r="N12" s="137">
        <f>IFERROR(('7. EOD Report'!N12-'6. DAP Report'!N12)/'7. EOD Report'!N12,0)</f>
        <v>0</v>
      </c>
      <c r="O12" s="137">
        <f>IFERROR(('7. EOD Report'!O12-'6. DAP Report'!O12)/'7. EOD Report'!O12,0)</f>
        <v>0</v>
      </c>
      <c r="P12" s="137">
        <f>IFERROR(('7. EOD Report'!P12-'6. DAP Report'!P12)/'7. EOD Report'!P12,0)</f>
        <v>0</v>
      </c>
      <c r="Q12" s="138">
        <f>IFERROR(('7. EOD Report'!Q12-'6. DAP Report'!Q12)/'7. EOD Report'!Q12,0)</f>
        <v>0</v>
      </c>
      <c r="R12" s="137">
        <f>IFERROR(('7. EOD Report'!R12-'6. DAP Report'!R12)/'7. EOD Report'!R12,0)</f>
        <v>0</v>
      </c>
      <c r="S12" s="137">
        <f>IFERROR(('7. EOD Report'!S12-'6. DAP Report'!S12)/'7. EOD Report'!S12,0)</f>
        <v>0</v>
      </c>
      <c r="T12" s="137">
        <f>IFERROR(('7. EOD Report'!T12-'6. DAP Report'!T12)/'7. EOD Report'!T12,0)</f>
        <v>0</v>
      </c>
      <c r="U12" s="137">
        <f>IFERROR(('7. EOD Report'!U12-'6. DAP Report'!U12)/'7. EOD Report'!U12,0)</f>
        <v>0</v>
      </c>
      <c r="V12" s="137">
        <f>IFERROR(('7. EOD Report'!V12-'6. DAP Report'!V12)/'7. EOD Report'!V12,0)</f>
        <v>0</v>
      </c>
    </row>
    <row r="13" spans="3:22" ht="19.350000000000001" customHeight="1" x14ac:dyDescent="0.3">
      <c r="C13" s="64">
        <v>3</v>
      </c>
      <c r="D13" s="137">
        <f>IFERROR(('7. EOD Report'!D13-'6. DAP Report'!D13)/'7. EOD Report'!D13,0)</f>
        <v>0</v>
      </c>
      <c r="E13" s="137">
        <f>IFERROR(('7. EOD Report'!E13-'6. DAP Report'!E13)/'7. EOD Report'!E13,0)</f>
        <v>0</v>
      </c>
      <c r="F13" s="137">
        <f>IFERROR(('7. EOD Report'!F13-'6. DAP Report'!F13)/'7. EOD Report'!F13,0)</f>
        <v>0</v>
      </c>
      <c r="G13" s="137">
        <f>IFERROR(('7. EOD Report'!G13-'6. DAP Report'!G13)/'7. EOD Report'!G13,0)</f>
        <v>0</v>
      </c>
      <c r="H13" s="137">
        <f>IFERROR(('7. EOD Report'!H13-'6. DAP Report'!H13)/'7. EOD Report'!H13,0)</f>
        <v>0</v>
      </c>
      <c r="I13" s="137">
        <f>IFERROR(('7. EOD Report'!I13-'6. DAP Report'!I13)/'7. EOD Report'!I13,0)</f>
        <v>0</v>
      </c>
      <c r="J13" s="137">
        <f>IFERROR(('7. EOD Report'!J13-'6. DAP Report'!J13)/'7. EOD Report'!J13,0)</f>
        <v>0</v>
      </c>
      <c r="K13" s="138">
        <f>IFERROR(('7. EOD Report'!K13-'6. DAP Report'!K13)/'7. EOD Report'!K13,0)</f>
        <v>0</v>
      </c>
      <c r="L13" s="137">
        <f>IFERROR(('7. EOD Report'!L13-'6. DAP Report'!L13)/'7. EOD Report'!L13,0)</f>
        <v>2.5015907449462906</v>
      </c>
      <c r="M13" s="137">
        <f>IFERROR(('7. EOD Report'!M13-'6. DAP Report'!M13)/'7. EOD Report'!M13,0)</f>
        <v>0</v>
      </c>
      <c r="N13" s="137">
        <f>IFERROR(('7. EOD Report'!N13-'6. DAP Report'!N13)/'7. EOD Report'!N13,0)</f>
        <v>0</v>
      </c>
      <c r="O13" s="137">
        <f>IFERROR(('7. EOD Report'!O13-'6. DAP Report'!O13)/'7. EOD Report'!O13,0)</f>
        <v>0</v>
      </c>
      <c r="P13" s="137">
        <f>IFERROR(('7. EOD Report'!P13-'6. DAP Report'!P13)/'7. EOD Report'!P13,0)</f>
        <v>0</v>
      </c>
      <c r="Q13" s="138">
        <f>IFERROR(('7. EOD Report'!Q13-'6. DAP Report'!Q13)/'7. EOD Report'!Q13,0)</f>
        <v>0</v>
      </c>
      <c r="R13" s="137">
        <f>IFERROR(('7. EOD Report'!R13-'6. DAP Report'!R13)/'7. EOD Report'!R13,0)</f>
        <v>0</v>
      </c>
      <c r="S13" s="137">
        <f>IFERROR(('7. EOD Report'!S13-'6. DAP Report'!S13)/'7. EOD Report'!S13,0)</f>
        <v>0</v>
      </c>
      <c r="T13" s="137">
        <f>IFERROR(('7. EOD Report'!T13-'6. DAP Report'!T13)/'7. EOD Report'!T13,0)</f>
        <v>0</v>
      </c>
      <c r="U13" s="137">
        <f>IFERROR(('7. EOD Report'!U13-'6. DAP Report'!U13)/'7. EOD Report'!U13,0)</f>
        <v>0</v>
      </c>
      <c r="V13" s="137">
        <f>IFERROR(('7. EOD Report'!V13-'6. DAP Report'!V13)/'7. EOD Report'!V13,0)</f>
        <v>0</v>
      </c>
    </row>
    <row r="14" spans="3:22" ht="19.350000000000001" customHeight="1" x14ac:dyDescent="0.3">
      <c r="C14" s="64">
        <v>4</v>
      </c>
      <c r="D14" s="137">
        <f>IFERROR(('7. EOD Report'!D14-'6. DAP Report'!D14)/'7. EOD Report'!D14,0)</f>
        <v>0</v>
      </c>
      <c r="E14" s="137">
        <f>IFERROR(('7. EOD Report'!E14-'6. DAP Report'!E14)/'7. EOD Report'!E14,0)</f>
        <v>0</v>
      </c>
      <c r="F14" s="137">
        <f>IFERROR(('7. EOD Report'!F14-'6. DAP Report'!F14)/'7. EOD Report'!F14,0)</f>
        <v>0</v>
      </c>
      <c r="G14" s="137">
        <f>IFERROR(('7. EOD Report'!G14-'6. DAP Report'!G14)/'7. EOD Report'!G14,0)</f>
        <v>0</v>
      </c>
      <c r="H14" s="137">
        <f>IFERROR(('7. EOD Report'!H14-'6. DAP Report'!H14)/'7. EOD Report'!H14,0)</f>
        <v>0</v>
      </c>
      <c r="I14" s="137">
        <f>IFERROR(('7. EOD Report'!I14-'6. DAP Report'!I14)/'7. EOD Report'!I14,0)</f>
        <v>0</v>
      </c>
      <c r="J14" s="137">
        <f>IFERROR(('7. EOD Report'!J14-'6. DAP Report'!J14)/'7. EOD Report'!J14,0)</f>
        <v>0</v>
      </c>
      <c r="K14" s="138">
        <f>IFERROR(('7. EOD Report'!K14-'6. DAP Report'!K14)/'7. EOD Report'!K14,0)</f>
        <v>0</v>
      </c>
      <c r="L14" s="137">
        <f>IFERROR(('7. EOD Report'!L14-'6. DAP Report'!L14)/'7. EOD Report'!L14,0)</f>
        <v>2.4312450735665658</v>
      </c>
      <c r="M14" s="137">
        <f>IFERROR(('7. EOD Report'!M14-'6. DAP Report'!M14)/'7. EOD Report'!M14,0)</f>
        <v>0</v>
      </c>
      <c r="N14" s="137">
        <f>IFERROR(('7. EOD Report'!N14-'6. DAP Report'!N14)/'7. EOD Report'!N14,0)</f>
        <v>0</v>
      </c>
      <c r="O14" s="137">
        <f>IFERROR(('7. EOD Report'!O14-'6. DAP Report'!O14)/'7. EOD Report'!O14,0)</f>
        <v>0</v>
      </c>
      <c r="P14" s="137">
        <f>IFERROR(('7. EOD Report'!P14-'6. DAP Report'!P14)/'7. EOD Report'!P14,0)</f>
        <v>0</v>
      </c>
      <c r="Q14" s="138">
        <f>IFERROR(('7. EOD Report'!Q14-'6. DAP Report'!Q14)/'7. EOD Report'!Q14,0)</f>
        <v>0</v>
      </c>
      <c r="R14" s="137">
        <f>IFERROR(('7. EOD Report'!R14-'6. DAP Report'!R14)/'7. EOD Report'!R14,0)</f>
        <v>0</v>
      </c>
      <c r="S14" s="137">
        <f>IFERROR(('7. EOD Report'!S14-'6. DAP Report'!S14)/'7. EOD Report'!S14,0)</f>
        <v>0</v>
      </c>
      <c r="T14" s="137">
        <f>IFERROR(('7. EOD Report'!T14-'6. DAP Report'!T14)/'7. EOD Report'!T14,0)</f>
        <v>0</v>
      </c>
      <c r="U14" s="137">
        <f>IFERROR(('7. EOD Report'!U14-'6. DAP Report'!U14)/'7. EOD Report'!U14,0)</f>
        <v>0</v>
      </c>
      <c r="V14" s="137">
        <f>IFERROR(('7. EOD Report'!V14-'6. DAP Report'!V14)/'7. EOD Report'!V14,0)</f>
        <v>0</v>
      </c>
    </row>
    <row r="15" spans="3:22" ht="19.350000000000001" customHeight="1" x14ac:dyDescent="0.3">
      <c r="C15" s="64">
        <v>5</v>
      </c>
      <c r="D15" s="137">
        <f>IFERROR(('7. EOD Report'!D15-'6. DAP Report'!D15)/'7. EOD Report'!D15,0)</f>
        <v>0</v>
      </c>
      <c r="E15" s="137">
        <f>IFERROR(('7. EOD Report'!E15-'6. DAP Report'!E15)/'7. EOD Report'!E15,0)</f>
        <v>0</v>
      </c>
      <c r="F15" s="137">
        <f>IFERROR(('7. EOD Report'!F15-'6. DAP Report'!F15)/'7. EOD Report'!F15,0)</f>
        <v>0</v>
      </c>
      <c r="G15" s="137">
        <f>IFERROR(('7. EOD Report'!G15-'6. DAP Report'!G15)/'7. EOD Report'!G15,0)</f>
        <v>0</v>
      </c>
      <c r="H15" s="137">
        <f>IFERROR(('7. EOD Report'!H15-'6. DAP Report'!H15)/'7. EOD Report'!H15,0)</f>
        <v>0</v>
      </c>
      <c r="I15" s="137">
        <f>IFERROR(('7. EOD Report'!I15-'6. DAP Report'!I15)/'7. EOD Report'!I15,0)</f>
        <v>0</v>
      </c>
      <c r="J15" s="137">
        <f>IFERROR(('7. EOD Report'!J15-'6. DAP Report'!J15)/'7. EOD Report'!J15,0)</f>
        <v>0</v>
      </c>
      <c r="K15" s="138">
        <f>IFERROR(('7. EOD Report'!K15-'6. DAP Report'!K15)/'7. EOD Report'!K15,0)</f>
        <v>0</v>
      </c>
      <c r="L15" s="137">
        <f>IFERROR(('7. EOD Report'!L15-'6. DAP Report'!L15)/'7. EOD Report'!L15,0)</f>
        <v>2.4259605739910324</v>
      </c>
      <c r="M15" s="137">
        <f>IFERROR(('7. EOD Report'!M15-'6. DAP Report'!M15)/'7. EOD Report'!M15,0)</f>
        <v>0</v>
      </c>
      <c r="N15" s="137">
        <f>IFERROR(('7. EOD Report'!N15-'6. DAP Report'!N15)/'7. EOD Report'!N15,0)</f>
        <v>0</v>
      </c>
      <c r="O15" s="137">
        <f>IFERROR(('7. EOD Report'!O15-'6. DAP Report'!O15)/'7. EOD Report'!O15,0)</f>
        <v>0</v>
      </c>
      <c r="P15" s="137">
        <f>IFERROR(('7. EOD Report'!P15-'6. DAP Report'!P15)/'7. EOD Report'!P15,0)</f>
        <v>0</v>
      </c>
      <c r="Q15" s="138">
        <f>IFERROR(('7. EOD Report'!Q15-'6. DAP Report'!Q15)/'7. EOD Report'!Q15,0)</f>
        <v>0</v>
      </c>
      <c r="R15" s="137">
        <f>IFERROR(('7. EOD Report'!R15-'6. DAP Report'!R15)/'7. EOD Report'!R15,0)</f>
        <v>0</v>
      </c>
      <c r="S15" s="137">
        <f>IFERROR(('7. EOD Report'!S15-'6. DAP Report'!S15)/'7. EOD Report'!S15,0)</f>
        <v>0</v>
      </c>
      <c r="T15" s="137">
        <f>IFERROR(('7. EOD Report'!T15-'6. DAP Report'!T15)/'7. EOD Report'!T15,0)</f>
        <v>0</v>
      </c>
      <c r="U15" s="137">
        <f>IFERROR(('7. EOD Report'!U15-'6. DAP Report'!U15)/'7. EOD Report'!U15,0)</f>
        <v>0</v>
      </c>
      <c r="V15" s="137">
        <f>IFERROR(('7. EOD Report'!V15-'6. DAP Report'!V15)/'7. EOD Report'!V15,0)</f>
        <v>0</v>
      </c>
    </row>
    <row r="16" spans="3:22" ht="19.350000000000001" customHeight="1" x14ac:dyDescent="0.3">
      <c r="C16" s="64">
        <v>6</v>
      </c>
      <c r="D16" s="137">
        <f>IFERROR(('7. EOD Report'!D16-'6. DAP Report'!D16)/'7. EOD Report'!D16,0)</f>
        <v>0</v>
      </c>
      <c r="E16" s="137">
        <f>IFERROR(('7. EOD Report'!E16-'6. DAP Report'!E16)/'7. EOD Report'!E16,0)</f>
        <v>0</v>
      </c>
      <c r="F16" s="137">
        <f>IFERROR(('7. EOD Report'!F16-'6. DAP Report'!F16)/'7. EOD Report'!F16,0)</f>
        <v>0</v>
      </c>
      <c r="G16" s="137">
        <f>IFERROR(('7. EOD Report'!G16-'6. DAP Report'!G16)/'7. EOD Report'!G16,0)</f>
        <v>0</v>
      </c>
      <c r="H16" s="137">
        <f>IFERROR(('7. EOD Report'!H16-'6. DAP Report'!H16)/'7. EOD Report'!H16,0)</f>
        <v>0</v>
      </c>
      <c r="I16" s="137">
        <f>IFERROR(('7. EOD Report'!I16-'6. DAP Report'!I16)/'7. EOD Report'!I16,0)</f>
        <v>0</v>
      </c>
      <c r="J16" s="137">
        <f>IFERROR(('7. EOD Report'!J16-'6. DAP Report'!J16)/'7. EOD Report'!J16,0)</f>
        <v>0</v>
      </c>
      <c r="K16" s="138">
        <f>IFERROR(('7. EOD Report'!K16-'6. DAP Report'!K16)/'7. EOD Report'!K16,0)</f>
        <v>0</v>
      </c>
      <c r="L16" s="137">
        <f>IFERROR(('7. EOD Report'!L16-'6. DAP Report'!L16)/'7. EOD Report'!L16,0)</f>
        <v>1.7572940458597603</v>
      </c>
      <c r="M16" s="137">
        <f>IFERROR(('7. EOD Report'!M16-'6. DAP Report'!M16)/'7. EOD Report'!M16,0)</f>
        <v>0</v>
      </c>
      <c r="N16" s="137">
        <f>IFERROR(('7. EOD Report'!N16-'6. DAP Report'!N16)/'7. EOD Report'!N16,0)</f>
        <v>0</v>
      </c>
      <c r="O16" s="137">
        <f>IFERROR(('7. EOD Report'!O16-'6. DAP Report'!O16)/'7. EOD Report'!O16,0)</f>
        <v>0</v>
      </c>
      <c r="P16" s="137">
        <f>IFERROR(('7. EOD Report'!P16-'6. DAP Report'!P16)/'7. EOD Report'!P16,0)</f>
        <v>0</v>
      </c>
      <c r="Q16" s="138">
        <f>IFERROR(('7. EOD Report'!Q16-'6. DAP Report'!Q16)/'7. EOD Report'!Q16,0)</f>
        <v>0</v>
      </c>
      <c r="R16" s="137">
        <f>IFERROR(('7. EOD Report'!R16-'6. DAP Report'!R16)/'7. EOD Report'!R16,0)</f>
        <v>0</v>
      </c>
      <c r="S16" s="137">
        <f>IFERROR(('7. EOD Report'!S16-'6. DAP Report'!S16)/'7. EOD Report'!S16,0)</f>
        <v>0</v>
      </c>
      <c r="T16" s="137">
        <f>IFERROR(('7. EOD Report'!T16-'6. DAP Report'!T16)/'7. EOD Report'!T16,0)</f>
        <v>0</v>
      </c>
      <c r="U16" s="137">
        <f>IFERROR(('7. EOD Report'!U16-'6. DAP Report'!U16)/'7. EOD Report'!U16,0)</f>
        <v>0</v>
      </c>
      <c r="V16" s="137">
        <f>IFERROR(('7. EOD Report'!V16-'6. DAP Report'!V16)/'7. EOD Report'!V16,0)</f>
        <v>0</v>
      </c>
    </row>
    <row r="17" spans="3:22" ht="19.350000000000001" customHeight="1" x14ac:dyDescent="0.3">
      <c r="C17" s="64">
        <v>7</v>
      </c>
      <c r="D17" s="137">
        <f>IFERROR(('7. EOD Report'!D17-'6. DAP Report'!D17)/'7. EOD Report'!D17,0)</f>
        <v>0</v>
      </c>
      <c r="E17" s="137">
        <f>IFERROR(('7. EOD Report'!E17-'6. DAP Report'!E17)/'7. EOD Report'!E17,0)</f>
        <v>0</v>
      </c>
      <c r="F17" s="137">
        <f>IFERROR(('7. EOD Report'!F17-'6. DAP Report'!F17)/'7. EOD Report'!F17,0)</f>
        <v>0</v>
      </c>
      <c r="G17" s="137">
        <f>IFERROR(('7. EOD Report'!G17-'6. DAP Report'!G17)/'7. EOD Report'!G17,0)</f>
        <v>0</v>
      </c>
      <c r="H17" s="137">
        <f>IFERROR(('7. EOD Report'!H17-'6. DAP Report'!H17)/'7. EOD Report'!H17,0)</f>
        <v>0</v>
      </c>
      <c r="I17" s="137">
        <f>IFERROR(('7. EOD Report'!I17-'6. DAP Report'!I17)/'7. EOD Report'!I17,0)</f>
        <v>0</v>
      </c>
      <c r="J17" s="137">
        <f>IFERROR(('7. EOD Report'!J17-'6. DAP Report'!J17)/'7. EOD Report'!J17,0)</f>
        <v>0</v>
      </c>
      <c r="K17" s="138">
        <f>IFERROR(('7. EOD Report'!K17-'6. DAP Report'!K17)/'7. EOD Report'!K17,0)</f>
        <v>0</v>
      </c>
      <c r="L17" s="137">
        <f>IFERROR(('7. EOD Report'!L17-'6. DAP Report'!L17)/'7. EOD Report'!L17,0)</f>
        <v>1.8231969450727923</v>
      </c>
      <c r="M17" s="137">
        <f>IFERROR(('7. EOD Report'!M17-'6. DAP Report'!M17)/'7. EOD Report'!M17,0)</f>
        <v>0</v>
      </c>
      <c r="N17" s="137">
        <f>IFERROR(('7. EOD Report'!N17-'6. DAP Report'!N17)/'7. EOD Report'!N17,0)</f>
        <v>0</v>
      </c>
      <c r="O17" s="137">
        <f>IFERROR(('7. EOD Report'!O17-'6. DAP Report'!O17)/'7. EOD Report'!O17,0)</f>
        <v>0</v>
      </c>
      <c r="P17" s="137">
        <f>IFERROR(('7. EOD Report'!P17-'6. DAP Report'!P17)/'7. EOD Report'!P17,0)</f>
        <v>0</v>
      </c>
      <c r="Q17" s="138">
        <f>IFERROR(('7. EOD Report'!Q17-'6. DAP Report'!Q17)/'7. EOD Report'!Q17,0)</f>
        <v>0</v>
      </c>
      <c r="R17" s="137">
        <f>IFERROR(('7. EOD Report'!R17-'6. DAP Report'!R17)/'7. EOD Report'!R17,0)</f>
        <v>0</v>
      </c>
      <c r="S17" s="137">
        <f>IFERROR(('7. EOD Report'!S17-'6. DAP Report'!S17)/'7. EOD Report'!S17,0)</f>
        <v>0</v>
      </c>
      <c r="T17" s="137">
        <f>IFERROR(('7. EOD Report'!T17-'6. DAP Report'!T17)/'7. EOD Report'!T17,0)</f>
        <v>0</v>
      </c>
      <c r="U17" s="137">
        <f>IFERROR(('7. EOD Report'!U17-'6. DAP Report'!U17)/'7. EOD Report'!U17,0)</f>
        <v>0</v>
      </c>
      <c r="V17" s="137">
        <f>IFERROR(('7. EOD Report'!V17-'6. DAP Report'!V17)/'7. EOD Report'!V17,0)</f>
        <v>0</v>
      </c>
    </row>
    <row r="18" spans="3:22" ht="19.350000000000001" customHeight="1" x14ac:dyDescent="0.3">
      <c r="C18" s="64">
        <v>8</v>
      </c>
      <c r="D18" s="137">
        <f>IFERROR(('7. EOD Report'!D18-'6. DAP Report'!D18)/'7. EOD Report'!D18,0)</f>
        <v>0</v>
      </c>
      <c r="E18" s="137">
        <f>IFERROR(('7. EOD Report'!E18-'6. DAP Report'!E18)/'7. EOD Report'!E18,0)</f>
        <v>0</v>
      </c>
      <c r="F18" s="137">
        <f>IFERROR(('7. EOD Report'!F18-'6. DAP Report'!F18)/'7. EOD Report'!F18,0)</f>
        <v>0</v>
      </c>
      <c r="G18" s="137">
        <f>IFERROR(('7. EOD Report'!G18-'6. DAP Report'!G18)/'7. EOD Report'!G18,0)</f>
        <v>0</v>
      </c>
      <c r="H18" s="137">
        <f>IFERROR(('7. EOD Report'!H18-'6. DAP Report'!H18)/'7. EOD Report'!H18,0)</f>
        <v>0</v>
      </c>
      <c r="I18" s="137">
        <f>IFERROR(('7. EOD Report'!I18-'6. DAP Report'!I18)/'7. EOD Report'!I18,0)</f>
        <v>0</v>
      </c>
      <c r="J18" s="137">
        <f>IFERROR(('7. EOD Report'!J18-'6. DAP Report'!J18)/'7. EOD Report'!J18,0)</f>
        <v>0</v>
      </c>
      <c r="K18" s="138">
        <f>IFERROR(('7. EOD Report'!K18-'6. DAP Report'!K18)/'7. EOD Report'!K18,0)</f>
        <v>0</v>
      </c>
      <c r="L18" s="137">
        <f>IFERROR(('7. EOD Report'!L18-'6. DAP Report'!L18)/'7. EOD Report'!L18,0)</f>
        <v>1.9874923545911343</v>
      </c>
      <c r="M18" s="137">
        <f>IFERROR(('7. EOD Report'!M18-'6. DAP Report'!M18)/'7. EOD Report'!M18,0)</f>
        <v>0</v>
      </c>
      <c r="N18" s="137">
        <f>IFERROR(('7. EOD Report'!N18-'6. DAP Report'!N18)/'7. EOD Report'!N18,0)</f>
        <v>0</v>
      </c>
      <c r="O18" s="137">
        <f>IFERROR(('7. EOD Report'!O18-'6. DAP Report'!O18)/'7. EOD Report'!O18,0)</f>
        <v>0</v>
      </c>
      <c r="P18" s="137">
        <f>IFERROR(('7. EOD Report'!P18-'6. DAP Report'!P18)/'7. EOD Report'!P18,0)</f>
        <v>0</v>
      </c>
      <c r="Q18" s="138">
        <f>IFERROR(('7. EOD Report'!Q18-'6. DAP Report'!Q18)/'7. EOD Report'!Q18,0)</f>
        <v>0</v>
      </c>
      <c r="R18" s="137">
        <f>IFERROR(('7. EOD Report'!R18-'6. DAP Report'!R18)/'7. EOD Report'!R18,0)</f>
        <v>0</v>
      </c>
      <c r="S18" s="137">
        <f>IFERROR(('7. EOD Report'!S18-'6. DAP Report'!S18)/'7. EOD Report'!S18,0)</f>
        <v>0</v>
      </c>
      <c r="T18" s="137">
        <f>IFERROR(('7. EOD Report'!T18-'6. DAP Report'!T18)/'7. EOD Report'!T18,0)</f>
        <v>0</v>
      </c>
      <c r="U18" s="137">
        <f>IFERROR(('7. EOD Report'!U18-'6. DAP Report'!U18)/'7. EOD Report'!U18,0)</f>
        <v>0</v>
      </c>
      <c r="V18" s="137">
        <f>IFERROR(('7. EOD Report'!V18-'6. DAP Report'!V18)/'7. EOD Report'!V18,0)</f>
        <v>0</v>
      </c>
    </row>
    <row r="19" spans="3:22" ht="19.350000000000001" customHeight="1" x14ac:dyDescent="0.3">
      <c r="C19" s="64">
        <v>9</v>
      </c>
      <c r="D19" s="137">
        <f>IFERROR(('7. EOD Report'!D19-'6. DAP Report'!D19)/'7. EOD Report'!D19,0)</f>
        <v>0</v>
      </c>
      <c r="E19" s="137">
        <f>IFERROR(('7. EOD Report'!E19-'6. DAP Report'!E19)/'7. EOD Report'!E19,0)</f>
        <v>0</v>
      </c>
      <c r="F19" s="137">
        <f>IFERROR(('7. EOD Report'!F19-'6. DAP Report'!F19)/'7. EOD Report'!F19,0)</f>
        <v>0</v>
      </c>
      <c r="G19" s="137">
        <f>IFERROR(('7. EOD Report'!G19-'6. DAP Report'!G19)/'7. EOD Report'!G19,0)</f>
        <v>0</v>
      </c>
      <c r="H19" s="137">
        <f>IFERROR(('7. EOD Report'!H19-'6. DAP Report'!H19)/'7. EOD Report'!H19,0)</f>
        <v>0</v>
      </c>
      <c r="I19" s="137">
        <f>IFERROR(('7. EOD Report'!I19-'6. DAP Report'!I19)/'7. EOD Report'!I19,0)</f>
        <v>0</v>
      </c>
      <c r="J19" s="137">
        <f>IFERROR(('7. EOD Report'!J19-'6. DAP Report'!J19)/'7. EOD Report'!J19,0)</f>
        <v>0</v>
      </c>
      <c r="K19" s="138">
        <f>IFERROR(('7. EOD Report'!K19-'6. DAP Report'!K19)/'7. EOD Report'!K19,0)</f>
        <v>0</v>
      </c>
      <c r="L19" s="137">
        <f>IFERROR(('7. EOD Report'!L19-'6. DAP Report'!L19)/'7. EOD Report'!L19,0)</f>
        <v>1.8460350303279986</v>
      </c>
      <c r="M19" s="137">
        <f>IFERROR(('7. EOD Report'!M19-'6. DAP Report'!M19)/'7. EOD Report'!M19,0)</f>
        <v>0</v>
      </c>
      <c r="N19" s="137">
        <f>IFERROR(('7. EOD Report'!N19-'6. DAP Report'!N19)/'7. EOD Report'!N19,0)</f>
        <v>0</v>
      </c>
      <c r="O19" s="137">
        <f>IFERROR(('7. EOD Report'!O19-'6. DAP Report'!O19)/'7. EOD Report'!O19,0)</f>
        <v>0</v>
      </c>
      <c r="P19" s="137">
        <f>IFERROR(('7. EOD Report'!P19-'6. DAP Report'!P19)/'7. EOD Report'!P19,0)</f>
        <v>0</v>
      </c>
      <c r="Q19" s="138">
        <f>IFERROR(('7. EOD Report'!Q19-'6. DAP Report'!Q19)/'7. EOD Report'!Q19,0)</f>
        <v>0</v>
      </c>
      <c r="R19" s="137">
        <f>IFERROR(('7. EOD Report'!R19-'6. DAP Report'!R19)/'7. EOD Report'!R19,0)</f>
        <v>0</v>
      </c>
      <c r="S19" s="137">
        <f>IFERROR(('7. EOD Report'!S19-'6. DAP Report'!S19)/'7. EOD Report'!S19,0)</f>
        <v>0</v>
      </c>
      <c r="T19" s="137">
        <f>IFERROR(('7. EOD Report'!T19-'6. DAP Report'!T19)/'7. EOD Report'!T19,0)</f>
        <v>0</v>
      </c>
      <c r="U19" s="137">
        <f>IFERROR(('7. EOD Report'!U19-'6. DAP Report'!U19)/'7. EOD Report'!U19,0)</f>
        <v>0</v>
      </c>
      <c r="V19" s="137">
        <f>IFERROR(('7. EOD Report'!V19-'6. DAP Report'!V19)/'7. EOD Report'!V19,0)</f>
        <v>0</v>
      </c>
    </row>
    <row r="20" spans="3:22" ht="19.350000000000001" customHeight="1" x14ac:dyDescent="0.3">
      <c r="C20" s="64">
        <v>10</v>
      </c>
      <c r="D20" s="137">
        <f>IFERROR(('7. EOD Report'!D20-'6. DAP Report'!D20)/'7. EOD Report'!D20,0)</f>
        <v>0</v>
      </c>
      <c r="E20" s="137">
        <f>IFERROR(('7. EOD Report'!E20-'6. DAP Report'!E20)/'7. EOD Report'!E20,0)</f>
        <v>0</v>
      </c>
      <c r="F20" s="137">
        <f>IFERROR(('7. EOD Report'!F20-'6. DAP Report'!F20)/'7. EOD Report'!F20,0)</f>
        <v>0</v>
      </c>
      <c r="G20" s="137">
        <f>IFERROR(('7. EOD Report'!G20-'6. DAP Report'!G20)/'7. EOD Report'!G20,0)</f>
        <v>0</v>
      </c>
      <c r="H20" s="137">
        <f>IFERROR(('7. EOD Report'!H20-'6. DAP Report'!H20)/'7. EOD Report'!H20,0)</f>
        <v>0</v>
      </c>
      <c r="I20" s="137">
        <f>IFERROR(('7. EOD Report'!I20-'6. DAP Report'!I20)/'7. EOD Report'!I20,0)</f>
        <v>0</v>
      </c>
      <c r="J20" s="137">
        <f>IFERROR(('7. EOD Report'!J20-'6. DAP Report'!J20)/'7. EOD Report'!J20,0)</f>
        <v>0</v>
      </c>
      <c r="K20" s="138">
        <f>IFERROR(('7. EOD Report'!K20-'6. DAP Report'!K20)/'7. EOD Report'!K20,0)</f>
        <v>0</v>
      </c>
      <c r="L20" s="137">
        <f>IFERROR(('7. EOD Report'!L20-'6. DAP Report'!L20)/'7. EOD Report'!L20,0)</f>
        <v>2.0317766858595001</v>
      </c>
      <c r="M20" s="137">
        <f>IFERROR(('7. EOD Report'!M20-'6. DAP Report'!M20)/'7. EOD Report'!M20,0)</f>
        <v>0</v>
      </c>
      <c r="N20" s="137">
        <f>IFERROR(('7. EOD Report'!N20-'6. DAP Report'!N20)/'7. EOD Report'!N20,0)</f>
        <v>0</v>
      </c>
      <c r="O20" s="137">
        <f>IFERROR(('7. EOD Report'!O20-'6. DAP Report'!O20)/'7. EOD Report'!O20,0)</f>
        <v>0</v>
      </c>
      <c r="P20" s="137">
        <f>IFERROR(('7. EOD Report'!P20-'6. DAP Report'!P20)/'7. EOD Report'!P20,0)</f>
        <v>0</v>
      </c>
      <c r="Q20" s="138">
        <f>IFERROR(('7. EOD Report'!Q20-'6. DAP Report'!Q20)/'7. EOD Report'!Q20,0)</f>
        <v>0</v>
      </c>
      <c r="R20" s="137">
        <f>IFERROR(('7. EOD Report'!R20-'6. DAP Report'!R20)/'7. EOD Report'!R20,0)</f>
        <v>0</v>
      </c>
      <c r="S20" s="137">
        <f>IFERROR(('7. EOD Report'!S20-'6. DAP Report'!S20)/'7. EOD Report'!S20,0)</f>
        <v>0</v>
      </c>
      <c r="T20" s="137">
        <f>IFERROR(('7. EOD Report'!T20-'6. DAP Report'!T20)/'7. EOD Report'!T20,0)</f>
        <v>0</v>
      </c>
      <c r="U20" s="137">
        <f>IFERROR(('7. EOD Report'!U20-'6. DAP Report'!U20)/'7. EOD Report'!U20,0)</f>
        <v>0</v>
      </c>
      <c r="V20" s="137">
        <f>IFERROR(('7. EOD Report'!V20-'6. DAP Report'!V20)/'7. EOD Report'!V20,0)</f>
        <v>0</v>
      </c>
    </row>
    <row r="21" spans="3:22" ht="19.350000000000001" customHeight="1" x14ac:dyDescent="0.3">
      <c r="C21" s="64">
        <v>11</v>
      </c>
      <c r="D21" s="137">
        <f>IFERROR(('7. EOD Report'!D21-'6. DAP Report'!D21)/'7. EOD Report'!D21,0)</f>
        <v>0</v>
      </c>
      <c r="E21" s="137">
        <f>IFERROR(('7. EOD Report'!E21-'6. DAP Report'!E21)/'7. EOD Report'!E21,0)</f>
        <v>0</v>
      </c>
      <c r="F21" s="137">
        <f>IFERROR(('7. EOD Report'!F21-'6. DAP Report'!F21)/'7. EOD Report'!F21,0)</f>
        <v>0</v>
      </c>
      <c r="G21" s="137">
        <f>IFERROR(('7. EOD Report'!G21-'6. DAP Report'!G21)/'7. EOD Report'!G21,0)</f>
        <v>0</v>
      </c>
      <c r="H21" s="137">
        <f>IFERROR(('7. EOD Report'!H21-'6. DAP Report'!H21)/'7. EOD Report'!H21,0)</f>
        <v>0</v>
      </c>
      <c r="I21" s="137">
        <f>IFERROR(('7. EOD Report'!I21-'6. DAP Report'!I21)/'7. EOD Report'!I21,0)</f>
        <v>0</v>
      </c>
      <c r="J21" s="137">
        <f>IFERROR(('7. EOD Report'!J21-'6. DAP Report'!J21)/'7. EOD Report'!J21,0)</f>
        <v>0</v>
      </c>
      <c r="K21" s="138">
        <f>IFERROR(('7. EOD Report'!K21-'6. DAP Report'!K21)/'7. EOD Report'!K21,0)</f>
        <v>0</v>
      </c>
      <c r="L21" s="137">
        <f>IFERROR(('7. EOD Report'!L21-'6. DAP Report'!L21)/'7. EOD Report'!L21,0)</f>
        <v>2.1705876469269456</v>
      </c>
      <c r="M21" s="137">
        <f>IFERROR(('7. EOD Report'!M21-'6. DAP Report'!M21)/'7. EOD Report'!M21,0)</f>
        <v>0</v>
      </c>
      <c r="N21" s="137">
        <f>IFERROR(('7. EOD Report'!N21-'6. DAP Report'!N21)/'7. EOD Report'!N21,0)</f>
        <v>0</v>
      </c>
      <c r="O21" s="137">
        <f>IFERROR(('7. EOD Report'!O21-'6. DAP Report'!O21)/'7. EOD Report'!O21,0)</f>
        <v>0</v>
      </c>
      <c r="P21" s="137">
        <f>IFERROR(('7. EOD Report'!P21-'6. DAP Report'!P21)/'7. EOD Report'!P21,0)</f>
        <v>0</v>
      </c>
      <c r="Q21" s="138">
        <f>IFERROR(('7. EOD Report'!Q21-'6. DAP Report'!Q21)/'7. EOD Report'!Q21,0)</f>
        <v>0</v>
      </c>
      <c r="R21" s="137">
        <f>IFERROR(('7. EOD Report'!R21-'6. DAP Report'!R21)/'7. EOD Report'!R21,0)</f>
        <v>0</v>
      </c>
      <c r="S21" s="137">
        <f>IFERROR(('7. EOD Report'!S21-'6. DAP Report'!S21)/'7. EOD Report'!S21,0)</f>
        <v>0</v>
      </c>
      <c r="T21" s="137">
        <f>IFERROR(('7. EOD Report'!T21-'6. DAP Report'!T21)/'7. EOD Report'!T21,0)</f>
        <v>0</v>
      </c>
      <c r="U21" s="137">
        <f>IFERROR(('7. EOD Report'!U21-'6. DAP Report'!U21)/'7. EOD Report'!U21,0)</f>
        <v>0</v>
      </c>
      <c r="V21" s="137">
        <f>IFERROR(('7. EOD Report'!V21-'6. DAP Report'!V21)/'7. EOD Report'!V21,0)</f>
        <v>0</v>
      </c>
    </row>
    <row r="22" spans="3:22" ht="19.350000000000001" customHeight="1" x14ac:dyDescent="0.3">
      <c r="C22" s="64">
        <v>12</v>
      </c>
      <c r="D22" s="137">
        <f>IFERROR(('7. EOD Report'!D22-'6. DAP Report'!D22)/'7. EOD Report'!D22,0)</f>
        <v>0</v>
      </c>
      <c r="E22" s="137">
        <f>IFERROR(('7. EOD Report'!E22-'6. DAP Report'!E22)/'7. EOD Report'!E22,0)</f>
        <v>0</v>
      </c>
      <c r="F22" s="137">
        <f>IFERROR(('7. EOD Report'!F22-'6. DAP Report'!F22)/'7. EOD Report'!F22,0)</f>
        <v>0</v>
      </c>
      <c r="G22" s="137">
        <f>IFERROR(('7. EOD Report'!G22-'6. DAP Report'!G22)/'7. EOD Report'!G22,0)</f>
        <v>0</v>
      </c>
      <c r="H22" s="137">
        <f>IFERROR(('7. EOD Report'!H22-'6. DAP Report'!H22)/'7. EOD Report'!H22,0)</f>
        <v>0</v>
      </c>
      <c r="I22" s="137">
        <f>IFERROR(('7. EOD Report'!I22-'6. DAP Report'!I22)/'7. EOD Report'!I22,0)</f>
        <v>0</v>
      </c>
      <c r="J22" s="137">
        <f>IFERROR(('7. EOD Report'!J22-'6. DAP Report'!J22)/'7. EOD Report'!J22,0)</f>
        <v>0</v>
      </c>
      <c r="K22" s="138">
        <f>IFERROR(('7. EOD Report'!K22-'6. DAP Report'!K22)/'7. EOD Report'!K22,0)</f>
        <v>0</v>
      </c>
      <c r="L22" s="137">
        <f>IFERROR(('7. EOD Report'!L22-'6. DAP Report'!L22)/'7. EOD Report'!L22,0)</f>
        <v>2.230411685569373</v>
      </c>
      <c r="M22" s="137">
        <f>IFERROR(('7. EOD Report'!M22-'6. DAP Report'!M22)/'7. EOD Report'!M22,0)</f>
        <v>0</v>
      </c>
      <c r="N22" s="137">
        <f>IFERROR(('7. EOD Report'!N22-'6. DAP Report'!N22)/'7. EOD Report'!N22,0)</f>
        <v>0</v>
      </c>
      <c r="O22" s="137">
        <f>IFERROR(('7. EOD Report'!O22-'6. DAP Report'!O22)/'7. EOD Report'!O22,0)</f>
        <v>0</v>
      </c>
      <c r="P22" s="137">
        <f>IFERROR(('7. EOD Report'!P22-'6. DAP Report'!P22)/'7. EOD Report'!P22,0)</f>
        <v>0</v>
      </c>
      <c r="Q22" s="138">
        <f>IFERROR(('7. EOD Report'!Q22-'6. DAP Report'!Q22)/'7. EOD Report'!Q22,0)</f>
        <v>0</v>
      </c>
      <c r="R22" s="137">
        <f>IFERROR(('7. EOD Report'!R22-'6. DAP Report'!R22)/'7. EOD Report'!R22,0)</f>
        <v>0</v>
      </c>
      <c r="S22" s="137">
        <f>IFERROR(('7. EOD Report'!S22-'6. DAP Report'!S22)/'7. EOD Report'!S22,0)</f>
        <v>0</v>
      </c>
      <c r="T22" s="137">
        <f>IFERROR(('7. EOD Report'!T22-'6. DAP Report'!T22)/'7. EOD Report'!T22,0)</f>
        <v>0</v>
      </c>
      <c r="U22" s="137">
        <f>IFERROR(('7. EOD Report'!U22-'6. DAP Report'!U22)/'7. EOD Report'!U22,0)</f>
        <v>0</v>
      </c>
      <c r="V22" s="137">
        <f>IFERROR(('7. EOD Report'!V22-'6. DAP Report'!V22)/'7. EOD Report'!V22,0)</f>
        <v>0</v>
      </c>
    </row>
    <row r="23" spans="3:22" ht="19.350000000000001" customHeight="1" x14ac:dyDescent="0.3">
      <c r="C23" s="64">
        <v>13</v>
      </c>
      <c r="D23" s="137">
        <f>IFERROR(('7. EOD Report'!D23-'6. DAP Report'!D23)/'7. EOD Report'!D23,0)</f>
        <v>0</v>
      </c>
      <c r="E23" s="137">
        <f>IFERROR(('7. EOD Report'!E23-'6. DAP Report'!E23)/'7. EOD Report'!E23,0)</f>
        <v>0</v>
      </c>
      <c r="F23" s="137">
        <f>IFERROR(('7. EOD Report'!F23-'6. DAP Report'!F23)/'7. EOD Report'!F23,0)</f>
        <v>0</v>
      </c>
      <c r="G23" s="137">
        <f>IFERROR(('7. EOD Report'!G23-'6. DAP Report'!G23)/'7. EOD Report'!G23,0)</f>
        <v>0</v>
      </c>
      <c r="H23" s="137">
        <f>IFERROR(('7. EOD Report'!H23-'6. DAP Report'!H23)/'7. EOD Report'!H23,0)</f>
        <v>0</v>
      </c>
      <c r="I23" s="137">
        <f>IFERROR(('7. EOD Report'!I23-'6. DAP Report'!I23)/'7. EOD Report'!I23,0)</f>
        <v>0</v>
      </c>
      <c r="J23" s="137">
        <f>IFERROR(('7. EOD Report'!J23-'6. DAP Report'!J23)/'7. EOD Report'!J23,0)</f>
        <v>0</v>
      </c>
      <c r="K23" s="138">
        <f>IFERROR(('7. EOD Report'!K23-'6. DAP Report'!K23)/'7. EOD Report'!K23,0)</f>
        <v>0</v>
      </c>
      <c r="L23" s="137">
        <f>IFERROR(('7. EOD Report'!L23-'6. DAP Report'!L23)/'7. EOD Report'!L23,0)</f>
        <v>2.1936209620897351</v>
      </c>
      <c r="M23" s="137">
        <f>IFERROR(('7. EOD Report'!M23-'6. DAP Report'!M23)/'7. EOD Report'!M23,0)</f>
        <v>0</v>
      </c>
      <c r="N23" s="137">
        <f>IFERROR(('7. EOD Report'!N23-'6. DAP Report'!N23)/'7. EOD Report'!N23,0)</f>
        <v>0</v>
      </c>
      <c r="O23" s="137">
        <f>IFERROR(('7. EOD Report'!O23-'6. DAP Report'!O23)/'7. EOD Report'!O23,0)</f>
        <v>0</v>
      </c>
      <c r="P23" s="137">
        <f>IFERROR(('7. EOD Report'!P23-'6. DAP Report'!P23)/'7. EOD Report'!P23,0)</f>
        <v>0</v>
      </c>
      <c r="Q23" s="138">
        <f>IFERROR(('7. EOD Report'!Q23-'6. DAP Report'!Q23)/'7. EOD Report'!Q23,0)</f>
        <v>0</v>
      </c>
      <c r="R23" s="137">
        <f>IFERROR(('7. EOD Report'!R23-'6. DAP Report'!R23)/'7. EOD Report'!R23,0)</f>
        <v>0</v>
      </c>
      <c r="S23" s="137">
        <f>IFERROR(('7. EOD Report'!S23-'6. DAP Report'!S23)/'7. EOD Report'!S23,0)</f>
        <v>0</v>
      </c>
      <c r="T23" s="137">
        <f>IFERROR(('7. EOD Report'!T23-'6. DAP Report'!T23)/'7. EOD Report'!T23,0)</f>
        <v>0</v>
      </c>
      <c r="U23" s="137">
        <f>IFERROR(('7. EOD Report'!U23-'6. DAP Report'!U23)/'7. EOD Report'!U23,0)</f>
        <v>0</v>
      </c>
      <c r="V23" s="137">
        <f>IFERROR(('7. EOD Report'!V23-'6. DAP Report'!V23)/'7. EOD Report'!V23,0)</f>
        <v>0</v>
      </c>
    </row>
    <row r="24" spans="3:22" ht="19.350000000000001" customHeight="1" x14ac:dyDescent="0.3">
      <c r="C24" s="64">
        <v>14</v>
      </c>
      <c r="D24" s="137">
        <f>IFERROR(('7. EOD Report'!D24-'6. DAP Report'!D24)/'7. EOD Report'!D24,0)</f>
        <v>0</v>
      </c>
      <c r="E24" s="137">
        <f>IFERROR(('7. EOD Report'!E24-'6. DAP Report'!E24)/'7. EOD Report'!E24,0)</f>
        <v>0</v>
      </c>
      <c r="F24" s="137">
        <f>IFERROR(('7. EOD Report'!F24-'6. DAP Report'!F24)/'7. EOD Report'!F24,0)</f>
        <v>0</v>
      </c>
      <c r="G24" s="137">
        <f>IFERROR(('7. EOD Report'!G24-'6. DAP Report'!G24)/'7. EOD Report'!G24,0)</f>
        <v>0</v>
      </c>
      <c r="H24" s="137">
        <f>IFERROR(('7. EOD Report'!H24-'6. DAP Report'!H24)/'7. EOD Report'!H24,0)</f>
        <v>0</v>
      </c>
      <c r="I24" s="137">
        <f>IFERROR(('7. EOD Report'!I24-'6. DAP Report'!I24)/'7. EOD Report'!I24,0)</f>
        <v>0</v>
      </c>
      <c r="J24" s="137">
        <f>IFERROR(('7. EOD Report'!J24-'6. DAP Report'!J24)/'7. EOD Report'!J24,0)</f>
        <v>0</v>
      </c>
      <c r="K24" s="138">
        <f>IFERROR(('7. EOD Report'!K24-'6. DAP Report'!K24)/'7. EOD Report'!K24,0)</f>
        <v>0</v>
      </c>
      <c r="L24" s="137">
        <f>IFERROR(('7. EOD Report'!L24-'6. DAP Report'!L24)/'7. EOD Report'!L24,0)</f>
        <v>1.8536686029766611</v>
      </c>
      <c r="M24" s="137">
        <f>IFERROR(('7. EOD Report'!M24-'6. DAP Report'!M24)/'7. EOD Report'!M24,0)</f>
        <v>0</v>
      </c>
      <c r="N24" s="137">
        <f>IFERROR(('7. EOD Report'!N24-'6. DAP Report'!N24)/'7. EOD Report'!N24,0)</f>
        <v>0</v>
      </c>
      <c r="O24" s="137">
        <f>IFERROR(('7. EOD Report'!O24-'6. DAP Report'!O24)/'7. EOD Report'!O24,0)</f>
        <v>0</v>
      </c>
      <c r="P24" s="137">
        <f>IFERROR(('7. EOD Report'!P24-'6. DAP Report'!P24)/'7. EOD Report'!P24,0)</f>
        <v>0</v>
      </c>
      <c r="Q24" s="138">
        <f>IFERROR(('7. EOD Report'!Q24-'6. DAP Report'!Q24)/'7. EOD Report'!Q24,0)</f>
        <v>0</v>
      </c>
      <c r="R24" s="137">
        <f>IFERROR(('7. EOD Report'!R24-'6. DAP Report'!R24)/'7. EOD Report'!R24,0)</f>
        <v>0</v>
      </c>
      <c r="S24" s="137">
        <f>IFERROR(('7. EOD Report'!S24-'6. DAP Report'!S24)/'7. EOD Report'!S24,0)</f>
        <v>0</v>
      </c>
      <c r="T24" s="137">
        <f>IFERROR(('7. EOD Report'!T24-'6. DAP Report'!T24)/'7. EOD Report'!T24,0)</f>
        <v>0</v>
      </c>
      <c r="U24" s="137">
        <f>IFERROR(('7. EOD Report'!U24-'6. DAP Report'!U24)/'7. EOD Report'!U24,0)</f>
        <v>0</v>
      </c>
      <c r="V24" s="137">
        <f>IFERROR(('7. EOD Report'!V24-'6. DAP Report'!V24)/'7. EOD Report'!V24,0)</f>
        <v>0</v>
      </c>
    </row>
    <row r="25" spans="3:22" ht="19.350000000000001" customHeight="1" x14ac:dyDescent="0.3">
      <c r="C25" s="64">
        <v>15</v>
      </c>
      <c r="D25" s="137">
        <f>IFERROR(('7. EOD Report'!D25-'6. DAP Report'!D25)/'7. EOD Report'!D25,0)</f>
        <v>0</v>
      </c>
      <c r="E25" s="137">
        <f>IFERROR(('7. EOD Report'!E25-'6. DAP Report'!E25)/'7. EOD Report'!E25,0)</f>
        <v>0</v>
      </c>
      <c r="F25" s="137">
        <f>IFERROR(('7. EOD Report'!F25-'6. DAP Report'!F25)/'7. EOD Report'!F25,0)</f>
        <v>0</v>
      </c>
      <c r="G25" s="137">
        <f>IFERROR(('7. EOD Report'!G25-'6. DAP Report'!G25)/'7. EOD Report'!G25,0)</f>
        <v>0</v>
      </c>
      <c r="H25" s="137">
        <f>IFERROR(('7. EOD Report'!H25-'6. DAP Report'!H25)/'7. EOD Report'!H25,0)</f>
        <v>0</v>
      </c>
      <c r="I25" s="137">
        <f>IFERROR(('7. EOD Report'!I25-'6. DAP Report'!I25)/'7. EOD Report'!I25,0)</f>
        <v>0</v>
      </c>
      <c r="J25" s="137">
        <f>IFERROR(('7. EOD Report'!J25-'6. DAP Report'!J25)/'7. EOD Report'!J25,0)</f>
        <v>0</v>
      </c>
      <c r="K25" s="138">
        <f>IFERROR(('7. EOD Report'!K25-'6. DAP Report'!K25)/'7. EOD Report'!K25,0)</f>
        <v>0</v>
      </c>
      <c r="L25" s="137">
        <f>IFERROR(('7. EOD Report'!L25-'6. DAP Report'!L25)/'7. EOD Report'!L25,0)</f>
        <v>1.8937502899039267</v>
      </c>
      <c r="M25" s="137">
        <f>IFERROR(('7. EOD Report'!M25-'6. DAP Report'!M25)/'7. EOD Report'!M25,0)</f>
        <v>0</v>
      </c>
      <c r="N25" s="137">
        <f>IFERROR(('7. EOD Report'!N25-'6. DAP Report'!N25)/'7. EOD Report'!N25,0)</f>
        <v>0</v>
      </c>
      <c r="O25" s="137">
        <f>IFERROR(('7. EOD Report'!O25-'6. DAP Report'!O25)/'7. EOD Report'!O25,0)</f>
        <v>0</v>
      </c>
      <c r="P25" s="137">
        <f>IFERROR(('7. EOD Report'!P25-'6. DAP Report'!P25)/'7. EOD Report'!P25,0)</f>
        <v>0</v>
      </c>
      <c r="Q25" s="138">
        <f>IFERROR(('7. EOD Report'!Q25-'6. DAP Report'!Q25)/'7. EOD Report'!Q25,0)</f>
        <v>0</v>
      </c>
      <c r="R25" s="137">
        <f>IFERROR(('7. EOD Report'!R25-'6. DAP Report'!R25)/'7. EOD Report'!R25,0)</f>
        <v>0</v>
      </c>
      <c r="S25" s="137">
        <f>IFERROR(('7. EOD Report'!S25-'6. DAP Report'!S25)/'7. EOD Report'!S25,0)</f>
        <v>0</v>
      </c>
      <c r="T25" s="137">
        <f>IFERROR(('7. EOD Report'!T25-'6. DAP Report'!T25)/'7. EOD Report'!T25,0)</f>
        <v>0</v>
      </c>
      <c r="U25" s="137">
        <f>IFERROR(('7. EOD Report'!U25-'6. DAP Report'!U25)/'7. EOD Report'!U25,0)</f>
        <v>0</v>
      </c>
      <c r="V25" s="137">
        <f>IFERROR(('7. EOD Report'!V25-'6. DAP Report'!V25)/'7. EOD Report'!V25,0)</f>
        <v>0</v>
      </c>
    </row>
    <row r="26" spans="3:22" ht="19.350000000000001" customHeight="1" x14ac:dyDescent="0.3">
      <c r="C26" s="64">
        <v>16</v>
      </c>
      <c r="D26" s="137">
        <f>IFERROR(('7. EOD Report'!D26-'6. DAP Report'!D26)/'7. EOD Report'!D26,0)</f>
        <v>0</v>
      </c>
      <c r="E26" s="137">
        <f>IFERROR(('7. EOD Report'!E26-'6. DAP Report'!E26)/'7. EOD Report'!E26,0)</f>
        <v>0</v>
      </c>
      <c r="F26" s="137">
        <f>IFERROR(('7. EOD Report'!F26-'6. DAP Report'!F26)/'7. EOD Report'!F26,0)</f>
        <v>0</v>
      </c>
      <c r="G26" s="137">
        <f>IFERROR(('7. EOD Report'!G26-'6. DAP Report'!G26)/'7. EOD Report'!G26,0)</f>
        <v>0</v>
      </c>
      <c r="H26" s="137">
        <f>IFERROR(('7. EOD Report'!H26-'6. DAP Report'!H26)/'7. EOD Report'!H26,0)</f>
        <v>0</v>
      </c>
      <c r="I26" s="137">
        <f>IFERROR(('7. EOD Report'!I26-'6. DAP Report'!I26)/'7. EOD Report'!I26,0)</f>
        <v>0</v>
      </c>
      <c r="J26" s="137">
        <f>IFERROR(('7. EOD Report'!J26-'6. DAP Report'!J26)/'7. EOD Report'!J26,0)</f>
        <v>0</v>
      </c>
      <c r="K26" s="138">
        <f>IFERROR(('7. EOD Report'!K26-'6. DAP Report'!K26)/'7. EOD Report'!K26,0)</f>
        <v>0</v>
      </c>
      <c r="L26" s="137">
        <f>IFERROR(('7. EOD Report'!L26-'6. DAP Report'!L26)/'7. EOD Report'!L26,0)</f>
        <v>1.8936675177303082</v>
      </c>
      <c r="M26" s="137">
        <f>IFERROR(('7. EOD Report'!M26-'6. DAP Report'!M26)/'7. EOD Report'!M26,0)</f>
        <v>0</v>
      </c>
      <c r="N26" s="137">
        <f>IFERROR(('7. EOD Report'!N26-'6. DAP Report'!N26)/'7. EOD Report'!N26,0)</f>
        <v>0</v>
      </c>
      <c r="O26" s="137">
        <f>IFERROR(('7. EOD Report'!O26-'6. DAP Report'!O26)/'7. EOD Report'!O26,0)</f>
        <v>0</v>
      </c>
      <c r="P26" s="137">
        <f>IFERROR(('7. EOD Report'!P26-'6. DAP Report'!P26)/'7. EOD Report'!P26,0)</f>
        <v>0</v>
      </c>
      <c r="Q26" s="138">
        <f>IFERROR(('7. EOD Report'!Q26-'6. DAP Report'!Q26)/'7. EOD Report'!Q26,0)</f>
        <v>0</v>
      </c>
      <c r="R26" s="137">
        <f>IFERROR(('7. EOD Report'!R26-'6. DAP Report'!R26)/'7. EOD Report'!R26,0)</f>
        <v>0</v>
      </c>
      <c r="S26" s="137">
        <f>IFERROR(('7. EOD Report'!S26-'6. DAP Report'!S26)/'7. EOD Report'!S26,0)</f>
        <v>0</v>
      </c>
      <c r="T26" s="137">
        <f>IFERROR(('7. EOD Report'!T26-'6. DAP Report'!T26)/'7. EOD Report'!T26,0)</f>
        <v>0</v>
      </c>
      <c r="U26" s="137">
        <f>IFERROR(('7. EOD Report'!U26-'6. DAP Report'!U26)/'7. EOD Report'!U26,0)</f>
        <v>0</v>
      </c>
      <c r="V26" s="137">
        <f>IFERROR(('7. EOD Report'!V26-'6. DAP Report'!V26)/'7. EOD Report'!V26,0)</f>
        <v>0</v>
      </c>
    </row>
    <row r="27" spans="3:22" ht="19.350000000000001" customHeight="1" x14ac:dyDescent="0.3">
      <c r="C27" s="64">
        <v>17</v>
      </c>
      <c r="D27" s="137">
        <f>IFERROR(('7. EOD Report'!D27-'6. DAP Report'!D27)/'7. EOD Report'!D27,0)</f>
        <v>0</v>
      </c>
      <c r="E27" s="137">
        <f>IFERROR(('7. EOD Report'!E27-'6. DAP Report'!E27)/'7. EOD Report'!E27,0)</f>
        <v>0</v>
      </c>
      <c r="F27" s="137">
        <f>IFERROR(('7. EOD Report'!F27-'6. DAP Report'!F27)/'7. EOD Report'!F27,0)</f>
        <v>0</v>
      </c>
      <c r="G27" s="137">
        <f>IFERROR(('7. EOD Report'!G27-'6. DAP Report'!G27)/'7. EOD Report'!G27,0)</f>
        <v>0</v>
      </c>
      <c r="H27" s="137">
        <f>IFERROR(('7. EOD Report'!H27-'6. DAP Report'!H27)/'7. EOD Report'!H27,0)</f>
        <v>0</v>
      </c>
      <c r="I27" s="137">
        <f>IFERROR(('7. EOD Report'!I27-'6. DAP Report'!I27)/'7. EOD Report'!I27,0)</f>
        <v>0</v>
      </c>
      <c r="J27" s="137">
        <f>IFERROR(('7. EOD Report'!J27-'6. DAP Report'!J27)/'7. EOD Report'!J27,0)</f>
        <v>0</v>
      </c>
      <c r="K27" s="138">
        <f>IFERROR(('7. EOD Report'!K27-'6. DAP Report'!K27)/'7. EOD Report'!K27,0)</f>
        <v>0</v>
      </c>
      <c r="L27" s="137">
        <f>IFERROR(('7. EOD Report'!L27-'6. DAP Report'!L27)/'7. EOD Report'!L27,0)</f>
        <v>1.2750928582878107</v>
      </c>
      <c r="M27" s="137">
        <f>IFERROR(('7. EOD Report'!M27-'6. DAP Report'!M27)/'7. EOD Report'!M27,0)</f>
        <v>0</v>
      </c>
      <c r="N27" s="137">
        <f>IFERROR(('7. EOD Report'!N27-'6. DAP Report'!N27)/'7. EOD Report'!N27,0)</f>
        <v>0</v>
      </c>
      <c r="O27" s="137">
        <f>IFERROR(('7. EOD Report'!O27-'6. DAP Report'!O27)/'7. EOD Report'!O27,0)</f>
        <v>0</v>
      </c>
      <c r="P27" s="137">
        <f>IFERROR(('7. EOD Report'!P27-'6. DAP Report'!P27)/'7. EOD Report'!P27,0)</f>
        <v>0</v>
      </c>
      <c r="Q27" s="138">
        <f>IFERROR(('7. EOD Report'!Q27-'6. DAP Report'!Q27)/'7. EOD Report'!Q27,0)</f>
        <v>0</v>
      </c>
      <c r="R27" s="137">
        <f>IFERROR(('7. EOD Report'!R27-'6. DAP Report'!R27)/'7. EOD Report'!R27,0)</f>
        <v>0</v>
      </c>
      <c r="S27" s="137">
        <f>IFERROR(('7. EOD Report'!S27-'6. DAP Report'!S27)/'7. EOD Report'!S27,0)</f>
        <v>0</v>
      </c>
      <c r="T27" s="137">
        <f>IFERROR(('7. EOD Report'!T27-'6. DAP Report'!T27)/'7. EOD Report'!T27,0)</f>
        <v>0</v>
      </c>
      <c r="U27" s="137">
        <f>IFERROR(('7. EOD Report'!U27-'6. DAP Report'!U27)/'7. EOD Report'!U27,0)</f>
        <v>0</v>
      </c>
      <c r="V27" s="137">
        <f>IFERROR(('7. EOD Report'!V27-'6. DAP Report'!V27)/'7. EOD Report'!V27,0)</f>
        <v>0</v>
      </c>
    </row>
    <row r="28" spans="3:22" ht="19.350000000000001" customHeight="1" x14ac:dyDescent="0.3">
      <c r="C28" s="64">
        <v>18</v>
      </c>
      <c r="D28" s="137">
        <f>IFERROR(('7. EOD Report'!D28-'6. DAP Report'!D28)/'7. EOD Report'!D28,0)</f>
        <v>0</v>
      </c>
      <c r="E28" s="137">
        <f>IFERROR(('7. EOD Report'!E28-'6. DAP Report'!E28)/'7. EOD Report'!E28,0)</f>
        <v>0</v>
      </c>
      <c r="F28" s="137">
        <f>IFERROR(('7. EOD Report'!F28-'6. DAP Report'!F28)/'7. EOD Report'!F28,0)</f>
        <v>0</v>
      </c>
      <c r="G28" s="137">
        <f>IFERROR(('7. EOD Report'!G28-'6. DAP Report'!G28)/'7. EOD Report'!G28,0)</f>
        <v>0</v>
      </c>
      <c r="H28" s="137">
        <f>IFERROR(('7. EOD Report'!H28-'6. DAP Report'!H28)/'7. EOD Report'!H28,0)</f>
        <v>0</v>
      </c>
      <c r="I28" s="137">
        <f>IFERROR(('7. EOD Report'!I28-'6. DAP Report'!I28)/'7. EOD Report'!I28,0)</f>
        <v>0</v>
      </c>
      <c r="J28" s="137">
        <f>IFERROR(('7. EOD Report'!J28-'6. DAP Report'!J28)/'7. EOD Report'!J28,0)</f>
        <v>0</v>
      </c>
      <c r="K28" s="138">
        <f>IFERROR(('7. EOD Report'!K28-'6. DAP Report'!K28)/'7. EOD Report'!K28,0)</f>
        <v>0</v>
      </c>
      <c r="L28" s="137">
        <f>IFERROR(('7. EOD Report'!L28-'6. DAP Report'!L28)/'7. EOD Report'!L28,0)</f>
        <v>1.1696416636462881</v>
      </c>
      <c r="M28" s="137">
        <f>IFERROR(('7. EOD Report'!M28-'6. DAP Report'!M28)/'7. EOD Report'!M28,0)</f>
        <v>0</v>
      </c>
      <c r="N28" s="137">
        <f>IFERROR(('7. EOD Report'!N28-'6. DAP Report'!N28)/'7. EOD Report'!N28,0)</f>
        <v>0</v>
      </c>
      <c r="O28" s="137">
        <f>IFERROR(('7. EOD Report'!O28-'6. DAP Report'!O28)/'7. EOD Report'!O28,0)</f>
        <v>0</v>
      </c>
      <c r="P28" s="137">
        <f>IFERROR(('7. EOD Report'!P28-'6. DAP Report'!P28)/'7. EOD Report'!P28,0)</f>
        <v>0</v>
      </c>
      <c r="Q28" s="138">
        <f>IFERROR(('7. EOD Report'!Q28-'6. DAP Report'!Q28)/'7. EOD Report'!Q28,0)</f>
        <v>0</v>
      </c>
      <c r="R28" s="137">
        <f>IFERROR(('7. EOD Report'!R28-'6. DAP Report'!R28)/'7. EOD Report'!R28,0)</f>
        <v>0</v>
      </c>
      <c r="S28" s="137">
        <f>IFERROR(('7. EOD Report'!S28-'6. DAP Report'!S28)/'7. EOD Report'!S28,0)</f>
        <v>0</v>
      </c>
      <c r="T28" s="137">
        <f>IFERROR(('7. EOD Report'!T28-'6. DAP Report'!T28)/'7. EOD Report'!T28,0)</f>
        <v>0</v>
      </c>
      <c r="U28" s="137">
        <f>IFERROR(('7. EOD Report'!U28-'6. DAP Report'!U28)/'7. EOD Report'!U28,0)</f>
        <v>0</v>
      </c>
      <c r="V28" s="137">
        <f>IFERROR(('7. EOD Report'!V28-'6. DAP Report'!V28)/'7. EOD Report'!V28,0)</f>
        <v>0</v>
      </c>
    </row>
    <row r="29" spans="3:22" ht="19.350000000000001" customHeight="1" x14ac:dyDescent="0.3">
      <c r="C29" s="64">
        <v>19</v>
      </c>
      <c r="D29" s="137">
        <f>IFERROR(('7. EOD Report'!D29-'6. DAP Report'!D29)/'7. EOD Report'!D29,0)</f>
        <v>0</v>
      </c>
      <c r="E29" s="137">
        <f>IFERROR(('7. EOD Report'!E29-'6. DAP Report'!E29)/'7. EOD Report'!E29,0)</f>
        <v>0</v>
      </c>
      <c r="F29" s="137">
        <f>IFERROR(('7. EOD Report'!F29-'6. DAP Report'!F29)/'7. EOD Report'!F29,0)</f>
        <v>0</v>
      </c>
      <c r="G29" s="137">
        <f>IFERROR(('7. EOD Report'!G29-'6. DAP Report'!G29)/'7. EOD Report'!G29,0)</f>
        <v>0</v>
      </c>
      <c r="H29" s="137">
        <f>IFERROR(('7. EOD Report'!H29-'6. DAP Report'!H29)/'7. EOD Report'!H29,0)</f>
        <v>0</v>
      </c>
      <c r="I29" s="137">
        <f>IFERROR(('7. EOD Report'!I29-'6. DAP Report'!I29)/'7. EOD Report'!I29,0)</f>
        <v>0</v>
      </c>
      <c r="J29" s="137">
        <f>IFERROR(('7. EOD Report'!J29-'6. DAP Report'!J29)/'7. EOD Report'!J29,0)</f>
        <v>0</v>
      </c>
      <c r="K29" s="138">
        <f>IFERROR(('7. EOD Report'!K29-'6. DAP Report'!K29)/'7. EOD Report'!K29,0)</f>
        <v>0</v>
      </c>
      <c r="L29" s="137">
        <f>IFERROR(('7. EOD Report'!L29-'6. DAP Report'!L29)/'7. EOD Report'!L29,0)</f>
        <v>1.1712319049534263</v>
      </c>
      <c r="M29" s="137">
        <f>IFERROR(('7. EOD Report'!M29-'6. DAP Report'!M29)/'7. EOD Report'!M29,0)</f>
        <v>0</v>
      </c>
      <c r="N29" s="137">
        <f>IFERROR(('7. EOD Report'!N29-'6. DAP Report'!N29)/'7. EOD Report'!N29,0)</f>
        <v>0</v>
      </c>
      <c r="O29" s="137">
        <f>IFERROR(('7. EOD Report'!O29-'6. DAP Report'!O29)/'7. EOD Report'!O29,0)</f>
        <v>0</v>
      </c>
      <c r="P29" s="137">
        <f>IFERROR(('7. EOD Report'!P29-'6. DAP Report'!P29)/'7. EOD Report'!P29,0)</f>
        <v>0</v>
      </c>
      <c r="Q29" s="138">
        <f>IFERROR(('7. EOD Report'!Q29-'6. DAP Report'!Q29)/'7. EOD Report'!Q29,0)</f>
        <v>0</v>
      </c>
      <c r="R29" s="137">
        <f>IFERROR(('7. EOD Report'!R29-'6. DAP Report'!R29)/'7. EOD Report'!R29,0)</f>
        <v>0</v>
      </c>
      <c r="S29" s="137">
        <f>IFERROR(('7. EOD Report'!S29-'6. DAP Report'!S29)/'7. EOD Report'!S29,0)</f>
        <v>0</v>
      </c>
      <c r="T29" s="137">
        <f>IFERROR(('7. EOD Report'!T29-'6. DAP Report'!T29)/'7. EOD Report'!T29,0)</f>
        <v>0</v>
      </c>
      <c r="U29" s="137">
        <f>IFERROR(('7. EOD Report'!U29-'6. DAP Report'!U29)/'7. EOD Report'!U29,0)</f>
        <v>0</v>
      </c>
      <c r="V29" s="137">
        <f>IFERROR(('7. EOD Report'!V29-'6. DAP Report'!V29)/'7. EOD Report'!V29,0)</f>
        <v>0</v>
      </c>
    </row>
    <row r="30" spans="3:22" ht="19.350000000000001" customHeight="1" x14ac:dyDescent="0.3">
      <c r="C30" s="64">
        <v>20</v>
      </c>
      <c r="D30" s="137">
        <f>IFERROR(('7. EOD Report'!D30-'6. DAP Report'!D30)/'7. EOD Report'!D30,0)</f>
        <v>0</v>
      </c>
      <c r="E30" s="137">
        <f>IFERROR(('7. EOD Report'!E30-'6. DAP Report'!E30)/'7. EOD Report'!E30,0)</f>
        <v>0</v>
      </c>
      <c r="F30" s="137">
        <f>IFERROR(('7. EOD Report'!F30-'6. DAP Report'!F30)/'7. EOD Report'!F30,0)</f>
        <v>0</v>
      </c>
      <c r="G30" s="137">
        <f>IFERROR(('7. EOD Report'!G30-'6. DAP Report'!G30)/'7. EOD Report'!G30,0)</f>
        <v>0</v>
      </c>
      <c r="H30" s="137">
        <f>IFERROR(('7. EOD Report'!H30-'6. DAP Report'!H30)/'7. EOD Report'!H30,0)</f>
        <v>0</v>
      </c>
      <c r="I30" s="137">
        <f>IFERROR(('7. EOD Report'!I30-'6. DAP Report'!I30)/'7. EOD Report'!I30,0)</f>
        <v>0</v>
      </c>
      <c r="J30" s="137">
        <f>IFERROR(('7. EOD Report'!J30-'6. DAP Report'!J30)/'7. EOD Report'!J30,0)</f>
        <v>0</v>
      </c>
      <c r="K30" s="138">
        <f>IFERROR(('7. EOD Report'!K30-'6. DAP Report'!K30)/'7. EOD Report'!K30,0)</f>
        <v>0</v>
      </c>
      <c r="L30" s="137">
        <f>IFERROR(('7. EOD Report'!L30-'6. DAP Report'!L30)/'7. EOD Report'!L30,0)</f>
        <v>1.1133878458098279</v>
      </c>
      <c r="M30" s="137">
        <f>IFERROR(('7. EOD Report'!M30-'6. DAP Report'!M30)/'7. EOD Report'!M30,0)</f>
        <v>0</v>
      </c>
      <c r="N30" s="137">
        <f>IFERROR(('7. EOD Report'!N30-'6. DAP Report'!N30)/'7. EOD Report'!N30,0)</f>
        <v>0</v>
      </c>
      <c r="O30" s="137">
        <f>IFERROR(('7. EOD Report'!O30-'6. DAP Report'!O30)/'7. EOD Report'!O30,0)</f>
        <v>0</v>
      </c>
      <c r="P30" s="137">
        <f>IFERROR(('7. EOD Report'!P30-'6. DAP Report'!P30)/'7. EOD Report'!P30,0)</f>
        <v>0</v>
      </c>
      <c r="Q30" s="138">
        <f>IFERROR(('7. EOD Report'!Q30-'6. DAP Report'!Q30)/'7. EOD Report'!Q30,0)</f>
        <v>0</v>
      </c>
      <c r="R30" s="137">
        <f>IFERROR(('7. EOD Report'!R30-'6. DAP Report'!R30)/'7. EOD Report'!R30,0)</f>
        <v>0</v>
      </c>
      <c r="S30" s="137">
        <f>IFERROR(('7. EOD Report'!S30-'6. DAP Report'!S30)/'7. EOD Report'!S30,0)</f>
        <v>0</v>
      </c>
      <c r="T30" s="137">
        <f>IFERROR(('7. EOD Report'!T30-'6. DAP Report'!T30)/'7. EOD Report'!T30,0)</f>
        <v>0</v>
      </c>
      <c r="U30" s="137">
        <f>IFERROR(('7. EOD Report'!U30-'6. DAP Report'!U30)/'7. EOD Report'!U30,0)</f>
        <v>0</v>
      </c>
      <c r="V30" s="137">
        <f>IFERROR(('7. EOD Report'!V30-'6. DAP Report'!V30)/'7. EOD Report'!V30,0)</f>
        <v>0</v>
      </c>
    </row>
    <row r="31" spans="3:22" ht="19.350000000000001" customHeight="1" x14ac:dyDescent="0.3">
      <c r="C31" s="64">
        <v>21</v>
      </c>
      <c r="D31" s="137">
        <f>IFERROR(('7. EOD Report'!D31-'6. DAP Report'!D31)/'7. EOD Report'!D31,0)</f>
        <v>0</v>
      </c>
      <c r="E31" s="137">
        <f>IFERROR(('7. EOD Report'!E31-'6. DAP Report'!E31)/'7. EOD Report'!E31,0)</f>
        <v>0</v>
      </c>
      <c r="F31" s="137">
        <f>IFERROR(('7. EOD Report'!F31-'6. DAP Report'!F31)/'7. EOD Report'!F31,0)</f>
        <v>0</v>
      </c>
      <c r="G31" s="137">
        <f>IFERROR(('7. EOD Report'!G31-'6. DAP Report'!G31)/'7. EOD Report'!G31,0)</f>
        <v>0</v>
      </c>
      <c r="H31" s="137">
        <f>IFERROR(('7. EOD Report'!H31-'6. DAP Report'!H31)/'7. EOD Report'!H31,0)</f>
        <v>0</v>
      </c>
      <c r="I31" s="137">
        <f>IFERROR(('7. EOD Report'!I31-'6. DAP Report'!I31)/'7. EOD Report'!I31,0)</f>
        <v>0</v>
      </c>
      <c r="J31" s="137">
        <f>IFERROR(('7. EOD Report'!J31-'6. DAP Report'!J31)/'7. EOD Report'!J31,0)</f>
        <v>0</v>
      </c>
      <c r="K31" s="138">
        <f>IFERROR(('7. EOD Report'!K31-'6. DAP Report'!K31)/'7. EOD Report'!K31,0)</f>
        <v>0</v>
      </c>
      <c r="L31" s="137">
        <f>IFERROR(('7. EOD Report'!L31-'6. DAP Report'!L31)/'7. EOD Report'!L31,0)</f>
        <v>1.0769376675133913</v>
      </c>
      <c r="M31" s="137">
        <f>IFERROR(('7. EOD Report'!M31-'6. DAP Report'!M31)/'7. EOD Report'!M31,0)</f>
        <v>0</v>
      </c>
      <c r="N31" s="137">
        <f>IFERROR(('7. EOD Report'!N31-'6. DAP Report'!N31)/'7. EOD Report'!N31,0)</f>
        <v>0</v>
      </c>
      <c r="O31" s="137">
        <f>IFERROR(('7. EOD Report'!O31-'6. DAP Report'!O31)/'7. EOD Report'!O31,0)</f>
        <v>0</v>
      </c>
      <c r="P31" s="137">
        <f>IFERROR(('7. EOD Report'!P31-'6. DAP Report'!P31)/'7. EOD Report'!P31,0)</f>
        <v>0</v>
      </c>
      <c r="Q31" s="138">
        <f>IFERROR(('7. EOD Report'!Q31-'6. DAP Report'!Q31)/'7. EOD Report'!Q31,0)</f>
        <v>0</v>
      </c>
      <c r="R31" s="137">
        <f>IFERROR(('7. EOD Report'!R31-'6. DAP Report'!R31)/'7. EOD Report'!R31,0)</f>
        <v>0</v>
      </c>
      <c r="S31" s="137">
        <f>IFERROR(('7. EOD Report'!S31-'6. DAP Report'!S31)/'7. EOD Report'!S31,0)</f>
        <v>0</v>
      </c>
      <c r="T31" s="137">
        <f>IFERROR(('7. EOD Report'!T31-'6. DAP Report'!T31)/'7. EOD Report'!T31,0)</f>
        <v>0</v>
      </c>
      <c r="U31" s="137">
        <f>IFERROR(('7. EOD Report'!U31-'6. DAP Report'!U31)/'7. EOD Report'!U31,0)</f>
        <v>0</v>
      </c>
      <c r="V31" s="137">
        <f>IFERROR(('7. EOD Report'!V31-'6. DAP Report'!V31)/'7. EOD Report'!V31,0)</f>
        <v>0</v>
      </c>
    </row>
    <row r="32" spans="3:22" ht="19.350000000000001" customHeight="1" x14ac:dyDescent="0.3">
      <c r="C32" s="64">
        <v>22</v>
      </c>
      <c r="D32" s="137">
        <f>IFERROR(('7. EOD Report'!D32-'6. DAP Report'!D32)/'7. EOD Report'!D32,0)</f>
        <v>0</v>
      </c>
      <c r="E32" s="137">
        <f>IFERROR(('7. EOD Report'!E32-'6. DAP Report'!E32)/'7. EOD Report'!E32,0)</f>
        <v>0</v>
      </c>
      <c r="F32" s="137">
        <f>IFERROR(('7. EOD Report'!F32-'6. DAP Report'!F32)/'7. EOD Report'!F32,0)</f>
        <v>0</v>
      </c>
      <c r="G32" s="137">
        <f>IFERROR(('7. EOD Report'!G32-'6. DAP Report'!G32)/'7. EOD Report'!G32,0)</f>
        <v>0</v>
      </c>
      <c r="H32" s="137">
        <f>IFERROR(('7. EOD Report'!H32-'6. DAP Report'!H32)/'7. EOD Report'!H32,0)</f>
        <v>0</v>
      </c>
      <c r="I32" s="137">
        <f>IFERROR(('7. EOD Report'!I32-'6. DAP Report'!I32)/'7. EOD Report'!I32,0)</f>
        <v>0</v>
      </c>
      <c r="J32" s="137">
        <f>IFERROR(('7. EOD Report'!J32-'6. DAP Report'!J32)/'7. EOD Report'!J32,0)</f>
        <v>0</v>
      </c>
      <c r="K32" s="138">
        <f>IFERROR(('7. EOD Report'!K32-'6. DAP Report'!K32)/'7. EOD Report'!K32,0)</f>
        <v>0</v>
      </c>
      <c r="L32" s="137">
        <f>IFERROR(('7. EOD Report'!L32-'6. DAP Report'!L32)/'7. EOD Report'!L32,0)</f>
        <v>1.0485160217866591</v>
      </c>
      <c r="M32" s="137">
        <f>IFERROR(('7. EOD Report'!M32-'6. DAP Report'!M32)/'7. EOD Report'!M32,0)</f>
        <v>0</v>
      </c>
      <c r="N32" s="137">
        <f>IFERROR(('7. EOD Report'!N32-'6. DAP Report'!N32)/'7. EOD Report'!N32,0)</f>
        <v>0</v>
      </c>
      <c r="O32" s="137">
        <f>IFERROR(('7. EOD Report'!O32-'6. DAP Report'!O32)/'7. EOD Report'!O32,0)</f>
        <v>0</v>
      </c>
      <c r="P32" s="137">
        <f>IFERROR(('7. EOD Report'!P32-'6. DAP Report'!P32)/'7. EOD Report'!P32,0)</f>
        <v>0</v>
      </c>
      <c r="Q32" s="138">
        <f>IFERROR(('7. EOD Report'!Q32-'6. DAP Report'!Q32)/'7. EOD Report'!Q32,0)</f>
        <v>0</v>
      </c>
      <c r="R32" s="137">
        <f>IFERROR(('7. EOD Report'!R32-'6. DAP Report'!R32)/'7. EOD Report'!R32,0)</f>
        <v>0</v>
      </c>
      <c r="S32" s="137">
        <f>IFERROR(('7. EOD Report'!S32-'6. DAP Report'!S32)/'7. EOD Report'!S32,0)</f>
        <v>0</v>
      </c>
      <c r="T32" s="137">
        <f>IFERROR(('7. EOD Report'!T32-'6. DAP Report'!T32)/'7. EOD Report'!T32,0)</f>
        <v>0</v>
      </c>
      <c r="U32" s="137">
        <f>IFERROR(('7. EOD Report'!U32-'6. DAP Report'!U32)/'7. EOD Report'!U32,0)</f>
        <v>0</v>
      </c>
      <c r="V32" s="137">
        <f>IFERROR(('7. EOD Report'!V32-'6. DAP Report'!V32)/'7. EOD Report'!V32,0)</f>
        <v>0</v>
      </c>
    </row>
    <row r="33" spans="3:26" ht="19.350000000000001" customHeight="1" x14ac:dyDescent="0.3">
      <c r="C33" s="64">
        <v>23</v>
      </c>
      <c r="D33" s="137">
        <f>IFERROR(('7. EOD Report'!D33-'6. DAP Report'!D33)/'7. EOD Report'!D33,0)</f>
        <v>0</v>
      </c>
      <c r="E33" s="137">
        <f>IFERROR(('7. EOD Report'!E33-'6. DAP Report'!E33)/'7. EOD Report'!E33,0)</f>
        <v>0</v>
      </c>
      <c r="F33" s="137">
        <f>IFERROR(('7. EOD Report'!F33-'6. DAP Report'!F33)/'7. EOD Report'!F33,0)</f>
        <v>0</v>
      </c>
      <c r="G33" s="137">
        <f>IFERROR(('7. EOD Report'!G33-'6. DAP Report'!G33)/'7. EOD Report'!G33,0)</f>
        <v>0</v>
      </c>
      <c r="H33" s="137">
        <f>IFERROR(('7. EOD Report'!H33-'6. DAP Report'!H33)/'7. EOD Report'!H33,0)</f>
        <v>0</v>
      </c>
      <c r="I33" s="137">
        <f>IFERROR(('7. EOD Report'!I33-'6. DAP Report'!I33)/'7. EOD Report'!I33,0)</f>
        <v>0</v>
      </c>
      <c r="J33" s="137">
        <f>IFERROR(('7. EOD Report'!J33-'6. DAP Report'!J33)/'7. EOD Report'!J33,0)</f>
        <v>0</v>
      </c>
      <c r="K33" s="138">
        <f>IFERROR(('7. EOD Report'!K33-'6. DAP Report'!K33)/'7. EOD Report'!K33,0)</f>
        <v>0</v>
      </c>
      <c r="L33" s="137">
        <f>IFERROR(('7. EOD Report'!L33-'6. DAP Report'!L33)/'7. EOD Report'!L33,0)</f>
        <v>1.4495213747605453</v>
      </c>
      <c r="M33" s="137">
        <f>IFERROR(('7. EOD Report'!M33-'6. DAP Report'!M33)/'7. EOD Report'!M33,0)</f>
        <v>0</v>
      </c>
      <c r="N33" s="137">
        <f>IFERROR(('7. EOD Report'!N33-'6. DAP Report'!N33)/'7. EOD Report'!N33,0)</f>
        <v>0</v>
      </c>
      <c r="O33" s="137">
        <f>IFERROR(('7. EOD Report'!O33-'6. DAP Report'!O33)/'7. EOD Report'!O33,0)</f>
        <v>0</v>
      </c>
      <c r="P33" s="137">
        <f>IFERROR(('7. EOD Report'!P33-'6. DAP Report'!P33)/'7. EOD Report'!P33,0)</f>
        <v>0</v>
      </c>
      <c r="Q33" s="138">
        <f>IFERROR(('7. EOD Report'!Q33-'6. DAP Report'!Q33)/'7. EOD Report'!Q33,0)</f>
        <v>0</v>
      </c>
      <c r="R33" s="137">
        <f>IFERROR(('7. EOD Report'!R33-'6. DAP Report'!R33)/'7. EOD Report'!R33,0)</f>
        <v>0</v>
      </c>
      <c r="S33" s="137">
        <f>IFERROR(('7. EOD Report'!S33-'6. DAP Report'!S33)/'7. EOD Report'!S33,0)</f>
        <v>0</v>
      </c>
      <c r="T33" s="137">
        <f>IFERROR(('7. EOD Report'!T33-'6. DAP Report'!T33)/'7. EOD Report'!T33,0)</f>
        <v>0</v>
      </c>
      <c r="U33" s="137">
        <f>IFERROR(('7. EOD Report'!U33-'6. DAP Report'!U33)/'7. EOD Report'!U33,0)</f>
        <v>0</v>
      </c>
      <c r="V33" s="137">
        <f>IFERROR(('7. EOD Report'!V33-'6. DAP Report'!V33)/'7. EOD Report'!V33,0)</f>
        <v>0</v>
      </c>
    </row>
    <row r="34" spans="3:26" ht="20.85" customHeight="1" x14ac:dyDescent="0.3">
      <c r="C34" s="64">
        <v>24</v>
      </c>
      <c r="D34" s="137">
        <f>IFERROR(('7. EOD Report'!D34-'6. DAP Report'!D34)/'7. EOD Report'!D34,0)</f>
        <v>0</v>
      </c>
      <c r="E34" s="137">
        <f>IFERROR(('7. EOD Report'!E34-'6. DAP Report'!E34)/'7. EOD Report'!E34,0)</f>
        <v>0</v>
      </c>
      <c r="F34" s="137">
        <f>IFERROR(('7. EOD Report'!F34-'6. DAP Report'!F34)/'7. EOD Report'!F34,0)</f>
        <v>0</v>
      </c>
      <c r="G34" s="137">
        <f>IFERROR(('7. EOD Report'!G34-'6. DAP Report'!G34)/'7. EOD Report'!G34,0)</f>
        <v>0</v>
      </c>
      <c r="H34" s="137">
        <f>IFERROR(('7. EOD Report'!H34-'6. DAP Report'!H34)/'7. EOD Report'!H34,0)</f>
        <v>0</v>
      </c>
      <c r="I34" s="137">
        <f>IFERROR(('7. EOD Report'!I34-'6. DAP Report'!I34)/'7. EOD Report'!I34,0)</f>
        <v>0</v>
      </c>
      <c r="J34" s="137">
        <f>IFERROR(('7. EOD Report'!J34-'6. DAP Report'!J34)/'7. EOD Report'!J34,0)</f>
        <v>0</v>
      </c>
      <c r="K34" s="138">
        <f>IFERROR(('7. EOD Report'!K34-'6. DAP Report'!K34)/'7. EOD Report'!K34,0)</f>
        <v>0</v>
      </c>
      <c r="L34" s="137">
        <f>IFERROR(('7. EOD Report'!L34-'6. DAP Report'!L34)/'7. EOD Report'!L34,0)</f>
        <v>1.6994602739480851</v>
      </c>
      <c r="M34" s="137">
        <f>IFERROR(('7. EOD Report'!M34-'6. DAP Report'!M34)/'7. EOD Report'!M34,0)</f>
        <v>0</v>
      </c>
      <c r="N34" s="137">
        <f>IFERROR(('7. EOD Report'!N34-'6. DAP Report'!N34)/'7. EOD Report'!N34,0)</f>
        <v>0</v>
      </c>
      <c r="O34" s="137">
        <f>IFERROR(('7. EOD Report'!O34-'6. DAP Report'!O34)/'7. EOD Report'!O34,0)</f>
        <v>0</v>
      </c>
      <c r="P34" s="137">
        <f>IFERROR(('7. EOD Report'!P34-'6. DAP Report'!P34)/'7. EOD Report'!P34,0)</f>
        <v>0</v>
      </c>
      <c r="Q34" s="138">
        <f>IFERROR(('7. EOD Report'!Q34-'6. DAP Report'!Q34)/'7. EOD Report'!Q34,0)</f>
        <v>0</v>
      </c>
      <c r="R34" s="137">
        <f>IFERROR(('7. EOD Report'!R34-'6. DAP Report'!R34)/'7. EOD Report'!R34,0)</f>
        <v>0</v>
      </c>
      <c r="S34" s="137">
        <f>IFERROR(('7. EOD Report'!S34-'6. DAP Report'!S34)/'7. EOD Report'!S34,0)</f>
        <v>0</v>
      </c>
      <c r="T34" s="137">
        <f>IFERROR(('7. EOD Report'!T34-'6. DAP Report'!T34)/'7. EOD Report'!T34,0)</f>
        <v>0</v>
      </c>
      <c r="U34" s="137">
        <f>IFERROR(('7. EOD Report'!U34-'6. DAP Report'!U34)/'7. EOD Report'!U34,0)</f>
        <v>0</v>
      </c>
      <c r="V34" s="137">
        <f>IFERROR(('7. EOD Report'!V34-'6. DAP Report'!V34)/'7. EOD Report'!V34,0)</f>
        <v>0</v>
      </c>
    </row>
    <row r="35" spans="3:26" ht="23.85" customHeight="1" x14ac:dyDescent="0.3">
      <c r="C35" s="67" t="s">
        <v>92</v>
      </c>
      <c r="D35" s="139">
        <f>IFERROR(('7. EOD Report'!D35-'6. DAP Report'!D35)/'7. EOD Report'!D35,0)</f>
        <v>0</v>
      </c>
      <c r="E35" s="139">
        <f>IFERROR(('7. EOD Report'!E35-'6. DAP Report'!E35)/'7. EOD Report'!E35,0)</f>
        <v>0</v>
      </c>
      <c r="F35" s="139">
        <f>IFERROR(('7. EOD Report'!F35-'6. DAP Report'!F35)/'7. EOD Report'!F35,0)</f>
        <v>0</v>
      </c>
      <c r="G35" s="139">
        <f>IFERROR(('7. EOD Report'!G35-'6. DAP Report'!G35)/'7. EOD Report'!G35,0)</f>
        <v>0</v>
      </c>
      <c r="H35" s="139">
        <f>IFERROR(('7. EOD Report'!H35-'6. DAP Report'!H35)/'7. EOD Report'!H35,0)</f>
        <v>0</v>
      </c>
      <c r="I35" s="139">
        <f>IFERROR(('7. EOD Report'!I35-'6. DAP Report'!I35)/'7. EOD Report'!I35,0)</f>
        <v>0</v>
      </c>
      <c r="J35" s="139">
        <f>IFERROR(('7. EOD Report'!J35-'6. DAP Report'!J35)/'7. EOD Report'!J35,0)</f>
        <v>0</v>
      </c>
      <c r="K35" s="139">
        <f>IFERROR(('7. EOD Report'!K35-'6. DAP Report'!K35)/'7. EOD Report'!K35,0)</f>
        <v>0</v>
      </c>
      <c r="L35" s="139">
        <f>IFERROR(('7. EOD Report'!L35-'6. DAP Report'!L35)/'7. EOD Report'!L35,0)</f>
        <v>1.6633058077709659</v>
      </c>
      <c r="M35" s="140">
        <f>IFERROR(('7. EOD Report'!M35-'6. DAP Report'!M35)/'7. EOD Report'!M35,0)</f>
        <v>0</v>
      </c>
      <c r="N35" s="140">
        <f>IFERROR(('7. EOD Report'!N35-'6. DAP Report'!N35)/'7. EOD Report'!N35,0)</f>
        <v>0</v>
      </c>
      <c r="O35" s="140">
        <f>IFERROR(('7. EOD Report'!O35-'6. DAP Report'!O35)/'7. EOD Report'!O35,0)</f>
        <v>0</v>
      </c>
      <c r="P35" s="140">
        <f>IFERROR(('7. EOD Report'!P35-'6. DAP Report'!P35)/'7. EOD Report'!P35,0)</f>
        <v>0</v>
      </c>
      <c r="Q35" s="140">
        <f>IFERROR(('7. EOD Report'!Q35-'6. DAP Report'!Q35)/'7. EOD Report'!Q35,0)</f>
        <v>0</v>
      </c>
      <c r="R35" s="140">
        <f>IFERROR(('7. EOD Report'!R35-'6. DAP Report'!R35)/'7. EOD Report'!R35,0)</f>
        <v>0</v>
      </c>
      <c r="S35" s="139">
        <f>IFERROR(('7. EOD Report'!S35-'6. DAP Report'!S35)/'7. EOD Report'!S35,0)</f>
        <v>0</v>
      </c>
      <c r="T35" s="139">
        <f>IFERROR(('7. EOD Report'!T35-'6. DAP Report'!T35)/'7. EOD Report'!T35,0)</f>
        <v>0</v>
      </c>
      <c r="U35" s="140">
        <f>IFERROR(('7. EOD Report'!U35-'6. DAP Report'!U35)/'7. EOD Report'!U35,0)</f>
        <v>0</v>
      </c>
      <c r="V35" s="140">
        <f>IFERROR(('7. EOD Report'!V35-'6. DAP Report'!V35)/'7. EOD Report'!V35,0)</f>
        <v>0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79F-7F2B-413A-8031-EE8B977167D9}">
  <dimension ref="B1:AJ110"/>
  <sheetViews>
    <sheetView showGridLines="0" topLeftCell="P1" zoomScale="55" zoomScaleNormal="50" workbookViewId="0">
      <selection activeCell="AE13" sqref="AE13:AE36"/>
    </sheetView>
  </sheetViews>
  <sheetFormatPr defaultColWidth="8.5546875" defaultRowHeight="14.4" x14ac:dyDescent="0.3"/>
  <cols>
    <col min="1" max="1" width="2.5546875" style="1" customWidth="1"/>
    <col min="2" max="2" width="16.44140625" style="1" customWidth="1"/>
    <col min="3" max="12" width="16.5546875" style="1" customWidth="1"/>
    <col min="13" max="13" width="1.44140625" style="1" customWidth="1"/>
    <col min="14" max="14" width="15.44140625" style="1" customWidth="1"/>
    <col min="15" max="24" width="16.5546875" style="1" customWidth="1"/>
    <col min="25" max="25" width="1.44140625" style="1" customWidth="1"/>
    <col min="26" max="26" width="15.44140625" style="1" customWidth="1"/>
    <col min="27" max="36" width="16.5546875" style="1" customWidth="1"/>
    <col min="37" max="40" width="15.5546875" style="1" customWidth="1"/>
    <col min="41" max="41" width="1.44140625" style="1" customWidth="1"/>
    <col min="42" max="42" width="10" style="1" customWidth="1"/>
    <col min="43" max="44" width="16.5546875" style="1" customWidth="1"/>
    <col min="45" max="16384" width="8.5546875" style="1"/>
  </cols>
  <sheetData>
    <row r="1" spans="2:36" ht="6.75" customHeight="1" x14ac:dyDescent="0.3"/>
    <row r="2" spans="2:36" ht="31.5" customHeight="1" x14ac:dyDescent="0.3">
      <c r="B2" s="87" t="s">
        <v>45</v>
      </c>
    </row>
    <row r="3" spans="2:36" ht="6.75" customHeight="1" x14ac:dyDescent="0.3"/>
    <row r="4" spans="2:36" ht="20.25" customHeight="1" x14ac:dyDescent="0.3">
      <c r="B4" s="88" t="s">
        <v>46</v>
      </c>
      <c r="C4" s="168">
        <v>45677</v>
      </c>
      <c r="D4" s="169"/>
      <c r="E4" s="170"/>
      <c r="J4" s="88"/>
      <c r="K4" s="89" t="s">
        <v>47</v>
      </c>
      <c r="L4" s="100" t="s">
        <v>99</v>
      </c>
    </row>
    <row r="5" spans="2:36" ht="7.5" customHeight="1" x14ac:dyDescent="0.3">
      <c r="B5" s="88"/>
      <c r="C5" s="90"/>
      <c r="D5" s="90"/>
      <c r="E5" s="90"/>
      <c r="J5" s="88"/>
    </row>
    <row r="6" spans="2:36" ht="20.25" customHeight="1" x14ac:dyDescent="0.3">
      <c r="B6" s="88" t="s">
        <v>49</v>
      </c>
      <c r="C6" s="168" t="s">
        <v>102</v>
      </c>
      <c r="D6" s="169"/>
      <c r="E6" s="170"/>
      <c r="J6" s="88"/>
    </row>
    <row r="7" spans="2:36" ht="18" customHeight="1" x14ac:dyDescent="0.3"/>
    <row r="8" spans="2:36" ht="23.25" customHeight="1" x14ac:dyDescent="0.3">
      <c r="B8" s="91" t="s">
        <v>50</v>
      </c>
    </row>
    <row r="9" spans="2:36" ht="7.5" customHeight="1" x14ac:dyDescent="0.3"/>
    <row r="10" spans="2:36" s="93" customFormat="1" ht="18.75" customHeight="1" x14ac:dyDescent="0.3">
      <c r="B10" s="92" t="s">
        <v>51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s="93" customFormat="1" ht="28.5" customHeight="1" x14ac:dyDescent="0.3">
      <c r="B11" s="171" t="s">
        <v>52</v>
      </c>
      <c r="C11" s="164" t="s">
        <v>53</v>
      </c>
      <c r="D11" s="165"/>
      <c r="E11" s="165"/>
      <c r="F11" s="165"/>
      <c r="G11" s="165"/>
      <c r="H11" s="166">
        <f>C4-7</f>
        <v>45670</v>
      </c>
      <c r="I11" s="166"/>
      <c r="J11" s="166"/>
      <c r="K11" s="166"/>
      <c r="L11" s="167"/>
      <c r="N11" s="163" t="s">
        <v>52</v>
      </c>
      <c r="O11" s="164" t="s">
        <v>54</v>
      </c>
      <c r="P11" s="165"/>
      <c r="Q11" s="165"/>
      <c r="R11" s="165"/>
      <c r="S11" s="165"/>
      <c r="T11" s="166">
        <f>C4-2</f>
        <v>45675</v>
      </c>
      <c r="U11" s="166"/>
      <c r="V11" s="166"/>
      <c r="W11" s="166"/>
      <c r="X11" s="167"/>
      <c r="Z11" s="163" t="s">
        <v>52</v>
      </c>
      <c r="AA11" s="164" t="s">
        <v>55</v>
      </c>
      <c r="AB11" s="165"/>
      <c r="AC11" s="165"/>
      <c r="AD11" s="165"/>
      <c r="AE11" s="165"/>
      <c r="AF11" s="166">
        <f>C4</f>
        <v>45677</v>
      </c>
      <c r="AG11" s="166"/>
      <c r="AH11" s="166"/>
      <c r="AI11" s="166"/>
      <c r="AJ11" s="167"/>
    </row>
    <row r="12" spans="2:36" ht="45" customHeight="1" x14ac:dyDescent="0.3">
      <c r="B12" s="171"/>
      <c r="C12" s="57" t="s">
        <v>56</v>
      </c>
      <c r="D12" s="57" t="s">
        <v>57</v>
      </c>
      <c r="E12" s="57" t="s">
        <v>58</v>
      </c>
      <c r="F12" s="57" t="s">
        <v>59</v>
      </c>
      <c r="G12" s="57" t="s">
        <v>60</v>
      </c>
      <c r="H12" s="57" t="s">
        <v>61</v>
      </c>
      <c r="I12" s="57" t="s">
        <v>62</v>
      </c>
      <c r="J12" s="57" t="s">
        <v>63</v>
      </c>
      <c r="K12" s="57" t="s">
        <v>64</v>
      </c>
      <c r="L12" s="57" t="s">
        <v>65</v>
      </c>
      <c r="N12" s="163"/>
      <c r="O12" s="57" t="s">
        <v>56</v>
      </c>
      <c r="P12" s="57" t="s">
        <v>57</v>
      </c>
      <c r="Q12" s="57" t="s">
        <v>58</v>
      </c>
      <c r="R12" s="57" t="s">
        <v>59</v>
      </c>
      <c r="S12" s="57" t="s">
        <v>60</v>
      </c>
      <c r="T12" s="57" t="s">
        <v>61</v>
      </c>
      <c r="U12" s="57" t="s">
        <v>62</v>
      </c>
      <c r="V12" s="57" t="s">
        <v>63</v>
      </c>
      <c r="W12" s="57" t="s">
        <v>64</v>
      </c>
      <c r="X12" s="57" t="s">
        <v>65</v>
      </c>
      <c r="Z12" s="163"/>
      <c r="AA12" s="57" t="s">
        <v>56</v>
      </c>
      <c r="AB12" s="57" t="s">
        <v>57</v>
      </c>
      <c r="AC12" s="57" t="s">
        <v>58</v>
      </c>
      <c r="AD12" s="57" t="s">
        <v>59</v>
      </c>
      <c r="AE12" s="57" t="s">
        <v>60</v>
      </c>
      <c r="AF12" s="57" t="s">
        <v>61</v>
      </c>
      <c r="AG12" s="57" t="s">
        <v>62</v>
      </c>
      <c r="AH12" s="57" t="s">
        <v>63</v>
      </c>
      <c r="AI12" s="57" t="s">
        <v>64</v>
      </c>
      <c r="AJ12" s="57" t="s">
        <v>65</v>
      </c>
    </row>
    <row r="13" spans="2:36" ht="24" customHeight="1" x14ac:dyDescent="0.3">
      <c r="B13" s="51">
        <v>1</v>
      </c>
      <c r="C13" s="101">
        <v>2.7355657166666667</v>
      </c>
      <c r="D13" s="101">
        <v>2.7471953666666669</v>
      </c>
      <c r="E13" s="101">
        <v>2.7516084333333333</v>
      </c>
      <c r="F13" s="101">
        <v>2.7357024249999999</v>
      </c>
      <c r="G13" s="101">
        <v>2.7357024249999999</v>
      </c>
      <c r="H13" s="101">
        <v>2.7045163916666666</v>
      </c>
      <c r="I13" s="101">
        <v>2.7339228166666665</v>
      </c>
      <c r="J13" s="101">
        <v>2.6747626999999996</v>
      </c>
      <c r="K13" s="101">
        <v>2.7354527916666664</v>
      </c>
      <c r="L13" s="101"/>
      <c r="N13" s="14">
        <v>1</v>
      </c>
      <c r="O13" s="101">
        <v>3.0203082916666664</v>
      </c>
      <c r="P13" s="101">
        <v>3.0389255500000001</v>
      </c>
      <c r="Q13" s="101">
        <v>3.0353197000000001</v>
      </c>
      <c r="R13" s="101">
        <v>3.0204181999999995</v>
      </c>
      <c r="S13" s="101">
        <v>3.0204181999999995</v>
      </c>
      <c r="T13" s="101">
        <v>2.9539004166666669</v>
      </c>
      <c r="U13" s="101">
        <v>3.002990341666667</v>
      </c>
      <c r="V13" s="101">
        <v>3.0408664833333332</v>
      </c>
      <c r="W13" s="101">
        <v>3.0200862166666664</v>
      </c>
      <c r="X13" s="101"/>
      <c r="Z13" s="14">
        <v>1</v>
      </c>
      <c r="AA13" s="101">
        <v>2.45479</v>
      </c>
      <c r="AB13" s="101">
        <v>2.4961799999999998</v>
      </c>
      <c r="AC13" s="101">
        <v>2.46834</v>
      </c>
      <c r="AD13" s="101">
        <v>2.45479</v>
      </c>
      <c r="AE13" s="101">
        <v>2.45479</v>
      </c>
      <c r="AF13" s="101">
        <v>2.4230100000000001</v>
      </c>
      <c r="AG13" s="101">
        <v>2.4631699999999999</v>
      </c>
      <c r="AH13" s="101">
        <v>2.53043</v>
      </c>
      <c r="AI13" s="101">
        <v>2.45479</v>
      </c>
      <c r="AJ13" s="101"/>
    </row>
    <row r="14" spans="2:36" ht="24" customHeight="1" x14ac:dyDescent="0.3">
      <c r="B14" s="51">
        <v>2</v>
      </c>
      <c r="C14" s="101">
        <v>1.0752917083333333</v>
      </c>
      <c r="D14" s="101">
        <v>1.0789169916666668</v>
      </c>
      <c r="E14" s="101">
        <v>1.0817076083333335</v>
      </c>
      <c r="F14" s="101">
        <v>1.0753269999999999</v>
      </c>
      <c r="G14" s="101">
        <v>1.0753269999999999</v>
      </c>
      <c r="H14" s="101">
        <v>1.0682296583333335</v>
      </c>
      <c r="I14" s="101">
        <v>1.0775594916666666</v>
      </c>
      <c r="J14" s="101">
        <v>1.0720062166666666</v>
      </c>
      <c r="K14" s="101">
        <v>1.0752192416666666</v>
      </c>
      <c r="L14" s="101"/>
      <c r="N14" s="14">
        <v>2</v>
      </c>
      <c r="O14" s="101">
        <v>3.2961996583333333</v>
      </c>
      <c r="P14" s="101">
        <v>3.3128940083333331</v>
      </c>
      <c r="Q14" s="101">
        <v>3.312625791666667</v>
      </c>
      <c r="R14" s="101">
        <v>3.2963888416666673</v>
      </c>
      <c r="S14" s="101">
        <v>3.2963888416666673</v>
      </c>
      <c r="T14" s="101">
        <v>3.2345423000000006</v>
      </c>
      <c r="U14" s="101">
        <v>3.2885622333333338</v>
      </c>
      <c r="V14" s="101">
        <v>3.3671618250000006</v>
      </c>
      <c r="W14" s="101">
        <v>3.2960353749999998</v>
      </c>
      <c r="X14" s="101"/>
      <c r="Z14" s="14">
        <v>2</v>
      </c>
      <c r="AA14" s="101">
        <v>2.6093099999999998</v>
      </c>
      <c r="AB14" s="101">
        <v>2.6503699999999997</v>
      </c>
      <c r="AC14" s="101">
        <v>2.62405</v>
      </c>
      <c r="AD14" s="101">
        <v>2.6093099999999998</v>
      </c>
      <c r="AE14" s="101">
        <v>2.6093099999999998</v>
      </c>
      <c r="AF14" s="101">
        <v>2.58352</v>
      </c>
      <c r="AG14" s="101">
        <v>2.6314199999999999</v>
      </c>
      <c r="AH14" s="101">
        <v>2.7874899999999996</v>
      </c>
      <c r="AI14" s="101">
        <v>2.6090500000000003</v>
      </c>
      <c r="AJ14" s="101"/>
    </row>
    <row r="15" spans="2:36" ht="24" customHeight="1" x14ac:dyDescent="0.3">
      <c r="B15" s="51">
        <v>3</v>
      </c>
      <c r="C15" s="101">
        <v>5.6727E-2</v>
      </c>
      <c r="D15" s="101">
        <v>5.7120408333333324E-2</v>
      </c>
      <c r="E15" s="101">
        <v>5.7080216666666662E-2</v>
      </c>
      <c r="F15" s="101">
        <v>5.6732683333333332E-2</v>
      </c>
      <c r="G15" s="101">
        <v>5.6732683333333332E-2</v>
      </c>
      <c r="H15" s="101">
        <v>5.6322308333333335E-2</v>
      </c>
      <c r="I15" s="101">
        <v>5.6971691666666664E-2</v>
      </c>
      <c r="J15" s="101">
        <v>5.6782733333333335E-2</v>
      </c>
      <c r="K15" s="101">
        <v>5.6726983333333321E-2</v>
      </c>
      <c r="L15" s="101"/>
      <c r="N15" s="14">
        <v>3</v>
      </c>
      <c r="O15" s="101">
        <v>2.5308047</v>
      </c>
      <c r="P15" s="101">
        <v>2.5598352166666669</v>
      </c>
      <c r="Q15" s="101">
        <v>2.5442264499999996</v>
      </c>
      <c r="R15" s="101">
        <v>2.5309287333333335</v>
      </c>
      <c r="S15" s="101">
        <v>2.5309287333333335</v>
      </c>
      <c r="T15" s="101">
        <v>2.488450891666667</v>
      </c>
      <c r="U15" s="101">
        <v>2.5302106583333335</v>
      </c>
      <c r="V15" s="101">
        <v>2.5853639916666662</v>
      </c>
      <c r="W15" s="101">
        <v>2.5306511</v>
      </c>
      <c r="X15" s="101"/>
      <c r="Z15" s="14">
        <v>3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/>
    </row>
    <row r="16" spans="2:36" ht="24" customHeight="1" x14ac:dyDescent="0.3">
      <c r="B16" s="51">
        <v>4</v>
      </c>
      <c r="C16" s="101">
        <v>0.92782955833333336</v>
      </c>
      <c r="D16" s="101">
        <v>0.93699651666666661</v>
      </c>
      <c r="E16" s="101">
        <v>0.93361809166666676</v>
      </c>
      <c r="F16" s="101">
        <v>0.92789025833333327</v>
      </c>
      <c r="G16" s="101">
        <v>0.92789025833333327</v>
      </c>
      <c r="H16" s="101">
        <v>0.92022186666666661</v>
      </c>
      <c r="I16" s="101">
        <v>0.93096558333333324</v>
      </c>
      <c r="J16" s="101">
        <v>0.93237809999999999</v>
      </c>
      <c r="K16" s="101">
        <v>0.92779714999999985</v>
      </c>
      <c r="L16" s="101"/>
      <c r="N16" s="14">
        <v>4</v>
      </c>
      <c r="O16" s="101">
        <v>2.3404974749999998</v>
      </c>
      <c r="P16" s="101">
        <v>2.3704982583333329</v>
      </c>
      <c r="Q16" s="101">
        <v>2.3532333249999997</v>
      </c>
      <c r="R16" s="101">
        <v>2.3406631083333331</v>
      </c>
      <c r="S16" s="101">
        <v>2.3406631083333331</v>
      </c>
      <c r="T16" s="101">
        <v>2.3062689000000001</v>
      </c>
      <c r="U16" s="101">
        <v>2.3448673166666669</v>
      </c>
      <c r="V16" s="101">
        <v>2.3811015083333333</v>
      </c>
      <c r="W16" s="101">
        <v>2.34040655</v>
      </c>
      <c r="X16" s="101"/>
      <c r="Z16" s="14">
        <v>4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/>
    </row>
    <row r="17" spans="2:36" ht="24" customHeight="1" x14ac:dyDescent="0.3">
      <c r="B17" s="51">
        <v>5</v>
      </c>
      <c r="C17" s="101">
        <v>2.0627343749999998</v>
      </c>
      <c r="D17" s="101">
        <v>2.0786152750000002</v>
      </c>
      <c r="E17" s="101">
        <v>2.0754556083333333</v>
      </c>
      <c r="F17" s="101">
        <v>2.0628286416666666</v>
      </c>
      <c r="G17" s="101">
        <v>2.0628286416666666</v>
      </c>
      <c r="H17" s="101">
        <v>2.0385316500000004</v>
      </c>
      <c r="I17" s="101">
        <v>2.062113825</v>
      </c>
      <c r="J17" s="101">
        <v>2.0499858166666662</v>
      </c>
      <c r="K17" s="101">
        <v>2.0626224249999998</v>
      </c>
      <c r="L17" s="101"/>
      <c r="N17" s="14">
        <v>5</v>
      </c>
      <c r="O17" s="101">
        <v>2.6602483416666667</v>
      </c>
      <c r="P17" s="101">
        <v>2.7002921249999998</v>
      </c>
      <c r="Q17" s="101">
        <v>2.6746322833333336</v>
      </c>
      <c r="R17" s="101">
        <v>2.6603820499999995</v>
      </c>
      <c r="S17" s="101">
        <v>2.6603820499999995</v>
      </c>
      <c r="T17" s="101">
        <v>2.6103079083333331</v>
      </c>
      <c r="U17" s="101">
        <v>2.6538818500000003</v>
      </c>
      <c r="V17" s="101">
        <v>2.666039</v>
      </c>
      <c r="W17" s="101">
        <v>2.6601166666666667</v>
      </c>
      <c r="X17" s="101"/>
      <c r="Z17" s="14">
        <v>5</v>
      </c>
      <c r="AA17" s="101">
        <v>2.45411</v>
      </c>
      <c r="AB17" s="101">
        <v>2.4982600000000001</v>
      </c>
      <c r="AC17" s="101">
        <v>2.4681700000000002</v>
      </c>
      <c r="AD17" s="101">
        <v>2.45411</v>
      </c>
      <c r="AE17" s="101">
        <v>2.45411</v>
      </c>
      <c r="AF17" s="101">
        <v>2.4232800000000001</v>
      </c>
      <c r="AG17" s="101">
        <v>2.4661999999999997</v>
      </c>
      <c r="AH17" s="101">
        <v>2.58805</v>
      </c>
      <c r="AI17" s="101">
        <v>2.4538600000000002</v>
      </c>
      <c r="AJ17" s="101"/>
    </row>
    <row r="18" spans="2:36" ht="24" customHeight="1" x14ac:dyDescent="0.3">
      <c r="B18" s="51">
        <v>6</v>
      </c>
      <c r="C18" s="101">
        <v>3.2913919416666668</v>
      </c>
      <c r="D18" s="101">
        <v>3.3186190499999997</v>
      </c>
      <c r="E18" s="101">
        <v>3.3118048000000004</v>
      </c>
      <c r="F18" s="101">
        <v>3.291583908333334</v>
      </c>
      <c r="G18" s="101">
        <v>3.291583908333334</v>
      </c>
      <c r="H18" s="101">
        <v>3.2355483999999999</v>
      </c>
      <c r="I18" s="101">
        <v>3.2731355750000004</v>
      </c>
      <c r="J18" s="101">
        <v>3.2936310416666661</v>
      </c>
      <c r="K18" s="101">
        <v>3.2912566000000001</v>
      </c>
      <c r="L18" s="101"/>
      <c r="N18" s="14">
        <v>6</v>
      </c>
      <c r="O18" s="101">
        <v>2.6927906999999998</v>
      </c>
      <c r="P18" s="101">
        <v>2.7430430750000001</v>
      </c>
      <c r="Q18" s="101">
        <v>2.7069255249999995</v>
      </c>
      <c r="R18" s="101">
        <v>2.6929435499999999</v>
      </c>
      <c r="S18" s="101">
        <v>2.6929435499999999</v>
      </c>
      <c r="T18" s="101">
        <v>2.6251792666666667</v>
      </c>
      <c r="U18" s="101">
        <v>2.6674784833333334</v>
      </c>
      <c r="V18" s="101">
        <v>2.6400200249999997</v>
      </c>
      <c r="W18" s="101">
        <v>2.6926442750000001</v>
      </c>
      <c r="X18" s="101"/>
      <c r="Z18" s="14">
        <v>6</v>
      </c>
      <c r="AA18" s="101">
        <v>2.98291</v>
      </c>
      <c r="AB18" s="101">
        <v>3.0448300000000001</v>
      </c>
      <c r="AC18" s="101">
        <v>2.9991999999999996</v>
      </c>
      <c r="AD18" s="101">
        <v>2.98291</v>
      </c>
      <c r="AE18" s="101">
        <v>2.98291</v>
      </c>
      <c r="AF18" s="101">
        <v>2.91031</v>
      </c>
      <c r="AG18" s="101">
        <v>2.9624600000000001</v>
      </c>
      <c r="AH18" s="101">
        <v>2.9494199999999999</v>
      </c>
      <c r="AI18" s="101">
        <v>2.98291</v>
      </c>
      <c r="AJ18" s="101"/>
    </row>
    <row r="19" spans="2:36" ht="24" customHeight="1" x14ac:dyDescent="0.3">
      <c r="B19" s="51">
        <v>7</v>
      </c>
      <c r="C19" s="101">
        <v>2.9859054500000002</v>
      </c>
      <c r="D19" s="101">
        <v>3.0120886666666671</v>
      </c>
      <c r="E19" s="101">
        <v>3.0026573083333332</v>
      </c>
      <c r="F19" s="101">
        <v>2.9859749083333331</v>
      </c>
      <c r="G19" s="101">
        <v>2.9859749083333331</v>
      </c>
      <c r="H19" s="101">
        <v>2.9384956500000001</v>
      </c>
      <c r="I19" s="101">
        <v>2.9703024583333333</v>
      </c>
      <c r="J19" s="101">
        <v>2.951896375</v>
      </c>
      <c r="K19" s="101">
        <v>2.9857496333333335</v>
      </c>
      <c r="L19" s="101"/>
      <c r="N19" s="14">
        <v>7</v>
      </c>
      <c r="O19" s="101">
        <v>2.3757827750000002</v>
      </c>
      <c r="P19" s="101">
        <v>2.3933290083333336</v>
      </c>
      <c r="Q19" s="101">
        <v>2.3876742416666672</v>
      </c>
      <c r="R19" s="101">
        <v>2.375870383333333</v>
      </c>
      <c r="S19" s="101">
        <v>2.375870383333333</v>
      </c>
      <c r="T19" s="101">
        <v>2.3320813666666669</v>
      </c>
      <c r="U19" s="101">
        <v>2.3680494083333334</v>
      </c>
      <c r="V19" s="101">
        <v>2.3299412833333331</v>
      </c>
      <c r="W19" s="101">
        <v>2.3756521333333329</v>
      </c>
      <c r="X19" s="101"/>
      <c r="Z19" s="14">
        <v>7</v>
      </c>
      <c r="AA19" s="101">
        <v>2.9565300000000003</v>
      </c>
      <c r="AB19" s="101">
        <v>3.00691</v>
      </c>
      <c r="AC19" s="101">
        <v>2.97194</v>
      </c>
      <c r="AD19" s="101">
        <v>2.9565300000000003</v>
      </c>
      <c r="AE19" s="101">
        <v>2.9565300000000003</v>
      </c>
      <c r="AF19" s="101">
        <v>2.91357</v>
      </c>
      <c r="AG19" s="101">
        <v>2.9624600000000001</v>
      </c>
      <c r="AH19" s="101">
        <v>2.9035000000000002</v>
      </c>
      <c r="AI19" s="101">
        <v>2.9562399999999998</v>
      </c>
      <c r="AJ19" s="101"/>
    </row>
    <row r="20" spans="2:36" ht="24" customHeight="1" x14ac:dyDescent="0.3">
      <c r="B20" s="51">
        <v>8</v>
      </c>
      <c r="C20" s="101">
        <v>3.401240566666667</v>
      </c>
      <c r="D20" s="101">
        <v>3.4329990083333337</v>
      </c>
      <c r="E20" s="101">
        <v>3.4212613833333338</v>
      </c>
      <c r="F20" s="101">
        <v>3.4014551833333329</v>
      </c>
      <c r="G20" s="101">
        <v>3.4014551833333329</v>
      </c>
      <c r="H20" s="101">
        <v>3.3536372833333332</v>
      </c>
      <c r="I20" s="101">
        <v>3.3906330083333329</v>
      </c>
      <c r="J20" s="101">
        <v>3.3614636750000004</v>
      </c>
      <c r="K20" s="101">
        <v>3.4010326666666675</v>
      </c>
      <c r="L20" s="101"/>
      <c r="N20" s="14">
        <v>8</v>
      </c>
      <c r="O20" s="101">
        <v>2.3776987916666661</v>
      </c>
      <c r="P20" s="101">
        <v>2.3892080833333331</v>
      </c>
      <c r="Q20" s="101">
        <v>2.3897639499999999</v>
      </c>
      <c r="R20" s="101">
        <v>2.3778170916666665</v>
      </c>
      <c r="S20" s="101">
        <v>2.3778170916666665</v>
      </c>
      <c r="T20" s="101">
        <v>2.3409903500000007</v>
      </c>
      <c r="U20" s="101">
        <v>2.3759550249999997</v>
      </c>
      <c r="V20" s="101">
        <v>2.3371789166666663</v>
      </c>
      <c r="W20" s="101">
        <v>2.3776024666666666</v>
      </c>
      <c r="X20" s="101"/>
      <c r="Z20" s="14">
        <v>8</v>
      </c>
      <c r="AA20" s="101">
        <v>2.9732800000000004</v>
      </c>
      <c r="AB20" s="101">
        <v>3.02732</v>
      </c>
      <c r="AC20" s="101">
        <v>2.98753</v>
      </c>
      <c r="AD20" s="101">
        <v>2.9732800000000004</v>
      </c>
      <c r="AE20" s="101">
        <v>2.9732800000000004</v>
      </c>
      <c r="AF20" s="101">
        <v>2.9198300000000001</v>
      </c>
      <c r="AG20" s="101">
        <v>2.96882</v>
      </c>
      <c r="AH20" s="101">
        <v>2.8871700000000002</v>
      </c>
      <c r="AI20" s="101">
        <v>2.9732800000000004</v>
      </c>
      <c r="AJ20" s="101"/>
    </row>
    <row r="21" spans="2:36" ht="24" customHeight="1" x14ac:dyDescent="0.3">
      <c r="B21" s="51">
        <v>9</v>
      </c>
      <c r="C21" s="101">
        <v>3.1388067916666662</v>
      </c>
      <c r="D21" s="101">
        <v>3.1570857000000001</v>
      </c>
      <c r="E21" s="101">
        <v>3.1542207666666671</v>
      </c>
      <c r="F21" s="101">
        <v>3.1389580416666667</v>
      </c>
      <c r="G21" s="101">
        <v>3.1389580416666667</v>
      </c>
      <c r="H21" s="101">
        <v>3.0674222750000002</v>
      </c>
      <c r="I21" s="101">
        <v>3.0973439833333338</v>
      </c>
      <c r="J21" s="101">
        <v>3.0354381083333335</v>
      </c>
      <c r="K21" s="101">
        <v>3.1386176166666666</v>
      </c>
      <c r="L21" s="101"/>
      <c r="N21" s="14">
        <v>9</v>
      </c>
      <c r="O21" s="101">
        <v>2.5789207999999992</v>
      </c>
      <c r="P21" s="101">
        <v>2.5996531083333334</v>
      </c>
      <c r="Q21" s="101">
        <v>2.5899636999999998</v>
      </c>
      <c r="R21" s="101">
        <v>2.5790192750000003</v>
      </c>
      <c r="S21" s="101">
        <v>2.5790192750000003</v>
      </c>
      <c r="T21" s="101">
        <v>2.5089185833333336</v>
      </c>
      <c r="U21" s="101">
        <v>2.5570565416666664</v>
      </c>
      <c r="V21" s="101">
        <v>2.3908807916666661</v>
      </c>
      <c r="W21" s="101">
        <v>2.578763575</v>
      </c>
      <c r="X21" s="101"/>
      <c r="Z21" s="14">
        <v>9</v>
      </c>
      <c r="AA21" s="101">
        <v>3.4228899999999998</v>
      </c>
      <c r="AB21" s="101">
        <v>3.5064899999999999</v>
      </c>
      <c r="AC21" s="101">
        <v>3.4641599999999997</v>
      </c>
      <c r="AD21" s="101">
        <v>3.4236</v>
      </c>
      <c r="AE21" s="101">
        <v>3.4236</v>
      </c>
      <c r="AF21" s="101">
        <v>3.49132</v>
      </c>
      <c r="AG21" s="101">
        <v>3.5265900000000001</v>
      </c>
      <c r="AH21" s="101">
        <v>3.4415800000000001</v>
      </c>
      <c r="AI21" s="101">
        <v>3.4225400000000001</v>
      </c>
      <c r="AJ21" s="101"/>
    </row>
    <row r="22" spans="2:36" ht="24" customHeight="1" x14ac:dyDescent="0.3">
      <c r="B22" s="51">
        <v>10</v>
      </c>
      <c r="C22" s="101">
        <v>3.2848608833333328</v>
      </c>
      <c r="D22" s="101">
        <v>3.29273675</v>
      </c>
      <c r="E22" s="101">
        <v>3.2992002249999999</v>
      </c>
      <c r="F22" s="101">
        <v>3.2851121333333335</v>
      </c>
      <c r="G22" s="101">
        <v>3.2851121333333335</v>
      </c>
      <c r="H22" s="101">
        <v>3.1932993166666659</v>
      </c>
      <c r="I22" s="101">
        <v>3.2239823083333334</v>
      </c>
      <c r="J22" s="101">
        <v>3.0805872333333335</v>
      </c>
      <c r="K22" s="101">
        <v>3.2847278583333335</v>
      </c>
      <c r="L22" s="101"/>
      <c r="N22" s="14">
        <v>10</v>
      </c>
      <c r="O22" s="101">
        <v>2.9545170916666668</v>
      </c>
      <c r="P22" s="101">
        <v>2.9714455499999999</v>
      </c>
      <c r="Q22" s="101">
        <v>2.9677294416666662</v>
      </c>
      <c r="R22" s="101">
        <v>2.9546116500000004</v>
      </c>
      <c r="S22" s="101">
        <v>2.9546116500000004</v>
      </c>
      <c r="T22" s="101">
        <v>2.6396178999999997</v>
      </c>
      <c r="U22" s="101">
        <v>2.909780225</v>
      </c>
      <c r="V22" s="101">
        <v>2.6815064749999999</v>
      </c>
      <c r="W22" s="101">
        <v>2.954298141666666</v>
      </c>
      <c r="X22" s="101"/>
      <c r="Z22" s="14">
        <v>10</v>
      </c>
      <c r="AA22" s="101">
        <v>3.3539099999999999</v>
      </c>
      <c r="AB22" s="101">
        <v>3.43824</v>
      </c>
      <c r="AC22" s="101">
        <v>3.4055599999999999</v>
      </c>
      <c r="AD22" s="101">
        <v>3.35426</v>
      </c>
      <c r="AE22" s="101">
        <v>3.35426</v>
      </c>
      <c r="AF22" s="101">
        <v>3.4912899999999998</v>
      </c>
      <c r="AG22" s="101">
        <v>3.51308</v>
      </c>
      <c r="AH22" s="101">
        <v>3.4340199999999999</v>
      </c>
      <c r="AI22" s="101">
        <v>3.3525</v>
      </c>
      <c r="AJ22" s="101"/>
    </row>
    <row r="23" spans="2:36" ht="24" customHeight="1" x14ac:dyDescent="0.3">
      <c r="B23" s="51">
        <v>11</v>
      </c>
      <c r="C23" s="101">
        <v>3.4656194500000006</v>
      </c>
      <c r="D23" s="101">
        <v>3.4831549249999996</v>
      </c>
      <c r="E23" s="101">
        <v>3.4798048416666663</v>
      </c>
      <c r="F23" s="101">
        <v>3.465705741666667</v>
      </c>
      <c r="G23" s="101">
        <v>3.465705741666667</v>
      </c>
      <c r="H23" s="101">
        <v>3.3578579083333335</v>
      </c>
      <c r="I23" s="101">
        <v>3.3896060749999997</v>
      </c>
      <c r="J23" s="101">
        <v>3.2597147083333331</v>
      </c>
      <c r="K23" s="101">
        <v>3.4653363750000001</v>
      </c>
      <c r="L23" s="101"/>
      <c r="N23" s="14">
        <v>11</v>
      </c>
      <c r="O23" s="101">
        <v>2.6595993666666669</v>
      </c>
      <c r="P23" s="101">
        <v>2.6830811916666661</v>
      </c>
      <c r="Q23" s="101">
        <v>2.676790191666667</v>
      </c>
      <c r="R23" s="101">
        <v>2.6598398583333331</v>
      </c>
      <c r="S23" s="101">
        <v>2.6598398583333331</v>
      </c>
      <c r="T23" s="101">
        <v>1.9292742000000001</v>
      </c>
      <c r="U23" s="101">
        <v>2.6359370750000002</v>
      </c>
      <c r="V23" s="101">
        <v>2.4304933749999997</v>
      </c>
      <c r="W23" s="101">
        <v>2.6594281666666664</v>
      </c>
      <c r="X23" s="101"/>
      <c r="Z23" s="14">
        <v>11</v>
      </c>
      <c r="AA23" s="101">
        <v>3.4330400000000001</v>
      </c>
      <c r="AB23" s="101">
        <v>3.5194399999999999</v>
      </c>
      <c r="AC23" s="101">
        <v>3.4864600000000001</v>
      </c>
      <c r="AD23" s="101">
        <v>3.4337600000000004</v>
      </c>
      <c r="AE23" s="101">
        <v>3.4337600000000004</v>
      </c>
      <c r="AF23" s="101">
        <v>3.5624600000000002</v>
      </c>
      <c r="AG23" s="101">
        <v>3.58433</v>
      </c>
      <c r="AH23" s="101">
        <v>3.5079699999999998</v>
      </c>
      <c r="AI23" s="101">
        <v>3.4319600000000001</v>
      </c>
      <c r="AJ23" s="101"/>
    </row>
    <row r="24" spans="2:36" ht="24" customHeight="1" x14ac:dyDescent="0.3">
      <c r="B24" s="51">
        <v>12</v>
      </c>
      <c r="C24" s="101">
        <v>2.6900675083333336</v>
      </c>
      <c r="D24" s="101">
        <v>2.7058468000000002</v>
      </c>
      <c r="E24" s="101">
        <v>2.6998386333333331</v>
      </c>
      <c r="F24" s="101">
        <v>2.6902140000000001</v>
      </c>
      <c r="G24" s="101">
        <v>2.6902140000000001</v>
      </c>
      <c r="H24" s="101">
        <v>1.9850232583333336</v>
      </c>
      <c r="I24" s="101">
        <v>2.6134263999999998</v>
      </c>
      <c r="J24" s="101">
        <v>2.4236888750000003</v>
      </c>
      <c r="K24" s="101">
        <v>2.6899526500000008</v>
      </c>
      <c r="L24" s="101"/>
      <c r="N24" s="14">
        <v>12</v>
      </c>
      <c r="O24" s="101">
        <v>2.6333016250000001</v>
      </c>
      <c r="P24" s="101">
        <v>2.6527433999999999</v>
      </c>
      <c r="Q24" s="101">
        <v>2.6502437249999997</v>
      </c>
      <c r="R24" s="101">
        <v>2.6334906333333334</v>
      </c>
      <c r="S24" s="101">
        <v>2.6334906333333334</v>
      </c>
      <c r="T24" s="101">
        <v>6.7384349999999996E-2</v>
      </c>
      <c r="U24" s="101">
        <v>2.6114354916666667</v>
      </c>
      <c r="V24" s="101">
        <v>2.4108697416666667</v>
      </c>
      <c r="W24" s="101">
        <v>2.6330652416666669</v>
      </c>
      <c r="X24" s="101"/>
      <c r="Z24" s="14">
        <v>12</v>
      </c>
      <c r="AA24" s="101">
        <v>2.8244000000000002</v>
      </c>
      <c r="AB24" s="101">
        <v>2.8900199999999998</v>
      </c>
      <c r="AC24" s="101">
        <v>2.8633600000000001</v>
      </c>
      <c r="AD24" s="101">
        <v>2.8249899999999997</v>
      </c>
      <c r="AE24" s="101">
        <v>2.8249899999999997</v>
      </c>
      <c r="AF24" s="101">
        <v>2.9155000000000002</v>
      </c>
      <c r="AG24" s="101">
        <v>2.9286799999999999</v>
      </c>
      <c r="AH24" s="101">
        <v>2.8563299999999998</v>
      </c>
      <c r="AI24" s="101">
        <v>2.8235199999999998</v>
      </c>
      <c r="AJ24" s="101"/>
    </row>
    <row r="25" spans="2:36" ht="24" customHeight="1" x14ac:dyDescent="0.3">
      <c r="B25" s="51">
        <v>13</v>
      </c>
      <c r="C25" s="101">
        <v>2.9836503333333333</v>
      </c>
      <c r="D25" s="101">
        <v>3.0010406249999999</v>
      </c>
      <c r="E25" s="101">
        <v>2.9965525916666667</v>
      </c>
      <c r="F25" s="101">
        <v>2.9838193750000004</v>
      </c>
      <c r="G25" s="101">
        <v>2.9838193750000004</v>
      </c>
      <c r="H25" s="101">
        <v>2.1951819000000001</v>
      </c>
      <c r="I25" s="101">
        <v>2.9101921666666661</v>
      </c>
      <c r="J25" s="101">
        <v>2.6828873416666665</v>
      </c>
      <c r="K25" s="101">
        <v>2.9834791333333328</v>
      </c>
      <c r="L25" s="101"/>
      <c r="N25" s="14">
        <v>13</v>
      </c>
      <c r="O25" s="101">
        <v>2.5175327833333334</v>
      </c>
      <c r="P25" s="101">
        <v>2.5329186583333336</v>
      </c>
      <c r="Q25" s="101">
        <v>2.5394994166666667</v>
      </c>
      <c r="R25" s="101">
        <v>2.5178848916666667</v>
      </c>
      <c r="S25" s="101">
        <v>2.5178848916666667</v>
      </c>
      <c r="T25" s="101">
        <v>0.80721594166666688</v>
      </c>
      <c r="U25" s="101">
        <v>2.5363556833333334</v>
      </c>
      <c r="V25" s="101">
        <v>2.3423196833333337</v>
      </c>
      <c r="W25" s="101">
        <v>2.5172339500000005</v>
      </c>
      <c r="X25" s="101"/>
      <c r="Z25" s="14">
        <v>13</v>
      </c>
      <c r="AA25" s="101">
        <v>3.4385300000000001</v>
      </c>
      <c r="AB25" s="101">
        <v>3.5168000000000004</v>
      </c>
      <c r="AC25" s="101">
        <v>3.48678</v>
      </c>
      <c r="AD25" s="101">
        <v>3.4392399999999999</v>
      </c>
      <c r="AE25" s="101">
        <v>3.4392399999999999</v>
      </c>
      <c r="AF25" s="101">
        <v>3.5532499999999998</v>
      </c>
      <c r="AG25" s="101">
        <v>3.5732699999999999</v>
      </c>
      <c r="AH25" s="101">
        <v>3.4917800000000003</v>
      </c>
      <c r="AI25" s="101">
        <v>3.4374600000000002</v>
      </c>
      <c r="AJ25" s="101"/>
    </row>
    <row r="26" spans="2:36" ht="24" customHeight="1" x14ac:dyDescent="0.3">
      <c r="B26" s="51">
        <v>14</v>
      </c>
      <c r="C26" s="101">
        <v>3.2533988250000001</v>
      </c>
      <c r="D26" s="101">
        <v>3.2820572749999997</v>
      </c>
      <c r="E26" s="101">
        <v>3.270487825</v>
      </c>
      <c r="F26" s="101">
        <v>3.2536378166666666</v>
      </c>
      <c r="G26" s="101">
        <v>3.2536378166666666</v>
      </c>
      <c r="H26" s="101">
        <v>3.1534448416666661</v>
      </c>
      <c r="I26" s="101">
        <v>3.1807035583333332</v>
      </c>
      <c r="J26" s="101">
        <v>2.9707664916666667</v>
      </c>
      <c r="K26" s="101">
        <v>3.2532051333333332</v>
      </c>
      <c r="L26" s="101"/>
      <c r="N26" s="14">
        <v>14</v>
      </c>
      <c r="O26" s="101">
        <v>3.4414415750000003</v>
      </c>
      <c r="P26" s="101">
        <v>3.4640120416666669</v>
      </c>
      <c r="Q26" s="101">
        <v>3.469532033333333</v>
      </c>
      <c r="R26" s="101">
        <v>3.4418727833333338</v>
      </c>
      <c r="S26" s="101">
        <v>3.4418727833333338</v>
      </c>
      <c r="T26" s="101">
        <v>3.3966246333333334</v>
      </c>
      <c r="U26" s="101">
        <v>3.4461915583333327</v>
      </c>
      <c r="V26" s="101">
        <v>3.2561602333333335</v>
      </c>
      <c r="W26" s="101">
        <v>3.4409832916666674</v>
      </c>
      <c r="X26" s="101"/>
      <c r="Z26" s="14">
        <v>14</v>
      </c>
      <c r="AA26" s="101">
        <v>3.5611100000000002</v>
      </c>
      <c r="AB26" s="101">
        <v>3.6494599999999999</v>
      </c>
      <c r="AC26" s="101">
        <v>3.6145700000000001</v>
      </c>
      <c r="AD26" s="101">
        <v>3.5618600000000002</v>
      </c>
      <c r="AE26" s="101">
        <v>3.5618600000000002</v>
      </c>
      <c r="AF26" s="101">
        <v>3.5800500000000004</v>
      </c>
      <c r="AG26" s="101">
        <v>3.7114600000000002</v>
      </c>
      <c r="AH26" s="101">
        <v>3.6368400000000003</v>
      </c>
      <c r="AI26" s="101">
        <v>3.56</v>
      </c>
      <c r="AJ26" s="101"/>
    </row>
    <row r="27" spans="2:36" ht="24" customHeight="1" x14ac:dyDescent="0.3">
      <c r="B27" s="51">
        <v>15</v>
      </c>
      <c r="C27" s="101">
        <v>3.3303387916666671</v>
      </c>
      <c r="D27" s="101">
        <v>3.3603865499999999</v>
      </c>
      <c r="E27" s="101">
        <v>3.3495998500000002</v>
      </c>
      <c r="F27" s="101">
        <v>3.3305064999999998</v>
      </c>
      <c r="G27" s="101">
        <v>3.3305064999999998</v>
      </c>
      <c r="H27" s="101">
        <v>3.0370360166666672</v>
      </c>
      <c r="I27" s="101">
        <v>3.2575722583333335</v>
      </c>
      <c r="J27" s="101">
        <v>3.0275796333333331</v>
      </c>
      <c r="K27" s="101">
        <v>3.3300641333333334</v>
      </c>
      <c r="L27" s="101"/>
      <c r="N27" s="14">
        <v>15</v>
      </c>
      <c r="O27" s="101">
        <v>3.6495218833333332</v>
      </c>
      <c r="P27" s="101">
        <v>3.6774236666666669</v>
      </c>
      <c r="Q27" s="101">
        <v>3.6721273333333335</v>
      </c>
      <c r="R27" s="101">
        <v>3.6498290916666667</v>
      </c>
      <c r="S27" s="101">
        <v>3.6498290916666667</v>
      </c>
      <c r="T27" s="101">
        <v>3.5610164833333329</v>
      </c>
      <c r="U27" s="101">
        <v>3.6142374416666665</v>
      </c>
      <c r="V27" s="101">
        <v>3.3813073249999994</v>
      </c>
      <c r="W27" s="101">
        <v>3.6491216833333331</v>
      </c>
      <c r="X27" s="101"/>
      <c r="Z27" s="14">
        <v>15</v>
      </c>
      <c r="AA27" s="101">
        <v>3.6192600000000001</v>
      </c>
      <c r="AB27" s="101">
        <v>3.70932</v>
      </c>
      <c r="AC27" s="101">
        <v>3.6730700000000001</v>
      </c>
      <c r="AD27" s="101">
        <v>3.6200199999999998</v>
      </c>
      <c r="AE27" s="101">
        <v>3.6200199999999998</v>
      </c>
      <c r="AF27" s="101">
        <v>3.6800799999999998</v>
      </c>
      <c r="AG27" s="101">
        <v>3.81541</v>
      </c>
      <c r="AH27" s="101">
        <v>3.7429099999999997</v>
      </c>
      <c r="AI27" s="101">
        <v>3.6181199999999998</v>
      </c>
      <c r="AJ27" s="101"/>
    </row>
    <row r="28" spans="2:36" ht="24" customHeight="1" x14ac:dyDescent="0.3">
      <c r="B28" s="51">
        <v>16</v>
      </c>
      <c r="C28" s="101">
        <v>3.4859497666666672</v>
      </c>
      <c r="D28" s="101">
        <v>3.5148261999999999</v>
      </c>
      <c r="E28" s="101">
        <v>3.5080846000000001</v>
      </c>
      <c r="F28" s="101">
        <v>3.486262041666667</v>
      </c>
      <c r="G28" s="101">
        <v>3.486262041666667</v>
      </c>
      <c r="H28" s="101">
        <v>3.3961672916666665</v>
      </c>
      <c r="I28" s="101">
        <v>3.4260077416666666</v>
      </c>
      <c r="J28" s="101">
        <v>3.2519019833333331</v>
      </c>
      <c r="K28" s="101">
        <v>3.4855765166666672</v>
      </c>
      <c r="L28" s="101"/>
      <c r="N28" s="14">
        <v>16</v>
      </c>
      <c r="O28" s="101">
        <v>3.568640625</v>
      </c>
      <c r="P28" s="101">
        <v>3.5984920000000002</v>
      </c>
      <c r="Q28" s="101">
        <v>3.5978917833333339</v>
      </c>
      <c r="R28" s="101">
        <v>3.569029916666667</v>
      </c>
      <c r="S28" s="101">
        <v>3.569029916666667</v>
      </c>
      <c r="T28" s="101">
        <v>3.4586289333333329</v>
      </c>
      <c r="U28" s="101">
        <v>3.5694605583333328</v>
      </c>
      <c r="V28" s="101">
        <v>3.3318498166666668</v>
      </c>
      <c r="W28" s="101">
        <v>3.5681894083333336</v>
      </c>
      <c r="X28" s="101"/>
      <c r="Z28" s="14">
        <v>16</v>
      </c>
      <c r="AA28" s="101">
        <v>3.6575600000000001</v>
      </c>
      <c r="AB28" s="101">
        <v>3.7463000000000002</v>
      </c>
      <c r="AC28" s="101">
        <v>3.7119599999999999</v>
      </c>
      <c r="AD28" s="101">
        <v>3.6587199999999998</v>
      </c>
      <c r="AE28" s="101">
        <v>3.6587199999999998</v>
      </c>
      <c r="AF28" s="101">
        <v>3.8277100000000002</v>
      </c>
      <c r="AG28" s="101">
        <v>3.8574099999999998</v>
      </c>
      <c r="AH28" s="101">
        <v>3.79298</v>
      </c>
      <c r="AI28" s="101">
        <v>3.6564000000000001</v>
      </c>
      <c r="AJ28" s="101"/>
    </row>
    <row r="29" spans="2:36" ht="24" customHeight="1" x14ac:dyDescent="0.3">
      <c r="B29" s="51">
        <v>17</v>
      </c>
      <c r="C29" s="101">
        <v>3.4309646833333329</v>
      </c>
      <c r="D29" s="101">
        <v>3.4499144916666666</v>
      </c>
      <c r="E29" s="101">
        <v>3.4450630083333329</v>
      </c>
      <c r="F29" s="101">
        <v>3.4312423416666666</v>
      </c>
      <c r="G29" s="101">
        <v>3.4312423416666666</v>
      </c>
      <c r="H29" s="101">
        <v>3.150565958333333</v>
      </c>
      <c r="I29" s="101">
        <v>3.3321256916666666</v>
      </c>
      <c r="J29" s="101">
        <v>3.1099173583333335</v>
      </c>
      <c r="K29" s="101">
        <v>3.4308241500000003</v>
      </c>
      <c r="L29" s="101"/>
      <c r="N29" s="14">
        <v>17</v>
      </c>
      <c r="O29" s="101">
        <v>6.8766816750000022</v>
      </c>
      <c r="P29" s="101">
        <v>6.9149354916666681</v>
      </c>
      <c r="Q29" s="101">
        <v>6.9414536833333331</v>
      </c>
      <c r="R29" s="101">
        <v>6.8774746916666665</v>
      </c>
      <c r="S29" s="101">
        <v>6.8774746916666665</v>
      </c>
      <c r="T29" s="101">
        <v>6.8215391500000004</v>
      </c>
      <c r="U29" s="101">
        <v>6.9230331416666662</v>
      </c>
      <c r="V29" s="101">
        <v>6.63299255</v>
      </c>
      <c r="W29" s="101">
        <v>6.8756693916666656</v>
      </c>
      <c r="X29" s="101"/>
      <c r="Z29" s="14">
        <v>17</v>
      </c>
      <c r="AA29" s="101">
        <v>3.6445700000000003</v>
      </c>
      <c r="AB29" s="101">
        <v>3.73387</v>
      </c>
      <c r="AC29" s="101">
        <v>3.6996199999999999</v>
      </c>
      <c r="AD29" s="101">
        <v>3.64534</v>
      </c>
      <c r="AE29" s="101">
        <v>3.64534</v>
      </c>
      <c r="AF29" s="101">
        <v>3.8247199999999997</v>
      </c>
      <c r="AG29" s="101">
        <v>3.8485900000000002</v>
      </c>
      <c r="AH29" s="101">
        <v>3.78315</v>
      </c>
      <c r="AI29" s="101">
        <v>3.64303</v>
      </c>
      <c r="AJ29" s="101"/>
    </row>
    <row r="30" spans="2:36" ht="24" customHeight="1" x14ac:dyDescent="0.3">
      <c r="B30" s="51">
        <v>18</v>
      </c>
      <c r="C30" s="101">
        <v>3.6275954333333336</v>
      </c>
      <c r="D30" s="101">
        <v>3.6755773666666678</v>
      </c>
      <c r="E30" s="101">
        <v>3.6509899249999997</v>
      </c>
      <c r="F30" s="101">
        <v>3.6279244416666665</v>
      </c>
      <c r="G30" s="101">
        <v>3.6279244416666665</v>
      </c>
      <c r="H30" s="101">
        <v>3.3201370083333335</v>
      </c>
      <c r="I30" s="101">
        <v>3.5447974500000003</v>
      </c>
      <c r="J30" s="101">
        <v>3.3432094333333335</v>
      </c>
      <c r="K30" s="101">
        <v>3.6273844999999998</v>
      </c>
      <c r="L30" s="101"/>
      <c r="N30" s="14">
        <v>18</v>
      </c>
      <c r="O30" s="101">
        <v>4.8976987166666666</v>
      </c>
      <c r="P30" s="101">
        <v>4.9705058333333314</v>
      </c>
      <c r="Q30" s="101">
        <v>4.9510264583333328</v>
      </c>
      <c r="R30" s="101">
        <v>4.8982632666666666</v>
      </c>
      <c r="S30" s="101">
        <v>4.8982632666666666</v>
      </c>
      <c r="T30" s="101">
        <v>4.861244525</v>
      </c>
      <c r="U30" s="101">
        <v>4.9332026583333333</v>
      </c>
      <c r="V30" s="101">
        <v>4.8048843999999997</v>
      </c>
      <c r="W30" s="101">
        <v>4.8967543166666676</v>
      </c>
      <c r="X30" s="101"/>
      <c r="Z30" s="14">
        <v>18</v>
      </c>
      <c r="AA30" s="101">
        <v>19.8126</v>
      </c>
      <c r="AB30" s="101">
        <v>20.406869999999998</v>
      </c>
      <c r="AC30" s="101">
        <v>20.111810000000002</v>
      </c>
      <c r="AD30" s="101">
        <v>19.816749999999999</v>
      </c>
      <c r="AE30" s="101">
        <v>19.816749999999999</v>
      </c>
      <c r="AF30" s="101">
        <v>4.2358900000000004</v>
      </c>
      <c r="AG30" s="101">
        <v>20.774660000000001</v>
      </c>
      <c r="AH30" s="101">
        <v>20.454660000000001</v>
      </c>
      <c r="AI30" s="101">
        <v>19.804279999999999</v>
      </c>
      <c r="AJ30" s="101"/>
    </row>
    <row r="31" spans="2:36" ht="24" customHeight="1" x14ac:dyDescent="0.3">
      <c r="B31" s="51">
        <v>19</v>
      </c>
      <c r="C31" s="101">
        <v>4.2901755666666661</v>
      </c>
      <c r="D31" s="101">
        <v>4.3623141250000002</v>
      </c>
      <c r="E31" s="101">
        <v>4.3336494999999999</v>
      </c>
      <c r="F31" s="101">
        <v>4.2908006083333339</v>
      </c>
      <c r="G31" s="101">
        <v>4.2908006083333339</v>
      </c>
      <c r="H31" s="101">
        <v>4.2082747166666659</v>
      </c>
      <c r="I31" s="101">
        <v>4.2532382833333333</v>
      </c>
      <c r="J31" s="101">
        <v>4.0533671500000006</v>
      </c>
      <c r="K31" s="101">
        <v>4.2895223249999992</v>
      </c>
      <c r="L31" s="101"/>
      <c r="N31" s="14">
        <v>19</v>
      </c>
      <c r="O31" s="101">
        <v>5.8550617999999996</v>
      </c>
      <c r="P31" s="101">
        <v>5.9303045583333329</v>
      </c>
      <c r="Q31" s="101">
        <v>5.9211119000000005</v>
      </c>
      <c r="R31" s="101">
        <v>5.8556520416666658</v>
      </c>
      <c r="S31" s="101">
        <v>5.8556520416666658</v>
      </c>
      <c r="T31" s="101">
        <v>5.8120074416666672</v>
      </c>
      <c r="U31" s="101">
        <v>5.9024376499999995</v>
      </c>
      <c r="V31" s="101">
        <v>5.6904769833333315</v>
      </c>
      <c r="W31" s="101">
        <v>5.8538813166666657</v>
      </c>
      <c r="X31" s="101"/>
      <c r="Z31" s="14">
        <v>19</v>
      </c>
      <c r="AA31" s="101">
        <v>3.8116099999999999</v>
      </c>
      <c r="AB31" s="101">
        <v>3.9324899999999996</v>
      </c>
      <c r="AC31" s="101">
        <v>3.8706399999999999</v>
      </c>
      <c r="AD31" s="101">
        <v>3.8124099999999999</v>
      </c>
      <c r="AE31" s="101">
        <v>3.8124099999999999</v>
      </c>
      <c r="AF31" s="101">
        <v>3.9131499999999999</v>
      </c>
      <c r="AG31" s="101">
        <v>4.0152200000000002</v>
      </c>
      <c r="AH31" s="101">
        <v>3.94373</v>
      </c>
      <c r="AI31" s="101">
        <v>3.81</v>
      </c>
      <c r="AJ31" s="101"/>
    </row>
    <row r="32" spans="2:36" ht="24" customHeight="1" x14ac:dyDescent="0.3">
      <c r="B32" s="51">
        <v>20</v>
      </c>
      <c r="C32" s="101">
        <v>3.3807252750000001</v>
      </c>
      <c r="D32" s="101">
        <v>3.4305470750000002</v>
      </c>
      <c r="E32" s="101">
        <v>3.4057251583333339</v>
      </c>
      <c r="F32" s="101">
        <v>3.3809801833333344</v>
      </c>
      <c r="G32" s="101">
        <v>3.3809801833333344</v>
      </c>
      <c r="H32" s="101">
        <v>3.280669408333333</v>
      </c>
      <c r="I32" s="101">
        <v>3.3166078333333329</v>
      </c>
      <c r="J32" s="101">
        <v>3.1584662083333339</v>
      </c>
      <c r="K32" s="101">
        <v>3.3803895916666664</v>
      </c>
      <c r="L32" s="101"/>
      <c r="N32" s="14">
        <v>20</v>
      </c>
      <c r="O32" s="101">
        <v>3.7352725999999996</v>
      </c>
      <c r="P32" s="101">
        <v>3.8200391416666677</v>
      </c>
      <c r="Q32" s="101">
        <v>3.7762895333333328</v>
      </c>
      <c r="R32" s="101">
        <v>3.7357450999999999</v>
      </c>
      <c r="S32" s="101">
        <v>3.7357450999999999</v>
      </c>
      <c r="T32" s="101">
        <v>3.6962627833333324</v>
      </c>
      <c r="U32" s="101">
        <v>3.7534216250000005</v>
      </c>
      <c r="V32" s="101">
        <v>3.6437720583333326</v>
      </c>
      <c r="W32" s="101">
        <v>3.7345224000000004</v>
      </c>
      <c r="X32" s="101"/>
      <c r="Z32" s="14">
        <v>20</v>
      </c>
      <c r="AA32" s="101">
        <v>3.6618200000000001</v>
      </c>
      <c r="AB32" s="101">
        <v>3.7831300000000003</v>
      </c>
      <c r="AC32" s="101">
        <v>3.7203600000000003</v>
      </c>
      <c r="AD32" s="101">
        <v>3.6625900000000002</v>
      </c>
      <c r="AE32" s="101">
        <v>3.6625900000000002</v>
      </c>
      <c r="AF32" s="101">
        <v>3.8100900000000002</v>
      </c>
      <c r="AG32" s="101">
        <v>3.85053</v>
      </c>
      <c r="AH32" s="101">
        <v>3.78044</v>
      </c>
      <c r="AI32" s="101">
        <v>3.6602800000000002</v>
      </c>
      <c r="AJ32" s="101"/>
    </row>
    <row r="33" spans="2:36" ht="24" customHeight="1" x14ac:dyDescent="0.3">
      <c r="B33" s="51">
        <v>21</v>
      </c>
      <c r="C33" s="101">
        <v>3.4597139666666665</v>
      </c>
      <c r="D33" s="101">
        <v>3.5275291000000002</v>
      </c>
      <c r="E33" s="101">
        <v>3.4823573000000003</v>
      </c>
      <c r="F33" s="101">
        <v>3.4599384666666668</v>
      </c>
      <c r="G33" s="101">
        <v>3.4599384666666668</v>
      </c>
      <c r="H33" s="101">
        <v>3.3469696166666671</v>
      </c>
      <c r="I33" s="101">
        <v>3.3859269083333334</v>
      </c>
      <c r="J33" s="101">
        <v>3.2715075833333334</v>
      </c>
      <c r="K33" s="101">
        <v>3.4594837083333334</v>
      </c>
      <c r="L33" s="101"/>
      <c r="N33" s="14">
        <v>21</v>
      </c>
      <c r="O33" s="101">
        <v>3.4925298750000002</v>
      </c>
      <c r="P33" s="101">
        <v>3.5714520166666666</v>
      </c>
      <c r="Q33" s="101">
        <v>3.5265859916666664</v>
      </c>
      <c r="R33" s="101">
        <v>3.4928488416666674</v>
      </c>
      <c r="S33" s="101">
        <v>3.4928488416666674</v>
      </c>
      <c r="T33" s="101">
        <v>3.4380600749999997</v>
      </c>
      <c r="U33" s="101">
        <v>3.4952114583333329</v>
      </c>
      <c r="V33" s="101">
        <v>3.3830365916666669</v>
      </c>
      <c r="W33" s="101">
        <v>3.4921497833333328</v>
      </c>
      <c r="X33" s="101"/>
      <c r="Z33" s="14">
        <v>21</v>
      </c>
      <c r="AA33" s="101">
        <v>3.6106799999999999</v>
      </c>
      <c r="AB33" s="101">
        <v>3.7288399999999999</v>
      </c>
      <c r="AC33" s="101">
        <v>3.67014</v>
      </c>
      <c r="AD33" s="101">
        <v>3.61144</v>
      </c>
      <c r="AE33" s="101">
        <v>3.61144</v>
      </c>
      <c r="AF33" s="101">
        <v>3.7059699999999998</v>
      </c>
      <c r="AG33" s="101">
        <v>3.8107800000000003</v>
      </c>
      <c r="AH33" s="101">
        <v>3.7391300000000003</v>
      </c>
      <c r="AI33" s="101">
        <v>3.6091500000000001</v>
      </c>
      <c r="AJ33" s="101"/>
    </row>
    <row r="34" spans="2:36" ht="24" customHeight="1" x14ac:dyDescent="0.3">
      <c r="B34" s="51">
        <v>22</v>
      </c>
      <c r="C34" s="101">
        <v>3.1652285249999998</v>
      </c>
      <c r="D34" s="101">
        <v>3.2266865416666666</v>
      </c>
      <c r="E34" s="101">
        <v>3.1814532500000001</v>
      </c>
      <c r="F34" s="101">
        <v>3.1654073999999999</v>
      </c>
      <c r="G34" s="101">
        <v>3.1654073999999999</v>
      </c>
      <c r="H34" s="101">
        <v>3.048599925</v>
      </c>
      <c r="I34" s="101">
        <v>3.0865167249999996</v>
      </c>
      <c r="J34" s="101">
        <v>2.9668886333333333</v>
      </c>
      <c r="K34" s="101">
        <v>3.1650031583333331</v>
      </c>
      <c r="L34" s="101"/>
      <c r="N34" s="14">
        <v>22</v>
      </c>
      <c r="O34" s="101">
        <v>2.948108883333334</v>
      </c>
      <c r="P34" s="101">
        <v>3.0010142166666665</v>
      </c>
      <c r="Q34" s="101">
        <v>2.9642302333333332</v>
      </c>
      <c r="R34" s="101">
        <v>2.9482595583333331</v>
      </c>
      <c r="S34" s="101">
        <v>2.9482595583333331</v>
      </c>
      <c r="T34" s="101">
        <v>2.8490391833333337</v>
      </c>
      <c r="U34" s="101">
        <v>2.8975931666666672</v>
      </c>
      <c r="V34" s="101">
        <v>2.7402027166666669</v>
      </c>
      <c r="W34" s="101">
        <v>2.9479187500000004</v>
      </c>
      <c r="X34" s="101"/>
      <c r="Z34" s="14">
        <v>22</v>
      </c>
      <c r="AA34" s="101">
        <v>3.5512700000000001</v>
      </c>
      <c r="AB34" s="101">
        <v>3.6507100000000001</v>
      </c>
      <c r="AC34" s="101">
        <v>3.5971700000000002</v>
      </c>
      <c r="AD34" s="101">
        <v>3.5516300000000003</v>
      </c>
      <c r="AE34" s="101">
        <v>3.5516300000000003</v>
      </c>
      <c r="AF34" s="101">
        <v>3.6051799999999998</v>
      </c>
      <c r="AG34" s="101">
        <v>3.6419699999999997</v>
      </c>
      <c r="AH34" s="101">
        <v>3.5567299999999999</v>
      </c>
      <c r="AI34" s="101">
        <v>3.5505399999999998</v>
      </c>
      <c r="AJ34" s="101"/>
    </row>
    <row r="35" spans="2:36" ht="24" customHeight="1" x14ac:dyDescent="0.3">
      <c r="B35" s="51">
        <v>23</v>
      </c>
      <c r="C35" s="101">
        <v>3.1692051666666665</v>
      </c>
      <c r="D35" s="101">
        <v>3.2296812583333336</v>
      </c>
      <c r="E35" s="101">
        <v>3.1868772999999999</v>
      </c>
      <c r="F35" s="101">
        <v>3.1693406499999996</v>
      </c>
      <c r="G35" s="101">
        <v>3.1693406499999996</v>
      </c>
      <c r="H35" s="101">
        <v>3.0618894916666668</v>
      </c>
      <c r="I35" s="101">
        <v>3.1109782916666666</v>
      </c>
      <c r="J35" s="101">
        <v>3.038416475</v>
      </c>
      <c r="K35" s="101">
        <v>3.1689998416666674</v>
      </c>
      <c r="L35" s="101"/>
      <c r="N35" s="14">
        <v>23</v>
      </c>
      <c r="O35" s="101">
        <v>2.9656658583333337</v>
      </c>
      <c r="P35" s="101">
        <v>3.0143287833333337</v>
      </c>
      <c r="Q35" s="101">
        <v>2.9806086833333332</v>
      </c>
      <c r="R35" s="101">
        <v>2.9658202333333334</v>
      </c>
      <c r="S35" s="101">
        <v>2.9658202333333334</v>
      </c>
      <c r="T35" s="101">
        <v>2.8664787916666663</v>
      </c>
      <c r="U35" s="101">
        <v>2.916772158333333</v>
      </c>
      <c r="V35" s="101">
        <v>2.7851227916666668</v>
      </c>
      <c r="W35" s="101">
        <v>2.9655285500000006</v>
      </c>
      <c r="X35" s="101"/>
      <c r="Z35" s="14">
        <v>23</v>
      </c>
      <c r="AA35" s="101">
        <v>3.5517500000000002</v>
      </c>
      <c r="AB35" s="101">
        <v>3.6383200000000002</v>
      </c>
      <c r="AC35" s="101">
        <v>3.5897800000000002</v>
      </c>
      <c r="AD35" s="101">
        <v>3.5521100000000003</v>
      </c>
      <c r="AE35" s="101">
        <v>3.5521100000000003</v>
      </c>
      <c r="AF35" s="101">
        <v>3.57131</v>
      </c>
      <c r="AG35" s="101">
        <v>3.6216599999999999</v>
      </c>
      <c r="AH35" s="101">
        <v>3.5285700000000002</v>
      </c>
      <c r="AI35" s="101">
        <v>3.55139</v>
      </c>
      <c r="AJ35" s="101"/>
    </row>
    <row r="36" spans="2:36" ht="24" customHeight="1" x14ac:dyDescent="0.3">
      <c r="B36" s="51">
        <v>24</v>
      </c>
      <c r="C36" s="101">
        <v>2.1841766333333332</v>
      </c>
      <c r="D36" s="101">
        <v>2.2004496166666669</v>
      </c>
      <c r="E36" s="101">
        <v>2.1953568666666672</v>
      </c>
      <c r="F36" s="101">
        <v>2.1843363750000004</v>
      </c>
      <c r="G36" s="101">
        <v>2.1843363750000004</v>
      </c>
      <c r="H36" s="101">
        <v>2.121882008333333</v>
      </c>
      <c r="I36" s="101">
        <v>2.1521603666666671</v>
      </c>
      <c r="J36" s="101">
        <v>2.0453684083333332</v>
      </c>
      <c r="K36" s="101">
        <v>2.1841211666666664</v>
      </c>
      <c r="L36" s="101"/>
      <c r="N36" s="14">
        <v>24</v>
      </c>
      <c r="O36" s="101">
        <v>2.794246325</v>
      </c>
      <c r="P36" s="101">
        <v>2.8436057083333339</v>
      </c>
      <c r="Q36" s="101">
        <v>2.8083698166666666</v>
      </c>
      <c r="R36" s="101">
        <v>2.7944146916666668</v>
      </c>
      <c r="S36" s="101">
        <v>2.7944146916666668</v>
      </c>
      <c r="T36" s="101">
        <v>2.7020801333333333</v>
      </c>
      <c r="U36" s="101">
        <v>2.7583146416666673</v>
      </c>
      <c r="V36" s="101">
        <v>2.6788970333333331</v>
      </c>
      <c r="W36" s="101">
        <v>2.7941147000000002</v>
      </c>
      <c r="X36" s="101"/>
      <c r="Z36" s="14">
        <v>24</v>
      </c>
      <c r="AA36" s="101">
        <v>3.50116</v>
      </c>
      <c r="AB36" s="101">
        <v>3.5852600000000003</v>
      </c>
      <c r="AC36" s="101">
        <v>3.5392600000000001</v>
      </c>
      <c r="AD36" s="101">
        <v>3.5015200000000002</v>
      </c>
      <c r="AE36" s="101">
        <v>3.5015200000000002</v>
      </c>
      <c r="AF36" s="101">
        <v>3.5435700000000003</v>
      </c>
      <c r="AG36" s="101">
        <v>3.5935300000000003</v>
      </c>
      <c r="AH36" s="101">
        <v>3.5108600000000001</v>
      </c>
      <c r="AI36" s="101">
        <v>3.5008000000000004</v>
      </c>
      <c r="AJ36" s="101"/>
    </row>
    <row r="37" spans="2:36" ht="24" customHeight="1" x14ac:dyDescent="0.3">
      <c r="B37" s="51" t="s">
        <v>66</v>
      </c>
      <c r="C37" s="94">
        <f>IFERROR(AVERAGE(C13:C36),0)</f>
        <v>2.8698818298611122</v>
      </c>
      <c r="D37" s="94">
        <f t="shared" ref="D37:L37" si="0">IFERROR(AVERAGE(D13:D36),0)</f>
        <v>2.8984327368055554</v>
      </c>
      <c r="E37" s="94">
        <f t="shared" si="0"/>
        <v>2.8864356288194437</v>
      </c>
      <c r="F37" s="94">
        <f t="shared" si="0"/>
        <v>2.870070046875</v>
      </c>
      <c r="G37" s="94">
        <f t="shared" si="0"/>
        <v>2.870070046875</v>
      </c>
      <c r="H37" s="94">
        <f t="shared" si="0"/>
        <v>2.7183301729166671</v>
      </c>
      <c r="I37" s="94">
        <f t="shared" si="0"/>
        <v>2.8240329371527775</v>
      </c>
      <c r="J37" s="94">
        <f t="shared" si="0"/>
        <v>2.7130255118055557</v>
      </c>
      <c r="K37" s="94">
        <f t="shared" si="0"/>
        <v>2.8696893895833333</v>
      </c>
      <c r="L37" s="94">
        <f t="shared" si="0"/>
        <v>0</v>
      </c>
      <c r="N37" s="14" t="s">
        <v>66</v>
      </c>
      <c r="O37" s="94">
        <f>IFERROR(AVERAGE(O13:O36),0)</f>
        <v>3.2859613423611118</v>
      </c>
      <c r="P37" s="94">
        <f t="shared" ref="P37" si="1">IFERROR(AVERAGE(P13:P36),0)</f>
        <v>3.3230825288194445</v>
      </c>
      <c r="Q37" s="94">
        <f t="shared" ref="Q37" si="2">IFERROR(AVERAGE(Q13:Q36),0)</f>
        <v>3.3099106329861105</v>
      </c>
      <c r="R37" s="94">
        <f t="shared" ref="R37" si="3">IFERROR(AVERAGE(R13:R36),0)</f>
        <v>3.2862278534722216</v>
      </c>
      <c r="S37" s="94">
        <f t="shared" ref="S37" si="4">IFERROR(AVERAGE(S13:S36),0)</f>
        <v>3.2862278534722216</v>
      </c>
      <c r="T37" s="94">
        <f t="shared" ref="T37" si="5">IFERROR(AVERAGE(T13:T36),0)</f>
        <v>3.0127964378472218</v>
      </c>
      <c r="U37" s="94">
        <f t="shared" ref="U37" si="6">IFERROR(AVERAGE(U13:U36),0)</f>
        <v>3.2788515163194449</v>
      </c>
      <c r="V37" s="94">
        <f t="shared" ref="V37" si="7">IFERROR(AVERAGE(V13:V36),0)</f>
        <v>3.1638518999999996</v>
      </c>
      <c r="W37" s="94">
        <f t="shared" ref="W37" si="8">IFERROR(AVERAGE(W13:W36),0)</f>
        <v>3.2856173937499995</v>
      </c>
      <c r="X37" s="94">
        <f t="shared" ref="X37" si="9">IFERROR(AVERAGE(X13:X36),0)</f>
        <v>0</v>
      </c>
      <c r="Z37" s="14" t="s">
        <v>66</v>
      </c>
      <c r="AA37" s="94">
        <f>IFERROR(AVERAGE(AA13:AA36),0)</f>
        <v>3.7036287500000005</v>
      </c>
      <c r="AB37" s="94">
        <f t="shared" ref="AB37:AJ37" si="10">IFERROR(AVERAGE(AB13:AB36),0)</f>
        <v>3.7983095833333338</v>
      </c>
      <c r="AC37" s="94">
        <f t="shared" si="10"/>
        <v>3.7509970833333344</v>
      </c>
      <c r="AD37" s="94">
        <f t="shared" si="10"/>
        <v>3.7042154166666665</v>
      </c>
      <c r="AE37" s="94">
        <f t="shared" si="10"/>
        <v>3.7042154166666665</v>
      </c>
      <c r="AF37" s="94">
        <f t="shared" si="10"/>
        <v>3.103544166666667</v>
      </c>
      <c r="AG37" s="94">
        <f t="shared" si="10"/>
        <v>3.8384041666666673</v>
      </c>
      <c r="AH37" s="94">
        <f t="shared" si="10"/>
        <v>3.7853224999999999</v>
      </c>
      <c r="AI37" s="94">
        <f t="shared" si="10"/>
        <v>3.7025874999999999</v>
      </c>
      <c r="AJ37" s="94">
        <f t="shared" si="10"/>
        <v>0</v>
      </c>
    </row>
    <row r="38" spans="2:36" ht="24" customHeight="1" x14ac:dyDescent="0.3"/>
    <row r="39" spans="2:36" s="93" customFormat="1" ht="24" customHeight="1" x14ac:dyDescent="0.3">
      <c r="B39" s="92" t="s">
        <v>67</v>
      </c>
      <c r="D39" s="88"/>
      <c r="E39" s="88"/>
      <c r="F39" s="88"/>
      <c r="G39" s="88"/>
      <c r="H39" s="88"/>
      <c r="I39" s="88"/>
      <c r="N39" s="88" t="s">
        <v>68</v>
      </c>
      <c r="P39" s="88"/>
    </row>
    <row r="40" spans="2:36" ht="37.5" customHeight="1" x14ac:dyDescent="0.3">
      <c r="B40" s="95" t="s">
        <v>69</v>
      </c>
      <c r="C40" s="95" t="s">
        <v>70</v>
      </c>
      <c r="D40" s="95" t="s">
        <v>71</v>
      </c>
      <c r="E40" s="95" t="s">
        <v>72</v>
      </c>
      <c r="F40" s="95" t="s">
        <v>73</v>
      </c>
      <c r="G40" s="95" t="s">
        <v>17</v>
      </c>
      <c r="H40" s="57" t="s">
        <v>74</v>
      </c>
      <c r="I40" s="57" t="s">
        <v>75</v>
      </c>
      <c r="J40" s="95" t="s">
        <v>76</v>
      </c>
      <c r="N40" s="96" t="s">
        <v>52</v>
      </c>
      <c r="O40" s="96" t="s">
        <v>77</v>
      </c>
      <c r="P40" s="96" t="s">
        <v>78</v>
      </c>
      <c r="Q40" s="97">
        <f>C4</f>
        <v>45677</v>
      </c>
      <c r="U40" s="136"/>
    </row>
    <row r="41" spans="2:36" ht="29.25" customHeight="1" x14ac:dyDescent="0.3">
      <c r="B41" s="98" t="s">
        <v>79</v>
      </c>
      <c r="C41" s="53">
        <f>[1]RATES!C3</f>
        <v>20000</v>
      </c>
      <c r="D41" s="53">
        <f>[1]RATES!D3</f>
        <v>5000</v>
      </c>
      <c r="E41" s="53">
        <f>[1]RATES!E3</f>
        <v>10000</v>
      </c>
      <c r="F41" s="53">
        <f>[1]RATES!F3</f>
        <v>10000</v>
      </c>
      <c r="G41" s="53">
        <f>[1]RATES!G3</f>
        <v>20000</v>
      </c>
      <c r="H41" s="53">
        <f>[1]RATES!H3</f>
        <v>10000</v>
      </c>
      <c r="I41" s="53"/>
      <c r="J41" s="53"/>
      <c r="N41" s="14">
        <v>1</v>
      </c>
      <c r="O41" s="54">
        <v>2.3426</v>
      </c>
      <c r="P41" s="54">
        <v>2.5022000000000002</v>
      </c>
      <c r="Q41" s="54">
        <f>IF(OR($L$4="SUN",$L$4="Hol"),P41,O41)</f>
        <v>2.3426</v>
      </c>
      <c r="U41" s="136"/>
    </row>
    <row r="42" spans="2:36" ht="29.25" customHeight="1" x14ac:dyDescent="0.3">
      <c r="B42" s="98" t="s">
        <v>80</v>
      </c>
      <c r="C42" s="53">
        <f>[1]RATES!C4</f>
        <v>10000</v>
      </c>
      <c r="D42" s="53">
        <f>[1]RATES!D4</f>
        <v>2500</v>
      </c>
      <c r="E42" s="53">
        <f>[1]RATES!E4</f>
        <v>5000</v>
      </c>
      <c r="F42" s="53">
        <f>[1]RATES!F4</f>
        <v>5000</v>
      </c>
      <c r="G42" s="53">
        <f>[1]RATES!G4</f>
        <v>0</v>
      </c>
      <c r="H42" s="53">
        <f>[1]RATES!H4</f>
        <v>0</v>
      </c>
      <c r="I42" s="53"/>
      <c r="J42" s="53"/>
      <c r="N42" s="14">
        <v>2</v>
      </c>
      <c r="O42" s="54">
        <v>2.3426</v>
      </c>
      <c r="P42" s="54">
        <v>2.3426</v>
      </c>
      <c r="Q42" s="54">
        <f t="shared" ref="Q42:Q64" si="11">IF(OR($L$4="SUN",$L$4="Hol"),P42,O42)</f>
        <v>2.3426</v>
      </c>
      <c r="U42" s="136"/>
    </row>
    <row r="43" spans="2:36" ht="24" customHeight="1" x14ac:dyDescent="0.3">
      <c r="B43" s="14"/>
      <c r="C43" s="54"/>
      <c r="D43" s="54"/>
      <c r="E43" s="54"/>
      <c r="F43" s="54"/>
      <c r="G43" s="54"/>
      <c r="H43" s="54"/>
      <c r="I43" s="54"/>
      <c r="J43" s="54"/>
      <c r="N43" s="14">
        <v>3</v>
      </c>
      <c r="O43" s="54">
        <v>2.3426</v>
      </c>
      <c r="P43" s="54">
        <v>2.3426</v>
      </c>
      <c r="Q43" s="54">
        <f t="shared" si="11"/>
        <v>2.3426</v>
      </c>
      <c r="U43" s="136"/>
    </row>
    <row r="44" spans="2:36" ht="24" customHeight="1" x14ac:dyDescent="0.3">
      <c r="B44" s="14" t="s">
        <v>81</v>
      </c>
      <c r="C44" s="54">
        <f>[1]RATES!C6</f>
        <v>1.1970000000000001</v>
      </c>
      <c r="D44" s="54">
        <f>[1]RATES!D6</f>
        <v>1.1970000000000001</v>
      </c>
      <c r="E44" s="54">
        <f>[1]RATES!E6</f>
        <v>0.51019999999999999</v>
      </c>
      <c r="F44" s="54">
        <f>[1]RATES!F6</f>
        <v>0.5544</v>
      </c>
      <c r="G44" s="54"/>
      <c r="H44" s="54">
        <f>[1]RATES!H6</f>
        <v>1.623</v>
      </c>
      <c r="I44" s="54"/>
      <c r="J44" s="54"/>
      <c r="N44" s="14">
        <v>4</v>
      </c>
      <c r="O44" s="54">
        <v>2.3426</v>
      </c>
      <c r="P44" s="54">
        <v>2.3426</v>
      </c>
      <c r="Q44" s="54">
        <f t="shared" si="11"/>
        <v>2.3426</v>
      </c>
      <c r="U44" s="136"/>
    </row>
    <row r="45" spans="2:36" ht="24" customHeight="1" x14ac:dyDescent="0.3">
      <c r="B45" s="14" t="s">
        <v>82</v>
      </c>
      <c r="C45" s="54">
        <f>[1]RATES!C7</f>
        <v>0.41910447761194025</v>
      </c>
      <c r="D45" s="54">
        <f>[1]RATES!D7</f>
        <v>0.41910447761194025</v>
      </c>
      <c r="E45" s="54">
        <f>[1]RATES!E7</f>
        <v>1.0919334867008814</v>
      </c>
      <c r="F45" s="54">
        <f>[1]RATES!F7</f>
        <v>1.0919334867008814</v>
      </c>
      <c r="G45" s="54"/>
      <c r="H45" s="54">
        <f>[1]RATES!H7</f>
        <v>0.68510000000000004</v>
      </c>
      <c r="I45" s="54"/>
      <c r="J45" s="54"/>
      <c r="N45" s="14">
        <v>5</v>
      </c>
      <c r="O45" s="54">
        <v>2.3426</v>
      </c>
      <c r="P45" s="54">
        <v>2.3426</v>
      </c>
      <c r="Q45" s="54">
        <f t="shared" si="11"/>
        <v>2.3426</v>
      </c>
      <c r="U45" s="136"/>
    </row>
    <row r="46" spans="2:36" ht="24" customHeight="1" x14ac:dyDescent="0.3">
      <c r="B46" s="14" t="s">
        <v>83</v>
      </c>
      <c r="C46" s="54">
        <f>[1]RATES!C8</f>
        <v>5.2329850746268655E-2</v>
      </c>
      <c r="D46" s="54">
        <f>[1]RATES!D8</f>
        <v>5.2329850746268655E-2</v>
      </c>
      <c r="E46" s="54">
        <f>[1]RATES!E8</f>
        <v>9.3731343283582083E-2</v>
      </c>
      <c r="F46" s="54">
        <f>[1]RATES!F8</f>
        <v>9.3731343283582083E-2</v>
      </c>
      <c r="G46" s="54">
        <f>[1]RATES!G8</f>
        <v>6.1814</v>
      </c>
      <c r="H46" s="54">
        <f>[1]RATES!H8</f>
        <v>0.25550562448304381</v>
      </c>
      <c r="I46" s="54"/>
      <c r="J46" s="54"/>
      <c r="N46" s="14">
        <v>6</v>
      </c>
      <c r="O46" s="54">
        <v>2.3426</v>
      </c>
      <c r="P46" s="54">
        <v>2.3426</v>
      </c>
      <c r="Q46" s="54">
        <f t="shared" si="11"/>
        <v>2.3426</v>
      </c>
      <c r="U46" s="136"/>
    </row>
    <row r="47" spans="2:36" ht="24" customHeight="1" x14ac:dyDescent="0.3">
      <c r="B47" s="14" t="s">
        <v>84</v>
      </c>
      <c r="C47" s="54">
        <f>[1]RATES!C9</f>
        <v>3.2303929451410784</v>
      </c>
      <c r="D47" s="54">
        <f>[1]RATES!D9</f>
        <v>3.2303929451410784</v>
      </c>
      <c r="E47" s="54">
        <f>[1]RATES!E9</f>
        <v>3.2055663132317211</v>
      </c>
      <c r="F47" s="54">
        <f>[1]RATES!F9</f>
        <v>3.2055663132317211</v>
      </c>
      <c r="G47" s="54"/>
      <c r="H47" s="54">
        <f>[1]RATES!H9</f>
        <v>3.2147118346682695</v>
      </c>
      <c r="I47" s="54"/>
      <c r="J47" s="54"/>
      <c r="N47" s="14">
        <v>7</v>
      </c>
      <c r="O47" s="54">
        <v>2.3426</v>
      </c>
      <c r="P47" s="54">
        <v>2.3426</v>
      </c>
      <c r="Q47" s="54">
        <f t="shared" si="11"/>
        <v>2.3426</v>
      </c>
      <c r="U47" s="136"/>
    </row>
    <row r="48" spans="2:36" ht="24" customHeight="1" x14ac:dyDescent="0.3">
      <c r="B48" s="14"/>
      <c r="C48" s="54"/>
      <c r="D48" s="54"/>
      <c r="E48" s="54"/>
      <c r="F48" s="54"/>
      <c r="G48" s="54"/>
      <c r="H48" s="54"/>
      <c r="I48" s="54"/>
      <c r="J48" s="54"/>
      <c r="N48" s="14">
        <v>8</v>
      </c>
      <c r="O48" s="54">
        <v>2.6255999999999999</v>
      </c>
      <c r="P48" s="54">
        <v>2.3426</v>
      </c>
      <c r="Q48" s="54">
        <f t="shared" si="11"/>
        <v>2.6255999999999999</v>
      </c>
      <c r="U48" s="136"/>
    </row>
    <row r="49" spans="2:32" ht="24" customHeight="1" x14ac:dyDescent="0.3">
      <c r="B49" s="14" t="s">
        <v>85</v>
      </c>
      <c r="C49" s="54"/>
      <c r="D49" s="54"/>
      <c r="E49" s="54"/>
      <c r="F49" s="54"/>
      <c r="G49" s="54"/>
      <c r="H49" s="54"/>
      <c r="I49" s="54"/>
      <c r="J49" s="54"/>
      <c r="N49" s="14">
        <v>9</v>
      </c>
      <c r="O49" s="54">
        <v>5.7789999999999999</v>
      </c>
      <c r="P49" s="54">
        <v>2.3426</v>
      </c>
      <c r="Q49" s="54">
        <f t="shared" si="11"/>
        <v>5.7789999999999999</v>
      </c>
      <c r="U49" s="136"/>
    </row>
    <row r="50" spans="2:32" ht="24" customHeight="1" x14ac:dyDescent="0.3">
      <c r="B50" s="14" t="s">
        <v>86</v>
      </c>
      <c r="C50" s="54"/>
      <c r="D50" s="54"/>
      <c r="E50" s="54">
        <f>[1]RATES!E12</f>
        <v>6.6387690000000001E-3</v>
      </c>
      <c r="F50" s="54">
        <f>[1]RATES!F12</f>
        <v>6.6387690000000001E-3</v>
      </c>
      <c r="G50" s="54"/>
      <c r="H50" s="54"/>
      <c r="I50" s="54"/>
      <c r="J50" s="54"/>
      <c r="N50" s="14">
        <v>10</v>
      </c>
      <c r="O50" s="54">
        <v>6.5282999999999998</v>
      </c>
      <c r="P50" s="54">
        <v>2.5022000000000002</v>
      </c>
      <c r="Q50" s="54">
        <f t="shared" si="11"/>
        <v>6.5282999999999998</v>
      </c>
      <c r="U50" s="136"/>
    </row>
    <row r="51" spans="2:32" ht="24" customHeight="1" x14ac:dyDescent="0.3">
      <c r="B51" s="14" t="s">
        <v>87</v>
      </c>
      <c r="C51" s="54"/>
      <c r="D51" s="54"/>
      <c r="E51" s="54"/>
      <c r="F51" s="54"/>
      <c r="G51" s="54"/>
      <c r="H51" s="54"/>
      <c r="I51" s="54"/>
      <c r="J51" s="54"/>
      <c r="N51" s="14">
        <v>11</v>
      </c>
      <c r="O51" s="54">
        <v>6.5282999999999998</v>
      </c>
      <c r="P51" s="54">
        <v>2.5022000000000002</v>
      </c>
      <c r="Q51" s="54">
        <f t="shared" si="11"/>
        <v>6.5282999999999998</v>
      </c>
      <c r="U51" s="136"/>
    </row>
    <row r="52" spans="2:32" ht="24" customHeight="1" x14ac:dyDescent="0.3">
      <c r="B52" s="14" t="s">
        <v>88</v>
      </c>
      <c r="C52" s="54"/>
      <c r="D52" s="54"/>
      <c r="E52" s="54"/>
      <c r="F52" s="54"/>
      <c r="G52" s="54"/>
      <c r="H52" s="54"/>
      <c r="I52" s="54"/>
      <c r="J52" s="54"/>
      <c r="N52" s="14">
        <v>12</v>
      </c>
      <c r="O52" s="54">
        <v>6.5282999999999998</v>
      </c>
      <c r="P52" s="54">
        <v>2.5022000000000002</v>
      </c>
      <c r="Q52" s="54">
        <f t="shared" si="11"/>
        <v>6.5282999999999998</v>
      </c>
      <c r="U52" s="136"/>
    </row>
    <row r="53" spans="2:32" ht="24" customHeight="1" x14ac:dyDescent="0.3">
      <c r="B53" s="14"/>
      <c r="C53" s="54"/>
      <c r="D53" s="54"/>
      <c r="E53" s="54"/>
      <c r="F53" s="54"/>
      <c r="G53" s="54"/>
      <c r="H53" s="54"/>
      <c r="I53" s="54"/>
      <c r="J53" s="54"/>
      <c r="N53" s="14">
        <v>13</v>
      </c>
      <c r="O53" s="54">
        <v>6.5282999999999998</v>
      </c>
      <c r="P53" s="54">
        <v>2.5022000000000002</v>
      </c>
      <c r="Q53" s="54">
        <f t="shared" si="11"/>
        <v>6.5282999999999998</v>
      </c>
      <c r="U53" s="136"/>
    </row>
    <row r="54" spans="2:32" ht="24" customHeight="1" x14ac:dyDescent="0.3">
      <c r="B54" s="99" t="s">
        <v>89</v>
      </c>
      <c r="C54" s="54"/>
      <c r="D54" s="54"/>
      <c r="E54" s="54"/>
      <c r="F54" s="54"/>
      <c r="G54" s="54"/>
      <c r="H54" s="54"/>
      <c r="I54" s="54"/>
      <c r="J54" s="54"/>
      <c r="N54" s="14">
        <v>14</v>
      </c>
      <c r="O54" s="54">
        <v>6.5282999999999998</v>
      </c>
      <c r="P54" s="54">
        <v>2.5022000000000002</v>
      </c>
      <c r="Q54" s="54">
        <f t="shared" si="11"/>
        <v>6.5282999999999998</v>
      </c>
      <c r="U54" s="136"/>
      <c r="AF54" s="93"/>
    </row>
    <row r="55" spans="2:32" ht="24" customHeight="1" x14ac:dyDescent="0.3">
      <c r="B55" s="14" t="s">
        <v>90</v>
      </c>
      <c r="C55" s="54">
        <f t="shared" ref="C55:G55" si="12">C44+C45</f>
        <v>1.6161044776119402</v>
      </c>
      <c r="D55" s="54">
        <f t="shared" si="12"/>
        <v>1.6161044776119402</v>
      </c>
      <c r="E55" s="54">
        <f t="shared" si="12"/>
        <v>1.6021334867008814</v>
      </c>
      <c r="F55" s="54">
        <f t="shared" si="12"/>
        <v>1.6463334867008814</v>
      </c>
      <c r="G55" s="54">
        <f t="shared" si="12"/>
        <v>0</v>
      </c>
      <c r="H55" s="54">
        <f t="shared" ref="H55" si="13">H44+H45</f>
        <v>2.3081</v>
      </c>
      <c r="I55" s="54"/>
      <c r="J55" s="54"/>
      <c r="N55" s="14">
        <v>15</v>
      </c>
      <c r="O55" s="54">
        <v>6.5282999999999998</v>
      </c>
      <c r="P55" s="54">
        <v>2.5022000000000002</v>
      </c>
      <c r="Q55" s="54">
        <f t="shared" si="11"/>
        <v>6.5282999999999998</v>
      </c>
      <c r="U55" s="136"/>
    </row>
    <row r="56" spans="2:32" ht="24" customHeight="1" x14ac:dyDescent="0.3">
      <c r="B56" s="14" t="s">
        <v>91</v>
      </c>
      <c r="C56" s="54">
        <f t="shared" ref="C56:G56" si="14">C46+C47+C49+C50+C51-C52</f>
        <v>3.2827227958873473</v>
      </c>
      <c r="D56" s="54">
        <f t="shared" si="14"/>
        <v>3.2827227958873473</v>
      </c>
      <c r="E56" s="54">
        <f t="shared" si="14"/>
        <v>3.305936425515303</v>
      </c>
      <c r="F56" s="54">
        <f t="shared" si="14"/>
        <v>3.305936425515303</v>
      </c>
      <c r="G56" s="54">
        <f t="shared" si="14"/>
        <v>6.1814</v>
      </c>
      <c r="H56" s="54">
        <f t="shared" ref="H56" si="15">H46+H47+H49+H50+H51-H52</f>
        <v>3.4702174591513133</v>
      </c>
      <c r="I56" s="54"/>
      <c r="J56" s="54"/>
      <c r="N56" s="14">
        <v>16</v>
      </c>
      <c r="O56" s="54">
        <v>6.5282999999999998</v>
      </c>
      <c r="P56" s="54">
        <v>2.5022000000000002</v>
      </c>
      <c r="Q56" s="54">
        <f t="shared" si="11"/>
        <v>6.5282999999999998</v>
      </c>
      <c r="U56" s="136"/>
    </row>
    <row r="57" spans="2:32" ht="24" customHeight="1" x14ac:dyDescent="0.3">
      <c r="B57" s="14" t="s">
        <v>92</v>
      </c>
      <c r="C57" s="54">
        <f>C55+C56</f>
        <v>4.8988272734992879</v>
      </c>
      <c r="D57" s="54">
        <f t="shared" ref="D57:G57" si="16">D55+D56</f>
        <v>4.8988272734992879</v>
      </c>
      <c r="E57" s="54">
        <f t="shared" si="16"/>
        <v>4.9080699122161846</v>
      </c>
      <c r="F57" s="54">
        <f t="shared" si="16"/>
        <v>4.9522699122161846</v>
      </c>
      <c r="G57" s="54">
        <f t="shared" si="16"/>
        <v>6.1814</v>
      </c>
      <c r="H57" s="54">
        <f t="shared" ref="H57" si="17">H55+H56</f>
        <v>5.7783174591513138</v>
      </c>
      <c r="I57" s="54"/>
      <c r="J57" s="54"/>
      <c r="N57" s="14">
        <v>17</v>
      </c>
      <c r="O57" s="54">
        <v>5.9871999999999996</v>
      </c>
      <c r="P57" s="54">
        <v>2.5022000000000002</v>
      </c>
      <c r="Q57" s="54">
        <f t="shared" si="11"/>
        <v>5.9871999999999996</v>
      </c>
      <c r="U57" s="136"/>
    </row>
    <row r="58" spans="2:32" ht="24" customHeight="1" x14ac:dyDescent="0.3">
      <c r="B58" s="14"/>
      <c r="C58" s="54"/>
      <c r="D58" s="54"/>
      <c r="E58" s="54"/>
      <c r="F58" s="54"/>
      <c r="G58" s="54"/>
      <c r="H58" s="54"/>
      <c r="I58" s="54"/>
      <c r="J58" s="54"/>
      <c r="N58" s="14">
        <v>18</v>
      </c>
      <c r="O58" s="54">
        <v>5.9871999999999996</v>
      </c>
      <c r="P58" s="54">
        <v>2.5022000000000002</v>
      </c>
      <c r="Q58" s="54">
        <f t="shared" si="11"/>
        <v>5.9871999999999996</v>
      </c>
      <c r="U58" s="136"/>
    </row>
    <row r="59" spans="2:32" ht="24" customHeight="1" x14ac:dyDescent="0.3">
      <c r="B59" s="99" t="s">
        <v>93</v>
      </c>
      <c r="C59" s="54"/>
      <c r="D59" s="54"/>
      <c r="E59" s="54"/>
      <c r="F59" s="54"/>
      <c r="G59" s="54"/>
      <c r="H59" s="54"/>
      <c r="I59" s="54"/>
      <c r="J59" s="54"/>
      <c r="N59" s="14">
        <v>19</v>
      </c>
      <c r="O59" s="54">
        <v>6.5282999999999998</v>
      </c>
      <c r="P59" s="54">
        <v>5.7789999999999999</v>
      </c>
      <c r="Q59" s="54">
        <f t="shared" si="11"/>
        <v>6.5282999999999998</v>
      </c>
      <c r="U59" s="136"/>
    </row>
    <row r="60" spans="2:32" ht="24" customHeight="1" x14ac:dyDescent="0.3">
      <c r="B60" s="14" t="s">
        <v>94</v>
      </c>
      <c r="C60" s="54">
        <f>[1]RATES!C22</f>
        <v>0.12</v>
      </c>
      <c r="D60" s="54">
        <f>[1]RATES!D22</f>
        <v>0.12</v>
      </c>
      <c r="E60" s="54">
        <f>[1]RATES!E22</f>
        <v>0.12</v>
      </c>
      <c r="F60" s="54">
        <f>[1]RATES!F22</f>
        <v>0.12</v>
      </c>
      <c r="G60" s="54">
        <f>[1]RATES!G22</f>
        <v>0</v>
      </c>
      <c r="H60" s="54">
        <f>[1]RATES!H22</f>
        <v>0.12</v>
      </c>
      <c r="I60" s="54"/>
      <c r="J60" s="54">
        <f>[1]RATES!J22</f>
        <v>8.4165685451444885E-2</v>
      </c>
      <c r="N60" s="14">
        <v>20</v>
      </c>
      <c r="O60" s="54">
        <v>6.5282999999999998</v>
      </c>
      <c r="P60" s="54">
        <v>5.7789999999999999</v>
      </c>
      <c r="Q60" s="54">
        <f t="shared" si="11"/>
        <v>6.5282999999999998</v>
      </c>
      <c r="U60" s="136"/>
    </row>
    <row r="61" spans="2:32" ht="24" customHeight="1" x14ac:dyDescent="0.3">
      <c r="B61" s="14" t="s">
        <v>90</v>
      </c>
      <c r="C61" s="54">
        <f>C55*(1+C60)</f>
        <v>1.8100370149253733</v>
      </c>
      <c r="D61" s="54">
        <f>D55*(1+D60)</f>
        <v>1.8100370149253733</v>
      </c>
      <c r="E61" s="54">
        <f t="shared" ref="E61:G61" si="18">E55*(1+E60)</f>
        <v>1.7943895051049874</v>
      </c>
      <c r="F61" s="54">
        <f t="shared" si="18"/>
        <v>1.8438935051049874</v>
      </c>
      <c r="G61" s="54">
        <f t="shared" si="18"/>
        <v>0</v>
      </c>
      <c r="H61" s="54">
        <f t="shared" ref="H61" si="19">H55*(1+H60)</f>
        <v>2.5850720000000003</v>
      </c>
      <c r="I61" s="54"/>
      <c r="J61" s="54"/>
      <c r="N61" s="14">
        <v>21</v>
      </c>
      <c r="O61" s="54">
        <v>5.9871999999999996</v>
      </c>
      <c r="P61" s="54">
        <v>3.2593999999999999</v>
      </c>
      <c r="Q61" s="54">
        <f t="shared" si="11"/>
        <v>5.9871999999999996</v>
      </c>
      <c r="U61" s="136"/>
    </row>
    <row r="62" spans="2:32" ht="24" customHeight="1" x14ac:dyDescent="0.3">
      <c r="B62" s="14" t="s">
        <v>91</v>
      </c>
      <c r="C62" s="54">
        <f>C56*(1+C60)</f>
        <v>3.6766495313938292</v>
      </c>
      <c r="D62" s="54">
        <f t="shared" ref="D62:G62" si="20">D56*(1+D60)</f>
        <v>3.6766495313938292</v>
      </c>
      <c r="E62" s="54">
        <f t="shared" si="20"/>
        <v>3.7026487965771397</v>
      </c>
      <c r="F62" s="54">
        <f t="shared" si="20"/>
        <v>3.7026487965771397</v>
      </c>
      <c r="G62" s="54">
        <f t="shared" si="20"/>
        <v>6.1814</v>
      </c>
      <c r="H62" s="54">
        <f t="shared" ref="H62" si="21">H56*(1+H60)</f>
        <v>3.8866435542494711</v>
      </c>
      <c r="I62" s="54"/>
      <c r="J62" s="54"/>
      <c r="N62" s="14">
        <v>22</v>
      </c>
      <c r="O62" s="54">
        <v>3.2593999999999999</v>
      </c>
      <c r="P62" s="54">
        <v>2.6255999999999999</v>
      </c>
      <c r="Q62" s="54">
        <f t="shared" si="11"/>
        <v>3.2593999999999999</v>
      </c>
      <c r="U62" s="136"/>
    </row>
    <row r="63" spans="2:32" ht="24" customHeight="1" x14ac:dyDescent="0.3">
      <c r="B63" s="14" t="s">
        <v>92</v>
      </c>
      <c r="C63" s="54">
        <f>C61+C62</f>
        <v>5.4866865463192021</v>
      </c>
      <c r="D63" s="54">
        <f t="shared" ref="D63:G63" si="22">D61+D62</f>
        <v>5.4866865463192021</v>
      </c>
      <c r="E63" s="54">
        <f t="shared" si="22"/>
        <v>5.4970383016821271</v>
      </c>
      <c r="F63" s="54">
        <f t="shared" si="22"/>
        <v>5.5465423016821269</v>
      </c>
      <c r="G63" s="54">
        <f t="shared" si="22"/>
        <v>6.1814</v>
      </c>
      <c r="H63" s="54">
        <f t="shared" ref="H63" si="23">H61+H62</f>
        <v>6.4717155542494709</v>
      </c>
      <c r="I63" s="54"/>
      <c r="J63" s="54"/>
      <c r="N63" s="14">
        <v>23</v>
      </c>
      <c r="O63" s="54">
        <v>2.6255999999999999</v>
      </c>
      <c r="P63" s="54">
        <v>2.5022000000000002</v>
      </c>
      <c r="Q63" s="54">
        <f t="shared" si="11"/>
        <v>2.6255999999999999</v>
      </c>
      <c r="U63" s="136"/>
    </row>
    <row r="64" spans="2:32" ht="24" customHeight="1" x14ac:dyDescent="0.3">
      <c r="B64" s="14"/>
      <c r="C64" s="54"/>
      <c r="D64" s="54"/>
      <c r="E64" s="54"/>
      <c r="F64" s="54"/>
      <c r="G64" s="54"/>
      <c r="H64" s="54"/>
      <c r="I64" s="54"/>
      <c r="J64" s="54"/>
      <c r="N64" s="14">
        <v>24</v>
      </c>
      <c r="O64" s="54">
        <v>2.5022000000000002</v>
      </c>
      <c r="P64" s="54">
        <v>2.3426</v>
      </c>
      <c r="Q64" s="54">
        <f t="shared" si="11"/>
        <v>2.5022000000000002</v>
      </c>
    </row>
    <row r="65" spans="14:17" ht="24" customHeight="1" x14ac:dyDescent="0.3">
      <c r="N65" s="14" t="s">
        <v>66</v>
      </c>
      <c r="O65" s="54">
        <f>AVERAGE(O41:O64)</f>
        <v>4.5794291666666673</v>
      </c>
      <c r="P65" s="54">
        <f>AVERAGE(P41:P64)</f>
        <v>2.752108333333334</v>
      </c>
      <c r="Q65" s="54">
        <f>AVERAGE(Q41:Q64)</f>
        <v>4.5794291666666673</v>
      </c>
    </row>
    <row r="97" spans="2:3" x14ac:dyDescent="0.3">
      <c r="B97" s="1" t="s">
        <v>95</v>
      </c>
      <c r="C97" s="1" t="s">
        <v>96</v>
      </c>
    </row>
    <row r="98" spans="2:3" x14ac:dyDescent="0.3">
      <c r="B98" s="1" t="s">
        <v>97</v>
      </c>
      <c r="C98" s="4" t="s">
        <v>98</v>
      </c>
    </row>
    <row r="99" spans="2:3" x14ac:dyDescent="0.3">
      <c r="B99" s="1" t="s">
        <v>99</v>
      </c>
      <c r="C99" s="4" t="s">
        <v>100</v>
      </c>
    </row>
    <row r="100" spans="2:3" x14ac:dyDescent="0.3">
      <c r="B100" s="1" t="s">
        <v>101</v>
      </c>
      <c r="C100" s="4" t="s">
        <v>102</v>
      </c>
    </row>
    <row r="101" spans="2:3" x14ac:dyDescent="0.3">
      <c r="B101" s="1" t="s">
        <v>103</v>
      </c>
      <c r="C101" s="4" t="s">
        <v>104</v>
      </c>
    </row>
    <row r="102" spans="2:3" x14ac:dyDescent="0.3">
      <c r="B102" s="1" t="s">
        <v>105</v>
      </c>
      <c r="C102" s="4"/>
    </row>
    <row r="103" spans="2:3" x14ac:dyDescent="0.3">
      <c r="B103" s="1" t="s">
        <v>48</v>
      </c>
      <c r="C103" s="4"/>
    </row>
    <row r="104" spans="2:3" x14ac:dyDescent="0.3">
      <c r="B104" s="1" t="s">
        <v>106</v>
      </c>
      <c r="C104" s="4"/>
    </row>
    <row r="105" spans="2:3" x14ac:dyDescent="0.3">
      <c r="B105" s="1" t="s">
        <v>107</v>
      </c>
      <c r="C105" s="4"/>
    </row>
    <row r="106" spans="2:3" x14ac:dyDescent="0.3">
      <c r="C106" s="4"/>
    </row>
    <row r="107" spans="2:3" x14ac:dyDescent="0.3">
      <c r="C107" s="4"/>
    </row>
    <row r="108" spans="2:3" x14ac:dyDescent="0.3">
      <c r="C108" s="4"/>
    </row>
    <row r="109" spans="2:3" x14ac:dyDescent="0.3">
      <c r="C109" s="4"/>
    </row>
    <row r="110" spans="2:3" x14ac:dyDescent="0.3">
      <c r="C110" s="4"/>
    </row>
  </sheetData>
  <mergeCells count="11">
    <mergeCell ref="C4:E4"/>
    <mergeCell ref="C11:G11"/>
    <mergeCell ref="B11:B12"/>
    <mergeCell ref="H11:L11"/>
    <mergeCell ref="N11:N12"/>
    <mergeCell ref="C6:E6"/>
    <mergeCell ref="Z11:Z12"/>
    <mergeCell ref="AA11:AE11"/>
    <mergeCell ref="AF11:AJ11"/>
    <mergeCell ref="O11:S11"/>
    <mergeCell ref="T11:X11"/>
  </mergeCells>
  <phoneticPr fontId="35" type="noConversion"/>
  <conditionalFormatting sqref="C37:L37">
    <cfRule type="containsErrors" dxfId="3" priority="1">
      <formula>ISERROR(C37)</formula>
    </cfRule>
  </conditionalFormatting>
  <conditionalFormatting sqref="O37:X37 AA37:AJ37">
    <cfRule type="containsErrors" dxfId="2" priority="2">
      <formula>ISERROR(O37)</formula>
    </cfRule>
  </conditionalFormatting>
  <dataValidations count="2">
    <dataValidation type="list" allowBlank="1" showInputMessage="1" showErrorMessage="1" prompt="Please input &quot;HOL&quot; for HOLIDAY._x000a_" sqref="L4" xr:uid="{EA8DFD81-6F64-4C6B-9661-2762BD13310B}">
      <formula1>$B$98:$B$105</formula1>
    </dataValidation>
    <dataValidation type="list" allowBlank="1" showInputMessage="1" showErrorMessage="1" sqref="C6:E6" xr:uid="{856780C8-835F-432E-86AA-1FB4C735BA0C}">
      <formula1>$C$98:$C$102</formula1>
    </dataValidation>
  </dataValidations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38"/>
  <sheetViews>
    <sheetView showGridLines="0" topLeftCell="A6" zoomScale="60" zoomScaleNormal="91" workbookViewId="0">
      <selection activeCell="T10" sqref="T10:T33"/>
    </sheetView>
  </sheetViews>
  <sheetFormatPr defaultColWidth="8.5546875" defaultRowHeight="14.4" x14ac:dyDescent="0.3"/>
  <cols>
    <col min="1" max="1" width="2.5546875" style="1" customWidth="1"/>
    <col min="2" max="2" width="15" style="1" customWidth="1"/>
    <col min="3" max="17" width="14.5546875" style="1" customWidth="1"/>
    <col min="18" max="18" width="0.5546875" style="1" customWidth="1"/>
    <col min="19" max="23" width="14.5546875" style="1" customWidth="1"/>
    <col min="24" max="26" width="8.5546875" style="1"/>
    <col min="27" max="27" width="14.44140625" style="1" bestFit="1" customWidth="1"/>
    <col min="28" max="16384" width="8.5546875" style="1"/>
  </cols>
  <sheetData>
    <row r="1" spans="2:24" ht="7.5" customHeight="1" x14ac:dyDescent="0.3"/>
    <row r="2" spans="2:24" ht="21.75" customHeight="1" x14ac:dyDescent="0.3">
      <c r="B2" s="88" t="s">
        <v>46</v>
      </c>
      <c r="C2" s="178">
        <f>'1. Rates'!C4</f>
        <v>45677</v>
      </c>
      <c r="D2" s="179"/>
      <c r="E2" s="180"/>
      <c r="F2" s="102"/>
    </row>
    <row r="3" spans="2:24" ht="9.75" customHeight="1" x14ac:dyDescent="0.3"/>
    <row r="4" spans="2:24" ht="6" customHeight="1" x14ac:dyDescent="0.3"/>
    <row r="5" spans="2:24" ht="12.75" customHeight="1" x14ac:dyDescent="0.3">
      <c r="B5" s="50" t="s">
        <v>108</v>
      </c>
    </row>
    <row r="6" spans="2:24" ht="7.35" customHeight="1" x14ac:dyDescent="0.3">
      <c r="B6" s="60"/>
      <c r="C6" s="60"/>
      <c r="D6" s="60"/>
      <c r="E6" s="60"/>
      <c r="F6" s="60"/>
      <c r="G6" s="103"/>
      <c r="H6" s="60"/>
      <c r="I6" s="60"/>
      <c r="J6" s="60"/>
      <c r="K6" s="60"/>
      <c r="L6" s="103"/>
      <c r="M6" s="60"/>
      <c r="N6" s="60"/>
      <c r="O6" s="60"/>
      <c r="P6" s="60"/>
      <c r="Q6" s="103"/>
      <c r="S6" s="60"/>
      <c r="T6" s="60"/>
      <c r="U6" s="60"/>
      <c r="V6" s="60"/>
      <c r="W6" s="103"/>
    </row>
    <row r="7" spans="2:24" ht="27.75" customHeight="1" x14ac:dyDescent="0.3">
      <c r="B7" s="181" t="s">
        <v>52</v>
      </c>
      <c r="C7" s="184" t="s">
        <v>109</v>
      </c>
      <c r="D7" s="185"/>
      <c r="E7" s="185"/>
      <c r="F7" s="185"/>
      <c r="G7" s="186"/>
      <c r="H7" s="184" t="s">
        <v>110</v>
      </c>
      <c r="I7" s="185"/>
      <c r="J7" s="185"/>
      <c r="K7" s="185"/>
      <c r="L7" s="186"/>
      <c r="M7" s="172" t="s">
        <v>111</v>
      </c>
      <c r="N7" s="173"/>
      <c r="O7" s="173"/>
      <c r="P7" s="173"/>
      <c r="Q7" s="174"/>
      <c r="S7" s="172" t="s">
        <v>112</v>
      </c>
      <c r="T7" s="173"/>
      <c r="U7" s="173"/>
      <c r="V7" s="173"/>
      <c r="W7" s="174"/>
    </row>
    <row r="8" spans="2:24" ht="32.25" customHeight="1" x14ac:dyDescent="0.3">
      <c r="B8" s="182"/>
      <c r="C8" s="175">
        <f>C2-7</f>
        <v>45670</v>
      </c>
      <c r="D8" s="176"/>
      <c r="E8" s="176"/>
      <c r="F8" s="176"/>
      <c r="G8" s="177"/>
      <c r="H8" s="175">
        <f>C2-2</f>
        <v>45675</v>
      </c>
      <c r="I8" s="176"/>
      <c r="J8" s="176"/>
      <c r="K8" s="176"/>
      <c r="L8" s="177"/>
      <c r="M8" s="175">
        <f>C2</f>
        <v>45677</v>
      </c>
      <c r="N8" s="176"/>
      <c r="O8" s="176"/>
      <c r="P8" s="176"/>
      <c r="Q8" s="177"/>
      <c r="S8" s="175">
        <f>M8</f>
        <v>45677</v>
      </c>
      <c r="T8" s="176"/>
      <c r="U8" s="176"/>
      <c r="V8" s="176"/>
      <c r="W8" s="177"/>
    </row>
    <row r="9" spans="2:24" ht="45" customHeight="1" x14ac:dyDescent="0.3">
      <c r="B9" s="183"/>
      <c r="C9" s="104" t="s">
        <v>113</v>
      </c>
      <c r="D9" s="104" t="s">
        <v>114</v>
      </c>
      <c r="E9" s="104" t="s">
        <v>115</v>
      </c>
      <c r="F9" s="104" t="s">
        <v>116</v>
      </c>
      <c r="G9" s="104" t="s">
        <v>117</v>
      </c>
      <c r="H9" s="104" t="s">
        <v>113</v>
      </c>
      <c r="I9" s="104" t="s">
        <v>114</v>
      </c>
      <c r="J9" s="104" t="s">
        <v>115</v>
      </c>
      <c r="K9" s="104" t="s">
        <v>116</v>
      </c>
      <c r="L9" s="104" t="s">
        <v>117</v>
      </c>
      <c r="M9" s="104" t="s">
        <v>113</v>
      </c>
      <c r="N9" s="104" t="s">
        <v>118</v>
      </c>
      <c r="O9" s="104" t="s">
        <v>115</v>
      </c>
      <c r="P9" s="104" t="s">
        <v>116</v>
      </c>
      <c r="Q9" s="104" t="s">
        <v>117</v>
      </c>
      <c r="S9" s="104" t="s">
        <v>113</v>
      </c>
      <c r="T9" s="104" t="s">
        <v>118</v>
      </c>
      <c r="U9" s="104" t="s">
        <v>115</v>
      </c>
      <c r="V9" s="104" t="s">
        <v>116</v>
      </c>
      <c r="W9" s="104" t="s">
        <v>117</v>
      </c>
    </row>
    <row r="10" spans="2:24" x14ac:dyDescent="0.3">
      <c r="B10" s="105">
        <v>1</v>
      </c>
      <c r="C10" s="115"/>
      <c r="D10" s="106">
        <f>IFERROR(AVERAGE('1. Rates'!C13:G13),0)</f>
        <v>2.7411548733333331</v>
      </c>
      <c r="E10" s="116">
        <v>68095.058420454254</v>
      </c>
      <c r="F10" s="116">
        <v>5528.949999999998</v>
      </c>
      <c r="G10" s="107">
        <f>E10-F10</f>
        <v>62566.108420454257</v>
      </c>
      <c r="H10" s="115"/>
      <c r="I10" s="106">
        <f>IFERROR(AVERAGE('1. Rates'!O13:S13),0)</f>
        <v>3.0270779883333332</v>
      </c>
      <c r="J10" s="116">
        <v>72377.391641963157</v>
      </c>
      <c r="K10" s="116">
        <v>5284.6007074110357</v>
      </c>
      <c r="L10" s="107">
        <f>J10-K10</f>
        <v>67092.790934552118</v>
      </c>
      <c r="M10" s="108" t="e">
        <f>IF(S10="",AVERAGE(C10,H10),S10)</f>
        <v>#DIV/0!</v>
      </c>
      <c r="N10" s="109">
        <f>IF(T10="",(IFERROR(AVERAGE('1. Rates'!AA13:AE13),0)),T10)</f>
        <v>2.8307857319047622</v>
      </c>
      <c r="O10" s="107">
        <f>IF(U10="",AVERAGE(E10,J10),U10)</f>
        <v>67508.866812003762</v>
      </c>
      <c r="P10" s="107">
        <f>IF(V10="",AVERAGE(F10,K10),V10)</f>
        <v>5300.2405192682254</v>
      </c>
      <c r="Q10" s="107">
        <f>O10-P10</f>
        <v>62208.626292735535</v>
      </c>
      <c r="S10" s="117"/>
      <c r="T10" s="118">
        <v>2.8307857319047622</v>
      </c>
      <c r="U10" s="116">
        <v>67508.866812003762</v>
      </c>
      <c r="V10" s="116">
        <v>5300.2405192682254</v>
      </c>
      <c r="W10" s="116"/>
    </row>
    <row r="11" spans="2:24" x14ac:dyDescent="0.3">
      <c r="B11" s="105">
        <v>2</v>
      </c>
      <c r="C11" s="115"/>
      <c r="D11" s="106">
        <f>IFERROR(AVERAGE('1. Rates'!C14:G14),0)</f>
        <v>1.0773140616666665</v>
      </c>
      <c r="E11" s="116">
        <v>64527.760406413472</v>
      </c>
      <c r="F11" s="116">
        <v>5461.8189999999977</v>
      </c>
      <c r="G11" s="107">
        <f t="shared" ref="G11:G33" si="0">E11-F11</f>
        <v>59065.941406413476</v>
      </c>
      <c r="H11" s="115"/>
      <c r="I11" s="106">
        <f>IFERROR(AVERAGE('1. Rates'!O14:S14),0)</f>
        <v>3.3028994283333333</v>
      </c>
      <c r="J11" s="116">
        <v>68720.108731947432</v>
      </c>
      <c r="K11" s="116">
        <v>5211.9852819520911</v>
      </c>
      <c r="L11" s="107">
        <f t="shared" ref="L11:L33" si="1">J11-K11</f>
        <v>63508.123449995343</v>
      </c>
      <c r="M11" s="108" t="e">
        <f t="shared" ref="M11:M33" si="2">IF(S11="",AVERAGE(C11,H11),S11)</f>
        <v>#DIV/0!</v>
      </c>
      <c r="N11" s="109">
        <f>IF(T11="",(IFERROR(AVERAGE('1. Rates'!AA14:AE14),0)),T11)</f>
        <v>2.1515253821428573</v>
      </c>
      <c r="O11" s="107">
        <f t="shared" ref="O11:O33" si="3">IF(U11="",AVERAGE(E11,J11),U11)</f>
        <v>64036.845991138456</v>
      </c>
      <c r="P11" s="107">
        <f t="shared" ref="P11:P33" si="4">IF(V11="",AVERAGE(F11,K11),V11)</f>
        <v>5231.7440848701544</v>
      </c>
      <c r="Q11" s="107">
        <f t="shared" ref="Q11:Q33" si="5">O11-P11</f>
        <v>58805.101906268304</v>
      </c>
      <c r="S11" s="117"/>
      <c r="T11" s="118">
        <v>2.1515253821428573</v>
      </c>
      <c r="U11" s="116">
        <v>64036.845991138456</v>
      </c>
      <c r="V11" s="116">
        <v>5231.7440848701544</v>
      </c>
      <c r="W11" s="116"/>
    </row>
    <row r="12" spans="2:24" x14ac:dyDescent="0.3">
      <c r="B12" s="105">
        <v>3</v>
      </c>
      <c r="C12" s="115"/>
      <c r="D12" s="106">
        <f>IFERROR(AVERAGE('1. Rates'!C15:G15),0)</f>
        <v>5.6878598333333329E-2</v>
      </c>
      <c r="E12" s="116">
        <v>61723.682057487677</v>
      </c>
      <c r="F12" s="116">
        <v>5404.1309999999976</v>
      </c>
      <c r="G12" s="107">
        <f t="shared" si="0"/>
        <v>56319.551057487683</v>
      </c>
      <c r="H12" s="115"/>
      <c r="I12" s="106">
        <f>IFERROR(AVERAGE('1. Rates'!O15:S15),0)</f>
        <v>2.5393447666666669</v>
      </c>
      <c r="J12" s="116">
        <v>66159.698000372198</v>
      </c>
      <c r="K12" s="116">
        <v>5149.7512016914825</v>
      </c>
      <c r="L12" s="107">
        <f t="shared" si="1"/>
        <v>61009.946798680714</v>
      </c>
      <c r="M12" s="108" t="e">
        <f t="shared" si="2"/>
        <v>#DIV/0!</v>
      </c>
      <c r="N12" s="109">
        <f>IF(T12="",(IFERROR(AVERAGE('1. Rates'!AA15:AE15),0)),T12)</f>
        <v>1.0881953983333335</v>
      </c>
      <c r="O12" s="107">
        <f t="shared" si="3"/>
        <v>61458.756275403626</v>
      </c>
      <c r="P12" s="107">
        <f t="shared" si="4"/>
        <v>5172.9645141120864</v>
      </c>
      <c r="Q12" s="107">
        <f t="shared" si="5"/>
        <v>56285.791761291541</v>
      </c>
      <c r="S12" s="117"/>
      <c r="T12" s="118">
        <v>1.0881953983333335</v>
      </c>
      <c r="U12" s="116">
        <v>61458.756275403626</v>
      </c>
      <c r="V12" s="116">
        <v>5172.9645141120864</v>
      </c>
      <c r="W12" s="116"/>
    </row>
    <row r="13" spans="2:24" x14ac:dyDescent="0.3">
      <c r="B13" s="105">
        <v>4</v>
      </c>
      <c r="C13" s="115"/>
      <c r="D13" s="106">
        <f>IFERROR(AVERAGE('1. Rates'!C16:G16),0)</f>
        <v>0.93084493666666668</v>
      </c>
      <c r="E13" s="116">
        <v>59947.297277409474</v>
      </c>
      <c r="F13" s="116">
        <v>5210.6269999999986</v>
      </c>
      <c r="G13" s="107">
        <f t="shared" si="0"/>
        <v>54736.670277409474</v>
      </c>
      <c r="H13" s="115"/>
      <c r="I13" s="106">
        <f>IFERROR(AVERAGE('1. Rates'!O16:S16),0)</f>
        <v>2.3491110549999994</v>
      </c>
      <c r="J13" s="116">
        <v>64440.763687144288</v>
      </c>
      <c r="K13" s="116">
        <v>5145.3186895728522</v>
      </c>
      <c r="L13" s="107">
        <f t="shared" si="1"/>
        <v>59295.444997571438</v>
      </c>
      <c r="M13" s="108" t="e">
        <f t="shared" si="2"/>
        <v>#DIV/0!</v>
      </c>
      <c r="N13" s="109">
        <f>IF(T13="",(IFERROR(AVERAGE('1. Rates'!AA16:AE16),0)),T13)</f>
        <v>1.1612468554761903</v>
      </c>
      <c r="O13" s="107">
        <f t="shared" si="3"/>
        <v>59778.96047892818</v>
      </c>
      <c r="P13" s="107">
        <f t="shared" si="4"/>
        <v>5075.9463236804486</v>
      </c>
      <c r="Q13" s="107">
        <f t="shared" si="5"/>
        <v>54703.014155247729</v>
      </c>
      <c r="S13" s="117"/>
      <c r="T13" s="118">
        <v>1.1612468554761903</v>
      </c>
      <c r="U13" s="116">
        <v>59778.96047892818</v>
      </c>
      <c r="V13" s="116">
        <v>5075.9463236804486</v>
      </c>
      <c r="W13" s="116"/>
    </row>
    <row r="14" spans="2:24" x14ac:dyDescent="0.3">
      <c r="B14" s="105">
        <v>5</v>
      </c>
      <c r="C14" s="115"/>
      <c r="D14" s="106">
        <f>IFERROR(AVERAGE('1. Rates'!C17:G17),0)</f>
        <v>2.0684925083333332</v>
      </c>
      <c r="E14" s="116">
        <v>60010.914725620474</v>
      </c>
      <c r="F14" s="116">
        <v>5372.2719999999972</v>
      </c>
      <c r="G14" s="107">
        <f t="shared" si="0"/>
        <v>54638.642725620477</v>
      </c>
      <c r="H14" s="115"/>
      <c r="I14" s="106">
        <f>IFERROR(AVERAGE('1. Rates'!O17:S17),0)</f>
        <v>2.6711873699999997</v>
      </c>
      <c r="J14" s="116">
        <v>64292.824210130522</v>
      </c>
      <c r="K14" s="116">
        <v>5143.5792398787817</v>
      </c>
      <c r="L14" s="107">
        <f t="shared" si="1"/>
        <v>59149.244970251741</v>
      </c>
      <c r="M14" s="108" t="e">
        <f t="shared" si="2"/>
        <v>#DIV/0!</v>
      </c>
      <c r="N14" s="109">
        <f>IF(T14="",(IFERROR(AVERAGE('1. Rates'!AA17:AE17),0)),T14)</f>
        <v>2.2224229392857144</v>
      </c>
      <c r="O14" s="107">
        <f t="shared" si="3"/>
        <v>59738.436628100244</v>
      </c>
      <c r="P14" s="107">
        <f t="shared" si="4"/>
        <v>5154.3237133020193</v>
      </c>
      <c r="Q14" s="107">
        <f t="shared" si="5"/>
        <v>54584.112914798228</v>
      </c>
      <c r="S14" s="117"/>
      <c r="T14" s="118">
        <v>2.2224229392857144</v>
      </c>
      <c r="U14" s="116">
        <v>59738.436628100244</v>
      </c>
      <c r="V14" s="116">
        <v>5154.3237133020193</v>
      </c>
      <c r="W14" s="116"/>
    </row>
    <row r="15" spans="2:24" x14ac:dyDescent="0.3">
      <c r="B15" s="105">
        <v>6</v>
      </c>
      <c r="C15" s="115"/>
      <c r="D15" s="106">
        <f>IFERROR(AVERAGE('1. Rates'!C18:G18),0)</f>
        <v>3.3009967216666665</v>
      </c>
      <c r="E15" s="116">
        <v>62915.979393147558</v>
      </c>
      <c r="F15" s="116">
        <v>5531.4119999999975</v>
      </c>
      <c r="G15" s="107">
        <f t="shared" si="0"/>
        <v>57384.567393147561</v>
      </c>
      <c r="H15" s="115"/>
      <c r="I15" s="106">
        <f>IFERROR(AVERAGE('1. Rates'!O18:S18),0)</f>
        <v>2.7057292799999999</v>
      </c>
      <c r="J15" s="116">
        <v>66984.737073442637</v>
      </c>
      <c r="K15" s="116">
        <v>5314.6995942288922</v>
      </c>
      <c r="L15" s="107">
        <f t="shared" si="1"/>
        <v>61670.037479213745</v>
      </c>
      <c r="M15" s="108" t="e">
        <f t="shared" si="2"/>
        <v>#DIV/0!</v>
      </c>
      <c r="N15" s="109">
        <f>IF(T15="",(IFERROR(AVERAGE('1. Rates'!AA18:AE18),0)),T15)</f>
        <v>2.7972217783333337</v>
      </c>
      <c r="O15" s="107">
        <f t="shared" si="3"/>
        <v>62428.256664066801</v>
      </c>
      <c r="P15" s="107">
        <f t="shared" si="4"/>
        <v>5316.2001736245902</v>
      </c>
      <c r="Q15" s="107">
        <f t="shared" si="5"/>
        <v>57112.056490442214</v>
      </c>
      <c r="S15" s="117"/>
      <c r="T15" s="118">
        <v>2.7972217783333337</v>
      </c>
      <c r="U15" s="116">
        <v>62428.256664066801</v>
      </c>
      <c r="V15" s="116">
        <v>5316.2001736245902</v>
      </c>
      <c r="W15" s="116"/>
      <c r="X15" s="110"/>
    </row>
    <row r="16" spans="2:24" x14ac:dyDescent="0.3">
      <c r="B16" s="105">
        <v>7</v>
      </c>
      <c r="C16" s="115"/>
      <c r="D16" s="106">
        <f>IFERROR(AVERAGE('1. Rates'!C19:G19),0)</f>
        <v>2.9945202483333331</v>
      </c>
      <c r="E16" s="116">
        <v>64538.426765581389</v>
      </c>
      <c r="F16" s="116">
        <v>6397.2109999999993</v>
      </c>
      <c r="G16" s="107">
        <f t="shared" si="0"/>
        <v>58141.215765581393</v>
      </c>
      <c r="H16" s="115"/>
      <c r="I16" s="106">
        <f>IFERROR(AVERAGE('1. Rates'!O19:S19),0)</f>
        <v>2.3817053583333334</v>
      </c>
      <c r="J16" s="116">
        <v>68634.482219555342</v>
      </c>
      <c r="K16" s="116">
        <v>5898.9459142151818</v>
      </c>
      <c r="L16" s="107">
        <f t="shared" si="1"/>
        <v>62735.53630534016</v>
      </c>
      <c r="M16" s="108" t="e">
        <f t="shared" si="2"/>
        <v>#DIV/0!</v>
      </c>
      <c r="N16" s="109">
        <f>IF(T16="",(IFERROR(AVERAGE('1. Rates'!AA19:AE19),0)),T16)</f>
        <v>2.8223892276190474</v>
      </c>
      <c r="O16" s="107">
        <f t="shared" si="3"/>
        <v>65280.837737812115</v>
      </c>
      <c r="P16" s="107">
        <f t="shared" si="4"/>
        <v>6026.9370229463693</v>
      </c>
      <c r="Q16" s="107">
        <f t="shared" si="5"/>
        <v>59253.900714865747</v>
      </c>
      <c r="R16" s="110"/>
      <c r="S16" s="117"/>
      <c r="T16" s="118">
        <v>2.8223892276190474</v>
      </c>
      <c r="U16" s="116">
        <v>65280.837737812115</v>
      </c>
      <c r="V16" s="116">
        <v>6026.9370229463693</v>
      </c>
      <c r="W16" s="116"/>
      <c r="X16" s="110"/>
    </row>
    <row r="17" spans="2:24" x14ac:dyDescent="0.3">
      <c r="B17" s="105">
        <v>8</v>
      </c>
      <c r="C17" s="115"/>
      <c r="D17" s="106">
        <f>IFERROR(AVERAGE('1. Rates'!C20:G20),0)</f>
        <v>3.4116822650000005</v>
      </c>
      <c r="E17" s="116">
        <v>70324.435387971331</v>
      </c>
      <c r="F17" s="116">
        <v>7176.5509999999977</v>
      </c>
      <c r="G17" s="107">
        <f t="shared" si="0"/>
        <v>63147.884387971331</v>
      </c>
      <c r="H17" s="115"/>
      <c r="I17" s="106">
        <f>IFERROR(AVERAGE('1. Rates'!O20:S20),0)</f>
        <v>2.382461001666667</v>
      </c>
      <c r="J17" s="116">
        <v>73254.031313099928</v>
      </c>
      <c r="K17" s="116">
        <v>7358.8272891739953</v>
      </c>
      <c r="L17" s="107">
        <f t="shared" si="1"/>
        <v>65895.204023925937</v>
      </c>
      <c r="M17" s="108" t="e">
        <f t="shared" si="2"/>
        <v>#DIV/0!</v>
      </c>
      <c r="N17" s="109">
        <f>IF(T17="",(IFERROR(AVERAGE('1. Rates'!AA20:AE20),0)),T17)</f>
        <v>2.4495059886666666</v>
      </c>
      <c r="O17" s="107">
        <f t="shared" si="3"/>
        <v>71789.233350535622</v>
      </c>
      <c r="P17" s="107">
        <f t="shared" si="4"/>
        <v>7195.7318263237594</v>
      </c>
      <c r="Q17" s="107">
        <f t="shared" si="5"/>
        <v>64593.501524211861</v>
      </c>
      <c r="R17" s="110"/>
      <c r="S17" s="117"/>
      <c r="T17" s="118">
        <v>2.4495059886666666</v>
      </c>
      <c r="U17" s="116">
        <v>71789.233350535622</v>
      </c>
      <c r="V17" s="116">
        <v>7195.7318263237594</v>
      </c>
      <c r="W17" s="116"/>
      <c r="X17" s="110"/>
    </row>
    <row r="18" spans="2:24" x14ac:dyDescent="0.3">
      <c r="B18" s="105">
        <v>9</v>
      </c>
      <c r="C18" s="115"/>
      <c r="D18" s="106">
        <f>IFERROR(AVERAGE('1. Rates'!C21:G21),0)</f>
        <v>3.1456058683333334</v>
      </c>
      <c r="E18" s="116">
        <v>86611.52886423016</v>
      </c>
      <c r="F18" s="116">
        <v>8919.114999999998</v>
      </c>
      <c r="G18" s="107">
        <f t="shared" si="0"/>
        <v>77692.413864230155</v>
      </c>
      <c r="H18" s="115"/>
      <c r="I18" s="106">
        <f>IFERROR(AVERAGE('1. Rates'!O21:S21),0)</f>
        <v>2.5853152316666668</v>
      </c>
      <c r="J18" s="116">
        <v>88167.699434658309</v>
      </c>
      <c r="K18" s="116">
        <v>9125.7982282186949</v>
      </c>
      <c r="L18" s="107">
        <f t="shared" si="1"/>
        <v>79041.901206439608</v>
      </c>
      <c r="M18" s="108" t="e">
        <f t="shared" si="2"/>
        <v>#DIV/0!</v>
      </c>
      <c r="N18" s="109">
        <f>IF(T18="",(IFERROR(AVERAGE('1. Rates'!AA21:AE21),0)),T18)</f>
        <v>3.1170035086666665</v>
      </c>
      <c r="O18" s="107">
        <f t="shared" si="3"/>
        <v>87389.614149444242</v>
      </c>
      <c r="P18" s="107">
        <f t="shared" si="4"/>
        <v>8933.1253605043021</v>
      </c>
      <c r="Q18" s="107">
        <f t="shared" si="5"/>
        <v>78456.48878893994</v>
      </c>
      <c r="R18" s="110"/>
      <c r="S18" s="117"/>
      <c r="T18" s="118">
        <v>3.1170035086666665</v>
      </c>
      <c r="U18" s="116">
        <v>87389.614149444242</v>
      </c>
      <c r="V18" s="116">
        <v>8933.1253605043021</v>
      </c>
      <c r="W18" s="116"/>
      <c r="X18" s="110"/>
    </row>
    <row r="19" spans="2:24" x14ac:dyDescent="0.3">
      <c r="B19" s="105">
        <v>10</v>
      </c>
      <c r="C19" s="115"/>
      <c r="D19" s="106">
        <f>IFERROR(AVERAGE('1. Rates'!C22:G22),0)</f>
        <v>3.2894044249999999</v>
      </c>
      <c r="E19" s="116">
        <v>101011.09886389517</v>
      </c>
      <c r="F19" s="116">
        <v>14717.68399999999</v>
      </c>
      <c r="G19" s="107">
        <f t="shared" si="0"/>
        <v>86293.414863895174</v>
      </c>
      <c r="H19" s="115"/>
      <c r="I19" s="106">
        <f>IFERROR(AVERAGE('1. Rates'!O22:S22),0)</f>
        <v>2.9605830766666665</v>
      </c>
      <c r="J19" s="116">
        <v>101196.18203208079</v>
      </c>
      <c r="K19" s="116">
        <v>15083.641223897623</v>
      </c>
      <c r="L19" s="107">
        <f t="shared" si="1"/>
        <v>86112.54080818317</v>
      </c>
      <c r="M19" s="108" t="e">
        <f t="shared" si="2"/>
        <v>#DIV/0!</v>
      </c>
      <c r="N19" s="109">
        <f>IF(T19="",(IFERROR(AVERAGE('1. Rates'!AA22:AE22),0)),T19)</f>
        <v>2.9711063429999998</v>
      </c>
      <c r="O19" s="107">
        <f t="shared" si="3"/>
        <v>101103.64044798797</v>
      </c>
      <c r="P19" s="107">
        <f t="shared" si="4"/>
        <v>14753.131298959213</v>
      </c>
      <c r="Q19" s="107">
        <f t="shared" si="5"/>
        <v>86350.50914902876</v>
      </c>
      <c r="R19" s="110"/>
      <c r="S19" s="117"/>
      <c r="T19" s="118">
        <v>2.9711063429999998</v>
      </c>
      <c r="U19" s="116">
        <v>101103.64044798797</v>
      </c>
      <c r="V19" s="116">
        <v>14753.131298959213</v>
      </c>
      <c r="W19" s="116"/>
      <c r="X19" s="110"/>
    </row>
    <row r="20" spans="2:24" x14ac:dyDescent="0.3">
      <c r="B20" s="105">
        <v>11</v>
      </c>
      <c r="C20" s="115"/>
      <c r="D20" s="106">
        <f>IFERROR(AVERAGE('1. Rates'!C23:G23),0)</f>
        <v>3.4719981400000002</v>
      </c>
      <c r="E20" s="116">
        <v>108075.14570437894</v>
      </c>
      <c r="F20" s="116">
        <v>15897.727999999999</v>
      </c>
      <c r="G20" s="107">
        <f t="shared" si="0"/>
        <v>92177.417704378939</v>
      </c>
      <c r="H20" s="115"/>
      <c r="I20" s="106">
        <f>IFERROR(AVERAGE('1. Rates'!O23:S23),0)</f>
        <v>2.6678300933333334</v>
      </c>
      <c r="J20" s="116">
        <v>107844.30111828372</v>
      </c>
      <c r="K20" s="116">
        <v>15835.963802210999</v>
      </c>
      <c r="L20" s="107">
        <f t="shared" si="1"/>
        <v>92008.337316072721</v>
      </c>
      <c r="M20" s="108" t="e">
        <f t="shared" si="2"/>
        <v>#DIV/0!</v>
      </c>
      <c r="N20" s="109">
        <f>IF(T20="",(IFERROR(AVERAGE('1. Rates'!AA23:AE23),0)),T20)</f>
        <v>3.0793276533333334</v>
      </c>
      <c r="O20" s="107">
        <f t="shared" si="3"/>
        <v>107959.72341133133</v>
      </c>
      <c r="P20" s="107">
        <f t="shared" si="4"/>
        <v>15709.748416936136</v>
      </c>
      <c r="Q20" s="107">
        <f t="shared" si="5"/>
        <v>92249.97499439519</v>
      </c>
      <c r="R20" s="110"/>
      <c r="S20" s="117"/>
      <c r="T20" s="118">
        <v>3.0793276533333334</v>
      </c>
      <c r="U20" s="116">
        <v>107959.72341133133</v>
      </c>
      <c r="V20" s="116">
        <v>15709.748416936136</v>
      </c>
      <c r="W20" s="116"/>
      <c r="X20" s="110"/>
    </row>
    <row r="21" spans="2:24" x14ac:dyDescent="0.3">
      <c r="B21" s="105">
        <v>12</v>
      </c>
      <c r="C21" s="115"/>
      <c r="D21" s="106">
        <f>IFERROR(AVERAGE('1. Rates'!C24:G24),0)</f>
        <v>2.6952361883333338</v>
      </c>
      <c r="E21" s="116">
        <v>110320.41462141002</v>
      </c>
      <c r="F21" s="116">
        <v>15119.626</v>
      </c>
      <c r="G21" s="107">
        <f t="shared" si="0"/>
        <v>95200.788621410014</v>
      </c>
      <c r="H21" s="115"/>
      <c r="I21" s="106">
        <f>IFERROR(AVERAGE('1. Rates'!O24:S24),0)</f>
        <v>2.6406540033333337</v>
      </c>
      <c r="J21" s="116">
        <v>109841.54400319974</v>
      </c>
      <c r="K21" s="116">
        <v>15763.109004725202</v>
      </c>
      <c r="L21" s="107">
        <f t="shared" si="1"/>
        <v>94078.434998474535</v>
      </c>
      <c r="M21" s="108" t="e">
        <f t="shared" si="2"/>
        <v>#DIV/0!</v>
      </c>
      <c r="N21" s="109">
        <f>IF(T21="",(IFERROR(AVERAGE('1. Rates'!AA24:AE24),0)),T21)</f>
        <v>2.7918443083333337</v>
      </c>
      <c r="O21" s="107">
        <f t="shared" si="3"/>
        <v>110080.97931230487</v>
      </c>
      <c r="P21" s="107">
        <f t="shared" si="4"/>
        <v>15288.482675606536</v>
      </c>
      <c r="Q21" s="107">
        <f t="shared" si="5"/>
        <v>94792.496636698343</v>
      </c>
      <c r="R21" s="110"/>
      <c r="S21" s="117"/>
      <c r="T21" s="118">
        <v>2.7918443083333337</v>
      </c>
      <c r="U21" s="116">
        <v>110080.97931230487</v>
      </c>
      <c r="V21" s="116">
        <v>15288.482675606536</v>
      </c>
      <c r="W21" s="116"/>
      <c r="X21" s="110"/>
    </row>
    <row r="22" spans="2:24" x14ac:dyDescent="0.3">
      <c r="B22" s="105">
        <v>13</v>
      </c>
      <c r="C22" s="115"/>
      <c r="D22" s="106">
        <f>IFERROR(AVERAGE('1. Rates'!C25:G25),0)</f>
        <v>2.9897764600000003</v>
      </c>
      <c r="E22" s="116">
        <v>109562.67924276885</v>
      </c>
      <c r="F22" s="116">
        <v>15866.133999999987</v>
      </c>
      <c r="G22" s="107">
        <f t="shared" si="0"/>
        <v>93696.545242768858</v>
      </c>
      <c r="H22" s="115"/>
      <c r="I22" s="106">
        <f>IFERROR(AVERAGE('1. Rates'!O25:S25),0)</f>
        <v>2.5251441283333333</v>
      </c>
      <c r="J22" s="116">
        <v>108204.67448989366</v>
      </c>
      <c r="K22" s="116">
        <v>15756.533674585387</v>
      </c>
      <c r="L22" s="107">
        <f t="shared" si="1"/>
        <v>92448.140815308274</v>
      </c>
      <c r="M22" s="108" t="e">
        <f t="shared" si="2"/>
        <v>#DIV/0!</v>
      </c>
      <c r="N22" s="109">
        <f>IF(T22="",(IFERROR(AVERAGE('1. Rates'!AA25:AE25),0)),T22)</f>
        <v>2.9954505513333332</v>
      </c>
      <c r="O22" s="107">
        <f t="shared" si="3"/>
        <v>108883.67686633125</v>
      </c>
      <c r="P22" s="107">
        <f t="shared" si="4"/>
        <v>15654.785977517513</v>
      </c>
      <c r="Q22" s="107">
        <f t="shared" si="5"/>
        <v>93228.890888813738</v>
      </c>
      <c r="R22" s="110"/>
      <c r="S22" s="117"/>
      <c r="T22" s="118">
        <v>2.9954505513333332</v>
      </c>
      <c r="U22" s="116">
        <v>108883.67686633125</v>
      </c>
      <c r="V22" s="116">
        <v>15654.785977517513</v>
      </c>
      <c r="W22" s="116"/>
    </row>
    <row r="23" spans="2:24" x14ac:dyDescent="0.3">
      <c r="B23" s="105">
        <v>14</v>
      </c>
      <c r="C23" s="115"/>
      <c r="D23" s="106">
        <f>IFERROR(AVERAGE('1. Rates'!C26:G26),0)</f>
        <v>3.2626439116666668</v>
      </c>
      <c r="E23" s="116">
        <v>115225.79782648446</v>
      </c>
      <c r="F23" s="116">
        <v>15305.382000000001</v>
      </c>
      <c r="G23" s="107">
        <f t="shared" si="0"/>
        <v>99920.415826484459</v>
      </c>
      <c r="H23" s="115"/>
      <c r="I23" s="106">
        <f>IFERROR(AVERAGE('1. Rates'!O26:S26),0)</f>
        <v>3.4517462433333335</v>
      </c>
      <c r="J23" s="116">
        <v>112257.09827553647</v>
      </c>
      <c r="K23" s="116">
        <v>15595.95875634603</v>
      </c>
      <c r="L23" s="107">
        <f t="shared" si="1"/>
        <v>96661.139519190445</v>
      </c>
      <c r="M23" s="108" t="e">
        <f t="shared" si="2"/>
        <v>#DIV/0!</v>
      </c>
      <c r="N23" s="109">
        <f>IF(T23="",(IFERROR(AVERAGE('1. Rates'!AA26:AE26),0)),T23)</f>
        <v>3.5249936367272725</v>
      </c>
      <c r="O23" s="107">
        <f t="shared" si="3"/>
        <v>112615.29510001036</v>
      </c>
      <c r="P23" s="107">
        <f t="shared" si="4"/>
        <v>15297.693443735659</v>
      </c>
      <c r="Q23" s="107">
        <f t="shared" si="5"/>
        <v>97317.60165627471</v>
      </c>
      <c r="R23" s="110"/>
      <c r="S23" s="117"/>
      <c r="T23" s="118">
        <v>3.5249936367272725</v>
      </c>
      <c r="U23" s="116">
        <v>112615.29510001036</v>
      </c>
      <c r="V23" s="116">
        <v>15297.693443735659</v>
      </c>
      <c r="W23" s="116"/>
    </row>
    <row r="24" spans="2:24" x14ac:dyDescent="0.3">
      <c r="B24" s="105">
        <v>15</v>
      </c>
      <c r="C24" s="115"/>
      <c r="D24" s="106">
        <f>IFERROR(AVERAGE('1. Rates'!C27:G27),0)</f>
        <v>3.3402676383333336</v>
      </c>
      <c r="E24" s="116">
        <v>117736.23500151161</v>
      </c>
      <c r="F24" s="116">
        <v>15078.94299999999</v>
      </c>
      <c r="G24" s="107">
        <f t="shared" si="0"/>
        <v>102657.29200151163</v>
      </c>
      <c r="H24" s="115"/>
      <c r="I24" s="106">
        <f>IFERROR(AVERAGE('1. Rates'!O27:S27),0)</f>
        <v>3.6597462133333338</v>
      </c>
      <c r="J24" s="116">
        <v>113755.44740779979</v>
      </c>
      <c r="K24" s="116">
        <v>15580.521165</v>
      </c>
      <c r="L24" s="107">
        <f t="shared" si="1"/>
        <v>98174.926242799789</v>
      </c>
      <c r="M24" s="108" t="e">
        <f t="shared" si="2"/>
        <v>#DIV/0!</v>
      </c>
      <c r="N24" s="109">
        <f>IF(T24="",(IFERROR(AVERAGE('1. Rates'!AA27:AE27),0)),T24)</f>
        <v>3.3787969903333339</v>
      </c>
      <c r="O24" s="107">
        <f t="shared" si="3"/>
        <v>114599.84277688684</v>
      </c>
      <c r="P24" s="107">
        <f t="shared" si="4"/>
        <v>15177.952556930688</v>
      </c>
      <c r="Q24" s="107">
        <f t="shared" si="5"/>
        <v>99421.890219956156</v>
      </c>
      <c r="R24" s="110"/>
      <c r="S24" s="117"/>
      <c r="T24" s="118">
        <v>3.3787969903333339</v>
      </c>
      <c r="U24" s="116">
        <v>114599.84277688684</v>
      </c>
      <c r="V24" s="116">
        <v>15177.952556930688</v>
      </c>
      <c r="W24" s="116"/>
    </row>
    <row r="25" spans="2:24" x14ac:dyDescent="0.3">
      <c r="B25" s="105">
        <v>16</v>
      </c>
      <c r="C25" s="115"/>
      <c r="D25" s="106">
        <f>IFERROR(AVERAGE('1. Rates'!C28:G28),0)</f>
        <v>3.4962769300000005</v>
      </c>
      <c r="E25" s="116">
        <v>118508.36067166328</v>
      </c>
      <c r="F25" s="116">
        <v>15320.38699999999</v>
      </c>
      <c r="G25" s="107">
        <f t="shared" si="0"/>
        <v>103187.97367166329</v>
      </c>
      <c r="H25" s="115"/>
      <c r="I25" s="106">
        <f>IFERROR(AVERAGE('1. Rates'!O28:S28),0)</f>
        <v>3.5806168483333338</v>
      </c>
      <c r="J25" s="116">
        <v>114536.18091366236</v>
      </c>
      <c r="K25" s="116">
        <v>15741.288749999996</v>
      </c>
      <c r="L25" s="107">
        <f t="shared" si="1"/>
        <v>98794.892163662371</v>
      </c>
      <c r="M25" s="108" t="e">
        <f t="shared" si="2"/>
        <v>#DIV/0!</v>
      </c>
      <c r="N25" s="109">
        <f>IF(T25="",(IFERROR(AVERAGE('1. Rates'!AA28:AE28),0)),T25)</f>
        <v>3.361733596333333</v>
      </c>
      <c r="O25" s="107">
        <f t="shared" si="3"/>
        <v>114794.61188381146</v>
      </c>
      <c r="P25" s="107">
        <f t="shared" si="4"/>
        <v>15377.067202970291</v>
      </c>
      <c r="Q25" s="107">
        <f t="shared" si="5"/>
        <v>99417.54468084118</v>
      </c>
      <c r="R25" s="110"/>
      <c r="S25" s="117"/>
      <c r="T25" s="118">
        <v>3.361733596333333</v>
      </c>
      <c r="U25" s="116">
        <v>114794.61188381146</v>
      </c>
      <c r="V25" s="116">
        <v>15377.067202970291</v>
      </c>
      <c r="W25" s="116"/>
    </row>
    <row r="26" spans="2:24" x14ac:dyDescent="0.3">
      <c r="B26" s="105">
        <v>17</v>
      </c>
      <c r="C26" s="115"/>
      <c r="D26" s="106">
        <f>IFERROR(AVERAGE('1. Rates'!C29:G29),0)</f>
        <v>3.4376853733333332</v>
      </c>
      <c r="E26" s="116">
        <v>113646.52818773982</v>
      </c>
      <c r="F26" s="116">
        <v>15787.733999999999</v>
      </c>
      <c r="G26" s="107">
        <f t="shared" si="0"/>
        <v>97858.794187739826</v>
      </c>
      <c r="H26" s="115"/>
      <c r="I26" s="106">
        <f>IFERROR(AVERAGE('1. Rates'!O29:S29),0)</f>
        <v>6.8976040466666673</v>
      </c>
      <c r="J26" s="116">
        <v>111193.33119580467</v>
      </c>
      <c r="K26" s="116">
        <v>15875.557352941176</v>
      </c>
      <c r="L26" s="107">
        <f t="shared" si="1"/>
        <v>95317.773842863491</v>
      </c>
      <c r="M26" s="108" t="e">
        <f t="shared" si="2"/>
        <v>#DIV/0!</v>
      </c>
      <c r="N26" s="109">
        <f>IF(T26="",(IFERROR(AVERAGE('1. Rates'!AA29:AE29),0)),T26)</f>
        <v>4.2792219193333336</v>
      </c>
      <c r="O26" s="107">
        <f t="shared" si="3"/>
        <v>111306.86108096261</v>
      </c>
      <c r="P26" s="107">
        <f t="shared" si="4"/>
        <v>15674.896709376819</v>
      </c>
      <c r="Q26" s="107">
        <f t="shared" si="5"/>
        <v>95631.964371585796</v>
      </c>
      <c r="R26" s="110"/>
      <c r="S26" s="117"/>
      <c r="T26" s="118">
        <v>4.2792219193333336</v>
      </c>
      <c r="U26" s="116">
        <v>111306.86108096261</v>
      </c>
      <c r="V26" s="116">
        <v>15674.896709376819</v>
      </c>
      <c r="W26" s="116"/>
    </row>
    <row r="27" spans="2:24" x14ac:dyDescent="0.3">
      <c r="B27" s="105">
        <v>18</v>
      </c>
      <c r="C27" s="115"/>
      <c r="D27" s="106">
        <f>IFERROR(AVERAGE('1. Rates'!C30:G30),0)</f>
        <v>3.6420023216666673</v>
      </c>
      <c r="E27" s="116">
        <v>105948.36815329836</v>
      </c>
      <c r="F27" s="116">
        <v>15613.687999999996</v>
      </c>
      <c r="G27" s="107">
        <f t="shared" si="0"/>
        <v>90334.680153298366</v>
      </c>
      <c r="H27" s="115"/>
      <c r="I27" s="106">
        <f>IFERROR(AVERAGE('1. Rates'!O30:S30),0)</f>
        <v>4.9231515083333326</v>
      </c>
      <c r="J27" s="116">
        <v>102784.36987931032</v>
      </c>
      <c r="K27" s="116">
        <v>15918.337990196072</v>
      </c>
      <c r="L27" s="107">
        <f t="shared" si="1"/>
        <v>86866.031889114252</v>
      </c>
      <c r="M27" s="108" t="e">
        <f t="shared" si="2"/>
        <v>#DIV/0!</v>
      </c>
      <c r="N27" s="109">
        <f>IF(T27="",(IFERROR(AVERAGE('1. Rates'!AA30:AE30),0)),T27)</f>
        <v>7.6612190760000001</v>
      </c>
      <c r="O27" s="107">
        <f t="shared" si="3"/>
        <v>103333.0386300043</v>
      </c>
      <c r="P27" s="107">
        <f t="shared" si="4"/>
        <v>15609.913856532707</v>
      </c>
      <c r="Q27" s="107">
        <f t="shared" si="5"/>
        <v>87723.124773471602</v>
      </c>
      <c r="S27" s="117"/>
      <c r="T27" s="118">
        <v>7.6612190760000001</v>
      </c>
      <c r="U27" s="116">
        <v>103333.0386300043</v>
      </c>
      <c r="V27" s="116">
        <v>15609.913856532707</v>
      </c>
      <c r="W27" s="116"/>
    </row>
    <row r="28" spans="2:24" x14ac:dyDescent="0.3">
      <c r="B28" s="105">
        <v>19</v>
      </c>
      <c r="C28" s="115"/>
      <c r="D28" s="106">
        <f>IFERROR(AVERAGE('1. Rates'!C31:G31),0)</f>
        <v>4.3135480816666671</v>
      </c>
      <c r="E28" s="116">
        <v>105233.95112766483</v>
      </c>
      <c r="F28" s="116">
        <v>14597.855</v>
      </c>
      <c r="G28" s="107">
        <f t="shared" si="0"/>
        <v>90636.09612766483</v>
      </c>
      <c r="H28" s="115"/>
      <c r="I28" s="106">
        <f>IFERROR(AVERAGE('1. Rates'!O31:S31),0)</f>
        <v>5.8835564683333335</v>
      </c>
      <c r="J28" s="116">
        <v>102198.72080611259</v>
      </c>
      <c r="K28" s="116">
        <v>15393.183333333331</v>
      </c>
      <c r="L28" s="107">
        <f t="shared" si="1"/>
        <v>86805.537472779251</v>
      </c>
      <c r="M28" s="108" t="e">
        <f t="shared" si="2"/>
        <v>#DIV/0!</v>
      </c>
      <c r="N28" s="109">
        <f>IF(T28="",(IFERROR(AVERAGE('1. Rates'!AA31:AE31),0)),T28)</f>
        <v>4.0099177849999998</v>
      </c>
      <c r="O28" s="107">
        <f t="shared" si="3"/>
        <v>102689.44155137496</v>
      </c>
      <c r="P28" s="107">
        <f t="shared" si="4"/>
        <v>14847.048679867985</v>
      </c>
      <c r="Q28" s="107">
        <f t="shared" si="5"/>
        <v>87842.392871506978</v>
      </c>
      <c r="S28" s="117"/>
      <c r="T28" s="118">
        <v>4.0099177849999998</v>
      </c>
      <c r="U28" s="116">
        <v>102689.44155137496</v>
      </c>
      <c r="V28" s="116">
        <v>14847.048679867985</v>
      </c>
      <c r="W28" s="116"/>
    </row>
    <row r="29" spans="2:24" x14ac:dyDescent="0.3">
      <c r="B29" s="105">
        <v>20</v>
      </c>
      <c r="C29" s="115"/>
      <c r="D29" s="106">
        <f>IFERROR(AVERAGE('1. Rates'!C32:G32),0)</f>
        <v>3.3957915750000005</v>
      </c>
      <c r="E29" s="116">
        <v>99543.432322559849</v>
      </c>
      <c r="F29" s="116">
        <v>13497.847</v>
      </c>
      <c r="G29" s="107">
        <f t="shared" si="0"/>
        <v>86045.585322559855</v>
      </c>
      <c r="H29" s="115"/>
      <c r="I29" s="106">
        <f>IFERROR(AVERAGE('1. Rates'!O32:S32),0)</f>
        <v>3.7606182949999996</v>
      </c>
      <c r="J29" s="116">
        <v>96321.68704311928</v>
      </c>
      <c r="K29" s="116">
        <v>13689.013725490195</v>
      </c>
      <c r="L29" s="107">
        <f t="shared" si="1"/>
        <v>82632.673317629087</v>
      </c>
      <c r="M29" s="108" t="e">
        <f t="shared" si="2"/>
        <v>#DIV/0!</v>
      </c>
      <c r="N29" s="109">
        <f>IF(T29="",(IFERROR(AVERAGE('1. Rates'!AA32:AE32),0)),T29)</f>
        <v>3.6375795923333336</v>
      </c>
      <c r="O29" s="107">
        <f t="shared" si="3"/>
        <v>96962.930379049067</v>
      </c>
      <c r="P29" s="107">
        <f t="shared" si="4"/>
        <v>13458.841943311978</v>
      </c>
      <c r="Q29" s="107">
        <f t="shared" si="5"/>
        <v>83504.088435737096</v>
      </c>
      <c r="S29" s="117"/>
      <c r="T29" s="118">
        <v>3.6375795923333336</v>
      </c>
      <c r="U29" s="116">
        <v>96962.930379049067</v>
      </c>
      <c r="V29" s="116">
        <v>13458.841943311978</v>
      </c>
      <c r="W29" s="116"/>
    </row>
    <row r="30" spans="2:24" x14ac:dyDescent="0.3">
      <c r="B30" s="105">
        <v>21</v>
      </c>
      <c r="C30" s="115"/>
      <c r="D30" s="106">
        <f>IFERROR(AVERAGE('1. Rates'!C33:G33),0)</f>
        <v>3.47789546</v>
      </c>
      <c r="E30" s="116">
        <v>94559.117319421886</v>
      </c>
      <c r="F30" s="116">
        <v>11821.516</v>
      </c>
      <c r="G30" s="107">
        <f t="shared" si="0"/>
        <v>82737.601319421883</v>
      </c>
      <c r="H30" s="115"/>
      <c r="I30" s="106">
        <f>IFERROR(AVERAGE('1. Rates'!O33:S33),0)</f>
        <v>3.5152531133333342</v>
      </c>
      <c r="J30" s="116">
        <v>92306.268544150997</v>
      </c>
      <c r="K30" s="116">
        <v>11887.813235294116</v>
      </c>
      <c r="L30" s="107">
        <f t="shared" si="1"/>
        <v>80418.455308856879</v>
      </c>
      <c r="M30" s="108" t="e">
        <f t="shared" si="2"/>
        <v>#DIV/0!</v>
      </c>
      <c r="N30" s="109">
        <f>IF(T30="",(IFERROR(AVERAGE('1. Rates'!AA33:AE33),0)),T30)</f>
        <v>3.6266923579999997</v>
      </c>
      <c r="O30" s="107">
        <f t="shared" si="3"/>
        <v>92507.616764144987</v>
      </c>
      <c r="P30" s="107">
        <f t="shared" si="4"/>
        <v>11737.29170064065</v>
      </c>
      <c r="Q30" s="107">
        <f t="shared" si="5"/>
        <v>80770.325063504337</v>
      </c>
      <c r="S30" s="117"/>
      <c r="T30" s="118">
        <v>3.6266923579999997</v>
      </c>
      <c r="U30" s="116">
        <v>92507.616764144987</v>
      </c>
      <c r="V30" s="116">
        <v>11737.29170064065</v>
      </c>
      <c r="W30" s="116"/>
    </row>
    <row r="31" spans="2:24" x14ac:dyDescent="0.3">
      <c r="B31" s="105">
        <v>22</v>
      </c>
      <c r="C31" s="115"/>
      <c r="D31" s="106">
        <f>IFERROR(AVERAGE('1. Rates'!C34:G34),0)</f>
        <v>3.1808366233333332</v>
      </c>
      <c r="E31" s="116">
        <v>89278.527561692608</v>
      </c>
      <c r="F31" s="116">
        <v>8101.3099999999995</v>
      </c>
      <c r="G31" s="107">
        <f t="shared" si="0"/>
        <v>81177.217561692611</v>
      </c>
      <c r="H31" s="115"/>
      <c r="I31" s="106">
        <f>IFERROR(AVERAGE('1. Rates'!O34:S34),0)</f>
        <v>2.9619744900000002</v>
      </c>
      <c r="J31" s="116">
        <v>86669.870523299964</v>
      </c>
      <c r="K31" s="116">
        <v>8996.9107843137244</v>
      </c>
      <c r="L31" s="107">
        <f t="shared" si="1"/>
        <v>77672.959738986247</v>
      </c>
      <c r="M31" s="108" t="e">
        <f t="shared" si="2"/>
        <v>#DIV/0!</v>
      </c>
      <c r="N31" s="109">
        <f>IF(T31="",(IFERROR(AVERAGE('1. Rates'!AA34:AE34),0)),T31)</f>
        <v>3.4167050713333333</v>
      </c>
      <c r="O31" s="107">
        <f t="shared" si="3"/>
        <v>87103.167368808208</v>
      </c>
      <c r="P31" s="107">
        <f t="shared" si="4"/>
        <v>8464.465734808773</v>
      </c>
      <c r="Q31" s="107">
        <f t="shared" si="5"/>
        <v>78638.70163399943</v>
      </c>
      <c r="S31" s="117"/>
      <c r="T31" s="118">
        <v>3.4167050713333333</v>
      </c>
      <c r="U31" s="116">
        <v>87103.167368808208</v>
      </c>
      <c r="V31" s="116">
        <v>8464.465734808773</v>
      </c>
      <c r="W31" s="116"/>
    </row>
    <row r="32" spans="2:24" x14ac:dyDescent="0.3">
      <c r="B32" s="105">
        <v>23</v>
      </c>
      <c r="C32" s="115"/>
      <c r="D32" s="106">
        <f>IFERROR(AVERAGE('1. Rates'!C35:G35),0)</f>
        <v>3.1848890049999996</v>
      </c>
      <c r="E32" s="116">
        <v>82718.31840259138</v>
      </c>
      <c r="F32" s="116">
        <v>6261.9199999999983</v>
      </c>
      <c r="G32" s="107">
        <f t="shared" si="0"/>
        <v>76456.398402591381</v>
      </c>
      <c r="H32" s="115"/>
      <c r="I32" s="106">
        <f>IFERROR(AVERAGE('1. Rates'!O35:S35),0)</f>
        <v>2.9784487583333337</v>
      </c>
      <c r="J32" s="116">
        <v>81967.850359030606</v>
      </c>
      <c r="K32" s="116">
        <v>6224.5044117647058</v>
      </c>
      <c r="L32" s="107">
        <f t="shared" si="1"/>
        <v>75743.345947265901</v>
      </c>
      <c r="M32" s="108" t="e">
        <f t="shared" si="2"/>
        <v>#DIV/0!</v>
      </c>
      <c r="N32" s="109">
        <f>IF(T32="",(IFERROR(AVERAGE('1. Rates'!AA35:AE35),0)),T32)</f>
        <v>3.3535632563333331</v>
      </c>
      <c r="O32" s="107">
        <f t="shared" si="3"/>
        <v>82343.084380810993</v>
      </c>
      <c r="P32" s="107">
        <f t="shared" si="4"/>
        <v>6243.2122058823516</v>
      </c>
      <c r="Q32" s="107">
        <f t="shared" si="5"/>
        <v>76099.872174928634</v>
      </c>
      <c r="S32" s="117"/>
      <c r="T32" s="118">
        <v>3.3535632563333331</v>
      </c>
      <c r="U32" s="116">
        <v>82343.084380810993</v>
      </c>
      <c r="V32" s="116">
        <v>6243.2122058823516</v>
      </c>
      <c r="W32" s="116"/>
    </row>
    <row r="33" spans="2:24" x14ac:dyDescent="0.3">
      <c r="B33" s="105">
        <v>24</v>
      </c>
      <c r="C33" s="115"/>
      <c r="D33" s="106">
        <f>IFERROR(AVERAGE('1. Rates'!C36:G36),0)</f>
        <v>2.189731173333334</v>
      </c>
      <c r="E33" s="116">
        <v>77703.689727078294</v>
      </c>
      <c r="F33" s="116">
        <v>5710.3049999999985</v>
      </c>
      <c r="G33" s="107">
        <f t="shared" si="0"/>
        <v>71993.384727078301</v>
      </c>
      <c r="H33" s="115"/>
      <c r="I33" s="106">
        <f>IFERROR(AVERAGE('1. Rates'!O36:S36),0)</f>
        <v>2.8070102466666667</v>
      </c>
      <c r="J33" s="116">
        <v>78185.365058508964</v>
      </c>
      <c r="K33" s="116">
        <v>5724.6264999999994</v>
      </c>
      <c r="L33" s="107">
        <f t="shared" si="1"/>
        <v>72460.738558508965</v>
      </c>
      <c r="M33" s="108" t="e">
        <f t="shared" si="2"/>
        <v>#DIV/0!</v>
      </c>
      <c r="N33" s="109">
        <f>IF(T33="",(IFERROR(AVERAGE('1. Rates'!AA36:AE36),0)),T33)</f>
        <v>3.0389962330000002</v>
      </c>
      <c r="O33" s="107">
        <f t="shared" si="3"/>
        <v>77944.527392793621</v>
      </c>
      <c r="P33" s="107">
        <f t="shared" si="4"/>
        <v>5717.4657499999994</v>
      </c>
      <c r="Q33" s="107">
        <f t="shared" si="5"/>
        <v>72227.061642793618</v>
      </c>
      <c r="S33" s="117"/>
      <c r="T33" s="118">
        <v>3.0389962330000002</v>
      </c>
      <c r="U33" s="116">
        <v>77944.527392793621</v>
      </c>
      <c r="V33" s="116">
        <v>5717.4657499999994</v>
      </c>
      <c r="W33" s="116"/>
    </row>
    <row r="34" spans="2:24" ht="16.350000000000001" customHeight="1" x14ac:dyDescent="0.3">
      <c r="B34" s="111" t="s">
        <v>119</v>
      </c>
      <c r="C34" s="112">
        <f t="shared" ref="C34:F34" si="6">MIN(C10:C33)</f>
        <v>0</v>
      </c>
      <c r="D34" s="113">
        <f>MIN(D10:D33)</f>
        <v>5.6878598333333329E-2</v>
      </c>
      <c r="E34" s="114">
        <f t="shared" si="6"/>
        <v>59947.297277409474</v>
      </c>
      <c r="F34" s="114">
        <f t="shared" si="6"/>
        <v>5210.6269999999986</v>
      </c>
      <c r="G34" s="114">
        <f t="shared" ref="G34:K34" si="7">MIN(G10:G33)</f>
        <v>54638.642725620477</v>
      </c>
      <c r="H34" s="112">
        <f t="shared" si="7"/>
        <v>0</v>
      </c>
      <c r="I34" s="113">
        <f t="shared" si="7"/>
        <v>2.3491110549999994</v>
      </c>
      <c r="J34" s="114">
        <f t="shared" si="7"/>
        <v>64292.824210130522</v>
      </c>
      <c r="K34" s="114">
        <f t="shared" si="7"/>
        <v>5143.5792398787817</v>
      </c>
      <c r="L34" s="114">
        <f t="shared" ref="L34:Q34" si="8">MIN(L10:L33)</f>
        <v>59149.244970251741</v>
      </c>
      <c r="M34" s="112" t="e">
        <f t="shared" si="8"/>
        <v>#DIV/0!</v>
      </c>
      <c r="N34" s="113">
        <f t="shared" si="8"/>
        <v>1.0881953983333335</v>
      </c>
      <c r="O34" s="114">
        <f t="shared" si="8"/>
        <v>59738.436628100244</v>
      </c>
      <c r="P34" s="114">
        <f t="shared" si="8"/>
        <v>5075.9463236804486</v>
      </c>
      <c r="Q34" s="114">
        <f t="shared" si="8"/>
        <v>54584.112914798228</v>
      </c>
      <c r="S34" s="112">
        <f>MIN(S10:S33)</f>
        <v>0</v>
      </c>
      <c r="T34" s="113">
        <f t="shared" ref="T34:W34" si="9">MIN(T10:T33)</f>
        <v>1.0881953983333335</v>
      </c>
      <c r="U34" s="114">
        <f t="shared" si="9"/>
        <v>59738.436628100244</v>
      </c>
      <c r="V34" s="114">
        <f t="shared" si="9"/>
        <v>5075.9463236804486</v>
      </c>
      <c r="W34" s="114">
        <f t="shared" si="9"/>
        <v>0</v>
      </c>
    </row>
    <row r="35" spans="2:24" ht="16.350000000000001" customHeight="1" x14ac:dyDescent="0.3">
      <c r="B35" s="111" t="s">
        <v>120</v>
      </c>
      <c r="C35" s="112" t="e">
        <f t="shared" ref="C35:F35" si="10">AVERAGE(C10:C33)</f>
        <v>#DIV/0!</v>
      </c>
      <c r="D35" s="113">
        <f t="shared" ref="D35" si="11">AVERAGE(D10:D33)</f>
        <v>2.8789780578472222</v>
      </c>
      <c r="E35" s="114">
        <f t="shared" si="10"/>
        <v>89490.281168019792</v>
      </c>
      <c r="F35" s="114">
        <f t="shared" si="10"/>
        <v>10570.839458333334</v>
      </c>
      <c r="G35" s="114">
        <f t="shared" ref="G35:K35" si="12">AVERAGE(G10:G33)</f>
        <v>78919.441709686464</v>
      </c>
      <c r="H35" s="112" t="e">
        <f t="shared" si="12"/>
        <v>#DIV/0!</v>
      </c>
      <c r="I35" s="113">
        <f t="shared" si="12"/>
        <v>3.2982820422222212</v>
      </c>
      <c r="J35" s="114">
        <f t="shared" si="12"/>
        <v>89678.942831754495</v>
      </c>
      <c r="K35" s="114">
        <f t="shared" si="12"/>
        <v>10695.852910685066</v>
      </c>
      <c r="L35" s="114">
        <f t="shared" ref="L35:Q35" si="13">AVERAGE(L10:L33)</f>
        <v>78983.089921069433</v>
      </c>
      <c r="M35" s="112" t="e">
        <f t="shared" si="13"/>
        <v>#DIV/0!</v>
      </c>
      <c r="N35" s="113">
        <f t="shared" si="13"/>
        <v>3.1569768825481606</v>
      </c>
      <c r="O35" s="114">
        <f t="shared" si="13"/>
        <v>88484.926893085256</v>
      </c>
      <c r="P35" s="114">
        <f t="shared" si="13"/>
        <v>10517.467153821219</v>
      </c>
      <c r="Q35" s="114">
        <f t="shared" si="13"/>
        <v>77967.459739264028</v>
      </c>
      <c r="S35" s="112" t="str">
        <f>IFERROR(AVERAGE(S10:S33),"")</f>
        <v/>
      </c>
      <c r="T35" s="113">
        <f>IFERROR(AVERAGE(T10:T33),"")</f>
        <v>3.1569768825481606</v>
      </c>
      <c r="U35" s="114">
        <f>IFERROR(AVERAGE(U10:U33),"")</f>
        <v>88484.926893085256</v>
      </c>
      <c r="V35" s="114">
        <f t="shared" ref="V35:W35" si="14">IFERROR(AVERAGE(V10:V33),"")</f>
        <v>10517.467153821219</v>
      </c>
      <c r="W35" s="114" t="str">
        <f t="shared" si="14"/>
        <v/>
      </c>
    </row>
    <row r="36" spans="2:24" ht="15.75" customHeight="1" x14ac:dyDescent="0.3">
      <c r="B36" s="111" t="s">
        <v>121</v>
      </c>
      <c r="C36" s="112">
        <f t="shared" ref="C36:F36" si="15">MAX(C10:C33)</f>
        <v>0</v>
      </c>
      <c r="D36" s="113">
        <f t="shared" ref="D36" si="16">MAX(D10:D33)</f>
        <v>4.3135480816666671</v>
      </c>
      <c r="E36" s="114">
        <f t="shared" si="15"/>
        <v>118508.36067166328</v>
      </c>
      <c r="F36" s="114">
        <f t="shared" si="15"/>
        <v>15897.727999999999</v>
      </c>
      <c r="G36" s="114">
        <f t="shared" ref="G36:K36" si="17">MAX(G10:G33)</f>
        <v>103187.97367166329</v>
      </c>
      <c r="H36" s="112">
        <f t="shared" si="17"/>
        <v>0</v>
      </c>
      <c r="I36" s="113">
        <f t="shared" si="17"/>
        <v>6.8976040466666673</v>
      </c>
      <c r="J36" s="114">
        <f t="shared" si="17"/>
        <v>114536.18091366236</v>
      </c>
      <c r="K36" s="114">
        <f t="shared" si="17"/>
        <v>15918.337990196072</v>
      </c>
      <c r="L36" s="114">
        <f t="shared" ref="L36:Q36" si="18">MAX(L10:L33)</f>
        <v>98794.892163662371</v>
      </c>
      <c r="M36" s="112" t="e">
        <f t="shared" si="18"/>
        <v>#DIV/0!</v>
      </c>
      <c r="N36" s="113">
        <f t="shared" si="18"/>
        <v>7.6612190760000001</v>
      </c>
      <c r="O36" s="114">
        <f t="shared" si="18"/>
        <v>114794.61188381146</v>
      </c>
      <c r="P36" s="114">
        <f t="shared" si="18"/>
        <v>15709.748416936136</v>
      </c>
      <c r="Q36" s="114">
        <f t="shared" si="18"/>
        <v>99421.890219956156</v>
      </c>
      <c r="S36" s="112">
        <f t="shared" ref="S36:W36" si="19">MAX(S10:S33)</f>
        <v>0</v>
      </c>
      <c r="T36" s="113">
        <f t="shared" si="19"/>
        <v>7.6612190760000001</v>
      </c>
      <c r="U36" s="114">
        <f t="shared" si="19"/>
        <v>114794.61188381146</v>
      </c>
      <c r="V36" s="114">
        <f t="shared" si="19"/>
        <v>15709.748416936136</v>
      </c>
      <c r="W36" s="114">
        <f t="shared" si="19"/>
        <v>0</v>
      </c>
    </row>
    <row r="37" spans="2:24" ht="19.5" customHeight="1" x14ac:dyDescent="0.3">
      <c r="B37" s="111" t="s">
        <v>122</v>
      </c>
      <c r="C37" s="112"/>
      <c r="D37" s="112"/>
      <c r="E37" s="114">
        <f>SUM(E10:E33)</f>
        <v>2147766.7480324749</v>
      </c>
      <c r="F37" s="114">
        <f t="shared" ref="F37" si="20">SUM(F10:F33)</f>
        <v>253700.147</v>
      </c>
      <c r="G37" s="114">
        <f t="shared" ref="G37" si="21">SUM(G10:G33)</f>
        <v>1894066.6010324752</v>
      </c>
      <c r="H37" s="112"/>
      <c r="I37" s="112"/>
      <c r="J37" s="114">
        <f t="shared" ref="J37:L37" si="22">SUM(J10:J33)</f>
        <v>2152294.6279621078</v>
      </c>
      <c r="K37" s="114">
        <f t="shared" si="22"/>
        <v>256700.46985644157</v>
      </c>
      <c r="L37" s="114">
        <f t="shared" si="22"/>
        <v>1895594.1581056663</v>
      </c>
      <c r="M37" s="112"/>
      <c r="N37" s="112"/>
      <c r="O37" s="114">
        <f t="shared" ref="O37:P37" si="23">SUM(O10:O33)</f>
        <v>2123638.2454340463</v>
      </c>
      <c r="P37" s="114">
        <f t="shared" si="23"/>
        <v>252419.21169170926</v>
      </c>
      <c r="Q37" s="114">
        <f>SUM(Q10:Q33)</f>
        <v>1871219.0337423368</v>
      </c>
      <c r="S37" s="112"/>
      <c r="T37" s="112"/>
      <c r="U37" s="114">
        <f t="shared" ref="U37:W37" si="24">SUM(U10:U33)</f>
        <v>2123638.2454340463</v>
      </c>
      <c r="V37" s="114">
        <f t="shared" si="24"/>
        <v>252419.21169170926</v>
      </c>
      <c r="W37" s="114">
        <f t="shared" si="24"/>
        <v>0</v>
      </c>
    </row>
    <row r="38" spans="2:24" ht="14.25" customHeight="1" x14ac:dyDescent="0.3">
      <c r="B38" s="4"/>
      <c r="Q38" s="110"/>
      <c r="W38" s="110"/>
      <c r="X38" s="110"/>
    </row>
  </sheetData>
  <sheetProtection algorithmName="SHA-512" hashValue="VM04SWNaKoxhbvyaGtvTLjBLKmwEo3Mz1wIQXDIfY9pafJxXVoHol+/YavUhMGeGDTN7OzFn1qSUd35S3d8ONQ==" saltValue="MYIRA87jCp/MupKSArmZxQ==" spinCount="100000" sheet="1" objects="1" scenarios="1"/>
  <mergeCells count="10">
    <mergeCell ref="B7:B9"/>
    <mergeCell ref="C8:G8"/>
    <mergeCell ref="C7:G7"/>
    <mergeCell ref="H7:L7"/>
    <mergeCell ref="M7:Q7"/>
    <mergeCell ref="S7:W7"/>
    <mergeCell ref="S8:W8"/>
    <mergeCell ref="C2:E2"/>
    <mergeCell ref="H8:L8"/>
    <mergeCell ref="M8:Q8"/>
  </mergeCells>
  <phoneticPr fontId="35" type="noConversion"/>
  <pageMargins left="0.7" right="0.7" top="0.75" bottom="0.75" header="0.3" footer="0.3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23BE-2C10-401D-B1E0-F527CF55CF68}">
  <dimension ref="B1:AD30"/>
  <sheetViews>
    <sheetView showGridLines="0" zoomScale="84" zoomScaleNormal="84" workbookViewId="0">
      <pane xSplit="2" ySplit="5" topLeftCell="D6" activePane="bottomRight" state="frozen"/>
      <selection pane="topRight" activeCell="C1" sqref="C1"/>
      <selection pane="bottomLeft" activeCell="A5" sqref="A5"/>
      <selection pane="bottomRight" activeCell="H22" sqref="H22:Q27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3" width="13.5546875" style="1" customWidth="1"/>
    <col min="14" max="30" width="15" style="1" customWidth="1"/>
    <col min="31" max="16384" width="8.5546875" style="1"/>
  </cols>
  <sheetData>
    <row r="1" spans="2:30" ht="12" customHeight="1" x14ac:dyDescent="0.3"/>
    <row r="2" spans="2:30" ht="18" customHeight="1" x14ac:dyDescent="0.3">
      <c r="N2" s="60" t="s">
        <v>123</v>
      </c>
      <c r="O2" s="59">
        <f>'4.Projected'!BO29</f>
        <v>4.9349083357878367</v>
      </c>
      <c r="P2" s="4" t="s">
        <v>124</v>
      </c>
      <c r="R2" s="59">
        <f>'4.Projected'!BX29</f>
        <v>5.3462668884688833</v>
      </c>
      <c r="S2" s="4" t="s">
        <v>125</v>
      </c>
    </row>
    <row r="3" spans="2:30" ht="16.5" customHeight="1" x14ac:dyDescent="0.3">
      <c r="B3" s="50" t="s">
        <v>126</v>
      </c>
      <c r="D3" s="4"/>
      <c r="E3" s="4"/>
      <c r="G3" s="4"/>
      <c r="H3" s="4"/>
      <c r="I3" s="4"/>
      <c r="J3" s="4"/>
      <c r="K3" s="4"/>
      <c r="L3" s="4"/>
      <c r="M3" s="4"/>
      <c r="P3" s="4"/>
      <c r="Q3" s="4"/>
      <c r="R3" s="4"/>
      <c r="S3" s="4"/>
      <c r="T3" s="4"/>
      <c r="U3" s="4"/>
      <c r="V3" s="4"/>
      <c r="X3" s="4"/>
      <c r="Y3" s="4"/>
      <c r="Z3" s="4"/>
      <c r="AA3" s="4"/>
      <c r="AB3" s="4"/>
      <c r="AC3" s="4"/>
      <c r="AD3" s="4"/>
    </row>
    <row r="4" spans="2:30" ht="31.35" customHeight="1" x14ac:dyDescent="0.3">
      <c r="B4" s="187" t="s">
        <v>9</v>
      </c>
      <c r="C4" s="187" t="s">
        <v>127</v>
      </c>
      <c r="D4" s="187"/>
      <c r="E4" s="187"/>
      <c r="F4" s="188" t="s">
        <v>128</v>
      </c>
      <c r="G4" s="188"/>
      <c r="H4" s="188"/>
      <c r="I4" s="188"/>
      <c r="J4" s="188"/>
      <c r="K4" s="188"/>
      <c r="L4" s="188"/>
      <c r="M4" s="188" t="s">
        <v>129</v>
      </c>
      <c r="N4" s="163" t="s">
        <v>130</v>
      </c>
      <c r="O4" s="163"/>
      <c r="P4" s="163"/>
      <c r="Q4" s="163"/>
      <c r="R4" s="163"/>
      <c r="S4" s="163"/>
      <c r="T4" s="163"/>
      <c r="U4" s="187" t="s">
        <v>131</v>
      </c>
      <c r="V4" s="187" t="s">
        <v>132</v>
      </c>
      <c r="W4" s="188" t="s">
        <v>133</v>
      </c>
      <c r="X4" s="188"/>
      <c r="Y4" s="188"/>
      <c r="Z4" s="188"/>
      <c r="AA4" s="188"/>
      <c r="AB4" s="188"/>
      <c r="AC4" s="188"/>
      <c r="AD4" s="188" t="s">
        <v>129</v>
      </c>
    </row>
    <row r="5" spans="2:30" ht="26.25" customHeight="1" x14ac:dyDescent="0.3">
      <c r="B5" s="187"/>
      <c r="C5" s="75" t="s">
        <v>134</v>
      </c>
      <c r="D5" s="75" t="s">
        <v>135</v>
      </c>
      <c r="E5" s="75" t="s">
        <v>136</v>
      </c>
      <c r="F5" s="76" t="s">
        <v>70</v>
      </c>
      <c r="G5" s="76" t="s">
        <v>71</v>
      </c>
      <c r="H5" s="76" t="s">
        <v>72</v>
      </c>
      <c r="I5" s="76" t="s">
        <v>73</v>
      </c>
      <c r="J5" s="76" t="s">
        <v>17</v>
      </c>
      <c r="K5" s="76" t="s">
        <v>74</v>
      </c>
      <c r="L5" s="76" t="s">
        <v>65</v>
      </c>
      <c r="M5" s="188"/>
      <c r="N5" s="75" t="s">
        <v>70</v>
      </c>
      <c r="O5" s="75" t="s">
        <v>71</v>
      </c>
      <c r="P5" s="75" t="s">
        <v>72</v>
      </c>
      <c r="Q5" s="75" t="s">
        <v>73</v>
      </c>
      <c r="R5" s="75" t="s">
        <v>17</v>
      </c>
      <c r="S5" s="75" t="s">
        <v>74</v>
      </c>
      <c r="T5" s="75" t="s">
        <v>65</v>
      </c>
      <c r="U5" s="187"/>
      <c r="V5" s="187"/>
      <c r="W5" s="76" t="s">
        <v>70</v>
      </c>
      <c r="X5" s="76" t="s">
        <v>71</v>
      </c>
      <c r="Y5" s="76" t="s">
        <v>72</v>
      </c>
      <c r="Z5" s="76" t="s">
        <v>73</v>
      </c>
      <c r="AA5" s="76" t="s">
        <v>17</v>
      </c>
      <c r="AB5" s="76" t="s">
        <v>74</v>
      </c>
      <c r="AC5" s="76" t="s">
        <v>65</v>
      </c>
      <c r="AD5" s="188"/>
    </row>
    <row r="6" spans="2:30" ht="18" customHeight="1" x14ac:dyDescent="0.3">
      <c r="B6" s="14">
        <v>1</v>
      </c>
      <c r="C6" s="53">
        <f>'2. Energy'!O10</f>
        <v>67508.866812003762</v>
      </c>
      <c r="D6" s="53">
        <f>'2. Energy'!P10</f>
        <v>5300.2405192682254</v>
      </c>
      <c r="E6" s="53">
        <f>'2. Energy'!Q10</f>
        <v>62208.626292735535</v>
      </c>
      <c r="F6" s="53">
        <f>IF('1. Rates'!$C$62&lt;'2. Energy'!N10*(1+'1. Rates'!$J$60),'1. Rates'!$C$41,'1. Rates'!$C$42)</f>
        <v>10000</v>
      </c>
      <c r="G6" s="53">
        <f>IF('1. Rates'!$D$62&lt;'2. Energy'!N10*(1+'1. Rates'!$J$60),'1. Rates'!$D$41,'1. Rates'!$D$42)</f>
        <v>2500</v>
      </c>
      <c r="H6" s="53">
        <f>IF('1. Rates'!$E$62&lt;'2. Energy'!N10*(1+'1. Rates'!$J$60),'1. Rates'!$E$41,'1. Rates'!$E$42)</f>
        <v>5000</v>
      </c>
      <c r="I6" s="53">
        <f>IF('1. Rates'!F$62&lt;'2. Energy'!$N10*(1+'1. Rates'!$J$60),'1. Rates'!F$41,'1. Rates'!F$42)</f>
        <v>5000</v>
      </c>
      <c r="J6" s="53">
        <f>IF('1. Rates'!G$62&lt;'2. Energy'!$N10*(1+'1. Rates'!$J$60),'1. Rates'!G$41,'1. Rates'!G$42)</f>
        <v>0</v>
      </c>
      <c r="K6" s="53">
        <f>IF('1. Rates'!H$62&lt;'2. Energy'!$N10*(1+'1. Rates'!$J$60),'1. Rates'!H$41,'1. Rates'!H$42)</f>
        <v>0</v>
      </c>
      <c r="L6" s="53">
        <f>IF('1. Rates'!Q41&lt;('2. Energy'!N10*(1+'1. Rates'!$J$60)),'1. Rates'!$I$41,0)</f>
        <v>0</v>
      </c>
      <c r="M6" s="53">
        <f>E6-(F6+G6+H6+I6+J6+K6+L6)</f>
        <v>39708.626292735535</v>
      </c>
      <c r="N6" s="119">
        <v>10000</v>
      </c>
      <c r="O6" s="119">
        <v>2500</v>
      </c>
      <c r="P6" s="119">
        <v>5000</v>
      </c>
      <c r="Q6" s="119">
        <v>5000</v>
      </c>
      <c r="R6" s="119">
        <v>0</v>
      </c>
      <c r="S6" s="119">
        <v>0</v>
      </c>
      <c r="T6" s="119"/>
      <c r="U6" s="53">
        <f>'2. Energy'!N10*(1+'1. Rates'!$J$60)</f>
        <v>3.0690407533966968</v>
      </c>
      <c r="V6" s="53">
        <f>(SUM('4.Projected'!W5:AC5)+SUM('4.Projected'!AF5:AK5))/(SUM('4.Projected'!F5:K5))</f>
        <v>4.2000355959605411</v>
      </c>
      <c r="W6" s="53">
        <f t="shared" ref="W6:AC6" si="0">IF(N6="",F6,N6)</f>
        <v>10000</v>
      </c>
      <c r="X6" s="53">
        <f t="shared" si="0"/>
        <v>2500</v>
      </c>
      <c r="Y6" s="53">
        <f t="shared" si="0"/>
        <v>5000</v>
      </c>
      <c r="Z6" s="53">
        <f t="shared" si="0"/>
        <v>5000</v>
      </c>
      <c r="AA6" s="53">
        <f t="shared" si="0"/>
        <v>0</v>
      </c>
      <c r="AB6" s="53">
        <f t="shared" si="0"/>
        <v>0</v>
      </c>
      <c r="AC6" s="53">
        <f t="shared" si="0"/>
        <v>0</v>
      </c>
      <c r="AD6" s="53">
        <f>E6-(W6+X6+Y6+Z6+AA6+AB6+AC6)</f>
        <v>39708.626292735535</v>
      </c>
    </row>
    <row r="7" spans="2:30" ht="18" customHeight="1" x14ac:dyDescent="0.3">
      <c r="B7" s="14">
        <v>2</v>
      </c>
      <c r="C7" s="53">
        <f>'2. Energy'!O11</f>
        <v>64036.845991138456</v>
      </c>
      <c r="D7" s="53">
        <f>'2. Energy'!P11</f>
        <v>5231.7440848701544</v>
      </c>
      <c r="E7" s="53">
        <f>'2. Energy'!Q11</f>
        <v>58805.101906268304</v>
      </c>
      <c r="F7" s="53">
        <f>IF('1. Rates'!$C$62&lt;'2. Energy'!N11*(1+'1. Rates'!$J$60),'1. Rates'!$C$41,'1. Rates'!$C$42)</f>
        <v>10000</v>
      </c>
      <c r="G7" s="53">
        <f>IF('1. Rates'!$D$62&lt;'2. Energy'!N11*(1+'1. Rates'!$J$60),'1. Rates'!$D$41,'1. Rates'!$D$42)</f>
        <v>2500</v>
      </c>
      <c r="H7" s="53">
        <f>IF('1. Rates'!$E$62&lt;'2. Energy'!N11*(1+'1. Rates'!$J$60),'1. Rates'!$E$41,'1. Rates'!$E$42)</f>
        <v>5000</v>
      </c>
      <c r="I7" s="53">
        <f>IF('1. Rates'!F$62&lt;'2. Energy'!$N11*(1+'1. Rates'!$J$60),'1. Rates'!F$41,'1. Rates'!F$42)</f>
        <v>5000</v>
      </c>
      <c r="J7" s="53">
        <f>IF('1. Rates'!G$62&lt;'2. Energy'!$N11*(1+'1. Rates'!$J$60),'1. Rates'!G$41,'1. Rates'!G$42)</f>
        <v>0</v>
      </c>
      <c r="K7" s="53">
        <f>IF('1. Rates'!H$62&lt;'2. Energy'!$N11*(1+'1. Rates'!$J$60),'1. Rates'!H$41,'1. Rates'!H$42)</f>
        <v>0</v>
      </c>
      <c r="L7" s="53">
        <f>IF('1. Rates'!Q42&lt;('2. Energy'!N11*(1+'1. Rates'!$J$60)),'1. Rates'!$I$41,0)</f>
        <v>0</v>
      </c>
      <c r="M7" s="53">
        <f t="shared" ref="M7:M29" si="1">E7-(F7+G7+H7+I7+J7+K7+L7)</f>
        <v>36305.101906268304</v>
      </c>
      <c r="N7" s="119">
        <v>10000</v>
      </c>
      <c r="O7" s="119">
        <v>2500</v>
      </c>
      <c r="P7" s="119">
        <v>5000</v>
      </c>
      <c r="Q7" s="119">
        <v>5000</v>
      </c>
      <c r="R7" s="119">
        <v>0</v>
      </c>
      <c r="S7" s="119">
        <v>0</v>
      </c>
      <c r="T7" s="119"/>
      <c r="U7" s="53">
        <f>'2. Energy'!N11*(1+'1. Rates'!$J$60)</f>
        <v>2.332609990697093</v>
      </c>
      <c r="V7" s="53">
        <f>(SUM('4.Projected'!W6:AC6)+SUM('4.Projected'!AF6:AK6))/(SUM('4.Projected'!F6:K6))</f>
        <v>4.2000355959605411</v>
      </c>
      <c r="W7" s="53">
        <f t="shared" ref="W7:W29" si="2">IF(N7="",F7,N7)</f>
        <v>10000</v>
      </c>
      <c r="X7" s="53">
        <f t="shared" ref="X7:X29" si="3">IF(O7="",G7,O7)</f>
        <v>2500</v>
      </c>
      <c r="Y7" s="53">
        <f t="shared" ref="Y7:Y29" si="4">IF(P7="",H7,P7)</f>
        <v>5000</v>
      </c>
      <c r="Z7" s="53">
        <f t="shared" ref="Z7:Z29" si="5">IF(Q7="",I7,Q7)</f>
        <v>5000</v>
      </c>
      <c r="AA7" s="53">
        <f t="shared" ref="AA7:AA29" si="6">IF(R7="",J7,R7)</f>
        <v>0</v>
      </c>
      <c r="AB7" s="53">
        <f t="shared" ref="AB7:AB29" si="7">IF(S7="",K7,S7)</f>
        <v>0</v>
      </c>
      <c r="AC7" s="53">
        <f t="shared" ref="AC7:AC29" si="8">IF(T7="",L7,T7)</f>
        <v>0</v>
      </c>
      <c r="AD7" s="53">
        <f t="shared" ref="AD7:AD29" si="9">E7-(W7+X7+Y7+Z7+AA7+AB7+AC7)</f>
        <v>36305.101906268304</v>
      </c>
    </row>
    <row r="8" spans="2:30" ht="18" customHeight="1" x14ac:dyDescent="0.3">
      <c r="B8" s="14">
        <v>3</v>
      </c>
      <c r="C8" s="53">
        <f>'2. Energy'!O12</f>
        <v>61458.756275403626</v>
      </c>
      <c r="D8" s="53">
        <f>'2. Energy'!P12</f>
        <v>5172.9645141120864</v>
      </c>
      <c r="E8" s="53">
        <f>'2. Energy'!Q12</f>
        <v>56285.791761291541</v>
      </c>
      <c r="F8" s="53">
        <f>IF('1. Rates'!$C$62&lt;'2. Energy'!N12*(1+'1. Rates'!$J$60),'1. Rates'!$C$41,'1. Rates'!$C$42)</f>
        <v>10000</v>
      </c>
      <c r="G8" s="53">
        <f>IF('1. Rates'!$D$62&lt;'2. Energy'!N12*(1+'1. Rates'!$J$60),'1. Rates'!$D$41,'1. Rates'!$D$42)</f>
        <v>2500</v>
      </c>
      <c r="H8" s="53">
        <f>IF('1. Rates'!$E$62&lt;'2. Energy'!N12*(1+'1. Rates'!$J$60),'1. Rates'!$E$41,'1. Rates'!$E$42)</f>
        <v>5000</v>
      </c>
      <c r="I8" s="53">
        <f>IF('1. Rates'!F$62&lt;'2. Energy'!$N12*(1+'1. Rates'!$J$60),'1. Rates'!F$41,'1. Rates'!F$42)</f>
        <v>5000</v>
      </c>
      <c r="J8" s="53">
        <f>IF('1. Rates'!G$62&lt;'2. Energy'!$N12*(1+'1. Rates'!$J$60),'1. Rates'!G$41,'1. Rates'!G$42)</f>
        <v>0</v>
      </c>
      <c r="K8" s="53">
        <f>IF('1. Rates'!H$62&lt;'2. Energy'!$N12*(1+'1. Rates'!$J$60),'1. Rates'!H$41,'1. Rates'!H$42)</f>
        <v>0</v>
      </c>
      <c r="L8" s="53">
        <f>IF('1. Rates'!Q43&lt;('2. Energy'!N12*(1+'1. Rates'!$J$60)),'1. Rates'!$I$41,0)</f>
        <v>0</v>
      </c>
      <c r="M8" s="53">
        <f t="shared" si="1"/>
        <v>33785.791761291541</v>
      </c>
      <c r="N8" s="119">
        <v>10000</v>
      </c>
      <c r="O8" s="119">
        <v>2500</v>
      </c>
      <c r="P8" s="119">
        <v>5000</v>
      </c>
      <c r="Q8" s="119">
        <v>5000</v>
      </c>
      <c r="R8" s="119">
        <v>0</v>
      </c>
      <c r="S8" s="119">
        <v>0</v>
      </c>
      <c r="T8" s="119"/>
      <c r="U8" s="53">
        <f>'2. Energy'!N12*(1+'1. Rates'!$J$60)</f>
        <v>1.1797841099391666</v>
      </c>
      <c r="V8" s="53">
        <f>(SUM('4.Projected'!W7:AC7)+SUM('4.Projected'!AF7:AK7))/(SUM('4.Projected'!F7:K7))</f>
        <v>4.2000355959605411</v>
      </c>
      <c r="W8" s="53">
        <f t="shared" si="2"/>
        <v>10000</v>
      </c>
      <c r="X8" s="53">
        <f t="shared" si="3"/>
        <v>2500</v>
      </c>
      <c r="Y8" s="53">
        <f t="shared" si="4"/>
        <v>5000</v>
      </c>
      <c r="Z8" s="53">
        <f t="shared" si="5"/>
        <v>5000</v>
      </c>
      <c r="AA8" s="53">
        <f t="shared" si="6"/>
        <v>0</v>
      </c>
      <c r="AB8" s="53">
        <f t="shared" si="7"/>
        <v>0</v>
      </c>
      <c r="AC8" s="53">
        <f t="shared" si="8"/>
        <v>0</v>
      </c>
      <c r="AD8" s="53">
        <f t="shared" si="9"/>
        <v>33785.791761291541</v>
      </c>
    </row>
    <row r="9" spans="2:30" ht="18" customHeight="1" x14ac:dyDescent="0.3">
      <c r="B9" s="14">
        <v>4</v>
      </c>
      <c r="C9" s="53">
        <f>'2. Energy'!O13</f>
        <v>59778.96047892818</v>
      </c>
      <c r="D9" s="53">
        <f>'2. Energy'!P13</f>
        <v>5075.9463236804486</v>
      </c>
      <c r="E9" s="53">
        <f>'2. Energy'!Q13</f>
        <v>54703.014155247729</v>
      </c>
      <c r="F9" s="53">
        <f>IF('1. Rates'!$C$62&lt;'2. Energy'!N13*(1+'1. Rates'!$J$60),'1. Rates'!$C$41,'1. Rates'!$C$42)</f>
        <v>10000</v>
      </c>
      <c r="G9" s="53">
        <f>IF('1. Rates'!$D$62&lt;'2. Energy'!N13*(1+'1. Rates'!$J$60),'1. Rates'!$D$41,'1. Rates'!$D$42)</f>
        <v>2500</v>
      </c>
      <c r="H9" s="53">
        <f>IF('1. Rates'!$E$62&lt;'2. Energy'!N13*(1+'1. Rates'!$J$60),'1. Rates'!$E$41,'1. Rates'!$E$42)</f>
        <v>5000</v>
      </c>
      <c r="I9" s="53">
        <f>IF('1. Rates'!F$62&lt;'2. Energy'!$N13*(1+'1. Rates'!$J$60),'1. Rates'!F$41,'1. Rates'!F$42)</f>
        <v>5000</v>
      </c>
      <c r="J9" s="53">
        <f>IF('1. Rates'!G$62&lt;'2. Energy'!$N13*(1+'1. Rates'!$J$60),'1. Rates'!G$41,'1. Rates'!G$42)</f>
        <v>0</v>
      </c>
      <c r="K9" s="53">
        <f>IF('1. Rates'!H$62&lt;'2. Energy'!$N13*(1+'1. Rates'!$J$60),'1. Rates'!H$41,'1. Rates'!H$42)</f>
        <v>0</v>
      </c>
      <c r="L9" s="53">
        <f>IF('1. Rates'!Q44&lt;('2. Energy'!N13*(1+'1. Rates'!$J$60)),'1. Rates'!$I$41,0)</f>
        <v>0</v>
      </c>
      <c r="M9" s="53">
        <f t="shared" si="1"/>
        <v>32203.014155247729</v>
      </c>
      <c r="N9" s="119">
        <v>10000</v>
      </c>
      <c r="O9" s="119">
        <v>2500</v>
      </c>
      <c r="P9" s="119">
        <v>5000</v>
      </c>
      <c r="Q9" s="119">
        <v>5000</v>
      </c>
      <c r="R9" s="119">
        <v>0</v>
      </c>
      <c r="S9" s="119">
        <v>0</v>
      </c>
      <c r="T9" s="119"/>
      <c r="U9" s="53">
        <f>'2. Energy'!N13*(1+'1. Rates'!$J$60)</f>
        <v>1.258983993045679</v>
      </c>
      <c r="V9" s="53">
        <f>(SUM('4.Projected'!W8:AC8)+SUM('4.Projected'!AF8:AK8))/(SUM('4.Projected'!F8:K8))</f>
        <v>4.2000355959605411</v>
      </c>
      <c r="W9" s="53">
        <f t="shared" si="2"/>
        <v>10000</v>
      </c>
      <c r="X9" s="53">
        <f t="shared" si="3"/>
        <v>2500</v>
      </c>
      <c r="Y9" s="53">
        <f t="shared" si="4"/>
        <v>5000</v>
      </c>
      <c r="Z9" s="53">
        <f t="shared" si="5"/>
        <v>5000</v>
      </c>
      <c r="AA9" s="53">
        <f t="shared" si="6"/>
        <v>0</v>
      </c>
      <c r="AB9" s="53">
        <f t="shared" si="7"/>
        <v>0</v>
      </c>
      <c r="AC9" s="53">
        <f t="shared" si="8"/>
        <v>0</v>
      </c>
      <c r="AD9" s="53">
        <f t="shared" si="9"/>
        <v>32203.014155247729</v>
      </c>
    </row>
    <row r="10" spans="2:30" ht="18" customHeight="1" x14ac:dyDescent="0.3">
      <c r="B10" s="14">
        <v>5</v>
      </c>
      <c r="C10" s="53">
        <f>'2. Energy'!O14</f>
        <v>59738.436628100244</v>
      </c>
      <c r="D10" s="53">
        <f>'2. Energy'!P14</f>
        <v>5154.3237133020193</v>
      </c>
      <c r="E10" s="53">
        <f>'2. Energy'!Q14</f>
        <v>54584.112914798228</v>
      </c>
      <c r="F10" s="53">
        <f>IF('1. Rates'!$C$62&lt;'2. Energy'!N14*(1+'1. Rates'!$J$60),'1. Rates'!$C$41,'1. Rates'!$C$42)</f>
        <v>10000</v>
      </c>
      <c r="G10" s="53">
        <f>IF('1. Rates'!$D$62&lt;'2. Energy'!N14*(1+'1. Rates'!$J$60),'1. Rates'!$D$41,'1. Rates'!$D$42)</f>
        <v>2500</v>
      </c>
      <c r="H10" s="53">
        <f>IF('1. Rates'!$E$62&lt;'2. Energy'!N14*(1+'1. Rates'!$J$60),'1. Rates'!$E$41,'1. Rates'!$E$42)</f>
        <v>5000</v>
      </c>
      <c r="I10" s="53">
        <f>IF('1. Rates'!F$62&lt;'2. Energy'!$N14*(1+'1. Rates'!$J$60),'1. Rates'!F$41,'1. Rates'!F$42)</f>
        <v>5000</v>
      </c>
      <c r="J10" s="53">
        <f>IF('1. Rates'!G$62&lt;'2. Energy'!$N14*(1+'1. Rates'!$J$60),'1. Rates'!G$41,'1. Rates'!G$42)</f>
        <v>0</v>
      </c>
      <c r="K10" s="53">
        <f>IF('1. Rates'!H$62&lt;'2. Energy'!$N14*(1+'1. Rates'!$J$60),'1. Rates'!H$41,'1. Rates'!H$42)</f>
        <v>0</v>
      </c>
      <c r="L10" s="53">
        <f>IF('1. Rates'!Q45&lt;('2. Energy'!N14*(1+'1. Rates'!$J$60)),'1. Rates'!$I$41,0)</f>
        <v>0</v>
      </c>
      <c r="M10" s="53">
        <f t="shared" si="1"/>
        <v>32084.112914798228</v>
      </c>
      <c r="N10" s="119">
        <v>10000</v>
      </c>
      <c r="O10" s="119">
        <v>2500</v>
      </c>
      <c r="P10" s="119">
        <v>5000</v>
      </c>
      <c r="Q10" s="119">
        <v>5000</v>
      </c>
      <c r="R10" s="119">
        <v>0</v>
      </c>
      <c r="S10" s="119">
        <v>0</v>
      </c>
      <c r="T10" s="119"/>
      <c r="U10" s="53">
        <f>'2. Energy'!N14*(1+'1. Rates'!$J$60)</f>
        <v>2.4094746893337118</v>
      </c>
      <c r="V10" s="53">
        <f>(SUM('4.Projected'!W9:AC9)+SUM('4.Projected'!AF9:AK9))/(SUM('4.Projected'!F9:K9))</f>
        <v>4.2000355959605411</v>
      </c>
      <c r="W10" s="53">
        <f t="shared" si="2"/>
        <v>10000</v>
      </c>
      <c r="X10" s="53">
        <f t="shared" si="3"/>
        <v>2500</v>
      </c>
      <c r="Y10" s="53">
        <f t="shared" si="4"/>
        <v>5000</v>
      </c>
      <c r="Z10" s="53">
        <f t="shared" si="5"/>
        <v>5000</v>
      </c>
      <c r="AA10" s="53">
        <f t="shared" si="6"/>
        <v>0</v>
      </c>
      <c r="AB10" s="53">
        <f t="shared" si="7"/>
        <v>0</v>
      </c>
      <c r="AC10" s="53">
        <f t="shared" si="8"/>
        <v>0</v>
      </c>
      <c r="AD10" s="53">
        <f t="shared" si="9"/>
        <v>32084.112914798228</v>
      </c>
    </row>
    <row r="11" spans="2:30" ht="18" customHeight="1" x14ac:dyDescent="0.3">
      <c r="B11" s="14">
        <v>6</v>
      </c>
      <c r="C11" s="53">
        <f>'2. Energy'!O15</f>
        <v>62428.256664066801</v>
      </c>
      <c r="D11" s="53">
        <f>'2. Energy'!P15</f>
        <v>5316.2001736245902</v>
      </c>
      <c r="E11" s="53">
        <f>'2. Energy'!Q15</f>
        <v>57112.056490442214</v>
      </c>
      <c r="F11" s="53">
        <f>IF('1. Rates'!$C$62&lt;'2. Energy'!N15*(1+'1. Rates'!$J$60),'1. Rates'!$C$41,'1. Rates'!$C$42)</f>
        <v>10000</v>
      </c>
      <c r="G11" s="53">
        <f>IF('1. Rates'!$D$62&lt;'2. Energy'!N15*(1+'1. Rates'!$J$60),'1. Rates'!$D$41,'1. Rates'!$D$42)</f>
        <v>2500</v>
      </c>
      <c r="H11" s="53">
        <f>IF('1. Rates'!$E$62&lt;'2. Energy'!N15*(1+'1. Rates'!$J$60),'1. Rates'!$E$41,'1. Rates'!$E$42)</f>
        <v>5000</v>
      </c>
      <c r="I11" s="53">
        <f>IF('1. Rates'!F$62&lt;'2. Energy'!$N15*(1+'1. Rates'!$J$60),'1. Rates'!F$41,'1. Rates'!F$42)</f>
        <v>5000</v>
      </c>
      <c r="J11" s="53">
        <f>IF('1. Rates'!G$62&lt;'2. Energy'!$N15*(1+'1. Rates'!$J$60),'1. Rates'!G$41,'1. Rates'!G$42)</f>
        <v>0</v>
      </c>
      <c r="K11" s="53">
        <f>IF('1. Rates'!H$62&lt;'2. Energy'!$N15*(1+'1. Rates'!$J$60),'1. Rates'!H$41,'1. Rates'!H$42)</f>
        <v>0</v>
      </c>
      <c r="L11" s="53">
        <f>IF('1. Rates'!Q46&lt;('2. Energy'!N15*(1+'1. Rates'!$J$60)),'1. Rates'!$I$41,0)</f>
        <v>0</v>
      </c>
      <c r="M11" s="53">
        <f t="shared" si="1"/>
        <v>34612.056490442214</v>
      </c>
      <c r="N11" s="119">
        <v>10000</v>
      </c>
      <c r="O11" s="119">
        <v>2500</v>
      </c>
      <c r="P11" s="119">
        <v>5000</v>
      </c>
      <c r="Q11" s="119">
        <v>5000</v>
      </c>
      <c r="R11" s="119">
        <v>10000</v>
      </c>
      <c r="S11" s="119">
        <v>0</v>
      </c>
      <c r="T11" s="119"/>
      <c r="U11" s="53">
        <f>'2. Energy'!N15*(1+'1. Rates'!$J$60)</f>
        <v>3.0326518666664688</v>
      </c>
      <c r="V11" s="53">
        <f>(SUM('4.Projected'!W10:AC10)+SUM('4.Projected'!AF10:AK10))/(SUM('4.Projected'!F10:K10))</f>
        <v>4.8096861818188366</v>
      </c>
      <c r="W11" s="53">
        <f t="shared" si="2"/>
        <v>10000</v>
      </c>
      <c r="X11" s="53">
        <f t="shared" si="3"/>
        <v>2500</v>
      </c>
      <c r="Y11" s="53">
        <f t="shared" si="4"/>
        <v>5000</v>
      </c>
      <c r="Z11" s="53">
        <f t="shared" si="5"/>
        <v>5000</v>
      </c>
      <c r="AA11" s="53">
        <f t="shared" si="6"/>
        <v>10000</v>
      </c>
      <c r="AB11" s="53">
        <f t="shared" si="7"/>
        <v>0</v>
      </c>
      <c r="AC11" s="53">
        <f t="shared" si="8"/>
        <v>0</v>
      </c>
      <c r="AD11" s="53">
        <f t="shared" si="9"/>
        <v>24612.056490442214</v>
      </c>
    </row>
    <row r="12" spans="2:30" ht="18" customHeight="1" x14ac:dyDescent="0.3">
      <c r="B12" s="14">
        <v>7</v>
      </c>
      <c r="C12" s="53">
        <f>'2. Energy'!O16</f>
        <v>65280.837737812115</v>
      </c>
      <c r="D12" s="53">
        <f>'2. Energy'!P16</f>
        <v>6026.9370229463693</v>
      </c>
      <c r="E12" s="53">
        <f>'2. Energy'!Q16</f>
        <v>59253.900714865747</v>
      </c>
      <c r="F12" s="53">
        <f>IF('1. Rates'!$C$62&lt;'2. Energy'!N16*(1+'1. Rates'!$J$60),'1. Rates'!$C$41,'1. Rates'!$C$42)</f>
        <v>10000</v>
      </c>
      <c r="G12" s="53">
        <f>IF('1. Rates'!$D$62&lt;'2. Energy'!N16*(1+'1. Rates'!$J$60),'1. Rates'!$D$41,'1. Rates'!$D$42)</f>
        <v>2500</v>
      </c>
      <c r="H12" s="53">
        <f>IF('1. Rates'!$E$62&lt;'2. Energy'!N16*(1+'1. Rates'!$J$60),'1. Rates'!$E$41,'1. Rates'!$E$42)</f>
        <v>5000</v>
      </c>
      <c r="I12" s="53">
        <f>IF('1. Rates'!F$62&lt;'2. Energy'!$N16*(1+'1. Rates'!$J$60),'1. Rates'!F$41,'1. Rates'!F$42)</f>
        <v>5000</v>
      </c>
      <c r="J12" s="53">
        <f>IF('1. Rates'!G$62&lt;'2. Energy'!$N16*(1+'1. Rates'!$J$60),'1. Rates'!G$41,'1. Rates'!G$42)</f>
        <v>0</v>
      </c>
      <c r="K12" s="53">
        <f>IF('1. Rates'!H$62&lt;'2. Energy'!$N16*(1+'1. Rates'!$J$60),'1. Rates'!H$41,'1. Rates'!H$42)</f>
        <v>0</v>
      </c>
      <c r="L12" s="53">
        <f>IF('1. Rates'!Q47&lt;('2. Energy'!N16*(1+'1. Rates'!$J$60)),'1. Rates'!$I$41,0)</f>
        <v>0</v>
      </c>
      <c r="M12" s="53">
        <f t="shared" si="1"/>
        <v>36753.900714865747</v>
      </c>
      <c r="N12" s="119">
        <v>10000</v>
      </c>
      <c r="O12" s="119">
        <v>2500</v>
      </c>
      <c r="P12" s="119">
        <v>5000</v>
      </c>
      <c r="Q12" s="119">
        <v>5000</v>
      </c>
      <c r="R12" s="119">
        <v>10000</v>
      </c>
      <c r="S12" s="119">
        <v>0</v>
      </c>
      <c r="T12" s="119"/>
      <c r="U12" s="53">
        <f>'2. Energy'!N16*(1+'1. Rates'!$J$60)</f>
        <v>3.059937551572379</v>
      </c>
      <c r="V12" s="53">
        <f>(SUM('4.Projected'!W11:AC11)+SUM('4.Projected'!AF11:AK11))/(SUM('4.Projected'!F11:K11))</f>
        <v>4.8096861818188366</v>
      </c>
      <c r="W12" s="53">
        <f t="shared" si="2"/>
        <v>10000</v>
      </c>
      <c r="X12" s="53">
        <f t="shared" si="3"/>
        <v>2500</v>
      </c>
      <c r="Y12" s="53">
        <f t="shared" si="4"/>
        <v>5000</v>
      </c>
      <c r="Z12" s="53">
        <f t="shared" si="5"/>
        <v>5000</v>
      </c>
      <c r="AA12" s="53">
        <f t="shared" si="6"/>
        <v>10000</v>
      </c>
      <c r="AB12" s="53">
        <f t="shared" si="7"/>
        <v>0</v>
      </c>
      <c r="AC12" s="53">
        <f t="shared" si="8"/>
        <v>0</v>
      </c>
      <c r="AD12" s="53">
        <f t="shared" si="9"/>
        <v>26753.900714865747</v>
      </c>
    </row>
    <row r="13" spans="2:30" ht="18" customHeight="1" x14ac:dyDescent="0.3">
      <c r="B13" s="14">
        <v>8</v>
      </c>
      <c r="C13" s="53">
        <f>'2. Energy'!O17</f>
        <v>71789.233350535622</v>
      </c>
      <c r="D13" s="53">
        <f>'2. Energy'!P17</f>
        <v>7195.7318263237594</v>
      </c>
      <c r="E13" s="53">
        <f>'2. Energy'!Q17</f>
        <v>64593.501524211861</v>
      </c>
      <c r="F13" s="53">
        <f>IF('1. Rates'!$C$62&lt;'2. Energy'!N17*(1+'1. Rates'!$J$60),'1. Rates'!$C$41,'1. Rates'!$C$42)</f>
        <v>10000</v>
      </c>
      <c r="G13" s="53">
        <f>IF('1. Rates'!$D$62&lt;'2. Energy'!N17*(1+'1. Rates'!$J$60),'1. Rates'!$D$41,'1. Rates'!$D$42)</f>
        <v>2500</v>
      </c>
      <c r="H13" s="53">
        <f>IF('1. Rates'!$E$62&lt;'2. Energy'!N17*(1+'1. Rates'!$J$60),'1. Rates'!$E$41,'1. Rates'!$E$42)</f>
        <v>5000</v>
      </c>
      <c r="I13" s="53">
        <f>IF('1. Rates'!F$62&lt;'2. Energy'!$N17*(1+'1. Rates'!$J$60),'1. Rates'!F$41,'1. Rates'!F$42)</f>
        <v>5000</v>
      </c>
      <c r="J13" s="53">
        <f>IF('1. Rates'!G$62&lt;'2. Energy'!$N17*(1+'1. Rates'!$J$60),'1. Rates'!G$41,'1. Rates'!G$42)</f>
        <v>0</v>
      </c>
      <c r="K13" s="53">
        <f>IF('1. Rates'!H$62&lt;'2. Energy'!$N17*(1+'1. Rates'!$J$60),'1. Rates'!H$41,'1. Rates'!H$42)</f>
        <v>0</v>
      </c>
      <c r="L13" s="53">
        <f>IF('1. Rates'!Q48&lt;('2. Energy'!N17*(1+'1. Rates'!$J$60)),'1. Rates'!$I$41,0)</f>
        <v>0</v>
      </c>
      <c r="M13" s="53">
        <f t="shared" si="1"/>
        <v>42093.501524211861</v>
      </c>
      <c r="N13" s="119">
        <v>10000</v>
      </c>
      <c r="O13" s="119">
        <v>2500</v>
      </c>
      <c r="P13" s="119">
        <v>5000</v>
      </c>
      <c r="Q13" s="119">
        <v>5000</v>
      </c>
      <c r="R13" s="119">
        <v>10000</v>
      </c>
      <c r="S13" s="119">
        <v>0</v>
      </c>
      <c r="T13" s="119"/>
      <c r="U13" s="53">
        <f>'2. Energy'!N17*(1+'1. Rates'!$J$60)</f>
        <v>2.6556703392202161</v>
      </c>
      <c r="V13" s="53">
        <f>(SUM('4.Projected'!W12:AC12)+SUM('4.Projected'!AF12:AK12))/(SUM('4.Projected'!F12:K12))</f>
        <v>4.8096861818188366</v>
      </c>
      <c r="W13" s="53">
        <f t="shared" si="2"/>
        <v>10000</v>
      </c>
      <c r="X13" s="53">
        <f t="shared" si="3"/>
        <v>2500</v>
      </c>
      <c r="Y13" s="53">
        <f t="shared" si="4"/>
        <v>5000</v>
      </c>
      <c r="Z13" s="53">
        <f t="shared" si="5"/>
        <v>5000</v>
      </c>
      <c r="AA13" s="53">
        <f t="shared" si="6"/>
        <v>10000</v>
      </c>
      <c r="AB13" s="53">
        <f t="shared" si="7"/>
        <v>0</v>
      </c>
      <c r="AC13" s="53">
        <f t="shared" si="8"/>
        <v>0</v>
      </c>
      <c r="AD13" s="53">
        <f t="shared" si="9"/>
        <v>32093.501524211861</v>
      </c>
    </row>
    <row r="14" spans="2:30" ht="18" customHeight="1" x14ac:dyDescent="0.3">
      <c r="B14" s="14">
        <v>9</v>
      </c>
      <c r="C14" s="53">
        <f>'2. Energy'!O18</f>
        <v>87389.614149444242</v>
      </c>
      <c r="D14" s="53">
        <f>'2. Energy'!P18</f>
        <v>8933.1253605043021</v>
      </c>
      <c r="E14" s="53">
        <f>'2. Energy'!Q18</f>
        <v>78456.48878893994</v>
      </c>
      <c r="F14" s="53">
        <f>IF('1. Rates'!$C$62&lt;'2. Energy'!N18*(1+'1. Rates'!$J$60),'1. Rates'!$C$41,'1. Rates'!$C$42)</f>
        <v>10000</v>
      </c>
      <c r="G14" s="53">
        <f>IF('1. Rates'!$D$62&lt;'2. Energy'!N18*(1+'1. Rates'!$J$60),'1. Rates'!$D$41,'1. Rates'!$D$42)</f>
        <v>2500</v>
      </c>
      <c r="H14" s="53">
        <f>IF('1. Rates'!$E$62&lt;'2. Energy'!N18*(1+'1. Rates'!$J$60),'1. Rates'!$E$41,'1. Rates'!$E$42)</f>
        <v>5000</v>
      </c>
      <c r="I14" s="53">
        <f>IF('1. Rates'!F$62&lt;'2. Energy'!$N18*(1+'1. Rates'!$J$60),'1. Rates'!F$41,'1. Rates'!F$42)</f>
        <v>5000</v>
      </c>
      <c r="J14" s="53">
        <f>IF('1. Rates'!G$62&lt;'2. Energy'!$N18*(1+'1. Rates'!$J$60),'1. Rates'!G$41,'1. Rates'!G$42)</f>
        <v>0</v>
      </c>
      <c r="K14" s="53">
        <f>IF('1. Rates'!H$62&lt;'2. Energy'!$N18*(1+'1. Rates'!$J$60),'1. Rates'!H$41,'1. Rates'!H$42)</f>
        <v>0</v>
      </c>
      <c r="L14" s="53">
        <f>IF('1. Rates'!Q49&lt;('2. Energy'!N18*(1+'1. Rates'!$J$60)),'1. Rates'!$I$42,0)</f>
        <v>0</v>
      </c>
      <c r="M14" s="53">
        <f t="shared" si="1"/>
        <v>55956.48878893994</v>
      </c>
      <c r="N14" s="119">
        <v>10000</v>
      </c>
      <c r="O14" s="119">
        <v>2500</v>
      </c>
      <c r="P14" s="119">
        <v>5000</v>
      </c>
      <c r="Q14" s="119">
        <v>5000</v>
      </c>
      <c r="R14" s="119">
        <v>20000</v>
      </c>
      <c r="S14" s="119">
        <v>0</v>
      </c>
      <c r="T14" s="119"/>
      <c r="U14" s="53">
        <f>'2. Energy'!N18*(1+'1. Rates'!$J$60)</f>
        <v>3.3793482455281554</v>
      </c>
      <c r="V14" s="53">
        <f>(SUM('4.Projected'!W13:AC13)+SUM('4.Projected'!AF13:AK13))/(SUM('4.Projected'!F13:K13))</f>
        <v>5.1324423743320509</v>
      </c>
      <c r="W14" s="53">
        <f t="shared" si="2"/>
        <v>10000</v>
      </c>
      <c r="X14" s="53">
        <f t="shared" si="3"/>
        <v>2500</v>
      </c>
      <c r="Y14" s="53">
        <f t="shared" si="4"/>
        <v>5000</v>
      </c>
      <c r="Z14" s="53">
        <f t="shared" si="5"/>
        <v>5000</v>
      </c>
      <c r="AA14" s="53">
        <f t="shared" si="6"/>
        <v>20000</v>
      </c>
      <c r="AB14" s="53">
        <f t="shared" si="7"/>
        <v>0</v>
      </c>
      <c r="AC14" s="53">
        <f t="shared" si="8"/>
        <v>0</v>
      </c>
      <c r="AD14" s="53">
        <f t="shared" si="9"/>
        <v>35956.48878893994</v>
      </c>
    </row>
    <row r="15" spans="2:30" ht="18" customHeight="1" x14ac:dyDescent="0.3">
      <c r="B15" s="14">
        <v>10</v>
      </c>
      <c r="C15" s="53">
        <f>'2. Energy'!O19</f>
        <v>101103.64044798797</v>
      </c>
      <c r="D15" s="53">
        <f>'2. Energy'!P19</f>
        <v>14753.131298959213</v>
      </c>
      <c r="E15" s="53">
        <f>'2. Energy'!Q19</f>
        <v>86350.50914902876</v>
      </c>
      <c r="F15" s="53">
        <f>IF('1. Rates'!$C$62&lt;'2. Energy'!N19*(1+'1. Rates'!$J$60),'1. Rates'!$C$41,'1. Rates'!$C$42)</f>
        <v>10000</v>
      </c>
      <c r="G15" s="53">
        <f>IF('1. Rates'!$D$62&lt;'2. Energy'!N19*(1+'1. Rates'!$J$60),'1. Rates'!$D$41,'1. Rates'!$D$42)</f>
        <v>2500</v>
      </c>
      <c r="H15" s="53">
        <f>IF('1. Rates'!$E$62&lt;'2. Energy'!N19*(1+'1. Rates'!$J$60),'1. Rates'!$E$41,'1. Rates'!$E$42)</f>
        <v>5000</v>
      </c>
      <c r="I15" s="53">
        <f>IF('1. Rates'!F$62&lt;'2. Energy'!$N19*(1+'1. Rates'!$J$60),'1. Rates'!F$41,'1. Rates'!F$42)</f>
        <v>5000</v>
      </c>
      <c r="J15" s="53">
        <f>IF('1. Rates'!G$62&lt;'2. Energy'!$N19*(1+'1. Rates'!$J$60),'1. Rates'!G$41,'1. Rates'!G$42)</f>
        <v>0</v>
      </c>
      <c r="K15" s="53">
        <f>IF('1. Rates'!H$62&lt;'2. Energy'!$N19*(1+'1. Rates'!$J$60),'1. Rates'!H$41,'1. Rates'!H$42)</f>
        <v>0</v>
      </c>
      <c r="L15" s="53">
        <f>IF('1. Rates'!Q50&lt;('2. Energy'!N19*(1+'1. Rates'!$J$60)),'1. Rates'!$I$42,0)</f>
        <v>0</v>
      </c>
      <c r="M15" s="53">
        <f t="shared" si="1"/>
        <v>63850.50914902876</v>
      </c>
      <c r="N15" s="119">
        <v>10000</v>
      </c>
      <c r="O15" s="119">
        <v>2500</v>
      </c>
      <c r="P15" s="119">
        <v>5000</v>
      </c>
      <c r="Q15" s="119">
        <v>5000</v>
      </c>
      <c r="R15" s="119">
        <v>20000</v>
      </c>
      <c r="S15" s="119">
        <v>0</v>
      </c>
      <c r="T15" s="119"/>
      <c r="U15" s="53">
        <f>'2. Energy'!N19*(1+'1. Rates'!$J$60)</f>
        <v>3.2211715449077309</v>
      </c>
      <c r="V15" s="53">
        <f>(SUM('4.Projected'!W14:AC14)+SUM('4.Projected'!AF14:AK14))/(SUM('4.Projected'!F14:K14))</f>
        <v>5.1324423743320509</v>
      </c>
      <c r="W15" s="53">
        <f t="shared" si="2"/>
        <v>10000</v>
      </c>
      <c r="X15" s="53">
        <f t="shared" si="3"/>
        <v>2500</v>
      </c>
      <c r="Y15" s="53">
        <f t="shared" si="4"/>
        <v>5000</v>
      </c>
      <c r="Z15" s="53">
        <f t="shared" si="5"/>
        <v>5000</v>
      </c>
      <c r="AA15" s="53">
        <f t="shared" si="6"/>
        <v>20000</v>
      </c>
      <c r="AB15" s="53">
        <f t="shared" si="7"/>
        <v>0</v>
      </c>
      <c r="AC15" s="53">
        <f t="shared" si="8"/>
        <v>0</v>
      </c>
      <c r="AD15" s="53">
        <f t="shared" si="9"/>
        <v>43850.50914902876</v>
      </c>
    </row>
    <row r="16" spans="2:30" ht="18" customHeight="1" x14ac:dyDescent="0.3">
      <c r="B16" s="14">
        <v>11</v>
      </c>
      <c r="C16" s="53">
        <f>'2. Energy'!O20</f>
        <v>107959.72341133133</v>
      </c>
      <c r="D16" s="53">
        <f>'2. Energy'!P20</f>
        <v>15709.748416936136</v>
      </c>
      <c r="E16" s="53">
        <f>'2. Energy'!Q20</f>
        <v>92249.97499439519</v>
      </c>
      <c r="F16" s="53">
        <f>IF('1. Rates'!$C$62&lt;'2. Energy'!N20*(1+'1. Rates'!$J$60),'1. Rates'!$C$41,'1. Rates'!$C$42)</f>
        <v>10000</v>
      </c>
      <c r="G16" s="53">
        <f>IF('1. Rates'!$D$62&lt;'2. Energy'!N20*(1+'1. Rates'!$J$60),'1. Rates'!$D$41,'1. Rates'!$D$42)</f>
        <v>2500</v>
      </c>
      <c r="H16" s="53">
        <f>IF('1. Rates'!$E$62&lt;'2. Energy'!N20*(1+'1. Rates'!$J$60),'1. Rates'!$E$41,'1. Rates'!$E$42)</f>
        <v>5000</v>
      </c>
      <c r="I16" s="53">
        <f>IF('1. Rates'!F$62&lt;'2. Energy'!$N20*(1+'1. Rates'!$J$60),'1. Rates'!F$41,'1. Rates'!F$42)</f>
        <v>5000</v>
      </c>
      <c r="J16" s="53">
        <f>IF('1. Rates'!G$62&lt;'2. Energy'!$N20*(1+'1. Rates'!$J$60),'1. Rates'!G$41,'1. Rates'!G$42)</f>
        <v>0</v>
      </c>
      <c r="K16" s="53">
        <f>IF('1. Rates'!H$62&lt;'2. Energy'!$N20*(1+'1. Rates'!$J$60),'1. Rates'!H$41,'1. Rates'!H$42)</f>
        <v>0</v>
      </c>
      <c r="L16" s="53">
        <f>IF('1. Rates'!Q51&lt;('2. Energy'!N20*(1+'1. Rates'!$J$60)),'1. Rates'!$I$42,0)</f>
        <v>0</v>
      </c>
      <c r="M16" s="53">
        <f t="shared" si="1"/>
        <v>69749.97499439519</v>
      </c>
      <c r="N16" s="119">
        <v>10000</v>
      </c>
      <c r="O16" s="119">
        <v>2500</v>
      </c>
      <c r="P16" s="119">
        <v>5000</v>
      </c>
      <c r="Q16" s="119">
        <v>5000</v>
      </c>
      <c r="R16" s="119">
        <v>20000</v>
      </c>
      <c r="S16" s="119">
        <v>0</v>
      </c>
      <c r="T16" s="119"/>
      <c r="U16" s="53">
        <f>'2. Energy'!N20*(1+'1. Rates'!$J$60)</f>
        <v>3.3385013760057229</v>
      </c>
      <c r="V16" s="53">
        <f>(SUM('4.Projected'!W15:AC15)+SUM('4.Projected'!AF15:AK15))/(SUM('4.Projected'!F15:K15))</f>
        <v>5.1324423743320509</v>
      </c>
      <c r="W16" s="53">
        <f t="shared" si="2"/>
        <v>10000</v>
      </c>
      <c r="X16" s="53">
        <f t="shared" si="3"/>
        <v>2500</v>
      </c>
      <c r="Y16" s="53">
        <f t="shared" si="4"/>
        <v>5000</v>
      </c>
      <c r="Z16" s="53">
        <f t="shared" si="5"/>
        <v>5000</v>
      </c>
      <c r="AA16" s="53">
        <f t="shared" si="6"/>
        <v>20000</v>
      </c>
      <c r="AB16" s="53">
        <f t="shared" si="7"/>
        <v>0</v>
      </c>
      <c r="AC16" s="53">
        <f t="shared" si="8"/>
        <v>0</v>
      </c>
      <c r="AD16" s="53">
        <f t="shared" si="9"/>
        <v>49749.97499439519</v>
      </c>
    </row>
    <row r="17" spans="2:30" ht="18" customHeight="1" x14ac:dyDescent="0.3">
      <c r="B17" s="14">
        <v>12</v>
      </c>
      <c r="C17" s="53">
        <f>'2. Energy'!O21</f>
        <v>110080.97931230487</v>
      </c>
      <c r="D17" s="53">
        <f>'2. Energy'!P21</f>
        <v>15288.482675606536</v>
      </c>
      <c r="E17" s="53">
        <f>'2. Energy'!Q21</f>
        <v>94792.496636698343</v>
      </c>
      <c r="F17" s="53">
        <f>IF('1. Rates'!$C$62&lt;'2. Energy'!N21*(1+'1. Rates'!$J$60),'1. Rates'!$C$41,'1. Rates'!$C$42)</f>
        <v>10000</v>
      </c>
      <c r="G17" s="53">
        <f>IF('1. Rates'!$D$62&lt;'2. Energy'!N21*(1+'1. Rates'!$J$60),'1. Rates'!$D$41,'1. Rates'!$D$42)</f>
        <v>2500</v>
      </c>
      <c r="H17" s="53">
        <f>IF('1. Rates'!$E$62&lt;'2. Energy'!N21*(1+'1. Rates'!$J$60),'1. Rates'!$E$41,'1. Rates'!$E$42)</f>
        <v>5000</v>
      </c>
      <c r="I17" s="53">
        <f>IF('1. Rates'!F$62&lt;'2. Energy'!$N21*(1+'1. Rates'!$J$60),'1. Rates'!F$41,'1. Rates'!F$42)</f>
        <v>5000</v>
      </c>
      <c r="J17" s="53">
        <f>IF('1. Rates'!G$62&lt;'2. Energy'!$N21*(1+'1. Rates'!$J$60),'1. Rates'!G$41,'1. Rates'!G$42)</f>
        <v>0</v>
      </c>
      <c r="K17" s="53">
        <f>IF('1. Rates'!H$62&lt;'2. Energy'!$N21*(1+'1. Rates'!$J$60),'1. Rates'!H$41,'1. Rates'!H$42)</f>
        <v>0</v>
      </c>
      <c r="L17" s="53">
        <f>IF('1. Rates'!Q52&lt;('2. Energy'!N21*(1+'1. Rates'!$J$60)),'1. Rates'!$I$42,0)</f>
        <v>0</v>
      </c>
      <c r="M17" s="53">
        <f t="shared" si="1"/>
        <v>72292.496636698343</v>
      </c>
      <c r="N17" s="119">
        <v>10000</v>
      </c>
      <c r="O17" s="119">
        <v>2500</v>
      </c>
      <c r="P17" s="119">
        <v>5000</v>
      </c>
      <c r="Q17" s="119">
        <v>5000</v>
      </c>
      <c r="R17" s="119">
        <v>20000</v>
      </c>
      <c r="S17" s="119">
        <v>0</v>
      </c>
      <c r="T17" s="119"/>
      <c r="U17" s="53">
        <f>'2. Energy'!N21*(1+'1. Rates'!$J$60)</f>
        <v>3.0268217982179242</v>
      </c>
      <c r="V17" s="53">
        <f>(SUM('4.Projected'!W16:AC16)+SUM('4.Projected'!AF16:AK16))/(SUM('4.Projected'!F16:K16))</f>
        <v>5.1324423743320509</v>
      </c>
      <c r="W17" s="53">
        <f t="shared" si="2"/>
        <v>10000</v>
      </c>
      <c r="X17" s="53">
        <f t="shared" si="3"/>
        <v>2500</v>
      </c>
      <c r="Y17" s="53">
        <f t="shared" si="4"/>
        <v>5000</v>
      </c>
      <c r="Z17" s="53">
        <f t="shared" si="5"/>
        <v>5000</v>
      </c>
      <c r="AA17" s="53">
        <f t="shared" si="6"/>
        <v>20000</v>
      </c>
      <c r="AB17" s="53">
        <f t="shared" si="7"/>
        <v>0</v>
      </c>
      <c r="AC17" s="53">
        <f t="shared" si="8"/>
        <v>0</v>
      </c>
      <c r="AD17" s="53">
        <f t="shared" si="9"/>
        <v>52292.496636698343</v>
      </c>
    </row>
    <row r="18" spans="2:30" ht="18" customHeight="1" x14ac:dyDescent="0.3">
      <c r="B18" s="14">
        <v>13</v>
      </c>
      <c r="C18" s="53">
        <f>'2. Energy'!O22</f>
        <v>108883.67686633125</v>
      </c>
      <c r="D18" s="53">
        <f>'2. Energy'!P22</f>
        <v>15654.785977517513</v>
      </c>
      <c r="E18" s="53">
        <f>'2. Energy'!Q22</f>
        <v>93228.890888813738</v>
      </c>
      <c r="F18" s="53">
        <f>IF('1. Rates'!$C$62&lt;'2. Energy'!N22*(1+'1. Rates'!$J$60),'1. Rates'!$C$41,'1. Rates'!$C$42)</f>
        <v>10000</v>
      </c>
      <c r="G18" s="53">
        <f>IF('1. Rates'!$D$62&lt;'2. Energy'!N22*(1+'1. Rates'!$J$60),'1. Rates'!$D$41,'1. Rates'!$D$42)</f>
        <v>2500</v>
      </c>
      <c r="H18" s="53">
        <f>IF('1. Rates'!$E$62&lt;'2. Energy'!N22*(1+'1. Rates'!$J$60),'1. Rates'!$E$41,'1. Rates'!$E$42)</f>
        <v>5000</v>
      </c>
      <c r="I18" s="53">
        <f>IF('1. Rates'!F$62&lt;'2. Energy'!$N22*(1+'1. Rates'!$J$60),'1. Rates'!F$41,'1. Rates'!F$42)</f>
        <v>5000</v>
      </c>
      <c r="J18" s="53">
        <f>IF('1. Rates'!G$62&lt;'2. Energy'!$N22*(1+'1. Rates'!$J$60),'1. Rates'!G$41,'1. Rates'!G$42)</f>
        <v>0</v>
      </c>
      <c r="K18" s="53">
        <f>IF('1. Rates'!H$62&lt;'2. Energy'!$N22*(1+'1. Rates'!$J$60),'1. Rates'!H$41,'1. Rates'!H$42)</f>
        <v>0</v>
      </c>
      <c r="L18" s="53">
        <f>IF('1. Rates'!Q53&lt;('2. Energy'!N22*(1+'1. Rates'!$J$60)),'1. Rates'!$I$42,0)</f>
        <v>0</v>
      </c>
      <c r="M18" s="53">
        <f t="shared" si="1"/>
        <v>70728.890888813738</v>
      </c>
      <c r="N18" s="119">
        <v>10000</v>
      </c>
      <c r="O18" s="119">
        <v>2500</v>
      </c>
      <c r="P18" s="119">
        <v>5000</v>
      </c>
      <c r="Q18" s="119">
        <v>5000</v>
      </c>
      <c r="R18" s="119">
        <v>20000</v>
      </c>
      <c r="S18" s="119">
        <v>0</v>
      </c>
      <c r="T18" s="119"/>
      <c r="U18" s="53">
        <f>'2. Energy'!N22*(1+'1. Rates'!$J$60)</f>
        <v>3.2475647002222119</v>
      </c>
      <c r="V18" s="53">
        <f>(SUM('4.Projected'!W17:AC17)+SUM('4.Projected'!AF17:AK17))/(SUM('4.Projected'!F17:K17))</f>
        <v>5.1324423743320509</v>
      </c>
      <c r="W18" s="53">
        <f t="shared" si="2"/>
        <v>10000</v>
      </c>
      <c r="X18" s="53">
        <f t="shared" si="3"/>
        <v>2500</v>
      </c>
      <c r="Y18" s="53">
        <f t="shared" si="4"/>
        <v>5000</v>
      </c>
      <c r="Z18" s="53">
        <f t="shared" si="5"/>
        <v>5000</v>
      </c>
      <c r="AA18" s="53">
        <f t="shared" si="6"/>
        <v>20000</v>
      </c>
      <c r="AB18" s="53">
        <f t="shared" si="7"/>
        <v>0</v>
      </c>
      <c r="AC18" s="53">
        <f t="shared" si="8"/>
        <v>0</v>
      </c>
      <c r="AD18" s="53">
        <f t="shared" si="9"/>
        <v>50728.890888813738</v>
      </c>
    </row>
    <row r="19" spans="2:30" ht="18" customHeight="1" x14ac:dyDescent="0.3">
      <c r="B19" s="14">
        <v>14</v>
      </c>
      <c r="C19" s="53">
        <f>'2. Energy'!O23</f>
        <v>112615.29510001036</v>
      </c>
      <c r="D19" s="53">
        <f>'2. Energy'!P23</f>
        <v>15297.693443735659</v>
      </c>
      <c r="E19" s="53">
        <f>'2. Energy'!Q23</f>
        <v>97317.60165627471</v>
      </c>
      <c r="F19" s="53">
        <f>IF('1. Rates'!$C$62&lt;'2. Energy'!N23*(1+'1. Rates'!$J$60),'1. Rates'!$C$41,'1. Rates'!$C$42)</f>
        <v>20000</v>
      </c>
      <c r="G19" s="53">
        <f>IF('1. Rates'!$D$62&lt;'2. Energy'!N23*(1+'1. Rates'!$J$60),'1. Rates'!$D$41,'1. Rates'!$D$42)</f>
        <v>5000</v>
      </c>
      <c r="H19" s="53">
        <f>IF('1. Rates'!$E$62&lt;'2. Energy'!N23*(1+'1. Rates'!$J$60),'1. Rates'!$E$41,'1. Rates'!$E$42)</f>
        <v>10000</v>
      </c>
      <c r="I19" s="53">
        <f>IF('1. Rates'!F$62&lt;'2. Energy'!$N23*(1+'1. Rates'!$J$60),'1. Rates'!F$41,'1. Rates'!F$42)</f>
        <v>10000</v>
      </c>
      <c r="J19" s="53">
        <f>IF('1. Rates'!G$62&lt;'2. Energy'!$N23*(1+'1. Rates'!$J$60),'1. Rates'!G$41,'1. Rates'!G$42)</f>
        <v>0</v>
      </c>
      <c r="K19" s="53">
        <f>IF('1. Rates'!H$62&lt;'2. Energy'!$N23*(1+'1. Rates'!$J$60),'1. Rates'!H$41,'1. Rates'!H$42)</f>
        <v>0</v>
      </c>
      <c r="L19" s="53">
        <f>IF('1. Rates'!Q54&lt;('2. Energy'!N23*(1+'1. Rates'!$J$60)),'1. Rates'!$I$42,0)</f>
        <v>0</v>
      </c>
      <c r="M19" s="53">
        <f t="shared" si="1"/>
        <v>52317.60165627471</v>
      </c>
      <c r="N19" s="119">
        <v>10000</v>
      </c>
      <c r="O19" s="119">
        <v>2500</v>
      </c>
      <c r="P19" s="119">
        <v>5000</v>
      </c>
      <c r="Q19" s="119">
        <v>5000</v>
      </c>
      <c r="R19" s="119">
        <v>20000</v>
      </c>
      <c r="S19" s="119">
        <v>10000</v>
      </c>
      <c r="T19" s="119"/>
      <c r="U19" s="53">
        <f>'2. Energy'!N23*(1+'1. Rates'!$J$60)</f>
        <v>3.8216771423744054</v>
      </c>
      <c r="V19" s="53">
        <f>(SUM('4.Projected'!W18:AC18)+SUM('4.Projected'!AF18:AK18))/(SUM('4.Projected'!F18:K18))</f>
        <v>4.895147360982989</v>
      </c>
      <c r="W19" s="53">
        <f t="shared" si="2"/>
        <v>10000</v>
      </c>
      <c r="X19" s="53">
        <f t="shared" si="3"/>
        <v>2500</v>
      </c>
      <c r="Y19" s="53">
        <f t="shared" si="4"/>
        <v>5000</v>
      </c>
      <c r="Z19" s="53">
        <f t="shared" si="5"/>
        <v>5000</v>
      </c>
      <c r="AA19" s="53">
        <f t="shared" si="6"/>
        <v>20000</v>
      </c>
      <c r="AB19" s="53">
        <f t="shared" si="7"/>
        <v>10000</v>
      </c>
      <c r="AC19" s="53">
        <f t="shared" si="8"/>
        <v>0</v>
      </c>
      <c r="AD19" s="53">
        <f t="shared" si="9"/>
        <v>44817.60165627471</v>
      </c>
    </row>
    <row r="20" spans="2:30" ht="18" customHeight="1" x14ac:dyDescent="0.3">
      <c r="B20" s="14">
        <v>15</v>
      </c>
      <c r="C20" s="53">
        <f>'2. Energy'!O24</f>
        <v>114599.84277688684</v>
      </c>
      <c r="D20" s="53">
        <f>'2. Energy'!P24</f>
        <v>15177.952556930688</v>
      </c>
      <c r="E20" s="53">
        <f>'2. Energy'!Q24</f>
        <v>99421.890219956156</v>
      </c>
      <c r="F20" s="53">
        <f>IF('1. Rates'!$C$62&lt;'2. Energy'!N24*(1+'1. Rates'!$J$60),'1. Rates'!$C$41,'1. Rates'!$C$42)</f>
        <v>10000</v>
      </c>
      <c r="G20" s="53">
        <f>IF('1. Rates'!$D$62&lt;'2. Energy'!N24*(1+'1. Rates'!$J$60),'1. Rates'!$D$41,'1. Rates'!$D$42)</f>
        <v>2500</v>
      </c>
      <c r="H20" s="53">
        <f>IF('1. Rates'!$E$62&lt;'2. Energy'!N24*(1+'1. Rates'!$J$60),'1. Rates'!$E$41,'1. Rates'!$E$42)</f>
        <v>5000</v>
      </c>
      <c r="I20" s="53">
        <f>IF('1. Rates'!F$62&lt;'2. Energy'!$N24*(1+'1. Rates'!$J$60),'1. Rates'!F$41,'1. Rates'!F$42)</f>
        <v>5000</v>
      </c>
      <c r="J20" s="53">
        <f>IF('1. Rates'!G$62&lt;'2. Energy'!$N24*(1+'1. Rates'!$J$60),'1. Rates'!G$41,'1. Rates'!G$42)</f>
        <v>0</v>
      </c>
      <c r="K20" s="53">
        <f>IF('1. Rates'!H$62&lt;'2. Energy'!$N24*(1+'1. Rates'!$J$60),'1. Rates'!H$41,'1. Rates'!H$42)</f>
        <v>0</v>
      </c>
      <c r="L20" s="53">
        <f>IF('1. Rates'!Q55&lt;('2. Energy'!N24*(1+'1. Rates'!$J$60)),'1. Rates'!$I$42,0)</f>
        <v>0</v>
      </c>
      <c r="M20" s="53">
        <f t="shared" si="1"/>
        <v>76921.890219956156</v>
      </c>
      <c r="N20" s="119">
        <v>10000</v>
      </c>
      <c r="O20" s="119">
        <v>2500</v>
      </c>
      <c r="P20" s="119">
        <v>5000</v>
      </c>
      <c r="Q20" s="119">
        <v>5000</v>
      </c>
      <c r="R20" s="119">
        <v>20000</v>
      </c>
      <c r="S20" s="119">
        <v>10000</v>
      </c>
      <c r="T20" s="119"/>
      <c r="U20" s="53">
        <f>'2. Energy'!N24*(1+'1. Rates'!$J$60)</f>
        <v>3.6631757550260184</v>
      </c>
      <c r="V20" s="53">
        <f>(SUM('4.Projected'!W19:AC19)+SUM('4.Projected'!AF19:AK19))/(SUM('4.Projected'!F19:K19))</f>
        <v>4.895147360982989</v>
      </c>
      <c r="W20" s="53">
        <f t="shared" si="2"/>
        <v>10000</v>
      </c>
      <c r="X20" s="53">
        <f t="shared" si="3"/>
        <v>2500</v>
      </c>
      <c r="Y20" s="53">
        <f t="shared" si="4"/>
        <v>5000</v>
      </c>
      <c r="Z20" s="53">
        <f t="shared" si="5"/>
        <v>5000</v>
      </c>
      <c r="AA20" s="53">
        <f t="shared" si="6"/>
        <v>20000</v>
      </c>
      <c r="AB20" s="53">
        <f t="shared" si="7"/>
        <v>10000</v>
      </c>
      <c r="AC20" s="53">
        <f t="shared" si="8"/>
        <v>0</v>
      </c>
      <c r="AD20" s="53">
        <f t="shared" si="9"/>
        <v>46921.890219956156</v>
      </c>
    </row>
    <row r="21" spans="2:30" ht="18" customHeight="1" x14ac:dyDescent="0.3">
      <c r="B21" s="14">
        <v>16</v>
      </c>
      <c r="C21" s="53">
        <f>'2. Energy'!O25</f>
        <v>114794.61188381146</v>
      </c>
      <c r="D21" s="53">
        <f>'2. Energy'!P25</f>
        <v>15377.067202970291</v>
      </c>
      <c r="E21" s="53">
        <f>'2. Energy'!Q25</f>
        <v>99417.54468084118</v>
      </c>
      <c r="F21" s="53">
        <f>IF('1. Rates'!$C$62&lt;'2. Energy'!N25*(1+'1. Rates'!$J$60),'1. Rates'!$C$41,'1. Rates'!$C$42)</f>
        <v>10000</v>
      </c>
      <c r="G21" s="53">
        <f>IF('1. Rates'!$D$62&lt;'2. Energy'!N25*(1+'1. Rates'!$J$60),'1. Rates'!$D$41,'1. Rates'!$D$42)</f>
        <v>2500</v>
      </c>
      <c r="H21" s="53">
        <f>IF('1. Rates'!$E$62&lt;'2. Energy'!N25*(1+'1. Rates'!$J$60),'1. Rates'!$E$41,'1. Rates'!$E$42)</f>
        <v>5000</v>
      </c>
      <c r="I21" s="53">
        <f>IF('1. Rates'!F$62&lt;'2. Energy'!$N25*(1+'1. Rates'!$J$60),'1. Rates'!F$41,'1. Rates'!F$42)</f>
        <v>5000</v>
      </c>
      <c r="J21" s="53">
        <f>IF('1. Rates'!G$62&lt;'2. Energy'!$N25*(1+'1. Rates'!$J$60),'1. Rates'!G$41,'1. Rates'!G$42)</f>
        <v>0</v>
      </c>
      <c r="K21" s="53">
        <f>IF('1. Rates'!H$62&lt;'2. Energy'!$N25*(1+'1. Rates'!$J$60),'1. Rates'!H$41,'1. Rates'!H$42)</f>
        <v>0</v>
      </c>
      <c r="L21" s="53">
        <f>IF('1. Rates'!Q56&lt;('2. Energy'!N25*(1+'1. Rates'!$J$60)),'1. Rates'!$I$42,0)</f>
        <v>0</v>
      </c>
      <c r="M21" s="53">
        <f t="shared" si="1"/>
        <v>76917.54468084118</v>
      </c>
      <c r="N21" s="119">
        <v>10000</v>
      </c>
      <c r="O21" s="119">
        <v>2500</v>
      </c>
      <c r="P21" s="119">
        <v>5000</v>
      </c>
      <c r="Q21" s="119">
        <v>5000</v>
      </c>
      <c r="R21" s="119">
        <v>20000</v>
      </c>
      <c r="S21" s="119">
        <v>10000</v>
      </c>
      <c r="T21" s="119"/>
      <c r="U21" s="53">
        <f>'2. Energy'!N25*(1+'1. Rates'!$J$60)</f>
        <v>3.6446762087738791</v>
      </c>
      <c r="V21" s="53">
        <f>(SUM('4.Projected'!W20:AC20)+SUM('4.Projected'!AF20:AK20))/(SUM('4.Projected'!F20:K20))</f>
        <v>4.895147360982989</v>
      </c>
      <c r="W21" s="53">
        <f t="shared" si="2"/>
        <v>10000</v>
      </c>
      <c r="X21" s="53">
        <f t="shared" si="3"/>
        <v>2500</v>
      </c>
      <c r="Y21" s="53">
        <f t="shared" si="4"/>
        <v>5000</v>
      </c>
      <c r="Z21" s="53">
        <f t="shared" si="5"/>
        <v>5000</v>
      </c>
      <c r="AA21" s="53">
        <f t="shared" si="6"/>
        <v>20000</v>
      </c>
      <c r="AB21" s="53">
        <f t="shared" si="7"/>
        <v>10000</v>
      </c>
      <c r="AC21" s="53">
        <f t="shared" si="8"/>
        <v>0</v>
      </c>
      <c r="AD21" s="53">
        <f t="shared" si="9"/>
        <v>46917.54468084118</v>
      </c>
    </row>
    <row r="22" spans="2:30" ht="18" customHeight="1" x14ac:dyDescent="0.3">
      <c r="B22" s="14">
        <v>17</v>
      </c>
      <c r="C22" s="53">
        <f>'2. Energy'!O26</f>
        <v>111306.86108096261</v>
      </c>
      <c r="D22" s="53">
        <f>'2. Energy'!P26</f>
        <v>15674.896709376819</v>
      </c>
      <c r="E22" s="53">
        <f>'2. Energy'!Q26</f>
        <v>95631.964371585796</v>
      </c>
      <c r="F22" s="53">
        <f>IF('1. Rates'!$C$62&lt;'2. Energy'!N26*(1+'1. Rates'!$J$60),'1. Rates'!$C$41,'1. Rates'!$C$42)</f>
        <v>20000</v>
      </c>
      <c r="G22" s="53">
        <f>IF('1. Rates'!$D$62&lt;'2. Energy'!N26*(1+'1. Rates'!$J$60),'1. Rates'!$D$41,'1. Rates'!$D$42)</f>
        <v>5000</v>
      </c>
      <c r="H22" s="53">
        <f>IF('1. Rates'!$E$62&lt;'2. Energy'!N26*(1+'1. Rates'!$J$60),'1. Rates'!$E$41,'1. Rates'!$E$42)</f>
        <v>10000</v>
      </c>
      <c r="I22" s="53">
        <f>IF('1. Rates'!F$62&lt;'2. Energy'!$N26*(1+'1. Rates'!$J$60),'1. Rates'!F$41,'1. Rates'!F$42)</f>
        <v>10000</v>
      </c>
      <c r="J22" s="53">
        <f>IF('1. Rates'!G$62&lt;'2. Energy'!$N26*(1+'1. Rates'!$J$60),'1. Rates'!G$41,'1. Rates'!G$42)</f>
        <v>0</v>
      </c>
      <c r="K22" s="53">
        <f>IF('1. Rates'!H$62&lt;'2. Energy'!$N26*(1+'1. Rates'!$J$60),'1. Rates'!H$41,'1. Rates'!H$42)</f>
        <v>10000</v>
      </c>
      <c r="L22" s="53">
        <f>IF('1. Rates'!Q57&lt;('2. Energy'!N26*(1+'1. Rates'!$J$60)),'1. Rates'!$I$42,0)</f>
        <v>0</v>
      </c>
      <c r="M22" s="53">
        <f t="shared" si="1"/>
        <v>40631.964371585796</v>
      </c>
      <c r="N22" s="119">
        <v>20000</v>
      </c>
      <c r="O22" s="119">
        <v>5000</v>
      </c>
      <c r="P22" s="119">
        <v>10000</v>
      </c>
      <c r="Q22" s="119">
        <v>10000</v>
      </c>
      <c r="R22" s="119">
        <v>20000</v>
      </c>
      <c r="S22" s="119">
        <v>10000</v>
      </c>
      <c r="T22" s="119"/>
      <c r="U22" s="53">
        <f>'2. Energy'!N26*(1+'1. Rates'!$J$60)</f>
        <v>4.6393855653728719</v>
      </c>
      <c r="V22" s="53">
        <f>(SUM('4.Projected'!W21:AC21)+SUM('4.Projected'!AF21:AK21))/(SUM('4.Projected'!F21:K21))</f>
        <v>4.5330645807973484</v>
      </c>
      <c r="W22" s="53">
        <f t="shared" si="2"/>
        <v>20000</v>
      </c>
      <c r="X22" s="53">
        <f t="shared" si="3"/>
        <v>5000</v>
      </c>
      <c r="Y22" s="53">
        <f t="shared" si="4"/>
        <v>10000</v>
      </c>
      <c r="Z22" s="53">
        <f t="shared" si="5"/>
        <v>10000</v>
      </c>
      <c r="AA22" s="53">
        <f t="shared" si="6"/>
        <v>20000</v>
      </c>
      <c r="AB22" s="53">
        <f t="shared" si="7"/>
        <v>10000</v>
      </c>
      <c r="AC22" s="53">
        <f t="shared" si="8"/>
        <v>0</v>
      </c>
      <c r="AD22" s="53">
        <f t="shared" si="9"/>
        <v>20631.964371585796</v>
      </c>
    </row>
    <row r="23" spans="2:30" ht="18" customHeight="1" x14ac:dyDescent="0.3">
      <c r="B23" s="14">
        <v>18</v>
      </c>
      <c r="C23" s="53">
        <f>'2. Energy'!O27</f>
        <v>103333.0386300043</v>
      </c>
      <c r="D23" s="53">
        <f>'2. Energy'!P27</f>
        <v>15609.913856532707</v>
      </c>
      <c r="E23" s="53">
        <f>'2. Energy'!Q27</f>
        <v>87723.124773471602</v>
      </c>
      <c r="F23" s="53">
        <f>IF('1. Rates'!$C$62&lt;'2. Energy'!N27*(1+'1. Rates'!$J$60),'1. Rates'!$C$41,'1. Rates'!$C$42)</f>
        <v>20000</v>
      </c>
      <c r="G23" s="53">
        <f>IF('1. Rates'!$D$62&lt;'2. Energy'!N27*(1+'1. Rates'!$J$60),'1. Rates'!$D$41,'1. Rates'!$D$42)</f>
        <v>5000</v>
      </c>
      <c r="H23" s="53">
        <f>IF('1. Rates'!$E$62&lt;'2. Energy'!N27*(1+'1. Rates'!$J$60),'1. Rates'!$E$41,'1. Rates'!$E$42)</f>
        <v>10000</v>
      </c>
      <c r="I23" s="53">
        <f>IF('1. Rates'!F$62&lt;'2. Energy'!$N27*(1+'1. Rates'!$J$60),'1. Rates'!F$41,'1. Rates'!F$42)</f>
        <v>10000</v>
      </c>
      <c r="J23" s="53">
        <f>IF('1. Rates'!G$62&lt;'2. Energy'!$N27*(1+'1. Rates'!$J$60),'1. Rates'!G$41,'1. Rates'!G$42)</f>
        <v>20000</v>
      </c>
      <c r="K23" s="53">
        <f>IF('1. Rates'!H$62&lt;'2. Energy'!$N27*(1+'1. Rates'!$J$60),'1. Rates'!H$41,'1. Rates'!H$42)</f>
        <v>10000</v>
      </c>
      <c r="L23" s="53">
        <f>IF('1. Rates'!Q58&lt;('2. Energy'!N27*(1+'1. Rates'!$J$60)),'1. Rates'!$I$41,0)</f>
        <v>0</v>
      </c>
      <c r="M23" s="53">
        <f t="shared" si="1"/>
        <v>12723.124773471602</v>
      </c>
      <c r="N23" s="119">
        <v>20000</v>
      </c>
      <c r="O23" s="119">
        <v>5000</v>
      </c>
      <c r="P23" s="119">
        <v>10000</v>
      </c>
      <c r="Q23" s="119">
        <v>10000</v>
      </c>
      <c r="R23" s="119">
        <v>20000</v>
      </c>
      <c r="S23" s="119">
        <v>10000</v>
      </c>
      <c r="T23" s="119"/>
      <c r="U23" s="53">
        <f>'2. Energy'!N27*(1+'1. Rates'!$J$60)</f>
        <v>8.3060308309252253</v>
      </c>
      <c r="V23" s="53">
        <f>(SUM('4.Projected'!W22:AC22)+SUM('4.Projected'!AF22:AK22))/(SUM('4.Projected'!F22:K22))</f>
        <v>4.5330645807973484</v>
      </c>
      <c r="W23" s="53">
        <f t="shared" si="2"/>
        <v>20000</v>
      </c>
      <c r="X23" s="53">
        <f t="shared" si="3"/>
        <v>5000</v>
      </c>
      <c r="Y23" s="53">
        <f t="shared" si="4"/>
        <v>10000</v>
      </c>
      <c r="Z23" s="53">
        <f t="shared" si="5"/>
        <v>10000</v>
      </c>
      <c r="AA23" s="53">
        <f t="shared" si="6"/>
        <v>20000</v>
      </c>
      <c r="AB23" s="53">
        <f t="shared" si="7"/>
        <v>10000</v>
      </c>
      <c r="AC23" s="53">
        <f t="shared" si="8"/>
        <v>0</v>
      </c>
      <c r="AD23" s="53">
        <f t="shared" si="9"/>
        <v>12723.124773471602</v>
      </c>
    </row>
    <row r="24" spans="2:30" ht="18" customHeight="1" x14ac:dyDescent="0.3">
      <c r="B24" s="14">
        <v>19</v>
      </c>
      <c r="C24" s="53">
        <f>'2. Energy'!O28</f>
        <v>102689.44155137496</v>
      </c>
      <c r="D24" s="53">
        <f>'2. Energy'!P28</f>
        <v>14847.048679867985</v>
      </c>
      <c r="E24" s="53">
        <f>'2. Energy'!Q28</f>
        <v>87842.392871506978</v>
      </c>
      <c r="F24" s="53">
        <f>IF('1. Rates'!$C$62&lt;'2. Energy'!N28*(1+'1. Rates'!$J$60),'1. Rates'!$C$41,'1. Rates'!$C$42)</f>
        <v>20000</v>
      </c>
      <c r="G24" s="53">
        <f>IF('1. Rates'!$D$62&lt;'2. Energy'!N28*(1+'1. Rates'!$J$60),'1. Rates'!$D$41,'1. Rates'!$D$42)</f>
        <v>5000</v>
      </c>
      <c r="H24" s="53">
        <f>IF('1. Rates'!$E$62&lt;'2. Energy'!N28*(1+'1. Rates'!$J$60),'1. Rates'!$E$41,'1. Rates'!$E$42)</f>
        <v>10000</v>
      </c>
      <c r="I24" s="53">
        <f>IF('1. Rates'!F$62&lt;'2. Energy'!$N28*(1+'1. Rates'!$J$60),'1. Rates'!F$41,'1. Rates'!F$42)</f>
        <v>10000</v>
      </c>
      <c r="J24" s="53">
        <f>IF('1. Rates'!G$62&lt;'2. Energy'!$N28*(1+'1. Rates'!$J$60),'1. Rates'!G$41,'1. Rates'!G$42)</f>
        <v>0</v>
      </c>
      <c r="K24" s="53">
        <f>IF('1. Rates'!H$62&lt;'2. Energy'!$N28*(1+'1. Rates'!$J$60),'1. Rates'!H$41,'1. Rates'!H$42)</f>
        <v>10000</v>
      </c>
      <c r="L24" s="53">
        <f>IF('1. Rates'!Q59&lt;('2. Energy'!N28*(1+'1. Rates'!$J$60)),'1. Rates'!$I$41,0)</f>
        <v>0</v>
      </c>
      <c r="M24" s="53">
        <f t="shared" si="1"/>
        <v>32842.392871506978</v>
      </c>
      <c r="N24" s="119">
        <v>20000</v>
      </c>
      <c r="O24" s="119">
        <v>5000</v>
      </c>
      <c r="P24" s="119">
        <v>10000</v>
      </c>
      <c r="Q24" s="119">
        <v>10000</v>
      </c>
      <c r="R24" s="119">
        <v>20000</v>
      </c>
      <c r="S24" s="119">
        <v>10000</v>
      </c>
      <c r="T24" s="119"/>
      <c r="U24" s="53">
        <f>'2. Energy'!N28*(1+'1. Rates'!$J$60)</f>
        <v>4.3474152639784647</v>
      </c>
      <c r="V24" s="53">
        <f>(SUM('4.Projected'!W23:AC23)+SUM('4.Projected'!AF23:AK23))/(SUM('4.Projected'!F23:K23))</f>
        <v>4.5330645807973484</v>
      </c>
      <c r="W24" s="53">
        <f t="shared" si="2"/>
        <v>20000</v>
      </c>
      <c r="X24" s="53">
        <f t="shared" si="3"/>
        <v>5000</v>
      </c>
      <c r="Y24" s="53">
        <f t="shared" si="4"/>
        <v>10000</v>
      </c>
      <c r="Z24" s="53">
        <f t="shared" si="5"/>
        <v>10000</v>
      </c>
      <c r="AA24" s="53">
        <f t="shared" si="6"/>
        <v>20000</v>
      </c>
      <c r="AB24" s="53">
        <f t="shared" si="7"/>
        <v>10000</v>
      </c>
      <c r="AC24" s="53">
        <f t="shared" si="8"/>
        <v>0</v>
      </c>
      <c r="AD24" s="53">
        <f t="shared" si="9"/>
        <v>12842.392871506978</v>
      </c>
    </row>
    <row r="25" spans="2:30" ht="18" customHeight="1" x14ac:dyDescent="0.3">
      <c r="B25" s="14">
        <v>20</v>
      </c>
      <c r="C25" s="53">
        <f>'2. Energy'!O29</f>
        <v>96962.930379049067</v>
      </c>
      <c r="D25" s="53">
        <f>'2. Energy'!P29</f>
        <v>13458.841943311978</v>
      </c>
      <c r="E25" s="53">
        <f>'2. Energy'!Q29</f>
        <v>83504.088435737096</v>
      </c>
      <c r="F25" s="53">
        <f>IF('1. Rates'!$C$62&lt;'2. Energy'!N29*(1+'1. Rates'!$J$60),'1. Rates'!$C$41,'1. Rates'!$C$42)</f>
        <v>20000</v>
      </c>
      <c r="G25" s="53">
        <f>IF('1. Rates'!$D$62&lt;'2. Energy'!N29*(1+'1. Rates'!$J$60),'1. Rates'!$D$41,'1. Rates'!$D$42)</f>
        <v>5000</v>
      </c>
      <c r="H25" s="53">
        <f>IF('1. Rates'!$E$62&lt;'2. Energy'!N29*(1+'1. Rates'!$J$60),'1. Rates'!$E$41,'1. Rates'!$E$42)</f>
        <v>10000</v>
      </c>
      <c r="I25" s="53">
        <f>IF('1. Rates'!F$62&lt;'2. Energy'!$N29*(1+'1. Rates'!$J$60),'1. Rates'!F$41,'1. Rates'!F$42)</f>
        <v>10000</v>
      </c>
      <c r="J25" s="53">
        <f>IF('1. Rates'!G$62&lt;'2. Energy'!$N29*(1+'1. Rates'!$J$60),'1. Rates'!G$41,'1. Rates'!G$42)</f>
        <v>0</v>
      </c>
      <c r="K25" s="53">
        <f>IF('1. Rates'!H$62&lt;'2. Energy'!$N29*(1+'1. Rates'!$J$60),'1. Rates'!H$41,'1. Rates'!H$42)</f>
        <v>10000</v>
      </c>
      <c r="L25" s="53">
        <f>IF('1. Rates'!Q60&lt;('2. Energy'!N29*(1+'1. Rates'!$J$60)),'1. Rates'!$I$41,0)</f>
        <v>0</v>
      </c>
      <c r="M25" s="53">
        <f t="shared" si="1"/>
        <v>28504.088435737096</v>
      </c>
      <c r="N25" s="119">
        <v>20000</v>
      </c>
      <c r="O25" s="119">
        <v>5000</v>
      </c>
      <c r="P25" s="119">
        <v>10000</v>
      </c>
      <c r="Q25" s="119">
        <v>10000</v>
      </c>
      <c r="R25" s="119">
        <v>20000</v>
      </c>
      <c r="S25" s="119">
        <v>10000</v>
      </c>
      <c r="T25" s="119"/>
      <c r="U25" s="53">
        <f>'2. Energy'!N29*(1+'1. Rates'!$J$60)</f>
        <v>3.9437389721062566</v>
      </c>
      <c r="V25" s="53">
        <f>(SUM('4.Projected'!W24:AC24)+SUM('4.Projected'!AF24:AK24))/(SUM('4.Projected'!F24:K24))</f>
        <v>4.5330645807973484</v>
      </c>
      <c r="W25" s="53">
        <f t="shared" si="2"/>
        <v>20000</v>
      </c>
      <c r="X25" s="53">
        <f t="shared" si="3"/>
        <v>5000</v>
      </c>
      <c r="Y25" s="53">
        <f t="shared" si="4"/>
        <v>10000</v>
      </c>
      <c r="Z25" s="53">
        <f t="shared" si="5"/>
        <v>10000</v>
      </c>
      <c r="AA25" s="53">
        <f t="shared" si="6"/>
        <v>20000</v>
      </c>
      <c r="AB25" s="53">
        <f t="shared" si="7"/>
        <v>10000</v>
      </c>
      <c r="AC25" s="53">
        <f t="shared" si="8"/>
        <v>0</v>
      </c>
      <c r="AD25" s="53">
        <f t="shared" si="9"/>
        <v>8504.088435737096</v>
      </c>
    </row>
    <row r="26" spans="2:30" ht="18" customHeight="1" x14ac:dyDescent="0.3">
      <c r="B26" s="14">
        <v>21</v>
      </c>
      <c r="C26" s="53">
        <f>'2. Energy'!O30</f>
        <v>92507.616764144987</v>
      </c>
      <c r="D26" s="53">
        <f>'2. Energy'!P30</f>
        <v>11737.29170064065</v>
      </c>
      <c r="E26" s="53">
        <f>'2. Energy'!Q30</f>
        <v>80770.325063504337</v>
      </c>
      <c r="F26" s="53">
        <f>IF('1. Rates'!$C$62&lt;'2. Energy'!N30*(1+'1. Rates'!$J$60),'1. Rates'!$C$41,'1. Rates'!$C$42)</f>
        <v>20000</v>
      </c>
      <c r="G26" s="53">
        <f>IF('1. Rates'!$D$62&lt;'2. Energy'!N30*(1+'1. Rates'!$J$60),'1. Rates'!$D$41,'1. Rates'!$D$42)</f>
        <v>5000</v>
      </c>
      <c r="H26" s="53">
        <f>IF('1. Rates'!$E$62&lt;'2. Energy'!N30*(1+'1. Rates'!$J$60),'1. Rates'!$E$41,'1. Rates'!$E$42)</f>
        <v>10000</v>
      </c>
      <c r="I26" s="53">
        <f>IF('1. Rates'!F$62&lt;'2. Energy'!$N30*(1+'1. Rates'!$J$60),'1. Rates'!F$41,'1. Rates'!F$42)</f>
        <v>10000</v>
      </c>
      <c r="J26" s="53">
        <f>IF('1. Rates'!G$62&lt;'2. Energy'!$N30*(1+'1. Rates'!$J$60),'1. Rates'!G$41,'1. Rates'!G$42)</f>
        <v>0</v>
      </c>
      <c r="K26" s="53">
        <f>IF('1. Rates'!H$62&lt;'2. Energy'!$N30*(1+'1. Rates'!$J$60),'1. Rates'!H$41,'1. Rates'!H$42)</f>
        <v>10000</v>
      </c>
      <c r="L26" s="53">
        <f>IF('1. Rates'!Q61&lt;('2. Energy'!N30*(1+'1. Rates'!$J$60)),'1. Rates'!$I$41,0)</f>
        <v>0</v>
      </c>
      <c r="M26" s="53">
        <f t="shared" si="1"/>
        <v>25770.325063504337</v>
      </c>
      <c r="N26" s="119">
        <v>20000</v>
      </c>
      <c r="O26" s="119">
        <v>5000</v>
      </c>
      <c r="P26" s="119">
        <v>10000</v>
      </c>
      <c r="Q26" s="119">
        <v>10000</v>
      </c>
      <c r="R26" s="119">
        <v>20000</v>
      </c>
      <c r="S26" s="119">
        <v>10000</v>
      </c>
      <c r="T26" s="119"/>
      <c r="U26" s="53">
        <f>'2. Energy'!N30*(1+'1. Rates'!$J$60)</f>
        <v>3.9319354062325869</v>
      </c>
      <c r="V26" s="53">
        <f>(SUM('4.Projected'!W25:AC25)+SUM('4.Projected'!AF25:AK25))/(SUM('4.Projected'!F25:K25))</f>
        <v>4.5330645807973484</v>
      </c>
      <c r="W26" s="53">
        <f t="shared" si="2"/>
        <v>20000</v>
      </c>
      <c r="X26" s="53">
        <f t="shared" si="3"/>
        <v>5000</v>
      </c>
      <c r="Y26" s="53">
        <f t="shared" si="4"/>
        <v>10000</v>
      </c>
      <c r="Z26" s="53">
        <f t="shared" si="5"/>
        <v>10000</v>
      </c>
      <c r="AA26" s="53">
        <f t="shared" si="6"/>
        <v>20000</v>
      </c>
      <c r="AB26" s="53">
        <f t="shared" si="7"/>
        <v>10000</v>
      </c>
      <c r="AC26" s="53">
        <f t="shared" si="8"/>
        <v>0</v>
      </c>
      <c r="AD26" s="53">
        <f t="shared" si="9"/>
        <v>5770.3250635043369</v>
      </c>
    </row>
    <row r="27" spans="2:30" ht="18" customHeight="1" x14ac:dyDescent="0.3">
      <c r="B27" s="14">
        <v>22</v>
      </c>
      <c r="C27" s="53">
        <f>'2. Energy'!O31</f>
        <v>87103.167368808208</v>
      </c>
      <c r="D27" s="53">
        <f>'2. Energy'!P31</f>
        <v>8464.465734808773</v>
      </c>
      <c r="E27" s="53">
        <f>'2. Energy'!Q31</f>
        <v>78638.70163399943</v>
      </c>
      <c r="F27" s="53">
        <f>IF('1. Rates'!$C$62&lt;'2. Energy'!N31*(1+'1. Rates'!$J$60),'1. Rates'!$C$41,'1. Rates'!$C$42)</f>
        <v>20000</v>
      </c>
      <c r="G27" s="53">
        <f>IF('1. Rates'!$D$62&lt;'2. Energy'!N31*(1+'1. Rates'!$J$60),'1. Rates'!$D$41,'1. Rates'!$D$42)</f>
        <v>5000</v>
      </c>
      <c r="H27" s="53">
        <f>IF('1. Rates'!$E$62&lt;'2. Energy'!N31*(1+'1. Rates'!$J$60),'1. Rates'!$E$41,'1. Rates'!$E$42)</f>
        <v>10000</v>
      </c>
      <c r="I27" s="53">
        <f>IF('1. Rates'!F$62&lt;'2. Energy'!$N31*(1+'1. Rates'!$J$60),'1. Rates'!F$41,'1. Rates'!F$42)</f>
        <v>10000</v>
      </c>
      <c r="J27" s="53">
        <f>IF('1. Rates'!G$62&lt;'2. Energy'!$N31*(1+'1. Rates'!$J$60),'1. Rates'!G$41,'1. Rates'!G$42)</f>
        <v>0</v>
      </c>
      <c r="K27" s="53">
        <f>IF('1. Rates'!H$62&lt;'2. Energy'!$N31*(1+'1. Rates'!$J$60),'1. Rates'!H$41,'1. Rates'!H$42)</f>
        <v>0</v>
      </c>
      <c r="L27" s="53">
        <f>IF('1. Rates'!Q62&lt;('2. Energy'!N31*(1+'1. Rates'!$J$60)),'1. Rates'!$I$41,0)</f>
        <v>0</v>
      </c>
      <c r="M27" s="53">
        <f t="shared" si="1"/>
        <v>33638.70163399943</v>
      </c>
      <c r="N27" s="119">
        <v>20000</v>
      </c>
      <c r="O27" s="119">
        <v>5000</v>
      </c>
      <c r="P27" s="119">
        <v>10000</v>
      </c>
      <c r="Q27" s="119">
        <v>10000</v>
      </c>
      <c r="R27" s="119">
        <v>20000</v>
      </c>
      <c r="S27" s="119">
        <v>10000</v>
      </c>
      <c r="T27" s="119"/>
      <c r="U27" s="53">
        <f>'2. Energy'!N31*(1+'1. Rates'!$J$60)</f>
        <v>3.7042743956475315</v>
      </c>
      <c r="V27" s="53">
        <f>(SUM('4.Projected'!W26:AC26)+SUM('4.Projected'!AF26:AK26))/(SUM('4.Projected'!F26:K26))</f>
        <v>4.5330645807973484</v>
      </c>
      <c r="W27" s="53">
        <f t="shared" si="2"/>
        <v>20000</v>
      </c>
      <c r="X27" s="53">
        <f t="shared" si="3"/>
        <v>5000</v>
      </c>
      <c r="Y27" s="53">
        <f t="shared" si="4"/>
        <v>10000</v>
      </c>
      <c r="Z27" s="53">
        <f t="shared" si="5"/>
        <v>10000</v>
      </c>
      <c r="AA27" s="53">
        <f t="shared" si="6"/>
        <v>20000</v>
      </c>
      <c r="AB27" s="53">
        <f t="shared" si="7"/>
        <v>10000</v>
      </c>
      <c r="AC27" s="53">
        <f t="shared" si="8"/>
        <v>0</v>
      </c>
      <c r="AD27" s="53">
        <f t="shared" si="9"/>
        <v>3638.7016339994298</v>
      </c>
    </row>
    <row r="28" spans="2:30" ht="18" customHeight="1" x14ac:dyDescent="0.3">
      <c r="B28" s="14">
        <v>23</v>
      </c>
      <c r="C28" s="53">
        <f>'2. Energy'!O32</f>
        <v>82343.084380810993</v>
      </c>
      <c r="D28" s="53">
        <f>'2. Energy'!P32</f>
        <v>6243.2122058823516</v>
      </c>
      <c r="E28" s="53">
        <f>'2. Energy'!Q32</f>
        <v>76099.872174928634</v>
      </c>
      <c r="F28" s="53">
        <f>IF('1. Rates'!$C$62&lt;'2. Energy'!N32*(1+'1. Rates'!$J$60),'1. Rates'!$C$41,'1. Rates'!$C$42)</f>
        <v>10000</v>
      </c>
      <c r="G28" s="53">
        <f>IF('1. Rates'!$D$62&lt;'2. Energy'!N32*(1+'1. Rates'!$J$60),'1. Rates'!$D$41,'1. Rates'!$D$42)</f>
        <v>2500</v>
      </c>
      <c r="H28" s="53">
        <f>IF('1. Rates'!$E$62&lt;'2. Energy'!N32*(1+'1. Rates'!$J$60),'1. Rates'!$E$41,'1. Rates'!$E$42)</f>
        <v>5000</v>
      </c>
      <c r="I28" s="53">
        <f>IF('1. Rates'!F$62&lt;'2. Energy'!$N32*(1+'1. Rates'!$J$60),'1. Rates'!F$41,'1. Rates'!F$42)</f>
        <v>5000</v>
      </c>
      <c r="J28" s="53">
        <f>IF('1. Rates'!G$62&lt;'2. Energy'!$N32*(1+'1. Rates'!$J$60),'1. Rates'!G$41,'1. Rates'!G$42)</f>
        <v>0</v>
      </c>
      <c r="K28" s="53">
        <f>IF('1. Rates'!H$62&lt;'2. Energy'!$N32*(1+'1. Rates'!$J$60),'1. Rates'!H$41,'1. Rates'!H$42)</f>
        <v>0</v>
      </c>
      <c r="L28" s="53">
        <f>IF('1. Rates'!Q63&lt;('2. Energy'!N32*(1+'1. Rates'!$J$60)),'1. Rates'!$I$41,0)</f>
        <v>0</v>
      </c>
      <c r="M28" s="53">
        <f t="shared" si="1"/>
        <v>53599.872174928634</v>
      </c>
      <c r="N28" s="119">
        <v>10000</v>
      </c>
      <c r="O28" s="119">
        <v>2500</v>
      </c>
      <c r="P28" s="119">
        <v>5000</v>
      </c>
      <c r="Q28" s="119">
        <v>5000</v>
      </c>
      <c r="R28" s="119">
        <v>20000</v>
      </c>
      <c r="S28" s="119">
        <v>10000</v>
      </c>
      <c r="T28" s="119"/>
      <c r="U28" s="53">
        <f>'2. Energy'!N32*(1+'1. Rates'!$J$60)</f>
        <v>3.6358182065074081</v>
      </c>
      <c r="V28" s="53">
        <f>(SUM('4.Projected'!W27:AC27)+SUM('4.Projected'!AF27:AK27))/(SUM('4.Projected'!F27:K27))</f>
        <v>4.895147360982989</v>
      </c>
      <c r="W28" s="53">
        <f t="shared" si="2"/>
        <v>10000</v>
      </c>
      <c r="X28" s="53">
        <f t="shared" si="3"/>
        <v>2500</v>
      </c>
      <c r="Y28" s="53">
        <f t="shared" si="4"/>
        <v>5000</v>
      </c>
      <c r="Z28" s="53">
        <f t="shared" si="5"/>
        <v>5000</v>
      </c>
      <c r="AA28" s="53">
        <f t="shared" si="6"/>
        <v>20000</v>
      </c>
      <c r="AB28" s="53">
        <f t="shared" si="7"/>
        <v>10000</v>
      </c>
      <c r="AC28" s="53">
        <f t="shared" si="8"/>
        <v>0</v>
      </c>
      <c r="AD28" s="53">
        <f t="shared" si="9"/>
        <v>23599.872174928634</v>
      </c>
    </row>
    <row r="29" spans="2:30" ht="18" customHeight="1" x14ac:dyDescent="0.3">
      <c r="B29" s="14">
        <v>24</v>
      </c>
      <c r="C29" s="53">
        <f>'2. Energy'!O33</f>
        <v>77944.527392793621</v>
      </c>
      <c r="D29" s="53">
        <f>'2. Energy'!P33</f>
        <v>5717.4657499999994</v>
      </c>
      <c r="E29" s="53">
        <f>'2. Energy'!Q33</f>
        <v>72227.061642793618</v>
      </c>
      <c r="F29" s="53">
        <f>IF('1. Rates'!$C$62&lt;'2. Energy'!N33*(1+'1. Rates'!$J$60),'1. Rates'!$C$41,'1. Rates'!$C$42)</f>
        <v>10000</v>
      </c>
      <c r="G29" s="53">
        <f>IF('1. Rates'!$D$62&lt;'2. Energy'!N33*(1+'1. Rates'!$J$60),'1. Rates'!$D$41,'1. Rates'!$D$42)</f>
        <v>2500</v>
      </c>
      <c r="H29" s="53">
        <f>IF('1. Rates'!$E$62&lt;'2. Energy'!N33*(1+'1. Rates'!$J$60),'1. Rates'!$E$41,'1. Rates'!$E$42)</f>
        <v>5000</v>
      </c>
      <c r="I29" s="53">
        <f>IF('1. Rates'!F$62&lt;'2. Energy'!$N33*(1+'1. Rates'!$J$60),'1. Rates'!F$41,'1. Rates'!F$42)</f>
        <v>5000</v>
      </c>
      <c r="J29" s="53">
        <f>IF('1. Rates'!G$62&lt;'2. Energy'!$N33*(1+'1. Rates'!$J$60),'1. Rates'!G$41,'1. Rates'!G$42)</f>
        <v>0</v>
      </c>
      <c r="K29" s="53">
        <f>IF('1. Rates'!H$62&lt;'2. Energy'!$N33*(1+'1. Rates'!$J$60),'1. Rates'!H$41,'1. Rates'!H$42)</f>
        <v>0</v>
      </c>
      <c r="L29" s="53">
        <f>IF('1. Rates'!Q64&lt;('2. Energy'!N33*(1+'1. Rates'!$J$60)),'1. Rates'!$I$41,0)</f>
        <v>0</v>
      </c>
      <c r="M29" s="53">
        <f t="shared" si="1"/>
        <v>49727.061642793618</v>
      </c>
      <c r="N29" s="119">
        <v>10000</v>
      </c>
      <c r="O29" s="119">
        <v>2500</v>
      </c>
      <c r="P29" s="119">
        <v>5000</v>
      </c>
      <c r="Q29" s="119">
        <v>5000</v>
      </c>
      <c r="R29" s="119">
        <v>20000</v>
      </c>
      <c r="S29" s="119">
        <v>0</v>
      </c>
      <c r="T29" s="123"/>
      <c r="U29" s="53">
        <f>'2. Energy'!N33*(1+'1. Rates'!$J$60)</f>
        <v>3.2947754340348046</v>
      </c>
      <c r="V29" s="53">
        <f>(SUM('4.Projected'!W28:AC28)+SUM('4.Projected'!AF28:AK28))/(SUM('4.Projected'!F28:K28))</f>
        <v>5.1324423743320509</v>
      </c>
      <c r="W29" s="53">
        <f t="shared" si="2"/>
        <v>10000</v>
      </c>
      <c r="X29" s="53">
        <f t="shared" si="3"/>
        <v>2500</v>
      </c>
      <c r="Y29" s="53">
        <f t="shared" si="4"/>
        <v>5000</v>
      </c>
      <c r="Z29" s="53">
        <f t="shared" si="5"/>
        <v>5000</v>
      </c>
      <c r="AA29" s="53">
        <f t="shared" si="6"/>
        <v>20000</v>
      </c>
      <c r="AB29" s="53">
        <f t="shared" si="7"/>
        <v>0</v>
      </c>
      <c r="AC29" s="53">
        <f t="shared" si="8"/>
        <v>0</v>
      </c>
      <c r="AD29" s="53">
        <f t="shared" si="9"/>
        <v>29727.061642793618</v>
      </c>
    </row>
    <row r="30" spans="2:30" ht="21" customHeight="1" x14ac:dyDescent="0.3">
      <c r="B30" s="55" t="s">
        <v>137</v>
      </c>
      <c r="C30" s="56">
        <f t="shared" ref="C30:D30" si="10">SUM(C6:C29)</f>
        <v>2123638.2454340463</v>
      </c>
      <c r="D30" s="56">
        <f t="shared" si="10"/>
        <v>252419.21169170926</v>
      </c>
      <c r="E30" s="56">
        <f>SUM(E6:E29)</f>
        <v>1871219.0337423368</v>
      </c>
      <c r="F30" s="56">
        <f t="shared" ref="F30:M30" si="11">SUM(F6:F29)</f>
        <v>310000</v>
      </c>
      <c r="G30" s="56">
        <f>SUM(G6:G29)</f>
        <v>77500</v>
      </c>
      <c r="H30" s="56">
        <f t="shared" si="11"/>
        <v>155000</v>
      </c>
      <c r="I30" s="56">
        <f t="shared" si="11"/>
        <v>155000</v>
      </c>
      <c r="J30" s="56">
        <f t="shared" si="11"/>
        <v>20000</v>
      </c>
      <c r="K30" s="56">
        <f t="shared" si="11"/>
        <v>50000</v>
      </c>
      <c r="L30" s="56">
        <f t="shared" si="11"/>
        <v>0</v>
      </c>
      <c r="M30" s="56">
        <f t="shared" si="11"/>
        <v>1103719.0337423368</v>
      </c>
      <c r="N30" s="56">
        <f t="shared" ref="N30:T30" si="12">SUM(N6:N29)</f>
        <v>300000</v>
      </c>
      <c r="O30" s="56">
        <f t="shared" si="12"/>
        <v>75000</v>
      </c>
      <c r="P30" s="56">
        <f t="shared" si="12"/>
        <v>150000</v>
      </c>
      <c r="Q30" s="56">
        <f t="shared" si="12"/>
        <v>150000</v>
      </c>
      <c r="R30" s="56">
        <f t="shared" si="12"/>
        <v>350000</v>
      </c>
      <c r="S30" s="56">
        <f t="shared" si="12"/>
        <v>100000</v>
      </c>
      <c r="T30" s="56">
        <f t="shared" si="12"/>
        <v>0</v>
      </c>
      <c r="U30" s="56">
        <f>AVERAGE(U6:U29)</f>
        <v>3.4226860058221913</v>
      </c>
      <c r="V30" s="56">
        <f>SUM('4.Projected'!W29:AC29)/SUM('4.Projected'!F29:K29)</f>
        <v>4.2073899751355368</v>
      </c>
      <c r="W30" s="56">
        <f t="shared" ref="W30:AD30" si="13">SUM(W6:W29)</f>
        <v>300000</v>
      </c>
      <c r="X30" s="56">
        <f t="shared" si="13"/>
        <v>75000</v>
      </c>
      <c r="Y30" s="56">
        <f t="shared" si="13"/>
        <v>150000</v>
      </c>
      <c r="Z30" s="56">
        <f t="shared" si="13"/>
        <v>150000</v>
      </c>
      <c r="AA30" s="56">
        <f t="shared" si="13"/>
        <v>350000</v>
      </c>
      <c r="AB30" s="56">
        <f t="shared" si="13"/>
        <v>100000</v>
      </c>
      <c r="AC30" s="56">
        <f t="shared" si="13"/>
        <v>0</v>
      </c>
      <c r="AD30" s="56">
        <f t="shared" si="13"/>
        <v>746219.03374233679</v>
      </c>
    </row>
  </sheetData>
  <mergeCells count="9">
    <mergeCell ref="U4:U5"/>
    <mergeCell ref="W4:AC4"/>
    <mergeCell ref="AD4:AD5"/>
    <mergeCell ref="B4:B5"/>
    <mergeCell ref="C4:E4"/>
    <mergeCell ref="F4:L4"/>
    <mergeCell ref="M4:M5"/>
    <mergeCell ref="N4:T4"/>
    <mergeCell ref="V4:V5"/>
  </mergeCells>
  <conditionalFormatting sqref="U6:U29">
    <cfRule type="cellIs" dxfId="1" priority="1" operator="lessThan">
      <formula>V6</formula>
    </cfRule>
  </conditionalFormatting>
  <conditionalFormatting sqref="V6:V29">
    <cfRule type="cellIs" dxfId="0" priority="2" operator="lessThan">
      <formula>U6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821-F625-4305-8250-435B4F471870}">
  <sheetPr codeName="Sheet7"/>
  <dimension ref="E12:N36"/>
  <sheetViews>
    <sheetView topLeftCell="A7" workbookViewId="0">
      <selection activeCell="N13" sqref="N13:N36"/>
    </sheetView>
  </sheetViews>
  <sheetFormatPr defaultRowHeight="14.4" x14ac:dyDescent="0.3"/>
  <cols>
    <col min="5" max="6" width="13.44140625" bestFit="1" customWidth="1"/>
    <col min="7" max="7" width="18.44140625" bestFit="1" customWidth="1"/>
    <col min="8" max="8" width="17.44140625" bestFit="1" customWidth="1"/>
    <col min="9" max="9" width="25.5546875" bestFit="1" customWidth="1"/>
    <col min="10" max="10" width="18.44140625" bestFit="1" customWidth="1"/>
    <col min="11" max="11" width="24.44140625" bestFit="1" customWidth="1"/>
    <col min="12" max="12" width="31.5546875" bestFit="1" customWidth="1"/>
  </cols>
  <sheetData>
    <row r="12" spans="5:14" x14ac:dyDescent="0.3"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</row>
    <row r="13" spans="5:14" x14ac:dyDescent="0.3">
      <c r="E13" s="52">
        <v>44557</v>
      </c>
      <c r="F13">
        <v>1</v>
      </c>
      <c r="G13">
        <v>16278</v>
      </c>
      <c r="H13">
        <v>4801</v>
      </c>
      <c r="I13">
        <v>11170</v>
      </c>
      <c r="J13">
        <v>14839</v>
      </c>
      <c r="K13">
        <v>5085</v>
      </c>
      <c r="L13">
        <v>4068</v>
      </c>
      <c r="M13">
        <f>J13+K13</f>
        <v>19924</v>
      </c>
      <c r="N13">
        <f>H13+I13+L13</f>
        <v>20039</v>
      </c>
    </row>
    <row r="14" spans="5:14" x14ac:dyDescent="0.3">
      <c r="E14" s="52">
        <v>44557</v>
      </c>
      <c r="F14">
        <v>2</v>
      </c>
      <c r="G14">
        <v>15493</v>
      </c>
      <c r="H14">
        <v>4576</v>
      </c>
      <c r="I14">
        <v>10834</v>
      </c>
      <c r="J14">
        <v>14416</v>
      </c>
      <c r="K14">
        <v>4750</v>
      </c>
      <c r="L14">
        <v>3960</v>
      </c>
      <c r="M14">
        <f t="shared" ref="M14:M36" si="0">J14+K14</f>
        <v>19166</v>
      </c>
      <c r="N14">
        <f t="shared" ref="N14:N36" si="1">H14+I14+L14</f>
        <v>19370</v>
      </c>
    </row>
    <row r="15" spans="5:14" x14ac:dyDescent="0.3">
      <c r="E15" s="52">
        <v>44557</v>
      </c>
      <c r="F15">
        <v>3</v>
      </c>
      <c r="G15">
        <v>15050</v>
      </c>
      <c r="H15">
        <v>4399</v>
      </c>
      <c r="I15">
        <v>10549</v>
      </c>
      <c r="J15">
        <v>14169</v>
      </c>
      <c r="K15">
        <v>4647</v>
      </c>
      <c r="L15">
        <v>3988</v>
      </c>
      <c r="M15">
        <f t="shared" si="0"/>
        <v>18816</v>
      </c>
      <c r="N15">
        <f t="shared" si="1"/>
        <v>18936</v>
      </c>
    </row>
    <row r="16" spans="5:14" x14ac:dyDescent="0.3">
      <c r="E16" s="52">
        <v>44557</v>
      </c>
      <c r="F16">
        <v>4</v>
      </c>
      <c r="G16">
        <v>14809</v>
      </c>
      <c r="H16">
        <v>4284</v>
      </c>
      <c r="I16">
        <v>10226</v>
      </c>
      <c r="J16">
        <v>13894</v>
      </c>
      <c r="K16">
        <v>4620</v>
      </c>
      <c r="L16">
        <v>4003</v>
      </c>
      <c r="M16">
        <f t="shared" si="0"/>
        <v>18514</v>
      </c>
      <c r="N16">
        <f t="shared" si="1"/>
        <v>18513</v>
      </c>
    </row>
    <row r="17" spans="5:14" x14ac:dyDescent="0.3">
      <c r="E17" s="52">
        <v>44557</v>
      </c>
      <c r="F17">
        <v>5</v>
      </c>
      <c r="G17">
        <v>14745</v>
      </c>
      <c r="H17">
        <v>4256</v>
      </c>
      <c r="I17">
        <v>10200</v>
      </c>
      <c r="J17">
        <v>13355</v>
      </c>
      <c r="K17">
        <v>4667</v>
      </c>
      <c r="L17">
        <v>3997</v>
      </c>
      <c r="M17">
        <f t="shared" si="0"/>
        <v>18022</v>
      </c>
      <c r="N17">
        <f t="shared" si="1"/>
        <v>18453</v>
      </c>
    </row>
    <row r="18" spans="5:14" x14ac:dyDescent="0.3">
      <c r="E18" s="52">
        <v>44557</v>
      </c>
      <c r="F18">
        <v>6</v>
      </c>
      <c r="G18">
        <v>15147</v>
      </c>
      <c r="H18">
        <v>4389</v>
      </c>
      <c r="I18">
        <v>10832</v>
      </c>
      <c r="J18">
        <v>13800</v>
      </c>
      <c r="K18">
        <v>4785</v>
      </c>
      <c r="L18">
        <v>4078</v>
      </c>
      <c r="M18">
        <f t="shared" si="0"/>
        <v>18585</v>
      </c>
      <c r="N18">
        <f t="shared" si="1"/>
        <v>19299</v>
      </c>
    </row>
    <row r="19" spans="5:14" x14ac:dyDescent="0.3">
      <c r="E19" s="52">
        <v>44557</v>
      </c>
      <c r="F19">
        <v>7</v>
      </c>
      <c r="G19">
        <v>15657</v>
      </c>
      <c r="H19">
        <v>4510</v>
      </c>
      <c r="I19">
        <v>10947</v>
      </c>
      <c r="J19">
        <v>14015</v>
      </c>
      <c r="K19">
        <v>5351</v>
      </c>
      <c r="L19">
        <v>4187</v>
      </c>
      <c r="M19">
        <f t="shared" si="0"/>
        <v>19366</v>
      </c>
      <c r="N19">
        <f t="shared" si="1"/>
        <v>19644</v>
      </c>
    </row>
    <row r="20" spans="5:14" x14ac:dyDescent="0.3">
      <c r="E20" s="52">
        <v>44557</v>
      </c>
      <c r="F20">
        <v>8</v>
      </c>
      <c r="G20">
        <v>16808</v>
      </c>
      <c r="H20">
        <v>4973</v>
      </c>
      <c r="I20">
        <v>11795</v>
      </c>
      <c r="J20">
        <v>15272</v>
      </c>
      <c r="K20">
        <v>8982</v>
      </c>
      <c r="L20">
        <v>4312</v>
      </c>
      <c r="M20">
        <f t="shared" si="0"/>
        <v>24254</v>
      </c>
      <c r="N20">
        <f t="shared" si="1"/>
        <v>21080</v>
      </c>
    </row>
    <row r="21" spans="5:14" x14ac:dyDescent="0.3">
      <c r="E21" s="52">
        <v>44557</v>
      </c>
      <c r="F21">
        <v>9</v>
      </c>
      <c r="G21">
        <v>21503</v>
      </c>
      <c r="H21">
        <v>5535</v>
      </c>
      <c r="I21">
        <v>13401</v>
      </c>
      <c r="J21">
        <v>18091</v>
      </c>
      <c r="K21">
        <v>13283</v>
      </c>
      <c r="L21">
        <v>4767</v>
      </c>
      <c r="M21">
        <f t="shared" si="0"/>
        <v>31374</v>
      </c>
      <c r="N21">
        <f t="shared" si="1"/>
        <v>23703</v>
      </c>
    </row>
    <row r="22" spans="5:14" x14ac:dyDescent="0.3">
      <c r="E22" s="52">
        <v>44557</v>
      </c>
      <c r="F22">
        <v>10</v>
      </c>
      <c r="G22">
        <v>25359</v>
      </c>
      <c r="H22">
        <v>5749</v>
      </c>
      <c r="I22">
        <v>17652</v>
      </c>
      <c r="J22">
        <v>18117</v>
      </c>
      <c r="K22">
        <v>13954</v>
      </c>
      <c r="L22">
        <v>5614</v>
      </c>
      <c r="M22">
        <f t="shared" si="0"/>
        <v>32071</v>
      </c>
      <c r="N22">
        <f t="shared" si="1"/>
        <v>29015</v>
      </c>
    </row>
    <row r="23" spans="5:14" x14ac:dyDescent="0.3">
      <c r="E23" s="52">
        <v>44557</v>
      </c>
      <c r="F23">
        <v>11</v>
      </c>
      <c r="G23">
        <v>26174</v>
      </c>
      <c r="H23">
        <v>5822</v>
      </c>
      <c r="I23">
        <v>18129</v>
      </c>
      <c r="J23">
        <v>18483</v>
      </c>
      <c r="K23">
        <v>14620</v>
      </c>
      <c r="L23">
        <v>6163</v>
      </c>
      <c r="M23">
        <f t="shared" si="0"/>
        <v>33103</v>
      </c>
      <c r="N23">
        <f t="shared" si="1"/>
        <v>30114</v>
      </c>
    </row>
    <row r="24" spans="5:14" x14ac:dyDescent="0.3">
      <c r="E24" s="52">
        <v>44557</v>
      </c>
      <c r="F24">
        <v>12</v>
      </c>
      <c r="G24">
        <v>26462</v>
      </c>
      <c r="H24">
        <v>5733</v>
      </c>
      <c r="I24">
        <v>18104</v>
      </c>
      <c r="J24">
        <v>18281</v>
      </c>
      <c r="K24">
        <v>14183</v>
      </c>
      <c r="L24">
        <v>6428</v>
      </c>
      <c r="M24">
        <f t="shared" si="0"/>
        <v>32464</v>
      </c>
      <c r="N24">
        <f t="shared" si="1"/>
        <v>30265</v>
      </c>
    </row>
    <row r="25" spans="5:14" x14ac:dyDescent="0.3">
      <c r="E25" s="52">
        <v>44557</v>
      </c>
      <c r="F25">
        <v>13</v>
      </c>
      <c r="G25">
        <v>26076</v>
      </c>
      <c r="H25">
        <v>5888</v>
      </c>
      <c r="I25">
        <v>17698</v>
      </c>
      <c r="J25">
        <v>18837</v>
      </c>
      <c r="K25">
        <v>14554</v>
      </c>
      <c r="L25">
        <v>6407</v>
      </c>
      <c r="M25">
        <f t="shared" si="0"/>
        <v>33391</v>
      </c>
      <c r="N25">
        <f t="shared" si="1"/>
        <v>29993</v>
      </c>
    </row>
    <row r="26" spans="5:14" x14ac:dyDescent="0.3">
      <c r="E26" s="52">
        <v>44557</v>
      </c>
      <c r="F26">
        <v>14</v>
      </c>
      <c r="G26">
        <v>27589</v>
      </c>
      <c r="H26">
        <v>6177</v>
      </c>
      <c r="I26">
        <v>18578</v>
      </c>
      <c r="J26">
        <v>19927</v>
      </c>
      <c r="K26">
        <v>15056</v>
      </c>
      <c r="L26">
        <v>6338</v>
      </c>
      <c r="M26">
        <f t="shared" si="0"/>
        <v>34983</v>
      </c>
      <c r="N26">
        <f t="shared" si="1"/>
        <v>31093</v>
      </c>
    </row>
    <row r="27" spans="5:14" x14ac:dyDescent="0.3">
      <c r="E27" s="52">
        <v>44557</v>
      </c>
      <c r="F27">
        <v>15</v>
      </c>
      <c r="G27">
        <v>27105</v>
      </c>
      <c r="H27">
        <v>6042</v>
      </c>
      <c r="I27">
        <v>19031</v>
      </c>
      <c r="J27">
        <v>19385</v>
      </c>
      <c r="K27">
        <v>14746</v>
      </c>
      <c r="L27">
        <v>6648</v>
      </c>
      <c r="M27">
        <f t="shared" si="0"/>
        <v>34131</v>
      </c>
      <c r="N27">
        <f t="shared" si="1"/>
        <v>31721</v>
      </c>
    </row>
    <row r="28" spans="5:14" x14ac:dyDescent="0.3">
      <c r="E28" s="52">
        <v>44557</v>
      </c>
      <c r="F28">
        <v>16</v>
      </c>
      <c r="G28">
        <v>26630</v>
      </c>
      <c r="H28">
        <v>5779</v>
      </c>
      <c r="I28">
        <v>17947</v>
      </c>
      <c r="J28">
        <v>18326</v>
      </c>
      <c r="K28">
        <v>13890</v>
      </c>
      <c r="L28">
        <v>6287</v>
      </c>
      <c r="M28">
        <f t="shared" si="0"/>
        <v>32216</v>
      </c>
      <c r="N28">
        <f t="shared" si="1"/>
        <v>30013</v>
      </c>
    </row>
    <row r="29" spans="5:14" x14ac:dyDescent="0.3">
      <c r="E29" s="52">
        <v>44557</v>
      </c>
      <c r="F29">
        <v>17</v>
      </c>
      <c r="G29">
        <v>24865</v>
      </c>
      <c r="H29">
        <v>5422</v>
      </c>
      <c r="I29">
        <v>17604</v>
      </c>
      <c r="J29">
        <v>17899</v>
      </c>
      <c r="K29">
        <v>12245</v>
      </c>
      <c r="L29">
        <v>6365</v>
      </c>
      <c r="M29">
        <f t="shared" si="0"/>
        <v>30144</v>
      </c>
      <c r="N29">
        <f t="shared" si="1"/>
        <v>29391</v>
      </c>
    </row>
    <row r="30" spans="5:14" x14ac:dyDescent="0.3">
      <c r="E30" s="52">
        <v>44557</v>
      </c>
      <c r="F30">
        <v>18</v>
      </c>
      <c r="G30">
        <v>24184</v>
      </c>
      <c r="H30">
        <v>5994</v>
      </c>
      <c r="I30">
        <v>17943</v>
      </c>
      <c r="J30">
        <v>19461</v>
      </c>
      <c r="K30">
        <v>10671</v>
      </c>
      <c r="L30">
        <v>6518</v>
      </c>
      <c r="M30">
        <f t="shared" si="0"/>
        <v>30132</v>
      </c>
      <c r="N30">
        <f t="shared" si="1"/>
        <v>30455</v>
      </c>
    </row>
    <row r="31" spans="5:14" x14ac:dyDescent="0.3">
      <c r="E31" s="52">
        <v>44557</v>
      </c>
      <c r="F31">
        <v>19</v>
      </c>
      <c r="G31">
        <v>23674</v>
      </c>
      <c r="H31">
        <v>5871</v>
      </c>
      <c r="I31">
        <v>17459</v>
      </c>
      <c r="J31">
        <v>19230</v>
      </c>
      <c r="K31">
        <v>8854</v>
      </c>
      <c r="L31">
        <v>6577</v>
      </c>
      <c r="M31">
        <f t="shared" si="0"/>
        <v>28084</v>
      </c>
      <c r="N31">
        <f t="shared" si="1"/>
        <v>29907</v>
      </c>
    </row>
    <row r="32" spans="5:14" x14ac:dyDescent="0.3">
      <c r="E32" s="52">
        <v>44557</v>
      </c>
      <c r="F32">
        <v>20</v>
      </c>
      <c r="G32">
        <v>21498</v>
      </c>
      <c r="H32">
        <v>5838</v>
      </c>
      <c r="I32">
        <v>16474</v>
      </c>
      <c r="J32">
        <v>18366</v>
      </c>
      <c r="K32">
        <v>8311</v>
      </c>
      <c r="L32">
        <v>6586</v>
      </c>
      <c r="M32">
        <f t="shared" si="0"/>
        <v>26677</v>
      </c>
      <c r="N32">
        <f t="shared" si="1"/>
        <v>28898</v>
      </c>
    </row>
    <row r="33" spans="5:14" x14ac:dyDescent="0.3">
      <c r="E33" s="52">
        <v>44557</v>
      </c>
      <c r="F33">
        <v>21</v>
      </c>
      <c r="G33">
        <v>19897</v>
      </c>
      <c r="H33">
        <v>6004</v>
      </c>
      <c r="I33">
        <v>15762</v>
      </c>
      <c r="J33">
        <v>17866</v>
      </c>
      <c r="K33">
        <v>6644</v>
      </c>
      <c r="L33">
        <v>5523</v>
      </c>
      <c r="M33">
        <f t="shared" si="0"/>
        <v>24510</v>
      </c>
      <c r="N33">
        <f t="shared" si="1"/>
        <v>27289</v>
      </c>
    </row>
    <row r="34" spans="5:14" x14ac:dyDescent="0.3">
      <c r="E34" s="52">
        <v>44557</v>
      </c>
      <c r="F34">
        <v>22</v>
      </c>
      <c r="G34">
        <v>18977</v>
      </c>
      <c r="H34">
        <v>5621</v>
      </c>
      <c r="I34">
        <v>14688</v>
      </c>
      <c r="J34">
        <v>16472</v>
      </c>
      <c r="K34">
        <v>5822</v>
      </c>
      <c r="L34">
        <v>5219</v>
      </c>
      <c r="M34">
        <f t="shared" si="0"/>
        <v>22294</v>
      </c>
      <c r="N34">
        <f t="shared" si="1"/>
        <v>25528</v>
      </c>
    </row>
    <row r="35" spans="5:14" x14ac:dyDescent="0.3">
      <c r="E35" s="52">
        <v>44557</v>
      </c>
      <c r="F35">
        <v>23</v>
      </c>
      <c r="G35">
        <v>18027</v>
      </c>
      <c r="H35">
        <v>5450</v>
      </c>
      <c r="I35">
        <v>13153</v>
      </c>
      <c r="J35">
        <v>16472</v>
      </c>
      <c r="K35">
        <v>5510</v>
      </c>
      <c r="L35">
        <v>4902</v>
      </c>
      <c r="M35">
        <f t="shared" si="0"/>
        <v>21982</v>
      </c>
      <c r="N35">
        <f t="shared" si="1"/>
        <v>23505</v>
      </c>
    </row>
    <row r="36" spans="5:14" x14ac:dyDescent="0.3">
      <c r="E36" s="52">
        <v>44557</v>
      </c>
      <c r="F36">
        <v>24</v>
      </c>
      <c r="G36">
        <v>16732</v>
      </c>
      <c r="H36">
        <v>4970</v>
      </c>
      <c r="I36">
        <v>10736</v>
      </c>
      <c r="J36">
        <v>15406</v>
      </c>
      <c r="K36">
        <v>5260</v>
      </c>
      <c r="L36">
        <v>4627</v>
      </c>
      <c r="M36">
        <f t="shared" si="0"/>
        <v>20666</v>
      </c>
      <c r="N36">
        <f t="shared" si="1"/>
        <v>20333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X29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U5" sqref="AU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76" width="15" style="1" customWidth="1"/>
    <col min="77" max="16384" width="8.5546875" style="1"/>
  </cols>
  <sheetData>
    <row r="1" spans="2:76" ht="12" customHeight="1" x14ac:dyDescent="0.3"/>
    <row r="2" spans="2:76" ht="16.5" customHeight="1" x14ac:dyDescent="0.3">
      <c r="B2" s="50" t="s">
        <v>148</v>
      </c>
      <c r="D2" s="4"/>
      <c r="E2" s="4"/>
      <c r="G2" s="4"/>
      <c r="H2" s="4"/>
      <c r="I2" s="4"/>
      <c r="J2" s="4"/>
      <c r="K2" s="4"/>
      <c r="L2" s="4"/>
      <c r="M2" s="4"/>
      <c r="O2" s="4"/>
      <c r="P2" s="4"/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Y2" s="4"/>
      <c r="AZ2" s="4"/>
      <c r="BA2" s="4"/>
      <c r="BB2" s="4"/>
      <c r="BC2" s="4"/>
      <c r="BD2" s="4"/>
      <c r="BE2" s="4"/>
      <c r="BF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  <c r="BT2" s="4"/>
      <c r="BU2" s="4"/>
      <c r="BV2" s="4"/>
      <c r="BW2" s="4"/>
      <c r="BX2" s="4"/>
    </row>
    <row r="3" spans="2:76" ht="31.35" customHeight="1" x14ac:dyDescent="0.3">
      <c r="B3" s="187" t="s">
        <v>9</v>
      </c>
      <c r="C3" s="187" t="s">
        <v>149</v>
      </c>
      <c r="D3" s="187"/>
      <c r="E3" s="187"/>
      <c r="F3" s="188" t="s">
        <v>150</v>
      </c>
      <c r="G3" s="188"/>
      <c r="H3" s="188"/>
      <c r="I3" s="188"/>
      <c r="J3" s="188"/>
      <c r="K3" s="188"/>
      <c r="L3" s="188"/>
      <c r="M3" s="188" t="s">
        <v>129</v>
      </c>
      <c r="N3" s="187" t="s">
        <v>151</v>
      </c>
      <c r="O3" s="187"/>
      <c r="P3" s="187"/>
      <c r="Q3" s="187"/>
      <c r="R3" s="187"/>
      <c r="S3" s="187"/>
      <c r="T3" s="187"/>
      <c r="U3" s="187"/>
      <c r="V3" s="187" t="s">
        <v>92</v>
      </c>
      <c r="W3" s="189" t="s">
        <v>152</v>
      </c>
      <c r="X3" s="190"/>
      <c r="Y3" s="190"/>
      <c r="Z3" s="190"/>
      <c r="AA3" s="190"/>
      <c r="AB3" s="190"/>
      <c r="AC3" s="190"/>
      <c r="AD3" s="191"/>
      <c r="AE3" s="188" t="s">
        <v>92</v>
      </c>
      <c r="AF3" s="187" t="s">
        <v>153</v>
      </c>
      <c r="AG3" s="187"/>
      <c r="AH3" s="187"/>
      <c r="AI3" s="187"/>
      <c r="AJ3" s="187"/>
      <c r="AK3" s="187"/>
      <c r="AL3" s="187"/>
      <c r="AM3" s="187"/>
      <c r="AN3" s="187" t="s">
        <v>92</v>
      </c>
      <c r="AO3" s="189" t="s">
        <v>154</v>
      </c>
      <c r="AP3" s="190"/>
      <c r="AQ3" s="190"/>
      <c r="AR3" s="190"/>
      <c r="AS3" s="190"/>
      <c r="AT3" s="190"/>
      <c r="AU3" s="190"/>
      <c r="AV3" s="191"/>
      <c r="AW3" s="188" t="s">
        <v>92</v>
      </c>
      <c r="AX3" s="187" t="s">
        <v>155</v>
      </c>
      <c r="AY3" s="187"/>
      <c r="AZ3" s="187"/>
      <c r="BA3" s="187"/>
      <c r="BB3" s="187"/>
      <c r="BC3" s="187"/>
      <c r="BD3" s="187"/>
      <c r="BE3" s="187"/>
      <c r="BF3" s="187" t="s">
        <v>92</v>
      </c>
      <c r="BG3" s="189" t="s">
        <v>156</v>
      </c>
      <c r="BH3" s="190"/>
      <c r="BI3" s="190"/>
      <c r="BJ3" s="190"/>
      <c r="BK3" s="190"/>
      <c r="BL3" s="190"/>
      <c r="BM3" s="190"/>
      <c r="BN3" s="191"/>
      <c r="BO3" s="188" t="s">
        <v>92</v>
      </c>
      <c r="BP3" s="187" t="s">
        <v>157</v>
      </c>
      <c r="BQ3" s="187"/>
      <c r="BR3" s="187"/>
      <c r="BS3" s="187"/>
      <c r="BT3" s="187"/>
      <c r="BU3" s="187"/>
      <c r="BV3" s="187"/>
      <c r="BW3" s="187"/>
      <c r="BX3" s="187" t="s">
        <v>92</v>
      </c>
    </row>
    <row r="4" spans="2:76" ht="26.25" customHeight="1" x14ac:dyDescent="0.3">
      <c r="B4" s="187"/>
      <c r="C4" s="75" t="s">
        <v>134</v>
      </c>
      <c r="D4" s="75" t="s">
        <v>135</v>
      </c>
      <c r="E4" s="75" t="s">
        <v>136</v>
      </c>
      <c r="F4" s="76" t="s">
        <v>70</v>
      </c>
      <c r="G4" s="76" t="s">
        <v>71</v>
      </c>
      <c r="H4" s="76" t="s">
        <v>72</v>
      </c>
      <c r="I4" s="76" t="s">
        <v>73</v>
      </c>
      <c r="J4" s="76" t="s">
        <v>17</v>
      </c>
      <c r="K4" s="76" t="s">
        <v>74</v>
      </c>
      <c r="L4" s="76" t="s">
        <v>65</v>
      </c>
      <c r="M4" s="188"/>
      <c r="N4" s="75" t="s">
        <v>70</v>
      </c>
      <c r="O4" s="75" t="s">
        <v>71</v>
      </c>
      <c r="P4" s="75" t="s">
        <v>72</v>
      </c>
      <c r="Q4" s="75" t="s">
        <v>73</v>
      </c>
      <c r="R4" s="75" t="s">
        <v>17</v>
      </c>
      <c r="S4" s="75" t="s">
        <v>74</v>
      </c>
      <c r="T4" s="75" t="s">
        <v>65</v>
      </c>
      <c r="U4" s="75" t="s">
        <v>76</v>
      </c>
      <c r="V4" s="187"/>
      <c r="W4" s="76" t="s">
        <v>70</v>
      </c>
      <c r="X4" s="76" t="s">
        <v>71</v>
      </c>
      <c r="Y4" s="76" t="s">
        <v>72</v>
      </c>
      <c r="Z4" s="76" t="s">
        <v>73</v>
      </c>
      <c r="AA4" s="76" t="s">
        <v>17</v>
      </c>
      <c r="AB4" s="76" t="s">
        <v>74</v>
      </c>
      <c r="AC4" s="76" t="s">
        <v>65</v>
      </c>
      <c r="AD4" s="76" t="s">
        <v>76</v>
      </c>
      <c r="AE4" s="188"/>
      <c r="AF4" s="75" t="s">
        <v>70</v>
      </c>
      <c r="AG4" s="75" t="s">
        <v>71</v>
      </c>
      <c r="AH4" s="75" t="s">
        <v>72</v>
      </c>
      <c r="AI4" s="75" t="s">
        <v>73</v>
      </c>
      <c r="AJ4" s="75" t="s">
        <v>17</v>
      </c>
      <c r="AK4" s="75" t="s">
        <v>74</v>
      </c>
      <c r="AL4" s="75" t="s">
        <v>65</v>
      </c>
      <c r="AM4" s="75" t="s">
        <v>76</v>
      </c>
      <c r="AN4" s="187"/>
      <c r="AO4" s="76" t="s">
        <v>70</v>
      </c>
      <c r="AP4" s="76" t="s">
        <v>71</v>
      </c>
      <c r="AQ4" s="76" t="s">
        <v>72</v>
      </c>
      <c r="AR4" s="76" t="s">
        <v>73</v>
      </c>
      <c r="AS4" s="76" t="s">
        <v>17</v>
      </c>
      <c r="AT4" s="76" t="s">
        <v>74</v>
      </c>
      <c r="AU4" s="76" t="s">
        <v>65</v>
      </c>
      <c r="AV4" s="76" t="s">
        <v>76</v>
      </c>
      <c r="AW4" s="188"/>
      <c r="AX4" s="75" t="s">
        <v>70</v>
      </c>
      <c r="AY4" s="75" t="s">
        <v>71</v>
      </c>
      <c r="AZ4" s="75" t="s">
        <v>72</v>
      </c>
      <c r="BA4" s="75" t="s">
        <v>73</v>
      </c>
      <c r="BB4" s="75" t="s">
        <v>17</v>
      </c>
      <c r="BC4" s="75" t="s">
        <v>74</v>
      </c>
      <c r="BD4" s="75" t="s">
        <v>65</v>
      </c>
      <c r="BE4" s="75" t="s">
        <v>76</v>
      </c>
      <c r="BF4" s="187"/>
      <c r="BG4" s="76" t="s">
        <v>70</v>
      </c>
      <c r="BH4" s="76" t="s">
        <v>71</v>
      </c>
      <c r="BI4" s="76" t="s">
        <v>72</v>
      </c>
      <c r="BJ4" s="76" t="s">
        <v>73</v>
      </c>
      <c r="BK4" s="76" t="s">
        <v>17</v>
      </c>
      <c r="BL4" s="76" t="s">
        <v>74</v>
      </c>
      <c r="BM4" s="76" t="s">
        <v>65</v>
      </c>
      <c r="BN4" s="76" t="s">
        <v>76</v>
      </c>
      <c r="BO4" s="188"/>
      <c r="BP4" s="75" t="s">
        <v>70</v>
      </c>
      <c r="BQ4" s="75" t="s">
        <v>71</v>
      </c>
      <c r="BR4" s="75" t="s">
        <v>72</v>
      </c>
      <c r="BS4" s="75" t="s">
        <v>73</v>
      </c>
      <c r="BT4" s="75" t="s">
        <v>17</v>
      </c>
      <c r="BU4" s="75" t="s">
        <v>74</v>
      </c>
      <c r="BV4" s="75" t="s">
        <v>65</v>
      </c>
      <c r="BW4" s="75" t="s">
        <v>76</v>
      </c>
      <c r="BX4" s="187"/>
    </row>
    <row r="5" spans="2:76" ht="18" customHeight="1" x14ac:dyDescent="0.3">
      <c r="B5" s="14">
        <v>1</v>
      </c>
      <c r="C5" s="53">
        <f>'2. Energy'!O10</f>
        <v>67508.866812003762</v>
      </c>
      <c r="D5" s="53">
        <f>'2. Energy'!P10</f>
        <v>5300.2405192682254</v>
      </c>
      <c r="E5" s="53">
        <f>'2. Energy'!Q10</f>
        <v>62208.626292735535</v>
      </c>
      <c r="F5" s="53">
        <f>'3. Nomination'!W6</f>
        <v>10000</v>
      </c>
      <c r="G5" s="53">
        <f>'3. Nomination'!X6</f>
        <v>2500</v>
      </c>
      <c r="H5" s="53">
        <f>'3. Nomination'!Y6</f>
        <v>5000</v>
      </c>
      <c r="I5" s="53">
        <f>'3. Nomination'!Z6</f>
        <v>5000</v>
      </c>
      <c r="J5" s="53">
        <f>'3. Nomination'!AA6</f>
        <v>0</v>
      </c>
      <c r="K5" s="53">
        <f>'3. Nomination'!AB6</f>
        <v>0</v>
      </c>
      <c r="L5" s="53">
        <f>'3. Nomination'!AC6</f>
        <v>0</v>
      </c>
      <c r="M5" s="53">
        <f>'3. Nomination'!AD6</f>
        <v>39708.626292735535</v>
      </c>
      <c r="N5" s="53">
        <f>'1. Rates'!C$41*'1. Rates'!C$55</f>
        <v>32322.089552238805</v>
      </c>
      <c r="O5" s="53">
        <f>'1. Rates'!D$41*'1. Rates'!D$55</f>
        <v>8080.5223880597014</v>
      </c>
      <c r="P5" s="53">
        <f>'1. Rates'!E$41*'1. Rates'!E$55</f>
        <v>16021.334867008814</v>
      </c>
      <c r="Q5" s="53">
        <f>'1. Rates'!F$41*'1. Rates'!F$55</f>
        <v>16463.334867008813</v>
      </c>
      <c r="R5" s="53">
        <f>'1. Rates'!G$41*'1. Rates'!G$55</f>
        <v>0</v>
      </c>
      <c r="S5" s="53">
        <f>'1. Rates'!H$41*'1. Rates'!H$55</f>
        <v>23081</v>
      </c>
      <c r="T5" s="53"/>
      <c r="U5" s="53"/>
      <c r="V5" s="53">
        <f>N5+O5+P5+Q5+R5+S5+T5+U5</f>
        <v>95968.281674316138</v>
      </c>
      <c r="W5" s="53">
        <f>F5*'1. Rates'!C$56</f>
        <v>32827.227958873475</v>
      </c>
      <c r="X5" s="53">
        <f>G5*'1. Rates'!D$56</f>
        <v>8206.8069897183686</v>
      </c>
      <c r="Y5" s="53">
        <f>H5*'1. Rates'!E$56</f>
        <v>16529.682127576514</v>
      </c>
      <c r="Z5" s="53">
        <f>I5*'1. Rates'!F$56</f>
        <v>16529.682127576514</v>
      </c>
      <c r="AA5" s="53">
        <f>J5*'1. Rates'!G$56</f>
        <v>0</v>
      </c>
      <c r="AB5" s="53">
        <f>K5*'1. Rates'!H$56</f>
        <v>0</v>
      </c>
      <c r="AC5" s="53">
        <f>L5*'1. Rates'!Q41</f>
        <v>0</v>
      </c>
      <c r="AD5" s="53">
        <f>M5*'2. Energy'!N10</f>
        <v>112406.61274301405</v>
      </c>
      <c r="AE5" s="53">
        <f>W5+X5+Y5+Z5+AA5+AB5+AC5+AD5</f>
        <v>186500.0119467589</v>
      </c>
      <c r="AF5" s="53">
        <f>(N5+W5)*'1. Rates'!C$60</f>
        <v>7817.9181013334737</v>
      </c>
      <c r="AG5" s="53">
        <f>(O5+X5)*'1. Rates'!D$60</f>
        <v>1954.4795253333684</v>
      </c>
      <c r="AH5" s="53">
        <f>(P5+Y5)*'1. Rates'!E$60</f>
        <v>3906.122039350239</v>
      </c>
      <c r="AI5" s="53">
        <f>(Q5+Z5)*'1. Rates'!F$60</f>
        <v>3959.162039350239</v>
      </c>
      <c r="AJ5" s="53">
        <f>(R5+AA5)*'1. Rates'!G$60</f>
        <v>0</v>
      </c>
      <c r="AK5" s="53">
        <f>(S5+AB5)*'1. Rates'!H$60</f>
        <v>2769.72</v>
      </c>
      <c r="AL5" s="53">
        <f>(T5+AC5)*'1. Rates'!$I$60</f>
        <v>0</v>
      </c>
      <c r="AM5" s="53">
        <f>(U5+AD5)*'1. Rates'!$J$60</f>
        <v>9460.7796107908962</v>
      </c>
      <c r="AN5" s="53">
        <f>AF5+AG5+AH5+AI5+AJ5+AK5+AL5+AM5</f>
        <v>29868.181316158218</v>
      </c>
      <c r="AO5" s="53">
        <f>N5+W5</f>
        <v>65149.317511112284</v>
      </c>
      <c r="AP5" s="53">
        <f t="shared" ref="AP5:AV20" si="0">O5+X5</f>
        <v>16287.329377778071</v>
      </c>
      <c r="AQ5" s="53">
        <f t="shared" si="0"/>
        <v>32551.016994585327</v>
      </c>
      <c r="AR5" s="53">
        <f t="shared" si="0"/>
        <v>32993.016994585327</v>
      </c>
      <c r="AS5" s="53">
        <f t="shared" si="0"/>
        <v>0</v>
      </c>
      <c r="AT5" s="53">
        <f t="shared" si="0"/>
        <v>23081</v>
      </c>
      <c r="AU5" s="53">
        <f t="shared" si="0"/>
        <v>0</v>
      </c>
      <c r="AV5" s="53">
        <f t="shared" si="0"/>
        <v>112406.61274301405</v>
      </c>
      <c r="AW5" s="53">
        <f>AO5+AP5+AQ5+AR5+AS5+AT5+AU5+AV5</f>
        <v>282468.29362107505</v>
      </c>
      <c r="AX5" s="53">
        <f>N5+W5+AF5</f>
        <v>72967.235612445758</v>
      </c>
      <c r="AY5" s="53">
        <f t="shared" ref="AY5:BE5" si="1">O5+X5+AG5</f>
        <v>18241.80890311144</v>
      </c>
      <c r="AZ5" s="53">
        <f t="shared" si="1"/>
        <v>36457.139033935564</v>
      </c>
      <c r="BA5" s="53">
        <f t="shared" si="1"/>
        <v>36952.179033935565</v>
      </c>
      <c r="BB5" s="53">
        <f t="shared" si="1"/>
        <v>0</v>
      </c>
      <c r="BC5" s="53">
        <f t="shared" si="1"/>
        <v>25850.720000000001</v>
      </c>
      <c r="BD5" s="53">
        <f t="shared" si="1"/>
        <v>0</v>
      </c>
      <c r="BE5" s="53">
        <f t="shared" si="1"/>
        <v>121867.39235380494</v>
      </c>
      <c r="BF5" s="53">
        <f>AX5+AY5+AZ5+BA5+BB5+BC5+BD5+BE5</f>
        <v>312336.47493723326</v>
      </c>
      <c r="BG5" s="54">
        <f>AO5/F5</f>
        <v>6.5149317511112281</v>
      </c>
      <c r="BH5" s="54">
        <f t="shared" ref="BH5:BL20" si="2">AP5/G5</f>
        <v>6.5149317511112281</v>
      </c>
      <c r="BI5" s="54">
        <f t="shared" si="2"/>
        <v>6.5102033989170653</v>
      </c>
      <c r="BJ5" s="54">
        <f t="shared" si="2"/>
        <v>6.5986033989170654</v>
      </c>
      <c r="BK5" s="54" t="e">
        <f t="shared" si="2"/>
        <v>#DIV/0!</v>
      </c>
      <c r="BL5" s="54" t="e">
        <f>AT5/K5</f>
        <v>#DIV/0!</v>
      </c>
      <c r="BM5" s="54"/>
      <c r="BN5" s="54">
        <f>AV5/M5</f>
        <v>2.8307857319047622</v>
      </c>
      <c r="BO5" s="54">
        <f>AW5/E5</f>
        <v>4.5406611663768652</v>
      </c>
      <c r="BP5" s="54">
        <f>AX5/F5</f>
        <v>7.2967235612445762</v>
      </c>
      <c r="BQ5" s="54">
        <f t="shared" ref="BQ5:BU20" si="3">AY5/G5</f>
        <v>7.2967235612445762</v>
      </c>
      <c r="BR5" s="54">
        <f t="shared" si="3"/>
        <v>7.2914278067871132</v>
      </c>
      <c r="BS5" s="54">
        <f t="shared" si="3"/>
        <v>7.3904358067871128</v>
      </c>
      <c r="BT5" s="54" t="e">
        <f t="shared" si="3"/>
        <v>#DIV/0!</v>
      </c>
      <c r="BU5" s="54" t="e">
        <f>BC5/K5</f>
        <v>#DIV/0!</v>
      </c>
      <c r="BV5" s="54"/>
      <c r="BW5" s="54">
        <f t="shared" ref="BW5:BW20" si="4">BE5/M5</f>
        <v>3.0690407533966968</v>
      </c>
      <c r="BX5" s="54">
        <f>BF5/E5</f>
        <v>5.0207904200853024</v>
      </c>
    </row>
    <row r="6" spans="2:76" ht="18" customHeight="1" x14ac:dyDescent="0.3">
      <c r="B6" s="14">
        <v>2</v>
      </c>
      <c r="C6" s="53">
        <f>'2. Energy'!O11</f>
        <v>64036.845991138456</v>
      </c>
      <c r="D6" s="53">
        <f>'2. Energy'!P11</f>
        <v>5231.7440848701544</v>
      </c>
      <c r="E6" s="53">
        <f>'2. Energy'!Q11</f>
        <v>58805.101906268304</v>
      </c>
      <c r="F6" s="53">
        <f>'3. Nomination'!W7</f>
        <v>10000</v>
      </c>
      <c r="G6" s="53">
        <f>'3. Nomination'!X7</f>
        <v>2500</v>
      </c>
      <c r="H6" s="53">
        <f>'3. Nomination'!Y7</f>
        <v>5000</v>
      </c>
      <c r="I6" s="53">
        <f>'3. Nomination'!Z7</f>
        <v>5000</v>
      </c>
      <c r="J6" s="53">
        <f>'3. Nomination'!AA7</f>
        <v>0</v>
      </c>
      <c r="K6" s="53">
        <f>'3. Nomination'!AB7</f>
        <v>0</v>
      </c>
      <c r="L6" s="53">
        <f>'3. Nomination'!AC7</f>
        <v>0</v>
      </c>
      <c r="M6" s="53">
        <f>'3. Nomination'!AD7</f>
        <v>36305.101906268304</v>
      </c>
      <c r="N6" s="53">
        <f>'1. Rates'!C$41*'1. Rates'!C$55</f>
        <v>32322.089552238805</v>
      </c>
      <c r="O6" s="53">
        <f>'1. Rates'!D$41*'1. Rates'!D$55</f>
        <v>8080.5223880597014</v>
      </c>
      <c r="P6" s="53">
        <f>'1. Rates'!E$41*'1. Rates'!E$55</f>
        <v>16021.334867008814</v>
      </c>
      <c r="Q6" s="53">
        <f>'1. Rates'!F$41*'1. Rates'!F$55</f>
        <v>16463.334867008813</v>
      </c>
      <c r="R6" s="53">
        <f>'1. Rates'!G$41*'1. Rates'!G$55</f>
        <v>0</v>
      </c>
      <c r="S6" s="53">
        <f>'1. Rates'!H$41*'1. Rates'!H$55</f>
        <v>23081</v>
      </c>
      <c r="T6" s="53"/>
      <c r="U6" s="53"/>
      <c r="V6" s="53">
        <f t="shared" ref="V6:V28" si="5">N6+O6+P6+Q6+R6+S6+T6+U6</f>
        <v>95968.281674316138</v>
      </c>
      <c r="W6" s="53">
        <f>F6*'1. Rates'!C$56</f>
        <v>32827.227958873475</v>
      </c>
      <c r="X6" s="53">
        <f>G6*'1. Rates'!D$56</f>
        <v>8206.8069897183686</v>
      </c>
      <c r="Y6" s="53">
        <f>H6*'1. Rates'!E$56</f>
        <v>16529.682127576514</v>
      </c>
      <c r="Z6" s="53">
        <f>I6*'1. Rates'!F$56</f>
        <v>16529.682127576514</v>
      </c>
      <c r="AA6" s="53">
        <f>J6*'1. Rates'!G$56</f>
        <v>0</v>
      </c>
      <c r="AB6" s="53">
        <f>K6*'1. Rates'!H$56</f>
        <v>0</v>
      </c>
      <c r="AC6" s="53">
        <f>L6*'1. Rates'!Q42</f>
        <v>0</v>
      </c>
      <c r="AD6" s="53">
        <f>M6*'2. Energy'!N11</f>
        <v>78111.348252619297</v>
      </c>
      <c r="AE6" s="53">
        <f t="shared" ref="AE6:AE28" si="6">W6+X6+Y6+Z6+AA6+AB6+AC6+AD6</f>
        <v>152204.74745636416</v>
      </c>
      <c r="AF6" s="53">
        <f>(N6+W6)*'1. Rates'!C$60</f>
        <v>7817.9181013334737</v>
      </c>
      <c r="AG6" s="53">
        <f>(O6+X6)*'1. Rates'!D$60</f>
        <v>1954.4795253333684</v>
      </c>
      <c r="AH6" s="53">
        <f>(P6+Y6)*'1. Rates'!E$60</f>
        <v>3906.122039350239</v>
      </c>
      <c r="AI6" s="53">
        <f>(Q6+Z6)*'1. Rates'!F$60</f>
        <v>3959.162039350239</v>
      </c>
      <c r="AJ6" s="53">
        <f>(R6+AA6)*'1. Rates'!G$60</f>
        <v>0</v>
      </c>
      <c r="AK6" s="53">
        <f>(S6+AB6)*'1. Rates'!H$60</f>
        <v>2769.72</v>
      </c>
      <c r="AL6" s="53">
        <f>(T6+AC6)*'1. Rates'!$I$60</f>
        <v>0</v>
      </c>
      <c r="AM6" s="53">
        <f>(U6+AD6)*'1. Rates'!$J$60</f>
        <v>6574.2951672182244</v>
      </c>
      <c r="AN6" s="53">
        <f t="shared" ref="AN6:AN28" si="7">AF6+AG6+AH6+AI6+AJ6+AK6+AL6+AM6</f>
        <v>26981.696872585544</v>
      </c>
      <c r="AO6" s="53">
        <f t="shared" ref="AO6:AO28" si="8">N6+W6</f>
        <v>65149.317511112284</v>
      </c>
      <c r="AP6" s="53">
        <f t="shared" si="0"/>
        <v>16287.329377778071</v>
      </c>
      <c r="AQ6" s="53">
        <f t="shared" si="0"/>
        <v>32551.016994585327</v>
      </c>
      <c r="AR6" s="53">
        <f t="shared" si="0"/>
        <v>32993.016994585327</v>
      </c>
      <c r="AS6" s="53">
        <f t="shared" si="0"/>
        <v>0</v>
      </c>
      <c r="AT6" s="53">
        <f t="shared" si="0"/>
        <v>23081</v>
      </c>
      <c r="AU6" s="53">
        <f t="shared" si="0"/>
        <v>0</v>
      </c>
      <c r="AV6" s="53">
        <f t="shared" si="0"/>
        <v>78111.348252619297</v>
      </c>
      <c r="AW6" s="53">
        <f t="shared" ref="AW6:AW28" si="9">AO6+AP6+AQ6+AR6+AS6+AT6+AU6+AV6</f>
        <v>248173.02913068031</v>
      </c>
      <c r="AX6" s="53">
        <f t="shared" ref="AX6:AX28" si="10">N6+W6+AF6</f>
        <v>72967.235612445758</v>
      </c>
      <c r="AY6" s="53">
        <f t="shared" ref="AY6:AY28" si="11">O6+X6+AG6</f>
        <v>18241.80890311144</v>
      </c>
      <c r="AZ6" s="53">
        <f t="shared" ref="AZ6:AZ28" si="12">P6+Y6+AH6</f>
        <v>36457.139033935564</v>
      </c>
      <c r="BA6" s="53">
        <f t="shared" ref="BA6:BA28" si="13">Q6+Z6+AI6</f>
        <v>36952.179033935565</v>
      </c>
      <c r="BB6" s="53">
        <f t="shared" ref="BB6:BC28" si="14">R6+AA6+AJ6</f>
        <v>0</v>
      </c>
      <c r="BC6" s="53">
        <f t="shared" si="14"/>
        <v>25850.720000000001</v>
      </c>
      <c r="BD6" s="53">
        <f t="shared" ref="BD6:BD28" si="15">T6+AC6+AL6</f>
        <v>0</v>
      </c>
      <c r="BE6" s="53">
        <f t="shared" ref="BE6:BE28" si="16">U6+AD6+AM6</f>
        <v>84685.643419837521</v>
      </c>
      <c r="BF6" s="53">
        <f t="shared" ref="BF6:BF28" si="17">AX6+AY6+AZ6+BA6+BB6+BC6+BD6+BE6</f>
        <v>275154.72600326582</v>
      </c>
      <c r="BG6" s="54">
        <f t="shared" ref="BG6:BG28" si="18">AO6/F6</f>
        <v>6.5149317511112281</v>
      </c>
      <c r="BH6" s="54">
        <f t="shared" si="2"/>
        <v>6.5149317511112281</v>
      </c>
      <c r="BI6" s="54">
        <f t="shared" si="2"/>
        <v>6.5102033989170653</v>
      </c>
      <c r="BJ6" s="54">
        <f t="shared" si="2"/>
        <v>6.5986033989170654</v>
      </c>
      <c r="BK6" s="54" t="e">
        <f t="shared" si="2"/>
        <v>#DIV/0!</v>
      </c>
      <c r="BL6" s="54" t="e">
        <f t="shared" si="2"/>
        <v>#DIV/0!</v>
      </c>
      <c r="BM6" s="54"/>
      <c r="BN6" s="54">
        <f t="shared" ref="BN6:BN28" si="19">AV6/M6</f>
        <v>2.1515253821428573</v>
      </c>
      <c r="BO6" s="54">
        <f>AW6/E6</f>
        <v>4.2202635670328874</v>
      </c>
      <c r="BP6" s="54">
        <f t="shared" ref="BP6:BP27" si="20">AX6/F6</f>
        <v>7.2967235612445762</v>
      </c>
      <c r="BQ6" s="54">
        <f t="shared" si="3"/>
        <v>7.2967235612445762</v>
      </c>
      <c r="BR6" s="54">
        <f t="shared" si="3"/>
        <v>7.2914278067871132</v>
      </c>
      <c r="BS6" s="54">
        <f t="shared" si="3"/>
        <v>7.3904358067871128</v>
      </c>
      <c r="BT6" s="54" t="e">
        <f t="shared" si="3"/>
        <v>#DIV/0!</v>
      </c>
      <c r="BU6" s="54" t="e">
        <f t="shared" si="3"/>
        <v>#DIV/0!</v>
      </c>
      <c r="BV6" s="54"/>
      <c r="BW6" s="54">
        <f t="shared" si="4"/>
        <v>2.332609990697093</v>
      </c>
      <c r="BX6" s="54">
        <f t="shared" ref="BX6:BX28" si="21">BF6/E6</f>
        <v>4.6790961512462887</v>
      </c>
    </row>
    <row r="7" spans="2:76" ht="18" customHeight="1" x14ac:dyDescent="0.3">
      <c r="B7" s="14">
        <v>3</v>
      </c>
      <c r="C7" s="53">
        <f>'2. Energy'!O12</f>
        <v>61458.756275403626</v>
      </c>
      <c r="D7" s="53">
        <f>'2. Energy'!P12</f>
        <v>5172.9645141120864</v>
      </c>
      <c r="E7" s="53">
        <f>'2. Energy'!Q12</f>
        <v>56285.791761291541</v>
      </c>
      <c r="F7" s="53">
        <f>'3. Nomination'!W8</f>
        <v>10000</v>
      </c>
      <c r="G7" s="53">
        <f>'3. Nomination'!X8</f>
        <v>2500</v>
      </c>
      <c r="H7" s="53">
        <f>'3. Nomination'!Y8</f>
        <v>5000</v>
      </c>
      <c r="I7" s="53">
        <f>'3. Nomination'!Z8</f>
        <v>5000</v>
      </c>
      <c r="J7" s="53">
        <f>'3. Nomination'!AA8</f>
        <v>0</v>
      </c>
      <c r="K7" s="53">
        <f>'3. Nomination'!AB8</f>
        <v>0</v>
      </c>
      <c r="L7" s="53">
        <f>'3. Nomination'!AC8</f>
        <v>0</v>
      </c>
      <c r="M7" s="53">
        <f>'3. Nomination'!AD8</f>
        <v>33785.791761291541</v>
      </c>
      <c r="N7" s="53">
        <f>'1. Rates'!C$41*'1. Rates'!C$55</f>
        <v>32322.089552238805</v>
      </c>
      <c r="O7" s="53">
        <f>'1. Rates'!D$41*'1. Rates'!D$55</f>
        <v>8080.5223880597014</v>
      </c>
      <c r="P7" s="53">
        <f>'1. Rates'!E$41*'1. Rates'!E$55</f>
        <v>16021.334867008814</v>
      </c>
      <c r="Q7" s="53">
        <f>'1. Rates'!F$41*'1. Rates'!F$55</f>
        <v>16463.334867008813</v>
      </c>
      <c r="R7" s="53">
        <f>'1. Rates'!G$41*'1. Rates'!G$55</f>
        <v>0</v>
      </c>
      <c r="S7" s="53">
        <f>'1. Rates'!H$41*'1. Rates'!H$55</f>
        <v>23081</v>
      </c>
      <c r="T7" s="53"/>
      <c r="U7" s="53"/>
      <c r="V7" s="53">
        <f t="shared" si="5"/>
        <v>95968.281674316138</v>
      </c>
      <c r="W7" s="53">
        <f>F7*'1. Rates'!C$56</f>
        <v>32827.227958873475</v>
      </c>
      <c r="X7" s="53">
        <f>G7*'1. Rates'!D$56</f>
        <v>8206.8069897183686</v>
      </c>
      <c r="Y7" s="53">
        <f>H7*'1. Rates'!E$56</f>
        <v>16529.682127576514</v>
      </c>
      <c r="Z7" s="53">
        <f>I7*'1. Rates'!F$56</f>
        <v>16529.682127576514</v>
      </c>
      <c r="AA7" s="53">
        <f>J7*'1. Rates'!G$56</f>
        <v>0</v>
      </c>
      <c r="AB7" s="53">
        <f>K7*'1. Rates'!H$56</f>
        <v>0</v>
      </c>
      <c r="AC7" s="53">
        <f>L7*'1. Rates'!Q43</f>
        <v>0</v>
      </c>
      <c r="AD7" s="53">
        <f>M7*'2. Energy'!N12</f>
        <v>36765.543123685704</v>
      </c>
      <c r="AE7" s="53">
        <f t="shared" si="6"/>
        <v>110858.94232743056</v>
      </c>
      <c r="AF7" s="53">
        <f>(N7+W7)*'1. Rates'!C$60</f>
        <v>7817.9181013334737</v>
      </c>
      <c r="AG7" s="53">
        <f>(O7+X7)*'1. Rates'!D$60</f>
        <v>1954.4795253333684</v>
      </c>
      <c r="AH7" s="53">
        <f>(P7+Y7)*'1. Rates'!E$60</f>
        <v>3906.122039350239</v>
      </c>
      <c r="AI7" s="53">
        <f>(Q7+Z7)*'1. Rates'!F$60</f>
        <v>3959.162039350239</v>
      </c>
      <c r="AJ7" s="53">
        <f>(R7+AA7)*'1. Rates'!G$60</f>
        <v>0</v>
      </c>
      <c r="AK7" s="53">
        <f>(S7+AB7)*'1. Rates'!H$60</f>
        <v>2769.72</v>
      </c>
      <c r="AL7" s="53">
        <f>(T7+AC7)*'1. Rates'!$I$60</f>
        <v>0</v>
      </c>
      <c r="AM7" s="53">
        <f>(U7+AD7)*'1. Rates'!$J$60</f>
        <v>3094.3971379996633</v>
      </c>
      <c r="AN7" s="53">
        <f t="shared" si="7"/>
        <v>23501.798843366982</v>
      </c>
      <c r="AO7" s="53">
        <f t="shared" si="8"/>
        <v>65149.317511112284</v>
      </c>
      <c r="AP7" s="53">
        <f t="shared" si="0"/>
        <v>16287.329377778071</v>
      </c>
      <c r="AQ7" s="53">
        <f t="shared" si="0"/>
        <v>32551.016994585327</v>
      </c>
      <c r="AR7" s="53">
        <f t="shared" si="0"/>
        <v>32993.016994585327</v>
      </c>
      <c r="AS7" s="53">
        <f t="shared" si="0"/>
        <v>0</v>
      </c>
      <c r="AT7" s="53">
        <f t="shared" si="0"/>
        <v>23081</v>
      </c>
      <c r="AU7" s="53">
        <f t="shared" si="0"/>
        <v>0</v>
      </c>
      <c r="AV7" s="53">
        <f t="shared" si="0"/>
        <v>36765.543123685704</v>
      </c>
      <c r="AW7" s="53">
        <f t="shared" si="9"/>
        <v>206827.22400174671</v>
      </c>
      <c r="AX7" s="53">
        <f t="shared" si="10"/>
        <v>72967.235612445758</v>
      </c>
      <c r="AY7" s="53">
        <f t="shared" si="11"/>
        <v>18241.80890311144</v>
      </c>
      <c r="AZ7" s="53">
        <f t="shared" si="12"/>
        <v>36457.139033935564</v>
      </c>
      <c r="BA7" s="53">
        <f t="shared" si="13"/>
        <v>36952.179033935565</v>
      </c>
      <c r="BB7" s="53">
        <f t="shared" si="14"/>
        <v>0</v>
      </c>
      <c r="BC7" s="53">
        <f t="shared" si="14"/>
        <v>25850.720000000001</v>
      </c>
      <c r="BD7" s="53">
        <f t="shared" si="15"/>
        <v>0</v>
      </c>
      <c r="BE7" s="53">
        <f t="shared" si="16"/>
        <v>39859.940261685369</v>
      </c>
      <c r="BF7" s="53">
        <f t="shared" si="17"/>
        <v>230329.02284511371</v>
      </c>
      <c r="BG7" s="54">
        <f t="shared" si="18"/>
        <v>6.5149317511112281</v>
      </c>
      <c r="BH7" s="54">
        <f t="shared" si="2"/>
        <v>6.5149317511112281</v>
      </c>
      <c r="BI7" s="54">
        <f t="shared" si="2"/>
        <v>6.5102033989170653</v>
      </c>
      <c r="BJ7" s="54">
        <f t="shared" si="2"/>
        <v>6.5986033989170654</v>
      </c>
      <c r="BK7" s="54" t="e">
        <f t="shared" si="2"/>
        <v>#DIV/0!</v>
      </c>
      <c r="BL7" s="54" t="e">
        <f t="shared" si="2"/>
        <v>#DIV/0!</v>
      </c>
      <c r="BM7" s="54"/>
      <c r="BN7" s="54">
        <f t="shared" si="19"/>
        <v>1.0881953983333335</v>
      </c>
      <c r="BO7" s="54">
        <f t="shared" ref="BO7:BO28" si="22">AW7/E7</f>
        <v>3.6745902923228386</v>
      </c>
      <c r="BP7" s="54">
        <f t="shared" si="20"/>
        <v>7.2967235612445762</v>
      </c>
      <c r="BQ7" s="54">
        <f t="shared" si="3"/>
        <v>7.2967235612445762</v>
      </c>
      <c r="BR7" s="54">
        <f t="shared" si="3"/>
        <v>7.2914278067871132</v>
      </c>
      <c r="BS7" s="54">
        <f t="shared" si="3"/>
        <v>7.3904358067871128</v>
      </c>
      <c r="BT7" s="54" t="e">
        <f t="shared" si="3"/>
        <v>#DIV/0!</v>
      </c>
      <c r="BU7" s="54" t="e">
        <f t="shared" si="3"/>
        <v>#DIV/0!</v>
      </c>
      <c r="BV7" s="54"/>
      <c r="BW7" s="54">
        <f t="shared" si="4"/>
        <v>1.1797841099391666</v>
      </c>
      <c r="BX7" s="54">
        <f t="shared" si="21"/>
        <v>4.0921343670875379</v>
      </c>
    </row>
    <row r="8" spans="2:76" ht="18" customHeight="1" x14ac:dyDescent="0.3">
      <c r="B8" s="14">
        <v>4</v>
      </c>
      <c r="C8" s="53">
        <f>'2. Energy'!O13</f>
        <v>59778.96047892818</v>
      </c>
      <c r="D8" s="53">
        <f>'2. Energy'!P13</f>
        <v>5075.9463236804486</v>
      </c>
      <c r="E8" s="53">
        <f>'2. Energy'!Q13</f>
        <v>54703.014155247729</v>
      </c>
      <c r="F8" s="53">
        <f>'3. Nomination'!W9</f>
        <v>10000</v>
      </c>
      <c r="G8" s="53">
        <f>'3. Nomination'!X9</f>
        <v>2500</v>
      </c>
      <c r="H8" s="53">
        <f>'3. Nomination'!Y9</f>
        <v>5000</v>
      </c>
      <c r="I8" s="53">
        <f>'3. Nomination'!Z9</f>
        <v>5000</v>
      </c>
      <c r="J8" s="53">
        <f>'3. Nomination'!AA9</f>
        <v>0</v>
      </c>
      <c r="K8" s="53">
        <f>'3. Nomination'!AB9</f>
        <v>0</v>
      </c>
      <c r="L8" s="53">
        <f>'3. Nomination'!AC9</f>
        <v>0</v>
      </c>
      <c r="M8" s="53">
        <f>'3. Nomination'!AD9</f>
        <v>32203.014155247729</v>
      </c>
      <c r="N8" s="53">
        <f>'1. Rates'!C$41*'1. Rates'!C$55</f>
        <v>32322.089552238805</v>
      </c>
      <c r="O8" s="53">
        <f>'1. Rates'!D$41*'1. Rates'!D$55</f>
        <v>8080.5223880597014</v>
      </c>
      <c r="P8" s="53">
        <f>'1. Rates'!E$41*'1. Rates'!E$55</f>
        <v>16021.334867008814</v>
      </c>
      <c r="Q8" s="53">
        <f>'1. Rates'!F$41*'1. Rates'!F$55</f>
        <v>16463.334867008813</v>
      </c>
      <c r="R8" s="53">
        <f>'1. Rates'!G$41*'1. Rates'!G$55</f>
        <v>0</v>
      </c>
      <c r="S8" s="53">
        <f>'1. Rates'!H$41*'1. Rates'!H$55</f>
        <v>23081</v>
      </c>
      <c r="T8" s="53"/>
      <c r="U8" s="53"/>
      <c r="V8" s="53">
        <f t="shared" si="5"/>
        <v>95968.281674316138</v>
      </c>
      <c r="W8" s="53">
        <f>F8*'1. Rates'!C$56</f>
        <v>32827.227958873475</v>
      </c>
      <c r="X8" s="53">
        <f>G8*'1. Rates'!D$56</f>
        <v>8206.8069897183686</v>
      </c>
      <c r="Y8" s="53">
        <f>H8*'1. Rates'!E$56</f>
        <v>16529.682127576514</v>
      </c>
      <c r="Z8" s="53">
        <f>I8*'1. Rates'!F$56</f>
        <v>16529.682127576514</v>
      </c>
      <c r="AA8" s="53">
        <f>J8*'1. Rates'!G$56</f>
        <v>0</v>
      </c>
      <c r="AB8" s="53">
        <f>K8*'1. Rates'!H$56</f>
        <v>0</v>
      </c>
      <c r="AC8" s="53">
        <f>L8*'1. Rates'!Q44</f>
        <v>0</v>
      </c>
      <c r="AD8" s="53">
        <f>M8*'2. Energy'!N13</f>
        <v>37395.648924636669</v>
      </c>
      <c r="AE8" s="53">
        <f t="shared" si="6"/>
        <v>111489.04812838153</v>
      </c>
      <c r="AF8" s="53">
        <f>(N8+W8)*'1. Rates'!C$60</f>
        <v>7817.9181013334737</v>
      </c>
      <c r="AG8" s="53">
        <f>(O8+X8)*'1. Rates'!D$60</f>
        <v>1954.4795253333684</v>
      </c>
      <c r="AH8" s="53">
        <f>(P8+Y8)*'1. Rates'!E$60</f>
        <v>3906.122039350239</v>
      </c>
      <c r="AI8" s="53">
        <f>(Q8+Z8)*'1. Rates'!F$60</f>
        <v>3959.162039350239</v>
      </c>
      <c r="AJ8" s="53">
        <f>(R8+AA8)*'1. Rates'!G$60</f>
        <v>0</v>
      </c>
      <c r="AK8" s="53">
        <f>(S8+AB8)*'1. Rates'!H$60</f>
        <v>2769.72</v>
      </c>
      <c r="AL8" s="53">
        <f>(T8+AC8)*'1. Rates'!$I$60</f>
        <v>0</v>
      </c>
      <c r="AM8" s="53">
        <f>(U8+AD8)*'1. Rates'!$J$60</f>
        <v>3147.4304246436332</v>
      </c>
      <c r="AN8" s="53">
        <f t="shared" si="7"/>
        <v>23554.832130010953</v>
      </c>
      <c r="AO8" s="53">
        <f t="shared" si="8"/>
        <v>65149.317511112284</v>
      </c>
      <c r="AP8" s="53">
        <f t="shared" si="0"/>
        <v>16287.329377778071</v>
      </c>
      <c r="AQ8" s="53">
        <f t="shared" si="0"/>
        <v>32551.016994585327</v>
      </c>
      <c r="AR8" s="53">
        <f t="shared" si="0"/>
        <v>32993.016994585327</v>
      </c>
      <c r="AS8" s="53">
        <f t="shared" si="0"/>
        <v>0</v>
      </c>
      <c r="AT8" s="53">
        <f t="shared" si="0"/>
        <v>23081</v>
      </c>
      <c r="AU8" s="53">
        <f t="shared" si="0"/>
        <v>0</v>
      </c>
      <c r="AV8" s="53">
        <f t="shared" si="0"/>
        <v>37395.648924636669</v>
      </c>
      <c r="AW8" s="53">
        <f t="shared" si="9"/>
        <v>207457.3298026977</v>
      </c>
      <c r="AX8" s="53">
        <f t="shared" si="10"/>
        <v>72967.235612445758</v>
      </c>
      <c r="AY8" s="53">
        <f t="shared" si="11"/>
        <v>18241.80890311144</v>
      </c>
      <c r="AZ8" s="53">
        <f t="shared" si="12"/>
        <v>36457.139033935564</v>
      </c>
      <c r="BA8" s="53">
        <f t="shared" si="13"/>
        <v>36952.179033935565</v>
      </c>
      <c r="BB8" s="53">
        <f t="shared" si="14"/>
        <v>0</v>
      </c>
      <c r="BC8" s="53">
        <f t="shared" si="14"/>
        <v>25850.720000000001</v>
      </c>
      <c r="BD8" s="53">
        <f t="shared" si="15"/>
        <v>0</v>
      </c>
      <c r="BE8" s="53">
        <f t="shared" si="16"/>
        <v>40543.079349280306</v>
      </c>
      <c r="BF8" s="53">
        <f t="shared" si="17"/>
        <v>231012.16193270864</v>
      </c>
      <c r="BG8" s="54">
        <f t="shared" si="18"/>
        <v>6.5149317511112281</v>
      </c>
      <c r="BH8" s="54">
        <f t="shared" si="2"/>
        <v>6.5149317511112281</v>
      </c>
      <c r="BI8" s="54">
        <f t="shared" si="2"/>
        <v>6.5102033989170653</v>
      </c>
      <c r="BJ8" s="54">
        <f t="shared" si="2"/>
        <v>6.5986033989170654</v>
      </c>
      <c r="BK8" s="54" t="e">
        <f t="shared" si="2"/>
        <v>#DIV/0!</v>
      </c>
      <c r="BL8" s="54" t="e">
        <f t="shared" si="2"/>
        <v>#DIV/0!</v>
      </c>
      <c r="BM8" s="54"/>
      <c r="BN8" s="54">
        <f t="shared" si="19"/>
        <v>1.1612468554761903</v>
      </c>
      <c r="BO8" s="54">
        <f t="shared" si="22"/>
        <v>3.7924295947190703</v>
      </c>
      <c r="BP8" s="54">
        <f t="shared" si="20"/>
        <v>7.2967235612445762</v>
      </c>
      <c r="BQ8" s="54">
        <f t="shared" si="3"/>
        <v>7.2967235612445762</v>
      </c>
      <c r="BR8" s="54">
        <f t="shared" si="3"/>
        <v>7.2914278067871132</v>
      </c>
      <c r="BS8" s="54">
        <f t="shared" si="3"/>
        <v>7.3904358067871128</v>
      </c>
      <c r="BT8" s="54" t="e">
        <f t="shared" si="3"/>
        <v>#DIV/0!</v>
      </c>
      <c r="BU8" s="54" t="e">
        <f t="shared" si="3"/>
        <v>#DIV/0!</v>
      </c>
      <c r="BV8" s="54"/>
      <c r="BW8" s="54">
        <f t="shared" si="4"/>
        <v>1.258983993045679</v>
      </c>
      <c r="BX8" s="54">
        <f t="shared" si="21"/>
        <v>4.2230243707795276</v>
      </c>
    </row>
    <row r="9" spans="2:76" ht="18" customHeight="1" x14ac:dyDescent="0.3">
      <c r="B9" s="14">
        <v>5</v>
      </c>
      <c r="C9" s="53">
        <f>'2. Energy'!O14</f>
        <v>59738.436628100244</v>
      </c>
      <c r="D9" s="53">
        <f>'2. Energy'!P14</f>
        <v>5154.3237133020193</v>
      </c>
      <c r="E9" s="53">
        <f>'2. Energy'!Q14</f>
        <v>54584.112914798228</v>
      </c>
      <c r="F9" s="53">
        <f>'3. Nomination'!W10</f>
        <v>10000</v>
      </c>
      <c r="G9" s="53">
        <f>'3. Nomination'!X10</f>
        <v>2500</v>
      </c>
      <c r="H9" s="53">
        <f>'3. Nomination'!Y10</f>
        <v>5000</v>
      </c>
      <c r="I9" s="53">
        <f>'3. Nomination'!Z10</f>
        <v>5000</v>
      </c>
      <c r="J9" s="53">
        <f>'3. Nomination'!AA10</f>
        <v>0</v>
      </c>
      <c r="K9" s="53">
        <f>'3. Nomination'!AB10</f>
        <v>0</v>
      </c>
      <c r="L9" s="53">
        <f>'3. Nomination'!AC10</f>
        <v>0</v>
      </c>
      <c r="M9" s="53">
        <f>'3. Nomination'!AD10</f>
        <v>32084.112914798228</v>
      </c>
      <c r="N9" s="53">
        <f>'1. Rates'!C$41*'1. Rates'!C$55</f>
        <v>32322.089552238805</v>
      </c>
      <c r="O9" s="53">
        <f>'1. Rates'!D$41*'1. Rates'!D$55</f>
        <v>8080.5223880597014</v>
      </c>
      <c r="P9" s="53">
        <f>'1. Rates'!E$41*'1. Rates'!E$55</f>
        <v>16021.334867008814</v>
      </c>
      <c r="Q9" s="53">
        <f>'1. Rates'!F$41*'1. Rates'!F$55</f>
        <v>16463.334867008813</v>
      </c>
      <c r="R9" s="53">
        <f>'1. Rates'!G$41*'1. Rates'!G$55</f>
        <v>0</v>
      </c>
      <c r="S9" s="53">
        <f>'1. Rates'!H$41*'1. Rates'!H$55</f>
        <v>23081</v>
      </c>
      <c r="T9" s="53"/>
      <c r="U9" s="53"/>
      <c r="V9" s="53">
        <f t="shared" si="5"/>
        <v>95968.281674316138</v>
      </c>
      <c r="W9" s="53">
        <f>F9*'1. Rates'!C$56</f>
        <v>32827.227958873475</v>
      </c>
      <c r="X9" s="53">
        <f>G9*'1. Rates'!D$56</f>
        <v>8206.8069897183686</v>
      </c>
      <c r="Y9" s="53">
        <f>H9*'1. Rates'!E$56</f>
        <v>16529.682127576514</v>
      </c>
      <c r="Z9" s="53">
        <f>I9*'1. Rates'!F$56</f>
        <v>16529.682127576514</v>
      </c>
      <c r="AA9" s="53">
        <f>J9*'1. Rates'!G$56</f>
        <v>0</v>
      </c>
      <c r="AB9" s="53">
        <f>K9*'1. Rates'!H$56</f>
        <v>0</v>
      </c>
      <c r="AC9" s="53">
        <f>L9*'1. Rates'!Q45</f>
        <v>0</v>
      </c>
      <c r="AD9" s="53">
        <f>M9*'2. Energy'!N14</f>
        <v>71304.468528480633</v>
      </c>
      <c r="AE9" s="53">
        <f t="shared" si="6"/>
        <v>145397.86773222551</v>
      </c>
      <c r="AF9" s="53">
        <f>(N9+W9)*'1. Rates'!C$60</f>
        <v>7817.9181013334737</v>
      </c>
      <c r="AG9" s="53">
        <f>(O9+X9)*'1. Rates'!D$60</f>
        <v>1954.4795253333684</v>
      </c>
      <c r="AH9" s="53">
        <f>(P9+Y9)*'1. Rates'!E$60</f>
        <v>3906.122039350239</v>
      </c>
      <c r="AI9" s="53">
        <f>(Q9+Z9)*'1. Rates'!F$60</f>
        <v>3959.162039350239</v>
      </c>
      <c r="AJ9" s="53">
        <f>(R9+AA9)*'1. Rates'!G$60</f>
        <v>0</v>
      </c>
      <c r="AK9" s="53">
        <f>(S9+AB9)*'1. Rates'!H$60</f>
        <v>2769.72</v>
      </c>
      <c r="AL9" s="53">
        <f>(T9+AC9)*'1. Rates'!$I$60</f>
        <v>0</v>
      </c>
      <c r="AM9" s="53">
        <f>(U9+AD9)*'1. Rates'!$J$60</f>
        <v>6001.3894694505525</v>
      </c>
      <c r="AN9" s="53">
        <f t="shared" si="7"/>
        <v>26408.791174817874</v>
      </c>
      <c r="AO9" s="53">
        <f t="shared" si="8"/>
        <v>65149.317511112284</v>
      </c>
      <c r="AP9" s="53">
        <f t="shared" si="0"/>
        <v>16287.329377778071</v>
      </c>
      <c r="AQ9" s="53">
        <f t="shared" si="0"/>
        <v>32551.016994585327</v>
      </c>
      <c r="AR9" s="53">
        <f t="shared" si="0"/>
        <v>32993.016994585327</v>
      </c>
      <c r="AS9" s="53">
        <f t="shared" si="0"/>
        <v>0</v>
      </c>
      <c r="AT9" s="53">
        <f t="shared" si="0"/>
        <v>23081</v>
      </c>
      <c r="AU9" s="53">
        <f t="shared" si="0"/>
        <v>0</v>
      </c>
      <c r="AV9" s="53">
        <f t="shared" si="0"/>
        <v>71304.468528480633</v>
      </c>
      <c r="AW9" s="53">
        <f t="shared" si="9"/>
        <v>241366.14940654166</v>
      </c>
      <c r="AX9" s="53">
        <f t="shared" si="10"/>
        <v>72967.235612445758</v>
      </c>
      <c r="AY9" s="53">
        <f t="shared" si="11"/>
        <v>18241.80890311144</v>
      </c>
      <c r="AZ9" s="53">
        <f t="shared" si="12"/>
        <v>36457.139033935564</v>
      </c>
      <c r="BA9" s="53">
        <f t="shared" si="13"/>
        <v>36952.179033935565</v>
      </c>
      <c r="BB9" s="53">
        <f t="shared" si="14"/>
        <v>0</v>
      </c>
      <c r="BC9" s="53">
        <f t="shared" si="14"/>
        <v>25850.720000000001</v>
      </c>
      <c r="BD9" s="53">
        <f t="shared" si="15"/>
        <v>0</v>
      </c>
      <c r="BE9" s="53">
        <f t="shared" si="16"/>
        <v>77305.857997931191</v>
      </c>
      <c r="BF9" s="53">
        <f t="shared" si="17"/>
        <v>267774.94058135955</v>
      </c>
      <c r="BG9" s="54">
        <f t="shared" si="18"/>
        <v>6.5149317511112281</v>
      </c>
      <c r="BH9" s="54">
        <f t="shared" si="2"/>
        <v>6.5149317511112281</v>
      </c>
      <c r="BI9" s="54">
        <f t="shared" si="2"/>
        <v>6.5102033989170653</v>
      </c>
      <c r="BJ9" s="54">
        <f t="shared" si="2"/>
        <v>6.5986033989170654</v>
      </c>
      <c r="BK9" s="54" t="e">
        <f t="shared" si="2"/>
        <v>#DIV/0!</v>
      </c>
      <c r="BL9" s="54" t="e">
        <f t="shared" si="2"/>
        <v>#DIV/0!</v>
      </c>
      <c r="BM9" s="54"/>
      <c r="BN9" s="54">
        <f t="shared" si="19"/>
        <v>2.2224229392857144</v>
      </c>
      <c r="BO9" s="54">
        <f t="shared" si="22"/>
        <v>4.4219121007480036</v>
      </c>
      <c r="BP9" s="54">
        <f t="shared" si="20"/>
        <v>7.2967235612445762</v>
      </c>
      <c r="BQ9" s="54">
        <f t="shared" si="3"/>
        <v>7.2967235612445762</v>
      </c>
      <c r="BR9" s="54">
        <f t="shared" si="3"/>
        <v>7.2914278067871132</v>
      </c>
      <c r="BS9" s="54">
        <f t="shared" si="3"/>
        <v>7.3904358067871128</v>
      </c>
      <c r="BT9" s="54" t="e">
        <f t="shared" si="3"/>
        <v>#DIV/0!</v>
      </c>
      <c r="BU9" s="54" t="e">
        <f t="shared" si="3"/>
        <v>#DIV/0!</v>
      </c>
      <c r="BV9" s="54"/>
      <c r="BW9" s="54">
        <f t="shared" si="4"/>
        <v>2.4094746893337118</v>
      </c>
      <c r="BX9" s="54">
        <f t="shared" si="21"/>
        <v>4.9057303724865235</v>
      </c>
    </row>
    <row r="10" spans="2:76" ht="18" customHeight="1" x14ac:dyDescent="0.3">
      <c r="B10" s="14">
        <v>6</v>
      </c>
      <c r="C10" s="53">
        <f>'2. Energy'!O15</f>
        <v>62428.256664066801</v>
      </c>
      <c r="D10" s="53">
        <f>'2. Energy'!P15</f>
        <v>5316.2001736245902</v>
      </c>
      <c r="E10" s="53">
        <f>'2. Energy'!Q15</f>
        <v>57112.056490442214</v>
      </c>
      <c r="F10" s="53">
        <f>'3. Nomination'!W11</f>
        <v>10000</v>
      </c>
      <c r="G10" s="53">
        <f>'3. Nomination'!X11</f>
        <v>2500</v>
      </c>
      <c r="H10" s="53">
        <f>'3. Nomination'!Y11</f>
        <v>5000</v>
      </c>
      <c r="I10" s="53">
        <f>'3. Nomination'!Z11</f>
        <v>5000</v>
      </c>
      <c r="J10" s="53">
        <f>'3. Nomination'!AA11</f>
        <v>10000</v>
      </c>
      <c r="K10" s="53">
        <f>'3. Nomination'!AB11</f>
        <v>0</v>
      </c>
      <c r="L10" s="53">
        <f>'3. Nomination'!AC11</f>
        <v>0</v>
      </c>
      <c r="M10" s="53">
        <f>'3. Nomination'!AD11</f>
        <v>24612.056490442214</v>
      </c>
      <c r="N10" s="53">
        <f>'1. Rates'!C$41*'1. Rates'!C$55</f>
        <v>32322.089552238805</v>
      </c>
      <c r="O10" s="53">
        <f>'1. Rates'!D$41*'1. Rates'!D$55</f>
        <v>8080.5223880597014</v>
      </c>
      <c r="P10" s="53">
        <f>'1. Rates'!E$41*'1. Rates'!E$55</f>
        <v>16021.334867008814</v>
      </c>
      <c r="Q10" s="53">
        <f>'1. Rates'!F$41*'1. Rates'!F$55</f>
        <v>16463.334867008813</v>
      </c>
      <c r="R10" s="53">
        <f>'1. Rates'!G$41*'1. Rates'!G$55</f>
        <v>0</v>
      </c>
      <c r="S10" s="53">
        <f>'1. Rates'!H$41*'1. Rates'!H$55</f>
        <v>23081</v>
      </c>
      <c r="T10" s="53"/>
      <c r="U10" s="53"/>
      <c r="V10" s="53">
        <f t="shared" si="5"/>
        <v>95968.281674316138</v>
      </c>
      <c r="W10" s="53">
        <f>F10*'1. Rates'!C$56</f>
        <v>32827.227958873475</v>
      </c>
      <c r="X10" s="53">
        <f>G10*'1. Rates'!D$56</f>
        <v>8206.8069897183686</v>
      </c>
      <c r="Y10" s="53">
        <f>H10*'1. Rates'!E$56</f>
        <v>16529.682127576514</v>
      </c>
      <c r="Z10" s="53">
        <f>I10*'1. Rates'!F$56</f>
        <v>16529.682127576514</v>
      </c>
      <c r="AA10" s="53">
        <f>J10*'1. Rates'!G$56</f>
        <v>61814</v>
      </c>
      <c r="AB10" s="53">
        <f>K10*'1. Rates'!H$56</f>
        <v>0</v>
      </c>
      <c r="AC10" s="53">
        <f>L10*'1. Rates'!Q46</f>
        <v>0</v>
      </c>
      <c r="AD10" s="53">
        <f>M10*'2. Energy'!N15</f>
        <v>68845.380424635237</v>
      </c>
      <c r="AE10" s="53">
        <f t="shared" si="6"/>
        <v>204752.77962838009</v>
      </c>
      <c r="AF10" s="53">
        <f>(N10+W10)*'1. Rates'!C$60</f>
        <v>7817.9181013334737</v>
      </c>
      <c r="AG10" s="53">
        <f>(O10+X10)*'1. Rates'!D$60</f>
        <v>1954.4795253333684</v>
      </c>
      <c r="AH10" s="53">
        <f>(P10+Y10)*'1. Rates'!E$60</f>
        <v>3906.122039350239</v>
      </c>
      <c r="AI10" s="53">
        <f>(Q10+Z10)*'1. Rates'!F$60</f>
        <v>3959.162039350239</v>
      </c>
      <c r="AJ10" s="53">
        <f>(R10+AA10)*'1. Rates'!G$60</f>
        <v>0</v>
      </c>
      <c r="AK10" s="53">
        <f>(S10+AB10)*'1. Rates'!H$60</f>
        <v>2769.72</v>
      </c>
      <c r="AL10" s="53">
        <f>(T10+AC10)*'1. Rates'!$I$60</f>
        <v>0</v>
      </c>
      <c r="AM10" s="53">
        <f>(U10+AD10)*'1. Rates'!$J$60</f>
        <v>5794.4186336049106</v>
      </c>
      <c r="AN10" s="53">
        <f t="shared" si="7"/>
        <v>26201.820338972229</v>
      </c>
      <c r="AO10" s="53">
        <f t="shared" si="8"/>
        <v>65149.317511112284</v>
      </c>
      <c r="AP10" s="53">
        <f t="shared" si="0"/>
        <v>16287.329377778071</v>
      </c>
      <c r="AQ10" s="53">
        <f t="shared" si="0"/>
        <v>32551.016994585327</v>
      </c>
      <c r="AR10" s="53">
        <f t="shared" si="0"/>
        <v>32993.016994585327</v>
      </c>
      <c r="AS10" s="53">
        <f t="shared" si="0"/>
        <v>61814</v>
      </c>
      <c r="AT10" s="53">
        <f t="shared" si="0"/>
        <v>23081</v>
      </c>
      <c r="AU10" s="53">
        <f t="shared" si="0"/>
        <v>0</v>
      </c>
      <c r="AV10" s="53">
        <f t="shared" si="0"/>
        <v>68845.380424635237</v>
      </c>
      <c r="AW10" s="53">
        <f t="shared" si="9"/>
        <v>300721.06130269624</v>
      </c>
      <c r="AX10" s="53">
        <f t="shared" si="10"/>
        <v>72967.235612445758</v>
      </c>
      <c r="AY10" s="53">
        <f t="shared" si="11"/>
        <v>18241.80890311144</v>
      </c>
      <c r="AZ10" s="53">
        <f t="shared" si="12"/>
        <v>36457.139033935564</v>
      </c>
      <c r="BA10" s="53">
        <f t="shared" si="13"/>
        <v>36952.179033935565</v>
      </c>
      <c r="BB10" s="53">
        <f t="shared" si="14"/>
        <v>61814</v>
      </c>
      <c r="BC10" s="53">
        <f t="shared" si="14"/>
        <v>25850.720000000001</v>
      </c>
      <c r="BD10" s="53">
        <f t="shared" si="15"/>
        <v>0</v>
      </c>
      <c r="BE10" s="53">
        <f t="shared" si="16"/>
        <v>74639.799058240154</v>
      </c>
      <c r="BF10" s="53">
        <f t="shared" si="17"/>
        <v>326922.8816416685</v>
      </c>
      <c r="BG10" s="54">
        <f t="shared" si="18"/>
        <v>6.5149317511112281</v>
      </c>
      <c r="BH10" s="54">
        <f t="shared" si="2"/>
        <v>6.5149317511112281</v>
      </c>
      <c r="BI10" s="54">
        <f t="shared" si="2"/>
        <v>6.5102033989170653</v>
      </c>
      <c r="BJ10" s="54">
        <f t="shared" si="2"/>
        <v>6.5986033989170654</v>
      </c>
      <c r="BK10" s="54">
        <f t="shared" si="2"/>
        <v>6.1814</v>
      </c>
      <c r="BL10" s="54" t="e">
        <f t="shared" si="2"/>
        <v>#DIV/0!</v>
      </c>
      <c r="BM10" s="54"/>
      <c r="BN10" s="54">
        <f t="shared" si="19"/>
        <v>2.7972217783333337</v>
      </c>
      <c r="BO10" s="54">
        <f t="shared" si="22"/>
        <v>5.2654567140831698</v>
      </c>
      <c r="BP10" s="54">
        <f t="shared" si="20"/>
        <v>7.2967235612445762</v>
      </c>
      <c r="BQ10" s="54">
        <f t="shared" si="3"/>
        <v>7.2967235612445762</v>
      </c>
      <c r="BR10" s="54">
        <f t="shared" si="3"/>
        <v>7.2914278067871132</v>
      </c>
      <c r="BS10" s="54">
        <f t="shared" si="3"/>
        <v>7.3904358067871128</v>
      </c>
      <c r="BT10" s="54">
        <f t="shared" si="3"/>
        <v>6.1814</v>
      </c>
      <c r="BU10" s="54" t="e">
        <f t="shared" si="3"/>
        <v>#DIV/0!</v>
      </c>
      <c r="BV10" s="54"/>
      <c r="BW10" s="54">
        <f t="shared" si="4"/>
        <v>3.0326518666664688</v>
      </c>
      <c r="BX10" s="54">
        <f t="shared" si="21"/>
        <v>5.7242358572113323</v>
      </c>
    </row>
    <row r="11" spans="2:76" ht="18" customHeight="1" x14ac:dyDescent="0.3">
      <c r="B11" s="14">
        <v>7</v>
      </c>
      <c r="C11" s="53">
        <f>'2. Energy'!O16</f>
        <v>65280.837737812115</v>
      </c>
      <c r="D11" s="53">
        <f>'2. Energy'!P16</f>
        <v>6026.9370229463693</v>
      </c>
      <c r="E11" s="53">
        <f>'2. Energy'!Q16</f>
        <v>59253.900714865747</v>
      </c>
      <c r="F11" s="53">
        <f>'3. Nomination'!W12</f>
        <v>10000</v>
      </c>
      <c r="G11" s="53">
        <f>'3. Nomination'!X12</f>
        <v>2500</v>
      </c>
      <c r="H11" s="53">
        <f>'3. Nomination'!Y12</f>
        <v>5000</v>
      </c>
      <c r="I11" s="53">
        <f>'3. Nomination'!Z12</f>
        <v>5000</v>
      </c>
      <c r="J11" s="53">
        <f>'3. Nomination'!AA12</f>
        <v>10000</v>
      </c>
      <c r="K11" s="53">
        <f>'3. Nomination'!AB12</f>
        <v>0</v>
      </c>
      <c r="L11" s="53">
        <f>'3. Nomination'!AC12</f>
        <v>0</v>
      </c>
      <c r="M11" s="53">
        <f>'3. Nomination'!AD12</f>
        <v>26753.900714865747</v>
      </c>
      <c r="N11" s="53">
        <f>'1. Rates'!C$41*'1. Rates'!C$55</f>
        <v>32322.089552238805</v>
      </c>
      <c r="O11" s="53">
        <f>'1. Rates'!D$41*'1. Rates'!D$55</f>
        <v>8080.5223880597014</v>
      </c>
      <c r="P11" s="53">
        <f>'1. Rates'!E$41*'1. Rates'!E$55</f>
        <v>16021.334867008814</v>
      </c>
      <c r="Q11" s="53">
        <f>'1. Rates'!F$41*'1. Rates'!F$55</f>
        <v>16463.334867008813</v>
      </c>
      <c r="R11" s="53">
        <f>'1. Rates'!G$41*'1. Rates'!G$55</f>
        <v>0</v>
      </c>
      <c r="S11" s="53">
        <f>'1. Rates'!H$41*'1. Rates'!H$55</f>
        <v>23081</v>
      </c>
      <c r="T11" s="53"/>
      <c r="U11" s="53"/>
      <c r="V11" s="53">
        <f t="shared" si="5"/>
        <v>95968.281674316138</v>
      </c>
      <c r="W11" s="53">
        <f>F11*'1. Rates'!C$56</f>
        <v>32827.227958873475</v>
      </c>
      <c r="X11" s="53">
        <f>G11*'1. Rates'!D$56</f>
        <v>8206.8069897183686</v>
      </c>
      <c r="Y11" s="53">
        <f>H11*'1. Rates'!E$56</f>
        <v>16529.682127576514</v>
      </c>
      <c r="Z11" s="53">
        <f>I11*'1. Rates'!F$56</f>
        <v>16529.682127576514</v>
      </c>
      <c r="AA11" s="53">
        <f>J11*'1. Rates'!G$56</f>
        <v>61814</v>
      </c>
      <c r="AB11" s="53">
        <f>K11*'1. Rates'!H$56</f>
        <v>0</v>
      </c>
      <c r="AC11" s="53">
        <f>L11*'1. Rates'!Q47</f>
        <v>0</v>
      </c>
      <c r="AD11" s="53">
        <f>M11*'2. Energy'!N16</f>
        <v>75509.921174426621</v>
      </c>
      <c r="AE11" s="53">
        <f t="shared" si="6"/>
        <v>211417.32037817148</v>
      </c>
      <c r="AF11" s="53">
        <f>(N11+W11)*'1. Rates'!C$60</f>
        <v>7817.9181013334737</v>
      </c>
      <c r="AG11" s="53">
        <f>(O11+X11)*'1. Rates'!D$60</f>
        <v>1954.4795253333684</v>
      </c>
      <c r="AH11" s="53">
        <f>(P11+Y11)*'1. Rates'!E$60</f>
        <v>3906.122039350239</v>
      </c>
      <c r="AI11" s="53">
        <f>(Q11+Z11)*'1. Rates'!F$60</f>
        <v>3959.162039350239</v>
      </c>
      <c r="AJ11" s="53">
        <f>(R11+AA11)*'1. Rates'!G$60</f>
        <v>0</v>
      </c>
      <c r="AK11" s="53">
        <f>(S11+AB11)*'1. Rates'!H$60</f>
        <v>2769.72</v>
      </c>
      <c r="AL11" s="53">
        <f>(T11+AC11)*'1. Rates'!$I$60</f>
        <v>0</v>
      </c>
      <c r="AM11" s="53">
        <f>(U11+AD11)*'1. Rates'!$J$60</f>
        <v>6355.3442740301889</v>
      </c>
      <c r="AN11" s="53">
        <f t="shared" si="7"/>
        <v>26762.745979397507</v>
      </c>
      <c r="AO11" s="53">
        <f t="shared" si="8"/>
        <v>65149.317511112284</v>
      </c>
      <c r="AP11" s="53">
        <f t="shared" si="0"/>
        <v>16287.329377778071</v>
      </c>
      <c r="AQ11" s="53">
        <f t="shared" si="0"/>
        <v>32551.016994585327</v>
      </c>
      <c r="AR11" s="53">
        <f t="shared" si="0"/>
        <v>32993.016994585327</v>
      </c>
      <c r="AS11" s="53">
        <f t="shared" si="0"/>
        <v>61814</v>
      </c>
      <c r="AT11" s="53">
        <f t="shared" si="0"/>
        <v>23081</v>
      </c>
      <c r="AU11" s="53">
        <f t="shared" si="0"/>
        <v>0</v>
      </c>
      <c r="AV11" s="53">
        <f t="shared" si="0"/>
        <v>75509.921174426621</v>
      </c>
      <c r="AW11" s="53">
        <f t="shared" si="9"/>
        <v>307385.60205248767</v>
      </c>
      <c r="AX11" s="53">
        <f t="shared" si="10"/>
        <v>72967.235612445758</v>
      </c>
      <c r="AY11" s="53">
        <f t="shared" si="11"/>
        <v>18241.80890311144</v>
      </c>
      <c r="AZ11" s="53">
        <f t="shared" si="12"/>
        <v>36457.139033935564</v>
      </c>
      <c r="BA11" s="53">
        <f t="shared" si="13"/>
        <v>36952.179033935565</v>
      </c>
      <c r="BB11" s="53">
        <f t="shared" si="14"/>
        <v>61814</v>
      </c>
      <c r="BC11" s="53">
        <f t="shared" si="14"/>
        <v>25850.720000000001</v>
      </c>
      <c r="BD11" s="53">
        <f t="shared" si="15"/>
        <v>0</v>
      </c>
      <c r="BE11" s="53">
        <f t="shared" si="16"/>
        <v>81865.265448456805</v>
      </c>
      <c r="BF11" s="53">
        <f t="shared" si="17"/>
        <v>334148.34803188511</v>
      </c>
      <c r="BG11" s="54">
        <f t="shared" si="18"/>
        <v>6.5149317511112281</v>
      </c>
      <c r="BH11" s="54">
        <f t="shared" si="2"/>
        <v>6.5149317511112281</v>
      </c>
      <c r="BI11" s="54">
        <f t="shared" si="2"/>
        <v>6.5102033989170653</v>
      </c>
      <c r="BJ11" s="54">
        <f t="shared" si="2"/>
        <v>6.5986033989170654</v>
      </c>
      <c r="BK11" s="54">
        <f t="shared" si="2"/>
        <v>6.1814</v>
      </c>
      <c r="BL11" s="54" t="e">
        <f t="shared" si="2"/>
        <v>#DIV/0!</v>
      </c>
      <c r="BM11" s="54"/>
      <c r="BN11" s="54">
        <f t="shared" si="19"/>
        <v>2.8223892276190474</v>
      </c>
      <c r="BO11" s="54">
        <f t="shared" si="22"/>
        <v>5.1876011257326402</v>
      </c>
      <c r="BP11" s="54">
        <f t="shared" si="20"/>
        <v>7.2967235612445762</v>
      </c>
      <c r="BQ11" s="54">
        <f t="shared" si="3"/>
        <v>7.2967235612445762</v>
      </c>
      <c r="BR11" s="54">
        <f t="shared" si="3"/>
        <v>7.2914278067871132</v>
      </c>
      <c r="BS11" s="54">
        <f t="shared" si="3"/>
        <v>7.3904358067871128</v>
      </c>
      <c r="BT11" s="54">
        <f t="shared" si="3"/>
        <v>6.1814</v>
      </c>
      <c r="BU11" s="54" t="e">
        <f t="shared" si="3"/>
        <v>#DIV/0!</v>
      </c>
      <c r="BV11" s="54"/>
      <c r="BW11" s="54">
        <f t="shared" si="4"/>
        <v>3.0599375515723786</v>
      </c>
      <c r="BX11" s="54">
        <f t="shared" si="21"/>
        <v>5.6392633058848265</v>
      </c>
    </row>
    <row r="12" spans="2:76" ht="18" customHeight="1" x14ac:dyDescent="0.3">
      <c r="B12" s="14">
        <v>8</v>
      </c>
      <c r="C12" s="53">
        <f>'2. Energy'!O17</f>
        <v>71789.233350535622</v>
      </c>
      <c r="D12" s="53">
        <f>'2. Energy'!P17</f>
        <v>7195.7318263237594</v>
      </c>
      <c r="E12" s="53">
        <f>'2. Energy'!Q17</f>
        <v>64593.501524211861</v>
      </c>
      <c r="F12" s="53">
        <f>'3. Nomination'!W13</f>
        <v>10000</v>
      </c>
      <c r="G12" s="53">
        <f>'3. Nomination'!X13</f>
        <v>2500</v>
      </c>
      <c r="H12" s="53">
        <f>'3. Nomination'!Y13</f>
        <v>5000</v>
      </c>
      <c r="I12" s="53">
        <f>'3. Nomination'!Z13</f>
        <v>5000</v>
      </c>
      <c r="J12" s="53">
        <f>'3. Nomination'!AA13</f>
        <v>10000</v>
      </c>
      <c r="K12" s="53">
        <f>'3. Nomination'!AB13</f>
        <v>0</v>
      </c>
      <c r="L12" s="53">
        <f>'3. Nomination'!AC13</f>
        <v>0</v>
      </c>
      <c r="M12" s="53">
        <f>'3. Nomination'!AD13</f>
        <v>32093.501524211861</v>
      </c>
      <c r="N12" s="53">
        <f>'1. Rates'!C$41*'1. Rates'!C$55</f>
        <v>32322.089552238805</v>
      </c>
      <c r="O12" s="53">
        <f>'1. Rates'!D$41*'1. Rates'!D$55</f>
        <v>8080.5223880597014</v>
      </c>
      <c r="P12" s="53">
        <f>'1. Rates'!E$41*'1. Rates'!E$55</f>
        <v>16021.334867008814</v>
      </c>
      <c r="Q12" s="53">
        <f>'1. Rates'!F$41*'1. Rates'!F$55</f>
        <v>16463.334867008813</v>
      </c>
      <c r="R12" s="53">
        <f>'1. Rates'!G$41*'1. Rates'!G$55</f>
        <v>0</v>
      </c>
      <c r="S12" s="53">
        <f>'1. Rates'!H$41*'1. Rates'!H$55</f>
        <v>23081</v>
      </c>
      <c r="T12" s="53"/>
      <c r="U12" s="53"/>
      <c r="V12" s="53">
        <f t="shared" si="5"/>
        <v>95968.281674316138</v>
      </c>
      <c r="W12" s="53">
        <f>F12*'1. Rates'!C$56</f>
        <v>32827.227958873475</v>
      </c>
      <c r="X12" s="53">
        <f>G12*'1. Rates'!D$56</f>
        <v>8206.8069897183686</v>
      </c>
      <c r="Y12" s="53">
        <f>H12*'1. Rates'!E$56</f>
        <v>16529.682127576514</v>
      </c>
      <c r="Z12" s="53">
        <f>I12*'1. Rates'!F$56</f>
        <v>16529.682127576514</v>
      </c>
      <c r="AA12" s="53">
        <f>J12*'1. Rates'!G$56</f>
        <v>61814</v>
      </c>
      <c r="AB12" s="53">
        <f>K12*'1. Rates'!H$56</f>
        <v>0</v>
      </c>
      <c r="AC12" s="53">
        <f>L12*'1. Rates'!Q48</f>
        <v>0</v>
      </c>
      <c r="AD12" s="53">
        <f>M12*'2. Energy'!N17</f>
        <v>78613.224180839738</v>
      </c>
      <c r="AE12" s="53">
        <f t="shared" si="6"/>
        <v>214520.62338458461</v>
      </c>
      <c r="AF12" s="53">
        <f>(N12+W12)*'1. Rates'!C$60</f>
        <v>7817.9181013334737</v>
      </c>
      <c r="AG12" s="53">
        <f>(O12+X12)*'1. Rates'!D$60</f>
        <v>1954.4795253333684</v>
      </c>
      <c r="AH12" s="53">
        <f>(P12+Y12)*'1. Rates'!E$60</f>
        <v>3906.122039350239</v>
      </c>
      <c r="AI12" s="53">
        <f>(Q12+Z12)*'1. Rates'!F$60</f>
        <v>3959.162039350239</v>
      </c>
      <c r="AJ12" s="53">
        <f>(R12+AA12)*'1. Rates'!G$60</f>
        <v>0</v>
      </c>
      <c r="AK12" s="53">
        <f>(S12+AB12)*'1. Rates'!H$60</f>
        <v>2769.72</v>
      </c>
      <c r="AL12" s="53">
        <f>(T12+AC12)*'1. Rates'!$I$60</f>
        <v>0</v>
      </c>
      <c r="AM12" s="53">
        <f>(U12+AD12)*'1. Rates'!$J$60</f>
        <v>6616.5358987284781</v>
      </c>
      <c r="AN12" s="53">
        <f t="shared" si="7"/>
        <v>27023.937604095798</v>
      </c>
      <c r="AO12" s="53">
        <f t="shared" si="8"/>
        <v>65149.317511112284</v>
      </c>
      <c r="AP12" s="53">
        <f t="shared" si="0"/>
        <v>16287.329377778071</v>
      </c>
      <c r="AQ12" s="53">
        <f t="shared" si="0"/>
        <v>32551.016994585327</v>
      </c>
      <c r="AR12" s="53">
        <f t="shared" si="0"/>
        <v>32993.016994585327</v>
      </c>
      <c r="AS12" s="53">
        <f t="shared" si="0"/>
        <v>61814</v>
      </c>
      <c r="AT12" s="53">
        <f t="shared" si="0"/>
        <v>23081</v>
      </c>
      <c r="AU12" s="53">
        <f t="shared" si="0"/>
        <v>0</v>
      </c>
      <c r="AV12" s="53">
        <f t="shared" si="0"/>
        <v>78613.224180839738</v>
      </c>
      <c r="AW12" s="53">
        <f t="shared" si="9"/>
        <v>310488.90505890077</v>
      </c>
      <c r="AX12" s="53">
        <f t="shared" si="10"/>
        <v>72967.235612445758</v>
      </c>
      <c r="AY12" s="53">
        <f t="shared" si="11"/>
        <v>18241.80890311144</v>
      </c>
      <c r="AZ12" s="53">
        <f t="shared" si="12"/>
        <v>36457.139033935564</v>
      </c>
      <c r="BA12" s="53">
        <f t="shared" si="13"/>
        <v>36952.179033935565</v>
      </c>
      <c r="BB12" s="53">
        <f t="shared" si="14"/>
        <v>61814</v>
      </c>
      <c r="BC12" s="53">
        <f t="shared" si="14"/>
        <v>25850.720000000001</v>
      </c>
      <c r="BD12" s="53">
        <f t="shared" si="15"/>
        <v>0</v>
      </c>
      <c r="BE12" s="53">
        <f t="shared" si="16"/>
        <v>85229.760079568223</v>
      </c>
      <c r="BF12" s="53">
        <f t="shared" si="17"/>
        <v>337512.84266299655</v>
      </c>
      <c r="BG12" s="54">
        <f t="shared" si="18"/>
        <v>6.5149317511112281</v>
      </c>
      <c r="BH12" s="54">
        <f t="shared" si="2"/>
        <v>6.5149317511112281</v>
      </c>
      <c r="BI12" s="54">
        <f t="shared" si="2"/>
        <v>6.5102033989170653</v>
      </c>
      <c r="BJ12" s="54">
        <f t="shared" si="2"/>
        <v>6.5986033989170654</v>
      </c>
      <c r="BK12" s="54">
        <f t="shared" si="2"/>
        <v>6.1814</v>
      </c>
      <c r="BL12" s="54" t="e">
        <f t="shared" si="2"/>
        <v>#DIV/0!</v>
      </c>
      <c r="BM12" s="54"/>
      <c r="BN12" s="54">
        <f t="shared" si="19"/>
        <v>2.4495059886666666</v>
      </c>
      <c r="BO12" s="54">
        <f t="shared" si="22"/>
        <v>4.806813343947903</v>
      </c>
      <c r="BP12" s="54">
        <f t="shared" si="20"/>
        <v>7.2967235612445762</v>
      </c>
      <c r="BQ12" s="54">
        <f t="shared" si="3"/>
        <v>7.2967235612445762</v>
      </c>
      <c r="BR12" s="54">
        <f t="shared" si="3"/>
        <v>7.2914278067871132</v>
      </c>
      <c r="BS12" s="54">
        <f t="shared" si="3"/>
        <v>7.3904358067871128</v>
      </c>
      <c r="BT12" s="54">
        <f t="shared" si="3"/>
        <v>6.1814</v>
      </c>
      <c r="BU12" s="54" t="e">
        <f t="shared" si="3"/>
        <v>#DIV/0!</v>
      </c>
      <c r="BV12" s="54"/>
      <c r="BW12" s="54">
        <f t="shared" si="4"/>
        <v>2.6556703392202157</v>
      </c>
      <c r="BX12" s="54">
        <f t="shared" si="21"/>
        <v>5.2251826375519395</v>
      </c>
    </row>
    <row r="13" spans="2:76" ht="18" customHeight="1" x14ac:dyDescent="0.3">
      <c r="B13" s="14">
        <v>9</v>
      </c>
      <c r="C13" s="53">
        <f>'2. Energy'!O18</f>
        <v>87389.614149444242</v>
      </c>
      <c r="D13" s="53">
        <f>'2. Energy'!P18</f>
        <v>8933.1253605043021</v>
      </c>
      <c r="E13" s="53">
        <f>'2. Energy'!Q18</f>
        <v>78456.48878893994</v>
      </c>
      <c r="F13" s="53">
        <f>'3. Nomination'!W14</f>
        <v>10000</v>
      </c>
      <c r="G13" s="53">
        <f>'3. Nomination'!X14</f>
        <v>2500</v>
      </c>
      <c r="H13" s="53">
        <f>'3. Nomination'!Y14</f>
        <v>5000</v>
      </c>
      <c r="I13" s="53">
        <f>'3. Nomination'!Z14</f>
        <v>5000</v>
      </c>
      <c r="J13" s="53">
        <f>'3. Nomination'!AA14</f>
        <v>20000</v>
      </c>
      <c r="K13" s="53">
        <f>'3. Nomination'!AB14</f>
        <v>0</v>
      </c>
      <c r="L13" s="53">
        <f>'3. Nomination'!AC14</f>
        <v>0</v>
      </c>
      <c r="M13" s="53">
        <f>'3. Nomination'!AD14</f>
        <v>35956.48878893994</v>
      </c>
      <c r="N13" s="53">
        <f>'1. Rates'!C$41*'1. Rates'!C$55</f>
        <v>32322.089552238805</v>
      </c>
      <c r="O13" s="53">
        <f>'1. Rates'!D$41*'1. Rates'!D$55</f>
        <v>8080.5223880597014</v>
      </c>
      <c r="P13" s="53">
        <f>'1. Rates'!E$41*'1. Rates'!E$55</f>
        <v>16021.334867008814</v>
      </c>
      <c r="Q13" s="53">
        <f>'1. Rates'!F$41*'1. Rates'!F$55</f>
        <v>16463.334867008813</v>
      </c>
      <c r="R13" s="53">
        <f>'1. Rates'!G$41*'1. Rates'!G$55</f>
        <v>0</v>
      </c>
      <c r="S13" s="53">
        <f>'1. Rates'!H$41*'1. Rates'!H$55</f>
        <v>23081</v>
      </c>
      <c r="T13" s="53"/>
      <c r="U13" s="53"/>
      <c r="V13" s="53">
        <f t="shared" si="5"/>
        <v>95968.281674316138</v>
      </c>
      <c r="W13" s="53">
        <f>F13*'1. Rates'!C$56</f>
        <v>32827.227958873475</v>
      </c>
      <c r="X13" s="53">
        <f>G13*'1. Rates'!D$56</f>
        <v>8206.8069897183686</v>
      </c>
      <c r="Y13" s="53">
        <f>H13*'1. Rates'!E$56</f>
        <v>16529.682127576514</v>
      </c>
      <c r="Z13" s="53">
        <f>I13*'1. Rates'!F$56</f>
        <v>16529.682127576514</v>
      </c>
      <c r="AA13" s="53">
        <f>J13*'1. Rates'!G$56</f>
        <v>123628</v>
      </c>
      <c r="AB13" s="53">
        <f>K13*'1. Rates'!H$56</f>
        <v>0</v>
      </c>
      <c r="AC13" s="53">
        <f>L13*'1. Rates'!Q49</f>
        <v>0</v>
      </c>
      <c r="AD13" s="53">
        <f>M13*'2. Energy'!N18</f>
        <v>112076.50171445945</v>
      </c>
      <c r="AE13" s="53">
        <f t="shared" si="6"/>
        <v>309797.90091820434</v>
      </c>
      <c r="AF13" s="53">
        <f>(N13+W13)*'1. Rates'!C$60</f>
        <v>7817.9181013334737</v>
      </c>
      <c r="AG13" s="53">
        <f>(O13+X13)*'1. Rates'!D$60</f>
        <v>1954.4795253333684</v>
      </c>
      <c r="AH13" s="53">
        <f>(P13+Y13)*'1. Rates'!E$60</f>
        <v>3906.122039350239</v>
      </c>
      <c r="AI13" s="53">
        <f>(Q13+Z13)*'1. Rates'!F$60</f>
        <v>3959.162039350239</v>
      </c>
      <c r="AJ13" s="53">
        <f>(R13+AA13)*'1. Rates'!G$60</f>
        <v>0</v>
      </c>
      <c r="AK13" s="53">
        <f>(S13+AB13)*'1. Rates'!H$60</f>
        <v>2769.72</v>
      </c>
      <c r="AL13" s="53">
        <f>(T13+AC13)*'1. Rates'!$I$60</f>
        <v>0</v>
      </c>
      <c r="AM13" s="53">
        <f>(U13+AD13)*'1. Rates'!$J$60</f>
        <v>9432.9955897975178</v>
      </c>
      <c r="AN13" s="53">
        <f t="shared" si="7"/>
        <v>29840.397295164839</v>
      </c>
      <c r="AO13" s="53">
        <f t="shared" si="8"/>
        <v>65149.317511112284</v>
      </c>
      <c r="AP13" s="53">
        <f t="shared" si="0"/>
        <v>16287.329377778071</v>
      </c>
      <c r="AQ13" s="53">
        <f t="shared" si="0"/>
        <v>32551.016994585327</v>
      </c>
      <c r="AR13" s="53">
        <f t="shared" si="0"/>
        <v>32993.016994585327</v>
      </c>
      <c r="AS13" s="53">
        <f t="shared" si="0"/>
        <v>123628</v>
      </c>
      <c r="AT13" s="53">
        <f t="shared" si="0"/>
        <v>23081</v>
      </c>
      <c r="AU13" s="53">
        <f t="shared" si="0"/>
        <v>0</v>
      </c>
      <c r="AV13" s="53">
        <f t="shared" si="0"/>
        <v>112076.50171445945</v>
      </c>
      <c r="AW13" s="53">
        <f t="shared" si="9"/>
        <v>405766.18259252043</v>
      </c>
      <c r="AX13" s="53">
        <f t="shared" si="10"/>
        <v>72967.235612445758</v>
      </c>
      <c r="AY13" s="53">
        <f t="shared" si="11"/>
        <v>18241.80890311144</v>
      </c>
      <c r="AZ13" s="53">
        <f t="shared" si="12"/>
        <v>36457.139033935564</v>
      </c>
      <c r="BA13" s="53">
        <f t="shared" si="13"/>
        <v>36952.179033935565</v>
      </c>
      <c r="BB13" s="53">
        <f t="shared" si="14"/>
        <v>123628</v>
      </c>
      <c r="BC13" s="53">
        <f t="shared" si="14"/>
        <v>25850.720000000001</v>
      </c>
      <c r="BD13" s="53">
        <f t="shared" si="15"/>
        <v>0</v>
      </c>
      <c r="BE13" s="53">
        <f t="shared" si="16"/>
        <v>121509.49730425696</v>
      </c>
      <c r="BF13" s="53">
        <f t="shared" si="17"/>
        <v>435606.57988768531</v>
      </c>
      <c r="BG13" s="54">
        <f t="shared" si="18"/>
        <v>6.5149317511112281</v>
      </c>
      <c r="BH13" s="54">
        <f t="shared" si="2"/>
        <v>6.5149317511112281</v>
      </c>
      <c r="BI13" s="54">
        <f t="shared" si="2"/>
        <v>6.5102033989170653</v>
      </c>
      <c r="BJ13" s="54">
        <f t="shared" si="2"/>
        <v>6.5986033989170654</v>
      </c>
      <c r="BK13" s="54">
        <f t="shared" si="2"/>
        <v>6.1814</v>
      </c>
      <c r="BL13" s="54" t="e">
        <f t="shared" si="2"/>
        <v>#DIV/0!</v>
      </c>
      <c r="BM13" s="54"/>
      <c r="BN13" s="54">
        <f t="shared" si="19"/>
        <v>3.1170035086666665</v>
      </c>
      <c r="BO13" s="54">
        <f t="shared" si="22"/>
        <v>5.1718626318352596</v>
      </c>
      <c r="BP13" s="54">
        <f t="shared" si="20"/>
        <v>7.2967235612445762</v>
      </c>
      <c r="BQ13" s="54">
        <f t="shared" si="3"/>
        <v>7.2967235612445762</v>
      </c>
      <c r="BR13" s="54">
        <f t="shared" si="3"/>
        <v>7.2914278067871132</v>
      </c>
      <c r="BS13" s="54">
        <f t="shared" si="3"/>
        <v>7.3904358067871128</v>
      </c>
      <c r="BT13" s="54">
        <f t="shared" si="3"/>
        <v>6.1814</v>
      </c>
      <c r="BU13" s="54" t="e">
        <f t="shared" si="3"/>
        <v>#DIV/0!</v>
      </c>
      <c r="BV13" s="54"/>
      <c r="BW13" s="54">
        <f t="shared" si="4"/>
        <v>3.3793482455281549</v>
      </c>
      <c r="BX13" s="54">
        <f t="shared" si="21"/>
        <v>5.5522058992409695</v>
      </c>
    </row>
    <row r="14" spans="2:76" ht="18" customHeight="1" x14ac:dyDescent="0.3">
      <c r="B14" s="14">
        <v>10</v>
      </c>
      <c r="C14" s="53">
        <f>'2. Energy'!O19</f>
        <v>101103.64044798797</v>
      </c>
      <c r="D14" s="53">
        <f>'2. Energy'!P19</f>
        <v>14753.131298959213</v>
      </c>
      <c r="E14" s="53">
        <f>'2. Energy'!Q19</f>
        <v>86350.50914902876</v>
      </c>
      <c r="F14" s="53">
        <f>'3. Nomination'!W15</f>
        <v>10000</v>
      </c>
      <c r="G14" s="53">
        <f>'3. Nomination'!X15</f>
        <v>2500</v>
      </c>
      <c r="H14" s="53">
        <f>'3. Nomination'!Y15</f>
        <v>5000</v>
      </c>
      <c r="I14" s="53">
        <f>'3. Nomination'!Z15</f>
        <v>5000</v>
      </c>
      <c r="J14" s="53">
        <f>'3. Nomination'!AA15</f>
        <v>20000</v>
      </c>
      <c r="K14" s="53">
        <f>'3. Nomination'!AB15</f>
        <v>0</v>
      </c>
      <c r="L14" s="53">
        <f>'3. Nomination'!AC15</f>
        <v>0</v>
      </c>
      <c r="M14" s="53">
        <f>'3. Nomination'!AD15</f>
        <v>43850.50914902876</v>
      </c>
      <c r="N14" s="53">
        <f>'1. Rates'!C$41*'1. Rates'!C$55</f>
        <v>32322.089552238805</v>
      </c>
      <c r="O14" s="53">
        <f>'1. Rates'!D$41*'1. Rates'!D$55</f>
        <v>8080.5223880597014</v>
      </c>
      <c r="P14" s="53">
        <f>'1. Rates'!E$41*'1. Rates'!E$55</f>
        <v>16021.334867008814</v>
      </c>
      <c r="Q14" s="53">
        <f>'1. Rates'!F$41*'1. Rates'!F$55</f>
        <v>16463.334867008813</v>
      </c>
      <c r="R14" s="53">
        <f>'1. Rates'!G$41*'1. Rates'!G$55</f>
        <v>0</v>
      </c>
      <c r="S14" s="53">
        <f>'1. Rates'!H$41*'1. Rates'!H$55</f>
        <v>23081</v>
      </c>
      <c r="T14" s="53"/>
      <c r="U14" s="53"/>
      <c r="V14" s="53">
        <f t="shared" si="5"/>
        <v>95968.281674316138</v>
      </c>
      <c r="W14" s="53">
        <f>F14*'1. Rates'!C$56</f>
        <v>32827.227958873475</v>
      </c>
      <c r="X14" s="53">
        <f>G14*'1. Rates'!D$56</f>
        <v>8206.8069897183686</v>
      </c>
      <c r="Y14" s="53">
        <f>H14*'1. Rates'!E$56</f>
        <v>16529.682127576514</v>
      </c>
      <c r="Z14" s="53">
        <f>I14*'1. Rates'!F$56</f>
        <v>16529.682127576514</v>
      </c>
      <c r="AA14" s="53">
        <f>J14*'1. Rates'!G$56</f>
        <v>123628</v>
      </c>
      <c r="AB14" s="53">
        <f>K14*'1. Rates'!H$56</f>
        <v>0</v>
      </c>
      <c r="AC14" s="53">
        <f>L14*'1. Rates'!Q50</f>
        <v>0</v>
      </c>
      <c r="AD14" s="53">
        <f>M14*'2. Energy'!N19</f>
        <v>130284.52587645887</v>
      </c>
      <c r="AE14" s="53">
        <f t="shared" si="6"/>
        <v>328005.92508020374</v>
      </c>
      <c r="AF14" s="53">
        <f>(N14+W14)*'1. Rates'!C$60</f>
        <v>7817.9181013334737</v>
      </c>
      <c r="AG14" s="53">
        <f>(O14+X14)*'1. Rates'!D$60</f>
        <v>1954.4795253333684</v>
      </c>
      <c r="AH14" s="53">
        <f>(P14+Y14)*'1. Rates'!E$60</f>
        <v>3906.122039350239</v>
      </c>
      <c r="AI14" s="53">
        <f>(Q14+Z14)*'1. Rates'!F$60</f>
        <v>3959.162039350239</v>
      </c>
      <c r="AJ14" s="53">
        <f>(R14+AA14)*'1. Rates'!G$60</f>
        <v>0</v>
      </c>
      <c r="AK14" s="53">
        <f>(S14+AB14)*'1. Rates'!H$60</f>
        <v>2769.72</v>
      </c>
      <c r="AL14" s="53">
        <f>(T14+AC14)*'1. Rates'!$I$60</f>
        <v>0</v>
      </c>
      <c r="AM14" s="53">
        <f>(U14+AD14)*'1. Rates'!$J$60</f>
        <v>10965.486424108669</v>
      </c>
      <c r="AN14" s="53">
        <f t="shared" si="7"/>
        <v>31372.888129475989</v>
      </c>
      <c r="AO14" s="53">
        <f t="shared" si="8"/>
        <v>65149.317511112284</v>
      </c>
      <c r="AP14" s="53">
        <f t="shared" si="0"/>
        <v>16287.329377778071</v>
      </c>
      <c r="AQ14" s="53">
        <f t="shared" si="0"/>
        <v>32551.016994585327</v>
      </c>
      <c r="AR14" s="53">
        <f t="shared" si="0"/>
        <v>32993.016994585327</v>
      </c>
      <c r="AS14" s="53">
        <f t="shared" si="0"/>
        <v>123628</v>
      </c>
      <c r="AT14" s="53">
        <f t="shared" si="0"/>
        <v>23081</v>
      </c>
      <c r="AU14" s="53">
        <f t="shared" si="0"/>
        <v>0</v>
      </c>
      <c r="AV14" s="53">
        <f t="shared" si="0"/>
        <v>130284.52587645887</v>
      </c>
      <c r="AW14" s="53">
        <f t="shared" si="9"/>
        <v>423974.20675451984</v>
      </c>
      <c r="AX14" s="53">
        <f t="shared" si="10"/>
        <v>72967.235612445758</v>
      </c>
      <c r="AY14" s="53">
        <f t="shared" si="11"/>
        <v>18241.80890311144</v>
      </c>
      <c r="AZ14" s="53">
        <f t="shared" si="12"/>
        <v>36457.139033935564</v>
      </c>
      <c r="BA14" s="53">
        <f t="shared" si="13"/>
        <v>36952.179033935565</v>
      </c>
      <c r="BB14" s="53">
        <f t="shared" si="14"/>
        <v>123628</v>
      </c>
      <c r="BC14" s="53">
        <f t="shared" si="14"/>
        <v>25850.720000000001</v>
      </c>
      <c r="BD14" s="53">
        <f t="shared" si="15"/>
        <v>0</v>
      </c>
      <c r="BE14" s="53">
        <f t="shared" si="16"/>
        <v>141250.01230056753</v>
      </c>
      <c r="BF14" s="53">
        <f t="shared" si="17"/>
        <v>455347.09488399589</v>
      </c>
      <c r="BG14" s="54">
        <f t="shared" si="18"/>
        <v>6.5149317511112281</v>
      </c>
      <c r="BH14" s="54">
        <f t="shared" si="2"/>
        <v>6.5149317511112281</v>
      </c>
      <c r="BI14" s="54">
        <f t="shared" si="2"/>
        <v>6.5102033989170653</v>
      </c>
      <c r="BJ14" s="54">
        <f t="shared" si="2"/>
        <v>6.5986033989170654</v>
      </c>
      <c r="BK14" s="54">
        <f t="shared" si="2"/>
        <v>6.1814</v>
      </c>
      <c r="BL14" s="54" t="e">
        <f t="shared" si="2"/>
        <v>#DIV/0!</v>
      </c>
      <c r="BM14" s="54"/>
      <c r="BN14" s="54">
        <f t="shared" si="19"/>
        <v>2.9711063429999998</v>
      </c>
      <c r="BO14" s="54">
        <f t="shared" si="22"/>
        <v>4.9099213303166556</v>
      </c>
      <c r="BP14" s="54">
        <f t="shared" si="20"/>
        <v>7.2967235612445762</v>
      </c>
      <c r="BQ14" s="54">
        <f t="shared" si="3"/>
        <v>7.2967235612445762</v>
      </c>
      <c r="BR14" s="54">
        <f t="shared" si="3"/>
        <v>7.2914278067871132</v>
      </c>
      <c r="BS14" s="54">
        <f t="shared" si="3"/>
        <v>7.3904358067871128</v>
      </c>
      <c r="BT14" s="54">
        <f t="shared" si="3"/>
        <v>6.1814</v>
      </c>
      <c r="BU14" s="54" t="e">
        <f t="shared" si="3"/>
        <v>#DIV/0!</v>
      </c>
      <c r="BV14" s="54"/>
      <c r="BW14" s="54">
        <f t="shared" si="4"/>
        <v>3.2211715449077301</v>
      </c>
      <c r="BX14" s="54">
        <f t="shared" si="21"/>
        <v>5.2732415751959403</v>
      </c>
    </row>
    <row r="15" spans="2:76" ht="18" customHeight="1" x14ac:dyDescent="0.3">
      <c r="B15" s="14">
        <v>11</v>
      </c>
      <c r="C15" s="53">
        <f>'2. Energy'!O20</f>
        <v>107959.72341133133</v>
      </c>
      <c r="D15" s="53">
        <f>'2. Energy'!P20</f>
        <v>15709.748416936136</v>
      </c>
      <c r="E15" s="53">
        <f>'2. Energy'!Q20</f>
        <v>92249.97499439519</v>
      </c>
      <c r="F15" s="53">
        <f>'3. Nomination'!W16</f>
        <v>10000</v>
      </c>
      <c r="G15" s="53">
        <f>'3. Nomination'!X16</f>
        <v>2500</v>
      </c>
      <c r="H15" s="53">
        <f>'3. Nomination'!Y16</f>
        <v>5000</v>
      </c>
      <c r="I15" s="53">
        <f>'3. Nomination'!Z16</f>
        <v>5000</v>
      </c>
      <c r="J15" s="53">
        <f>'3. Nomination'!AA16</f>
        <v>20000</v>
      </c>
      <c r="K15" s="53">
        <f>'3. Nomination'!AB16</f>
        <v>0</v>
      </c>
      <c r="L15" s="53">
        <f>'3. Nomination'!AC16</f>
        <v>0</v>
      </c>
      <c r="M15" s="53">
        <f>'3. Nomination'!AD16</f>
        <v>49749.97499439519</v>
      </c>
      <c r="N15" s="53">
        <f>'1. Rates'!C$41*'1. Rates'!C$55</f>
        <v>32322.089552238805</v>
      </c>
      <c r="O15" s="53">
        <f>'1. Rates'!D$41*'1. Rates'!D$55</f>
        <v>8080.5223880597014</v>
      </c>
      <c r="P15" s="53">
        <f>'1. Rates'!E$41*'1. Rates'!E$55</f>
        <v>16021.334867008814</v>
      </c>
      <c r="Q15" s="53">
        <f>'1. Rates'!F$41*'1. Rates'!F$55</f>
        <v>16463.334867008813</v>
      </c>
      <c r="R15" s="53">
        <f>'1. Rates'!G$41*'1. Rates'!G$55</f>
        <v>0</v>
      </c>
      <c r="S15" s="53">
        <f>'1. Rates'!H$41*'1. Rates'!H$55</f>
        <v>23081</v>
      </c>
      <c r="T15" s="53"/>
      <c r="U15" s="53"/>
      <c r="V15" s="53">
        <f t="shared" si="5"/>
        <v>95968.281674316138</v>
      </c>
      <c r="W15" s="53">
        <f>F15*'1. Rates'!C$56</f>
        <v>32827.227958873475</v>
      </c>
      <c r="X15" s="53">
        <f>G15*'1. Rates'!D$56</f>
        <v>8206.8069897183686</v>
      </c>
      <c r="Y15" s="53">
        <f>H15*'1. Rates'!E$56</f>
        <v>16529.682127576514</v>
      </c>
      <c r="Z15" s="53">
        <f>I15*'1. Rates'!F$56</f>
        <v>16529.682127576514</v>
      </c>
      <c r="AA15" s="53">
        <f>J15*'1. Rates'!G$56</f>
        <v>123628</v>
      </c>
      <c r="AB15" s="53">
        <f>K15*'1. Rates'!H$56</f>
        <v>0</v>
      </c>
      <c r="AC15" s="53">
        <f>L15*'1. Rates'!Q51</f>
        <v>0</v>
      </c>
      <c r="AD15" s="53">
        <f>M15*'2. Energy'!N20</f>
        <v>153196.47375288294</v>
      </c>
      <c r="AE15" s="53">
        <f t="shared" si="6"/>
        <v>350917.87295662781</v>
      </c>
      <c r="AF15" s="53">
        <f>(N15+W15)*'1. Rates'!C$60</f>
        <v>7817.9181013334737</v>
      </c>
      <c r="AG15" s="53">
        <f>(O15+X15)*'1. Rates'!D$60</f>
        <v>1954.4795253333684</v>
      </c>
      <c r="AH15" s="53">
        <f>(P15+Y15)*'1. Rates'!E$60</f>
        <v>3906.122039350239</v>
      </c>
      <c r="AI15" s="53">
        <f>(Q15+Z15)*'1. Rates'!F$60</f>
        <v>3959.162039350239</v>
      </c>
      <c r="AJ15" s="53">
        <f>(R15+AA15)*'1. Rates'!G$60</f>
        <v>0</v>
      </c>
      <c r="AK15" s="53">
        <f>(S15+AB15)*'1. Rates'!H$60</f>
        <v>2769.72</v>
      </c>
      <c r="AL15" s="53">
        <f>(T15+AC15)*'1. Rates'!$I$60</f>
        <v>0</v>
      </c>
      <c r="AM15" s="53">
        <f>(U15+AD15)*'1. Rates'!$J$60</f>
        <v>12893.886222155677</v>
      </c>
      <c r="AN15" s="53">
        <f t="shared" si="7"/>
        <v>33301.287927522993</v>
      </c>
      <c r="AO15" s="53">
        <f t="shared" si="8"/>
        <v>65149.317511112284</v>
      </c>
      <c r="AP15" s="53">
        <f t="shared" si="0"/>
        <v>16287.329377778071</v>
      </c>
      <c r="AQ15" s="53">
        <f t="shared" si="0"/>
        <v>32551.016994585327</v>
      </c>
      <c r="AR15" s="53">
        <f t="shared" si="0"/>
        <v>32993.016994585327</v>
      </c>
      <c r="AS15" s="53">
        <f t="shared" si="0"/>
        <v>123628</v>
      </c>
      <c r="AT15" s="53">
        <f t="shared" si="0"/>
        <v>23081</v>
      </c>
      <c r="AU15" s="53">
        <f t="shared" si="0"/>
        <v>0</v>
      </c>
      <c r="AV15" s="53">
        <f t="shared" si="0"/>
        <v>153196.47375288294</v>
      </c>
      <c r="AW15" s="53">
        <f t="shared" si="9"/>
        <v>446886.1546309439</v>
      </c>
      <c r="AX15" s="53">
        <f t="shared" si="10"/>
        <v>72967.235612445758</v>
      </c>
      <c r="AY15" s="53">
        <f t="shared" si="11"/>
        <v>18241.80890311144</v>
      </c>
      <c r="AZ15" s="53">
        <f t="shared" si="12"/>
        <v>36457.139033935564</v>
      </c>
      <c r="BA15" s="53">
        <f t="shared" si="13"/>
        <v>36952.179033935565</v>
      </c>
      <c r="BB15" s="53">
        <f t="shared" si="14"/>
        <v>123628</v>
      </c>
      <c r="BC15" s="53">
        <f t="shared" si="14"/>
        <v>25850.720000000001</v>
      </c>
      <c r="BD15" s="53">
        <f t="shared" si="15"/>
        <v>0</v>
      </c>
      <c r="BE15" s="53">
        <f t="shared" si="16"/>
        <v>166090.35997503862</v>
      </c>
      <c r="BF15" s="53">
        <f t="shared" si="17"/>
        <v>480187.44255846698</v>
      </c>
      <c r="BG15" s="54">
        <f t="shared" si="18"/>
        <v>6.5149317511112281</v>
      </c>
      <c r="BH15" s="54">
        <f t="shared" si="2"/>
        <v>6.5149317511112281</v>
      </c>
      <c r="BI15" s="54">
        <f t="shared" si="2"/>
        <v>6.5102033989170653</v>
      </c>
      <c r="BJ15" s="54">
        <f t="shared" si="2"/>
        <v>6.5986033989170654</v>
      </c>
      <c r="BK15" s="54">
        <f t="shared" si="2"/>
        <v>6.1814</v>
      </c>
      <c r="BL15" s="54" t="e">
        <f t="shared" si="2"/>
        <v>#DIV/0!</v>
      </c>
      <c r="BM15" s="54"/>
      <c r="BN15" s="54">
        <f t="shared" si="19"/>
        <v>3.0793276533333329</v>
      </c>
      <c r="BO15" s="54">
        <f t="shared" si="22"/>
        <v>4.844295672254602</v>
      </c>
      <c r="BP15" s="54">
        <f t="shared" si="20"/>
        <v>7.2967235612445762</v>
      </c>
      <c r="BQ15" s="54">
        <f t="shared" si="3"/>
        <v>7.2967235612445762</v>
      </c>
      <c r="BR15" s="54">
        <f t="shared" si="3"/>
        <v>7.2914278067871132</v>
      </c>
      <c r="BS15" s="54">
        <f t="shared" si="3"/>
        <v>7.3904358067871128</v>
      </c>
      <c r="BT15" s="54">
        <f t="shared" si="3"/>
        <v>6.1814</v>
      </c>
      <c r="BU15" s="54" t="e">
        <f t="shared" si="3"/>
        <v>#DIV/0!</v>
      </c>
      <c r="BV15" s="54"/>
      <c r="BW15" s="54">
        <f t="shared" si="4"/>
        <v>3.3385013760057225</v>
      </c>
      <c r="BX15" s="54">
        <f t="shared" si="21"/>
        <v>5.2052853411357738</v>
      </c>
    </row>
    <row r="16" spans="2:76" ht="18" customHeight="1" x14ac:dyDescent="0.3">
      <c r="B16" s="14">
        <v>12</v>
      </c>
      <c r="C16" s="53">
        <f>'2. Energy'!O21</f>
        <v>110080.97931230487</v>
      </c>
      <c r="D16" s="53">
        <f>'2. Energy'!P21</f>
        <v>15288.482675606536</v>
      </c>
      <c r="E16" s="53">
        <f>'2. Energy'!Q21</f>
        <v>94792.496636698343</v>
      </c>
      <c r="F16" s="53">
        <f>'3. Nomination'!W17</f>
        <v>10000</v>
      </c>
      <c r="G16" s="53">
        <f>'3. Nomination'!X17</f>
        <v>2500</v>
      </c>
      <c r="H16" s="53">
        <f>'3. Nomination'!Y17</f>
        <v>5000</v>
      </c>
      <c r="I16" s="53">
        <f>'3. Nomination'!Z17</f>
        <v>5000</v>
      </c>
      <c r="J16" s="53">
        <f>'3. Nomination'!AA17</f>
        <v>20000</v>
      </c>
      <c r="K16" s="53">
        <f>'3. Nomination'!AB17</f>
        <v>0</v>
      </c>
      <c r="L16" s="53">
        <f>'3. Nomination'!AC17</f>
        <v>0</v>
      </c>
      <c r="M16" s="53">
        <f>'3. Nomination'!AD17</f>
        <v>52292.496636698343</v>
      </c>
      <c r="N16" s="53">
        <f>'1. Rates'!C$41*'1. Rates'!C$55</f>
        <v>32322.089552238805</v>
      </c>
      <c r="O16" s="53">
        <f>'1. Rates'!D$41*'1. Rates'!D$55</f>
        <v>8080.5223880597014</v>
      </c>
      <c r="P16" s="53">
        <f>'1. Rates'!E$41*'1. Rates'!E$55</f>
        <v>16021.334867008814</v>
      </c>
      <c r="Q16" s="53">
        <f>'1. Rates'!F$41*'1. Rates'!F$55</f>
        <v>16463.334867008813</v>
      </c>
      <c r="R16" s="53">
        <f>'1. Rates'!G$41*'1. Rates'!G$55</f>
        <v>0</v>
      </c>
      <c r="S16" s="53">
        <f>'1. Rates'!H$41*'1. Rates'!H$55</f>
        <v>23081</v>
      </c>
      <c r="T16" s="53"/>
      <c r="U16" s="53"/>
      <c r="V16" s="53">
        <f t="shared" si="5"/>
        <v>95968.281674316138</v>
      </c>
      <c r="W16" s="53">
        <f>F16*'1. Rates'!C$56</f>
        <v>32827.227958873475</v>
      </c>
      <c r="X16" s="53">
        <f>G16*'1. Rates'!D$56</f>
        <v>8206.8069897183686</v>
      </c>
      <c r="Y16" s="53">
        <f>H16*'1. Rates'!E$56</f>
        <v>16529.682127576514</v>
      </c>
      <c r="Z16" s="53">
        <f>I16*'1. Rates'!F$56</f>
        <v>16529.682127576514</v>
      </c>
      <c r="AA16" s="53">
        <f>J16*'1. Rates'!G$56</f>
        <v>123628</v>
      </c>
      <c r="AB16" s="53">
        <f>K16*'1. Rates'!H$56</f>
        <v>0</v>
      </c>
      <c r="AC16" s="53">
        <f>L16*'1. Rates'!Q52</f>
        <v>0</v>
      </c>
      <c r="AD16" s="53">
        <f>M16*'2. Energy'!N21</f>
        <v>145992.50910370625</v>
      </c>
      <c r="AE16" s="53">
        <f t="shared" si="6"/>
        <v>343713.90830745111</v>
      </c>
      <c r="AF16" s="53">
        <f>(N16+W16)*'1. Rates'!C$60</f>
        <v>7817.9181013334737</v>
      </c>
      <c r="AG16" s="53">
        <f>(O16+X16)*'1. Rates'!D$60</f>
        <v>1954.4795253333684</v>
      </c>
      <c r="AH16" s="53">
        <f>(P16+Y16)*'1. Rates'!E$60</f>
        <v>3906.122039350239</v>
      </c>
      <c r="AI16" s="53">
        <f>(Q16+Z16)*'1. Rates'!F$60</f>
        <v>3959.162039350239</v>
      </c>
      <c r="AJ16" s="53">
        <f>(R16+AA16)*'1. Rates'!G$60</f>
        <v>0</v>
      </c>
      <c r="AK16" s="53">
        <f>(S16+AB16)*'1. Rates'!H$60</f>
        <v>2769.72</v>
      </c>
      <c r="AL16" s="53">
        <f>(T16+AC16)*'1. Rates'!$I$60</f>
        <v>0</v>
      </c>
      <c r="AM16" s="53">
        <f>(U16+AD16)*'1. Rates'!$J$60</f>
        <v>12287.559599489745</v>
      </c>
      <c r="AN16" s="53">
        <f t="shared" si="7"/>
        <v>32694.961304857065</v>
      </c>
      <c r="AO16" s="53">
        <f t="shared" si="8"/>
        <v>65149.317511112284</v>
      </c>
      <c r="AP16" s="53">
        <f t="shared" si="0"/>
        <v>16287.329377778071</v>
      </c>
      <c r="AQ16" s="53">
        <f t="shared" si="0"/>
        <v>32551.016994585327</v>
      </c>
      <c r="AR16" s="53">
        <f t="shared" si="0"/>
        <v>32993.016994585327</v>
      </c>
      <c r="AS16" s="53">
        <f t="shared" si="0"/>
        <v>123628</v>
      </c>
      <c r="AT16" s="53">
        <f t="shared" si="0"/>
        <v>23081</v>
      </c>
      <c r="AU16" s="53">
        <f t="shared" si="0"/>
        <v>0</v>
      </c>
      <c r="AV16" s="53">
        <f t="shared" si="0"/>
        <v>145992.50910370625</v>
      </c>
      <c r="AW16" s="53">
        <f t="shared" si="9"/>
        <v>439682.18998176721</v>
      </c>
      <c r="AX16" s="53">
        <f t="shared" si="10"/>
        <v>72967.235612445758</v>
      </c>
      <c r="AY16" s="53">
        <f t="shared" si="11"/>
        <v>18241.80890311144</v>
      </c>
      <c r="AZ16" s="53">
        <f t="shared" si="12"/>
        <v>36457.139033935564</v>
      </c>
      <c r="BA16" s="53">
        <f t="shared" si="13"/>
        <v>36952.179033935565</v>
      </c>
      <c r="BB16" s="53">
        <f t="shared" si="14"/>
        <v>123628</v>
      </c>
      <c r="BC16" s="53">
        <f t="shared" si="14"/>
        <v>25850.720000000001</v>
      </c>
      <c r="BD16" s="53">
        <f t="shared" si="15"/>
        <v>0</v>
      </c>
      <c r="BE16" s="53">
        <f t="shared" si="16"/>
        <v>158280.06870319601</v>
      </c>
      <c r="BF16" s="53">
        <f t="shared" si="17"/>
        <v>472377.15128662437</v>
      </c>
      <c r="BG16" s="54">
        <f t="shared" si="18"/>
        <v>6.5149317511112281</v>
      </c>
      <c r="BH16" s="54">
        <f t="shared" si="2"/>
        <v>6.5149317511112281</v>
      </c>
      <c r="BI16" s="54">
        <f t="shared" si="2"/>
        <v>6.5102033989170653</v>
      </c>
      <c r="BJ16" s="54">
        <f t="shared" si="2"/>
        <v>6.5986033989170654</v>
      </c>
      <c r="BK16" s="54">
        <f t="shared" si="2"/>
        <v>6.1814</v>
      </c>
      <c r="BL16" s="54" t="e">
        <f t="shared" si="2"/>
        <v>#DIV/0!</v>
      </c>
      <c r="BM16" s="54"/>
      <c r="BN16" s="54">
        <f t="shared" si="19"/>
        <v>2.7918443083333333</v>
      </c>
      <c r="BO16" s="54">
        <f t="shared" si="22"/>
        <v>4.6383649084261691</v>
      </c>
      <c r="BP16" s="54">
        <f t="shared" si="20"/>
        <v>7.2967235612445762</v>
      </c>
      <c r="BQ16" s="54">
        <f t="shared" si="3"/>
        <v>7.2967235612445762</v>
      </c>
      <c r="BR16" s="54">
        <f t="shared" si="3"/>
        <v>7.2914278067871132</v>
      </c>
      <c r="BS16" s="54">
        <f t="shared" si="3"/>
        <v>7.3904358067871128</v>
      </c>
      <c r="BT16" s="54">
        <f t="shared" si="3"/>
        <v>6.1814</v>
      </c>
      <c r="BU16" s="54" t="e">
        <f t="shared" si="3"/>
        <v>#DIV/0!</v>
      </c>
      <c r="BV16" s="54"/>
      <c r="BW16" s="54">
        <f t="shared" si="4"/>
        <v>3.0268217982179237</v>
      </c>
      <c r="BX16" s="54">
        <f t="shared" si="21"/>
        <v>4.9832757659823725</v>
      </c>
    </row>
    <row r="17" spans="2:76" ht="18" customHeight="1" x14ac:dyDescent="0.3">
      <c r="B17" s="14">
        <v>13</v>
      </c>
      <c r="C17" s="53">
        <f>'2. Energy'!O22</f>
        <v>108883.67686633125</v>
      </c>
      <c r="D17" s="53">
        <f>'2. Energy'!P22</f>
        <v>15654.785977517513</v>
      </c>
      <c r="E17" s="53">
        <f>'2. Energy'!Q22</f>
        <v>93228.890888813738</v>
      </c>
      <c r="F17" s="53">
        <f>'3. Nomination'!W18</f>
        <v>10000</v>
      </c>
      <c r="G17" s="53">
        <f>'3. Nomination'!X18</f>
        <v>2500</v>
      </c>
      <c r="H17" s="53">
        <f>'3. Nomination'!Y18</f>
        <v>5000</v>
      </c>
      <c r="I17" s="53">
        <f>'3. Nomination'!Z18</f>
        <v>5000</v>
      </c>
      <c r="J17" s="53">
        <f>'3. Nomination'!AA18</f>
        <v>20000</v>
      </c>
      <c r="K17" s="53">
        <f>'3. Nomination'!AB18</f>
        <v>0</v>
      </c>
      <c r="L17" s="53">
        <f>'3. Nomination'!AC18</f>
        <v>0</v>
      </c>
      <c r="M17" s="53">
        <f>'3. Nomination'!AD18</f>
        <v>50728.890888813738</v>
      </c>
      <c r="N17" s="53">
        <f>'1. Rates'!C$41*'1. Rates'!C$55</f>
        <v>32322.089552238805</v>
      </c>
      <c r="O17" s="53">
        <f>'1. Rates'!D$41*'1. Rates'!D$55</f>
        <v>8080.5223880597014</v>
      </c>
      <c r="P17" s="53">
        <f>'1. Rates'!E$41*'1. Rates'!E$55</f>
        <v>16021.334867008814</v>
      </c>
      <c r="Q17" s="53">
        <f>'1. Rates'!F$41*'1. Rates'!F$55</f>
        <v>16463.334867008813</v>
      </c>
      <c r="R17" s="53">
        <f>'1. Rates'!G$41*'1. Rates'!G$55</f>
        <v>0</v>
      </c>
      <c r="S17" s="53">
        <f>'1. Rates'!H$41*'1. Rates'!H$55</f>
        <v>23081</v>
      </c>
      <c r="T17" s="53"/>
      <c r="U17" s="53"/>
      <c r="V17" s="53">
        <f t="shared" si="5"/>
        <v>95968.281674316138</v>
      </c>
      <c r="W17" s="53">
        <f>F17*'1. Rates'!C$56</f>
        <v>32827.227958873475</v>
      </c>
      <c r="X17" s="53">
        <f>G17*'1. Rates'!D$56</f>
        <v>8206.8069897183686</v>
      </c>
      <c r="Y17" s="53">
        <f>H17*'1. Rates'!E$56</f>
        <v>16529.682127576514</v>
      </c>
      <c r="Z17" s="53">
        <f>I17*'1. Rates'!F$56</f>
        <v>16529.682127576514</v>
      </c>
      <c r="AA17" s="53">
        <f>J17*'1. Rates'!G$56</f>
        <v>123628</v>
      </c>
      <c r="AB17" s="53">
        <f>K17*'1. Rates'!H$56</f>
        <v>0</v>
      </c>
      <c r="AC17" s="53">
        <f>L17*'1. Rates'!Q53</f>
        <v>0</v>
      </c>
      <c r="AD17" s="53">
        <f>M17*'2. Energy'!N22</f>
        <v>151955.88418142562</v>
      </c>
      <c r="AE17" s="53">
        <f t="shared" si="6"/>
        <v>349677.28338517051</v>
      </c>
      <c r="AF17" s="53">
        <f>(N17+W17)*'1. Rates'!C$60</f>
        <v>7817.9181013334737</v>
      </c>
      <c r="AG17" s="53">
        <f>(O17+X17)*'1. Rates'!D$60</f>
        <v>1954.4795253333684</v>
      </c>
      <c r="AH17" s="53">
        <f>(P17+Y17)*'1. Rates'!E$60</f>
        <v>3906.122039350239</v>
      </c>
      <c r="AI17" s="53">
        <f>(Q17+Z17)*'1. Rates'!F$60</f>
        <v>3959.162039350239</v>
      </c>
      <c r="AJ17" s="53">
        <f>(R17+AA17)*'1. Rates'!G$60</f>
        <v>0</v>
      </c>
      <c r="AK17" s="53">
        <f>(S17+AB17)*'1. Rates'!H$60</f>
        <v>2769.72</v>
      </c>
      <c r="AL17" s="53">
        <f>(T17+AC17)*'1. Rates'!$I$60</f>
        <v>0</v>
      </c>
      <c r="AM17" s="53">
        <f>(U17+AD17)*'1. Rates'!$J$60</f>
        <v>12789.471150510059</v>
      </c>
      <c r="AN17" s="53">
        <f t="shared" si="7"/>
        <v>33196.87285587738</v>
      </c>
      <c r="AO17" s="53">
        <f t="shared" si="8"/>
        <v>65149.317511112284</v>
      </c>
      <c r="AP17" s="53">
        <f t="shared" si="0"/>
        <v>16287.329377778071</v>
      </c>
      <c r="AQ17" s="53">
        <f t="shared" si="0"/>
        <v>32551.016994585327</v>
      </c>
      <c r="AR17" s="53">
        <f t="shared" si="0"/>
        <v>32993.016994585327</v>
      </c>
      <c r="AS17" s="53">
        <f t="shared" si="0"/>
        <v>123628</v>
      </c>
      <c r="AT17" s="53">
        <f t="shared" si="0"/>
        <v>23081</v>
      </c>
      <c r="AU17" s="53">
        <f t="shared" si="0"/>
        <v>0</v>
      </c>
      <c r="AV17" s="53">
        <f t="shared" si="0"/>
        <v>151955.88418142562</v>
      </c>
      <c r="AW17" s="53">
        <f t="shared" si="9"/>
        <v>445645.5650594866</v>
      </c>
      <c r="AX17" s="53">
        <f t="shared" si="10"/>
        <v>72967.235612445758</v>
      </c>
      <c r="AY17" s="53">
        <f t="shared" si="11"/>
        <v>18241.80890311144</v>
      </c>
      <c r="AZ17" s="53">
        <f t="shared" si="12"/>
        <v>36457.139033935564</v>
      </c>
      <c r="BA17" s="53">
        <f t="shared" si="13"/>
        <v>36952.179033935565</v>
      </c>
      <c r="BB17" s="53">
        <f t="shared" si="14"/>
        <v>123628</v>
      </c>
      <c r="BC17" s="53">
        <f t="shared" si="14"/>
        <v>25850.720000000001</v>
      </c>
      <c r="BD17" s="53">
        <f t="shared" si="15"/>
        <v>0</v>
      </c>
      <c r="BE17" s="53">
        <f t="shared" si="16"/>
        <v>164745.35533193569</v>
      </c>
      <c r="BF17" s="53">
        <f t="shared" si="17"/>
        <v>478842.43791536405</v>
      </c>
      <c r="BG17" s="54">
        <f t="shared" si="18"/>
        <v>6.5149317511112281</v>
      </c>
      <c r="BH17" s="54">
        <f t="shared" si="2"/>
        <v>6.5149317511112281</v>
      </c>
      <c r="BI17" s="54">
        <f t="shared" si="2"/>
        <v>6.5102033989170653</v>
      </c>
      <c r="BJ17" s="54">
        <f t="shared" si="2"/>
        <v>6.5986033989170654</v>
      </c>
      <c r="BK17" s="54">
        <f t="shared" si="2"/>
        <v>6.1814</v>
      </c>
      <c r="BL17" s="54" t="e">
        <f t="shared" si="2"/>
        <v>#DIV/0!</v>
      </c>
      <c r="BM17" s="54"/>
      <c r="BN17" s="54">
        <f t="shared" si="19"/>
        <v>2.9954505513333332</v>
      </c>
      <c r="BO17" s="54">
        <f t="shared" si="22"/>
        <v>4.7801229941796759</v>
      </c>
      <c r="BP17" s="54">
        <f t="shared" si="20"/>
        <v>7.2967235612445762</v>
      </c>
      <c r="BQ17" s="54">
        <f t="shared" si="3"/>
        <v>7.2967235612445762</v>
      </c>
      <c r="BR17" s="54">
        <f t="shared" si="3"/>
        <v>7.2914278067871132</v>
      </c>
      <c r="BS17" s="54">
        <f t="shared" si="3"/>
        <v>7.3904358067871128</v>
      </c>
      <c r="BT17" s="54">
        <f t="shared" si="3"/>
        <v>6.1814</v>
      </c>
      <c r="BU17" s="54" t="e">
        <f t="shared" si="3"/>
        <v>#DIV/0!</v>
      </c>
      <c r="BV17" s="54"/>
      <c r="BW17" s="54">
        <f t="shared" si="4"/>
        <v>3.2475647002222119</v>
      </c>
      <c r="BX17" s="54">
        <f t="shared" si="21"/>
        <v>5.1362022367770006</v>
      </c>
    </row>
    <row r="18" spans="2:76" ht="18" customHeight="1" x14ac:dyDescent="0.3">
      <c r="B18" s="14">
        <v>14</v>
      </c>
      <c r="C18" s="53">
        <f>'2. Energy'!O23</f>
        <v>112615.29510001036</v>
      </c>
      <c r="D18" s="53">
        <f>'2. Energy'!P23</f>
        <v>15297.693443735659</v>
      </c>
      <c r="E18" s="53">
        <f>'2. Energy'!Q23</f>
        <v>97317.60165627471</v>
      </c>
      <c r="F18" s="53">
        <f>'3. Nomination'!W19</f>
        <v>10000</v>
      </c>
      <c r="G18" s="53">
        <f>'3. Nomination'!X19</f>
        <v>2500</v>
      </c>
      <c r="H18" s="53">
        <f>'3. Nomination'!Y19</f>
        <v>5000</v>
      </c>
      <c r="I18" s="53">
        <f>'3. Nomination'!Z19</f>
        <v>5000</v>
      </c>
      <c r="J18" s="53">
        <f>'3. Nomination'!AA19</f>
        <v>20000</v>
      </c>
      <c r="K18" s="53">
        <f>'3. Nomination'!AB19</f>
        <v>10000</v>
      </c>
      <c r="L18" s="53">
        <f>'3. Nomination'!AC19</f>
        <v>0</v>
      </c>
      <c r="M18" s="53">
        <f>'3. Nomination'!AD19</f>
        <v>44817.60165627471</v>
      </c>
      <c r="N18" s="53">
        <f>'1. Rates'!C$41*'1. Rates'!C$55</f>
        <v>32322.089552238805</v>
      </c>
      <c r="O18" s="53">
        <f>'1. Rates'!D$41*'1. Rates'!D$55</f>
        <v>8080.5223880597014</v>
      </c>
      <c r="P18" s="53">
        <f>'1. Rates'!E$41*'1. Rates'!E$55</f>
        <v>16021.334867008814</v>
      </c>
      <c r="Q18" s="53">
        <f>'1. Rates'!F$41*'1. Rates'!F$55</f>
        <v>16463.334867008813</v>
      </c>
      <c r="R18" s="53">
        <f>'1. Rates'!G$41*'1. Rates'!G$55</f>
        <v>0</v>
      </c>
      <c r="S18" s="53">
        <f>'1. Rates'!H$41*'1. Rates'!H$55</f>
        <v>23081</v>
      </c>
      <c r="T18" s="53"/>
      <c r="U18" s="53"/>
      <c r="V18" s="53">
        <f t="shared" si="5"/>
        <v>95968.281674316138</v>
      </c>
      <c r="W18" s="53">
        <f>F18*'1. Rates'!C$56</f>
        <v>32827.227958873475</v>
      </c>
      <c r="X18" s="53">
        <f>G18*'1. Rates'!D$56</f>
        <v>8206.8069897183686</v>
      </c>
      <c r="Y18" s="53">
        <f>H18*'1. Rates'!E$56</f>
        <v>16529.682127576514</v>
      </c>
      <c r="Z18" s="53">
        <f>I18*'1. Rates'!F$56</f>
        <v>16529.682127576514</v>
      </c>
      <c r="AA18" s="53">
        <f>J18*'1. Rates'!G$56</f>
        <v>123628</v>
      </c>
      <c r="AB18" s="53">
        <f>K18*'1. Rates'!H$56</f>
        <v>34702.174591513132</v>
      </c>
      <c r="AC18" s="53">
        <f>L18*'1. Rates'!Q54</f>
        <v>0</v>
      </c>
      <c r="AD18" s="53">
        <f>M18*'2. Energy'!N23</f>
        <v>157981.76065174601</v>
      </c>
      <c r="AE18" s="53">
        <f t="shared" si="6"/>
        <v>390405.33444700402</v>
      </c>
      <c r="AF18" s="53">
        <f>(N18+W18)*'1. Rates'!C$60</f>
        <v>7817.9181013334737</v>
      </c>
      <c r="AG18" s="53">
        <f>(O18+X18)*'1. Rates'!D$60</f>
        <v>1954.4795253333684</v>
      </c>
      <c r="AH18" s="53">
        <f>(P18+Y18)*'1. Rates'!E$60</f>
        <v>3906.122039350239</v>
      </c>
      <c r="AI18" s="53">
        <f>(Q18+Z18)*'1. Rates'!F$60</f>
        <v>3959.162039350239</v>
      </c>
      <c r="AJ18" s="53">
        <f>(R18+AA18)*'1. Rates'!G$60</f>
        <v>0</v>
      </c>
      <c r="AK18" s="53">
        <f>(S18+AB18)*'1. Rates'!H$60</f>
        <v>6933.9809509815759</v>
      </c>
      <c r="AL18" s="53">
        <f>(T18+AC18)*'1. Rates'!$I$60</f>
        <v>0</v>
      </c>
      <c r="AM18" s="53">
        <f>(U18+AD18)*'1. Rates'!$J$60</f>
        <v>13296.643174080307</v>
      </c>
      <c r="AN18" s="53">
        <f t="shared" si="7"/>
        <v>37868.305830429199</v>
      </c>
      <c r="AO18" s="53">
        <f t="shared" si="8"/>
        <v>65149.317511112284</v>
      </c>
      <c r="AP18" s="53">
        <f t="shared" si="0"/>
        <v>16287.329377778071</v>
      </c>
      <c r="AQ18" s="53">
        <f t="shared" si="0"/>
        <v>32551.016994585327</v>
      </c>
      <c r="AR18" s="53">
        <f t="shared" si="0"/>
        <v>32993.016994585327</v>
      </c>
      <c r="AS18" s="53">
        <f t="shared" si="0"/>
        <v>123628</v>
      </c>
      <c r="AT18" s="53">
        <f t="shared" si="0"/>
        <v>57783.174591513132</v>
      </c>
      <c r="AU18" s="53">
        <f t="shared" si="0"/>
        <v>0</v>
      </c>
      <c r="AV18" s="53">
        <f t="shared" si="0"/>
        <v>157981.76065174601</v>
      </c>
      <c r="AW18" s="53">
        <f t="shared" si="9"/>
        <v>486373.61612132011</v>
      </c>
      <c r="AX18" s="53">
        <f t="shared" si="10"/>
        <v>72967.235612445758</v>
      </c>
      <c r="AY18" s="53">
        <f t="shared" si="11"/>
        <v>18241.80890311144</v>
      </c>
      <c r="AZ18" s="53">
        <f t="shared" si="12"/>
        <v>36457.139033935564</v>
      </c>
      <c r="BA18" s="53">
        <f t="shared" si="13"/>
        <v>36952.179033935565</v>
      </c>
      <c r="BB18" s="53">
        <f t="shared" si="14"/>
        <v>123628</v>
      </c>
      <c r="BC18" s="53">
        <f t="shared" si="14"/>
        <v>64717.155542494707</v>
      </c>
      <c r="BD18" s="53">
        <f t="shared" si="15"/>
        <v>0</v>
      </c>
      <c r="BE18" s="53">
        <f t="shared" si="16"/>
        <v>171278.4038258263</v>
      </c>
      <c r="BF18" s="53">
        <f t="shared" si="17"/>
        <v>524241.92195174936</v>
      </c>
      <c r="BG18" s="54">
        <f t="shared" si="18"/>
        <v>6.5149317511112281</v>
      </c>
      <c r="BH18" s="54">
        <f t="shared" si="2"/>
        <v>6.5149317511112281</v>
      </c>
      <c r="BI18" s="54">
        <f t="shared" si="2"/>
        <v>6.5102033989170653</v>
      </c>
      <c r="BJ18" s="54">
        <f t="shared" si="2"/>
        <v>6.5986033989170654</v>
      </c>
      <c r="BK18" s="54">
        <f t="shared" si="2"/>
        <v>6.1814</v>
      </c>
      <c r="BL18" s="54">
        <f t="shared" si="2"/>
        <v>5.7783174591513129</v>
      </c>
      <c r="BM18" s="54"/>
      <c r="BN18" s="54">
        <f t="shared" si="19"/>
        <v>3.5249936367272721</v>
      </c>
      <c r="BO18" s="54">
        <f t="shared" si="22"/>
        <v>4.9977969847550225</v>
      </c>
      <c r="BP18" s="54">
        <f t="shared" si="20"/>
        <v>7.2967235612445762</v>
      </c>
      <c r="BQ18" s="54">
        <f t="shared" si="3"/>
        <v>7.2967235612445762</v>
      </c>
      <c r="BR18" s="54">
        <f t="shared" si="3"/>
        <v>7.2914278067871132</v>
      </c>
      <c r="BS18" s="54">
        <f t="shared" si="3"/>
        <v>7.3904358067871128</v>
      </c>
      <c r="BT18" s="54">
        <f t="shared" si="3"/>
        <v>6.1814</v>
      </c>
      <c r="BU18" s="54">
        <f t="shared" si="3"/>
        <v>6.4717155542494709</v>
      </c>
      <c r="BV18" s="54"/>
      <c r="BW18" s="54">
        <f t="shared" si="4"/>
        <v>3.8216771423744045</v>
      </c>
      <c r="BX18" s="54">
        <f t="shared" si="21"/>
        <v>5.3869178137308529</v>
      </c>
    </row>
    <row r="19" spans="2:76" ht="18" customHeight="1" x14ac:dyDescent="0.3">
      <c r="B19" s="14">
        <v>15</v>
      </c>
      <c r="C19" s="53">
        <f>'2. Energy'!O24</f>
        <v>114599.84277688684</v>
      </c>
      <c r="D19" s="53">
        <f>'2. Energy'!P24</f>
        <v>15177.952556930688</v>
      </c>
      <c r="E19" s="53">
        <f>'2. Energy'!Q24</f>
        <v>99421.890219956156</v>
      </c>
      <c r="F19" s="53">
        <f>'3. Nomination'!W20</f>
        <v>10000</v>
      </c>
      <c r="G19" s="53">
        <f>'3. Nomination'!X20</f>
        <v>2500</v>
      </c>
      <c r="H19" s="53">
        <f>'3. Nomination'!Y20</f>
        <v>5000</v>
      </c>
      <c r="I19" s="53">
        <f>'3. Nomination'!Z20</f>
        <v>5000</v>
      </c>
      <c r="J19" s="53">
        <f>'3. Nomination'!AA20</f>
        <v>20000</v>
      </c>
      <c r="K19" s="53">
        <f>'3. Nomination'!AB20</f>
        <v>10000</v>
      </c>
      <c r="L19" s="53">
        <f>'3. Nomination'!AC20</f>
        <v>0</v>
      </c>
      <c r="M19" s="53">
        <f>'3. Nomination'!AD20</f>
        <v>46921.890219956156</v>
      </c>
      <c r="N19" s="53">
        <f>'1. Rates'!C$41*'1. Rates'!C$55</f>
        <v>32322.089552238805</v>
      </c>
      <c r="O19" s="53">
        <f>'1. Rates'!D$41*'1. Rates'!D$55</f>
        <v>8080.5223880597014</v>
      </c>
      <c r="P19" s="53">
        <f>'1. Rates'!E$41*'1. Rates'!E$55</f>
        <v>16021.334867008814</v>
      </c>
      <c r="Q19" s="53">
        <f>'1. Rates'!F$41*'1. Rates'!F$55</f>
        <v>16463.334867008813</v>
      </c>
      <c r="R19" s="53">
        <f>'1. Rates'!G$41*'1. Rates'!G$55</f>
        <v>0</v>
      </c>
      <c r="S19" s="53">
        <f>'1. Rates'!H$41*'1. Rates'!H$55</f>
        <v>23081</v>
      </c>
      <c r="T19" s="53"/>
      <c r="U19" s="53"/>
      <c r="V19" s="53">
        <f t="shared" si="5"/>
        <v>95968.281674316138</v>
      </c>
      <c r="W19" s="53">
        <f>F19*'1. Rates'!C$56</f>
        <v>32827.227958873475</v>
      </c>
      <c r="X19" s="53">
        <f>G19*'1. Rates'!D$56</f>
        <v>8206.8069897183686</v>
      </c>
      <c r="Y19" s="53">
        <f>H19*'1. Rates'!E$56</f>
        <v>16529.682127576514</v>
      </c>
      <c r="Z19" s="53">
        <f>I19*'1. Rates'!F$56</f>
        <v>16529.682127576514</v>
      </c>
      <c r="AA19" s="53">
        <f>J19*'1. Rates'!G$56</f>
        <v>123628</v>
      </c>
      <c r="AB19" s="53">
        <f>K19*'1. Rates'!H$56</f>
        <v>34702.174591513132</v>
      </c>
      <c r="AC19" s="53">
        <f>L19*'1. Rates'!Q55</f>
        <v>0</v>
      </c>
      <c r="AD19" s="53">
        <f>M19*'2. Energy'!N24</f>
        <v>158539.54145593895</v>
      </c>
      <c r="AE19" s="53">
        <f t="shared" si="6"/>
        <v>390963.11525119696</v>
      </c>
      <c r="AF19" s="53">
        <f>(N19+W19)*'1. Rates'!C$60</f>
        <v>7817.9181013334737</v>
      </c>
      <c r="AG19" s="53">
        <f>(O19+X19)*'1. Rates'!D$60</f>
        <v>1954.4795253333684</v>
      </c>
      <c r="AH19" s="53">
        <f>(P19+Y19)*'1. Rates'!E$60</f>
        <v>3906.122039350239</v>
      </c>
      <c r="AI19" s="53">
        <f>(Q19+Z19)*'1. Rates'!F$60</f>
        <v>3959.162039350239</v>
      </c>
      <c r="AJ19" s="53">
        <f>(R19+AA19)*'1. Rates'!G$60</f>
        <v>0</v>
      </c>
      <c r="AK19" s="53">
        <f>(S19+AB19)*'1. Rates'!H$60</f>
        <v>6933.9809509815759</v>
      </c>
      <c r="AL19" s="53">
        <f>(T19+AC19)*'1. Rates'!$I$60</f>
        <v>0</v>
      </c>
      <c r="AM19" s="53">
        <f>(U19+AD19)*'1. Rates'!$J$60</f>
        <v>13343.589177796865</v>
      </c>
      <c r="AN19" s="53">
        <f t="shared" si="7"/>
        <v>37915.251834145762</v>
      </c>
      <c r="AO19" s="53">
        <f t="shared" si="8"/>
        <v>65149.317511112284</v>
      </c>
      <c r="AP19" s="53">
        <f t="shared" si="0"/>
        <v>16287.329377778071</v>
      </c>
      <c r="AQ19" s="53">
        <f t="shared" si="0"/>
        <v>32551.016994585327</v>
      </c>
      <c r="AR19" s="53">
        <f t="shared" si="0"/>
        <v>32993.016994585327</v>
      </c>
      <c r="AS19" s="53">
        <f t="shared" si="0"/>
        <v>123628</v>
      </c>
      <c r="AT19" s="53">
        <f t="shared" si="0"/>
        <v>57783.174591513132</v>
      </c>
      <c r="AU19" s="53">
        <f t="shared" si="0"/>
        <v>0</v>
      </c>
      <c r="AV19" s="53">
        <f t="shared" si="0"/>
        <v>158539.54145593895</v>
      </c>
      <c r="AW19" s="53">
        <f t="shared" si="9"/>
        <v>486931.39692551305</v>
      </c>
      <c r="AX19" s="53">
        <f t="shared" si="10"/>
        <v>72967.235612445758</v>
      </c>
      <c r="AY19" s="53">
        <f t="shared" si="11"/>
        <v>18241.80890311144</v>
      </c>
      <c r="AZ19" s="53">
        <f t="shared" si="12"/>
        <v>36457.139033935564</v>
      </c>
      <c r="BA19" s="53">
        <f t="shared" si="13"/>
        <v>36952.179033935565</v>
      </c>
      <c r="BB19" s="53">
        <f t="shared" si="14"/>
        <v>123628</v>
      </c>
      <c r="BC19" s="53">
        <f t="shared" si="14"/>
        <v>64717.155542494707</v>
      </c>
      <c r="BD19" s="53">
        <f t="shared" si="15"/>
        <v>0</v>
      </c>
      <c r="BE19" s="53">
        <f t="shared" si="16"/>
        <v>171883.1306337358</v>
      </c>
      <c r="BF19" s="53">
        <f t="shared" si="17"/>
        <v>524846.64875965891</v>
      </c>
      <c r="BG19" s="54">
        <f t="shared" si="18"/>
        <v>6.5149317511112281</v>
      </c>
      <c r="BH19" s="54">
        <f t="shared" si="2"/>
        <v>6.5149317511112281</v>
      </c>
      <c r="BI19" s="54">
        <f t="shared" si="2"/>
        <v>6.5102033989170653</v>
      </c>
      <c r="BJ19" s="54">
        <f t="shared" si="2"/>
        <v>6.5986033989170654</v>
      </c>
      <c r="BK19" s="54">
        <f t="shared" si="2"/>
        <v>6.1814</v>
      </c>
      <c r="BL19" s="54">
        <f t="shared" si="2"/>
        <v>5.7783174591513129</v>
      </c>
      <c r="BM19" s="54"/>
      <c r="BN19" s="54">
        <f t="shared" si="19"/>
        <v>3.3787969903333339</v>
      </c>
      <c r="BO19" s="54">
        <f t="shared" si="22"/>
        <v>4.8976276335950732</v>
      </c>
      <c r="BP19" s="54">
        <f t="shared" si="20"/>
        <v>7.2967235612445762</v>
      </c>
      <c r="BQ19" s="54">
        <f t="shared" si="3"/>
        <v>7.2967235612445762</v>
      </c>
      <c r="BR19" s="54">
        <f t="shared" si="3"/>
        <v>7.2914278067871132</v>
      </c>
      <c r="BS19" s="54">
        <f t="shared" si="3"/>
        <v>7.3904358067871128</v>
      </c>
      <c r="BT19" s="54">
        <f t="shared" si="3"/>
        <v>6.1814</v>
      </c>
      <c r="BU19" s="54">
        <f t="shared" si="3"/>
        <v>6.4717155542494709</v>
      </c>
      <c r="BV19" s="54"/>
      <c r="BW19" s="54">
        <f t="shared" si="4"/>
        <v>3.6631757550260176</v>
      </c>
      <c r="BX19" s="54">
        <f t="shared" si="21"/>
        <v>5.2789848150997098</v>
      </c>
    </row>
    <row r="20" spans="2:76" ht="18" customHeight="1" x14ac:dyDescent="0.3">
      <c r="B20" s="14">
        <v>16</v>
      </c>
      <c r="C20" s="53">
        <f>'2. Energy'!O25</f>
        <v>114794.61188381146</v>
      </c>
      <c r="D20" s="53">
        <f>'2. Energy'!P25</f>
        <v>15377.067202970291</v>
      </c>
      <c r="E20" s="53">
        <f>'2. Energy'!Q25</f>
        <v>99417.54468084118</v>
      </c>
      <c r="F20" s="53">
        <f>'3. Nomination'!W21</f>
        <v>10000</v>
      </c>
      <c r="G20" s="53">
        <f>'3. Nomination'!X21</f>
        <v>2500</v>
      </c>
      <c r="H20" s="53">
        <f>'3. Nomination'!Y21</f>
        <v>5000</v>
      </c>
      <c r="I20" s="53">
        <f>'3. Nomination'!Z21</f>
        <v>5000</v>
      </c>
      <c r="J20" s="53">
        <f>'3. Nomination'!AA21</f>
        <v>20000</v>
      </c>
      <c r="K20" s="53">
        <f>'3. Nomination'!AB21</f>
        <v>10000</v>
      </c>
      <c r="L20" s="53">
        <f>'3. Nomination'!AC21</f>
        <v>0</v>
      </c>
      <c r="M20" s="53">
        <f>'3. Nomination'!AD21</f>
        <v>46917.54468084118</v>
      </c>
      <c r="N20" s="53">
        <f>'1. Rates'!C$41*'1. Rates'!C$55</f>
        <v>32322.089552238805</v>
      </c>
      <c r="O20" s="53">
        <f>'1. Rates'!D$41*'1. Rates'!D$55</f>
        <v>8080.5223880597014</v>
      </c>
      <c r="P20" s="53">
        <f>'1. Rates'!E$41*'1. Rates'!E$55</f>
        <v>16021.334867008814</v>
      </c>
      <c r="Q20" s="53">
        <f>'1. Rates'!F$41*'1. Rates'!F$55</f>
        <v>16463.334867008813</v>
      </c>
      <c r="R20" s="53">
        <f>'1. Rates'!G$41*'1. Rates'!G$55</f>
        <v>0</v>
      </c>
      <c r="S20" s="53">
        <f>'1. Rates'!H$41*'1. Rates'!H$55</f>
        <v>23081</v>
      </c>
      <c r="T20" s="53"/>
      <c r="U20" s="53"/>
      <c r="V20" s="53">
        <f t="shared" si="5"/>
        <v>95968.281674316138</v>
      </c>
      <c r="W20" s="53">
        <f>F20*'1. Rates'!C$56</f>
        <v>32827.227958873475</v>
      </c>
      <c r="X20" s="53">
        <f>G20*'1. Rates'!D$56</f>
        <v>8206.8069897183686</v>
      </c>
      <c r="Y20" s="53">
        <f>H20*'1. Rates'!E$56</f>
        <v>16529.682127576514</v>
      </c>
      <c r="Z20" s="53">
        <f>I20*'1. Rates'!F$56</f>
        <v>16529.682127576514</v>
      </c>
      <c r="AA20" s="53">
        <f>J20*'1. Rates'!G$56</f>
        <v>123628</v>
      </c>
      <c r="AB20" s="53">
        <f>K20*'1. Rates'!H$56</f>
        <v>34702.174591513132</v>
      </c>
      <c r="AC20" s="53">
        <f>L20*'1. Rates'!Q56</f>
        <v>0</v>
      </c>
      <c r="AD20" s="53">
        <f>M20*'2. Energy'!N25</f>
        <v>157724.28621105404</v>
      </c>
      <c r="AE20" s="53">
        <f t="shared" si="6"/>
        <v>390147.86000631202</v>
      </c>
      <c r="AF20" s="53">
        <f>(N20+W20)*'1. Rates'!C$60</f>
        <v>7817.9181013334737</v>
      </c>
      <c r="AG20" s="53">
        <f>(O20+X20)*'1. Rates'!D$60</f>
        <v>1954.4795253333684</v>
      </c>
      <c r="AH20" s="53">
        <f>(P20+Y20)*'1. Rates'!E$60</f>
        <v>3906.122039350239</v>
      </c>
      <c r="AI20" s="53">
        <f>(Q20+Z20)*'1. Rates'!F$60</f>
        <v>3959.162039350239</v>
      </c>
      <c r="AJ20" s="53">
        <f>(R20+AA20)*'1. Rates'!G$60</f>
        <v>0</v>
      </c>
      <c r="AK20" s="53">
        <f>(S20+AB20)*'1. Rates'!H$60</f>
        <v>6933.9809509815759</v>
      </c>
      <c r="AL20" s="53">
        <f>(T20+AC20)*'1. Rates'!$I$60</f>
        <v>0</v>
      </c>
      <c r="AM20" s="53">
        <f>(U20+AD20)*'1. Rates'!$J$60</f>
        <v>13274.972661293241</v>
      </c>
      <c r="AN20" s="53">
        <f t="shared" si="7"/>
        <v>37846.635317642133</v>
      </c>
      <c r="AO20" s="53">
        <f t="shared" si="8"/>
        <v>65149.317511112284</v>
      </c>
      <c r="AP20" s="53">
        <f t="shared" si="0"/>
        <v>16287.329377778071</v>
      </c>
      <c r="AQ20" s="53">
        <f t="shared" si="0"/>
        <v>32551.016994585327</v>
      </c>
      <c r="AR20" s="53">
        <f t="shared" si="0"/>
        <v>32993.016994585327</v>
      </c>
      <c r="AS20" s="53">
        <f t="shared" si="0"/>
        <v>123628</v>
      </c>
      <c r="AT20" s="53">
        <f t="shared" si="0"/>
        <v>57783.174591513132</v>
      </c>
      <c r="AU20" s="53">
        <f t="shared" si="0"/>
        <v>0</v>
      </c>
      <c r="AV20" s="53">
        <f t="shared" si="0"/>
        <v>157724.28621105404</v>
      </c>
      <c r="AW20" s="53">
        <f t="shared" si="9"/>
        <v>486116.14168062818</v>
      </c>
      <c r="AX20" s="53">
        <f t="shared" si="10"/>
        <v>72967.235612445758</v>
      </c>
      <c r="AY20" s="53">
        <f t="shared" si="11"/>
        <v>18241.80890311144</v>
      </c>
      <c r="AZ20" s="53">
        <f t="shared" si="12"/>
        <v>36457.139033935564</v>
      </c>
      <c r="BA20" s="53">
        <f t="shared" si="13"/>
        <v>36952.179033935565</v>
      </c>
      <c r="BB20" s="53">
        <f t="shared" si="14"/>
        <v>123628</v>
      </c>
      <c r="BC20" s="53">
        <f t="shared" si="14"/>
        <v>64717.155542494707</v>
      </c>
      <c r="BD20" s="53">
        <f t="shared" si="15"/>
        <v>0</v>
      </c>
      <c r="BE20" s="53">
        <f t="shared" si="16"/>
        <v>170999.25887234727</v>
      </c>
      <c r="BF20" s="53">
        <f t="shared" si="17"/>
        <v>523962.7769982703</v>
      </c>
      <c r="BG20" s="54">
        <f t="shared" si="18"/>
        <v>6.5149317511112281</v>
      </c>
      <c r="BH20" s="54">
        <f t="shared" si="2"/>
        <v>6.5149317511112281</v>
      </c>
      <c r="BI20" s="54">
        <f t="shared" si="2"/>
        <v>6.5102033989170653</v>
      </c>
      <c r="BJ20" s="54">
        <f t="shared" si="2"/>
        <v>6.5986033989170654</v>
      </c>
      <c r="BK20" s="54">
        <f t="shared" si="2"/>
        <v>6.1814</v>
      </c>
      <c r="BL20" s="54">
        <f t="shared" si="2"/>
        <v>5.7783174591513129</v>
      </c>
      <c r="BM20" s="54"/>
      <c r="BN20" s="54">
        <f t="shared" si="19"/>
        <v>3.3617335963333326</v>
      </c>
      <c r="BO20" s="54">
        <f t="shared" si="22"/>
        <v>4.8896413931887004</v>
      </c>
      <c r="BP20" s="54">
        <f t="shared" si="20"/>
        <v>7.2967235612445762</v>
      </c>
      <c r="BQ20" s="54">
        <f t="shared" si="3"/>
        <v>7.2967235612445762</v>
      </c>
      <c r="BR20" s="54">
        <f t="shared" si="3"/>
        <v>7.2914278067871132</v>
      </c>
      <c r="BS20" s="54">
        <f t="shared" si="3"/>
        <v>7.3904358067871128</v>
      </c>
      <c r="BT20" s="54">
        <f t="shared" si="3"/>
        <v>6.1814</v>
      </c>
      <c r="BU20" s="54">
        <f t="shared" si="3"/>
        <v>6.4717155542494709</v>
      </c>
      <c r="BV20" s="54"/>
      <c r="BW20" s="54">
        <f t="shared" si="4"/>
        <v>3.6446762087738782</v>
      </c>
      <c r="BX20" s="54">
        <f t="shared" si="21"/>
        <v>5.2703250586236168</v>
      </c>
    </row>
    <row r="21" spans="2:76" ht="18" customHeight="1" x14ac:dyDescent="0.3">
      <c r="B21" s="14">
        <v>17</v>
      </c>
      <c r="C21" s="53">
        <f>'2. Energy'!O26</f>
        <v>111306.86108096261</v>
      </c>
      <c r="D21" s="53">
        <f>'2. Energy'!P26</f>
        <v>15674.896709376819</v>
      </c>
      <c r="E21" s="53">
        <f>'2. Energy'!Q26</f>
        <v>95631.964371585796</v>
      </c>
      <c r="F21" s="53">
        <f>'3. Nomination'!W22</f>
        <v>20000</v>
      </c>
      <c r="G21" s="53">
        <f>'3. Nomination'!X22</f>
        <v>5000</v>
      </c>
      <c r="H21" s="53">
        <f>'3. Nomination'!Y22</f>
        <v>10000</v>
      </c>
      <c r="I21" s="53">
        <f>'3. Nomination'!Z22</f>
        <v>10000</v>
      </c>
      <c r="J21" s="53">
        <f>'3. Nomination'!AA22</f>
        <v>20000</v>
      </c>
      <c r="K21" s="53">
        <f>'3. Nomination'!AB22</f>
        <v>10000</v>
      </c>
      <c r="L21" s="53">
        <f>'3. Nomination'!AC22</f>
        <v>0</v>
      </c>
      <c r="M21" s="53">
        <f>'3. Nomination'!AD22</f>
        <v>20631.964371585796</v>
      </c>
      <c r="N21" s="53">
        <f>'1. Rates'!C$41*'1. Rates'!C$55</f>
        <v>32322.089552238805</v>
      </c>
      <c r="O21" s="53">
        <f>'1. Rates'!D$41*'1. Rates'!D$55</f>
        <v>8080.5223880597014</v>
      </c>
      <c r="P21" s="53">
        <f>'1. Rates'!E$41*'1. Rates'!E$55</f>
        <v>16021.334867008814</v>
      </c>
      <c r="Q21" s="53">
        <f>'1. Rates'!F$41*'1. Rates'!F$55</f>
        <v>16463.334867008813</v>
      </c>
      <c r="R21" s="53">
        <f>'1. Rates'!G$41*'1. Rates'!G$55</f>
        <v>0</v>
      </c>
      <c r="S21" s="53">
        <f>'1. Rates'!H$41*'1. Rates'!H$55</f>
        <v>23081</v>
      </c>
      <c r="T21" s="53"/>
      <c r="U21" s="53"/>
      <c r="V21" s="53">
        <f t="shared" si="5"/>
        <v>95968.281674316138</v>
      </c>
      <c r="W21" s="53">
        <f>F21*'1. Rates'!C$56</f>
        <v>65654.455917746949</v>
      </c>
      <c r="X21" s="53">
        <f>G21*'1. Rates'!D$56</f>
        <v>16413.613979436737</v>
      </c>
      <c r="Y21" s="53">
        <f>H21*'1. Rates'!E$56</f>
        <v>33059.364255153028</v>
      </c>
      <c r="Z21" s="53">
        <f>I21*'1. Rates'!F$56</f>
        <v>33059.364255153028</v>
      </c>
      <c r="AA21" s="53">
        <f>J21*'1. Rates'!G$56</f>
        <v>123628</v>
      </c>
      <c r="AB21" s="53">
        <f>K21*'1. Rates'!H$56</f>
        <v>34702.174591513132</v>
      </c>
      <c r="AC21" s="53">
        <f>L21*'1. Rates'!Q57</f>
        <v>0</v>
      </c>
      <c r="AD21" s="53">
        <f>M21*'2. Energy'!N26</f>
        <v>88288.754177794326</v>
      </c>
      <c r="AE21" s="53">
        <f t="shared" si="6"/>
        <v>394805.72717679717</v>
      </c>
      <c r="AF21" s="53">
        <f>(N21+W21)*'1. Rates'!C$60</f>
        <v>11757.185456398289</v>
      </c>
      <c r="AG21" s="53">
        <f>(O21+X21)*'1. Rates'!D$60</f>
        <v>2939.2963640995722</v>
      </c>
      <c r="AH21" s="53">
        <f>(P21+Y21)*'1. Rates'!E$60</f>
        <v>5889.6838946594207</v>
      </c>
      <c r="AI21" s="53">
        <f>(Q21+Z21)*'1. Rates'!F$60</f>
        <v>5942.7238946594207</v>
      </c>
      <c r="AJ21" s="53">
        <f>(R21+AA21)*'1. Rates'!G$60</f>
        <v>0</v>
      </c>
      <c r="AK21" s="53">
        <f>(S21+AB21)*'1. Rates'!H$60</f>
        <v>6933.9809509815759</v>
      </c>
      <c r="AL21" s="53">
        <f>(T21+AC21)*'1. Rates'!$I$60</f>
        <v>0</v>
      </c>
      <c r="AM21" s="53">
        <f>(U21+AD21)*'1. Rates'!$J$60</f>
        <v>7430.8835130281777</v>
      </c>
      <c r="AN21" s="53">
        <f t="shared" si="7"/>
        <v>40893.754073826458</v>
      </c>
      <c r="AO21" s="53">
        <f t="shared" si="8"/>
        <v>97976.545469985751</v>
      </c>
      <c r="AP21" s="53">
        <f t="shared" ref="AP21:AP28" si="23">O21+X21</f>
        <v>24494.136367496438</v>
      </c>
      <c r="AQ21" s="53">
        <f t="shared" ref="AQ21:AQ28" si="24">P21+Y21</f>
        <v>49080.699122161845</v>
      </c>
      <c r="AR21" s="53">
        <f t="shared" ref="AR21:AR28" si="25">Q21+Z21</f>
        <v>49522.699122161837</v>
      </c>
      <c r="AS21" s="53">
        <f t="shared" ref="AS21:AT28" si="26">R21+AA21</f>
        <v>123628</v>
      </c>
      <c r="AT21" s="53">
        <f t="shared" si="26"/>
        <v>57783.174591513132</v>
      </c>
      <c r="AU21" s="53">
        <f t="shared" ref="AU21:AU28" si="27">T21+AC21</f>
        <v>0</v>
      </c>
      <c r="AV21" s="53">
        <f t="shared" ref="AV21:AV28" si="28">U21+AD21</f>
        <v>88288.754177794326</v>
      </c>
      <c r="AW21" s="53">
        <f t="shared" si="9"/>
        <v>490774.00885111332</v>
      </c>
      <c r="AX21" s="53">
        <f t="shared" si="10"/>
        <v>109733.73092638404</v>
      </c>
      <c r="AY21" s="53">
        <f t="shared" si="11"/>
        <v>27433.432731596011</v>
      </c>
      <c r="AZ21" s="53">
        <f t="shared" si="12"/>
        <v>54970.383016821266</v>
      </c>
      <c r="BA21" s="53">
        <f t="shared" si="13"/>
        <v>55465.42301682126</v>
      </c>
      <c r="BB21" s="53">
        <f t="shared" si="14"/>
        <v>123628</v>
      </c>
      <c r="BC21" s="53">
        <f t="shared" si="14"/>
        <v>64717.155542494707</v>
      </c>
      <c r="BD21" s="53">
        <f t="shared" si="15"/>
        <v>0</v>
      </c>
      <c r="BE21" s="53">
        <f t="shared" si="16"/>
        <v>95719.637690822507</v>
      </c>
      <c r="BF21" s="53">
        <f t="shared" si="17"/>
        <v>531667.76292493974</v>
      </c>
      <c r="BG21" s="54">
        <f t="shared" si="18"/>
        <v>4.8988272734992879</v>
      </c>
      <c r="BH21" s="54">
        <f t="shared" ref="BH21:BH29" si="29">AP21/G21</f>
        <v>4.8988272734992879</v>
      </c>
      <c r="BI21" s="54">
        <f t="shared" ref="BI21:BI29" si="30">AQ21/H21</f>
        <v>4.9080699122161846</v>
      </c>
      <c r="BJ21" s="54">
        <f t="shared" ref="BJ21:BL29" si="31">AR21/I21</f>
        <v>4.9522699122161837</v>
      </c>
      <c r="BK21" s="54">
        <f t="shared" si="31"/>
        <v>6.1814</v>
      </c>
      <c r="BL21" s="54">
        <f t="shared" si="31"/>
        <v>5.7783174591513129</v>
      </c>
      <c r="BM21" s="54"/>
      <c r="BN21" s="54">
        <f t="shared" si="19"/>
        <v>4.2792219193333336</v>
      </c>
      <c r="BO21" s="54">
        <f t="shared" si="22"/>
        <v>5.1319034600624835</v>
      </c>
      <c r="BP21" s="54">
        <f t="shared" si="20"/>
        <v>5.4866865463192021</v>
      </c>
      <c r="BQ21" s="54">
        <f t="shared" ref="BQ21:BQ28" si="32">AY21/G21</f>
        <v>5.4866865463192021</v>
      </c>
      <c r="BR21" s="54">
        <f t="shared" ref="BR21:BR28" si="33">AZ21/H21</f>
        <v>5.4970383016821263</v>
      </c>
      <c r="BS21" s="54">
        <f t="shared" ref="BS21:BU28" si="34">BA21/I21</f>
        <v>5.546542301682126</v>
      </c>
      <c r="BT21" s="54">
        <f t="shared" si="34"/>
        <v>6.1814</v>
      </c>
      <c r="BU21" s="54">
        <f t="shared" si="34"/>
        <v>6.4717155542494709</v>
      </c>
      <c r="BV21" s="54"/>
      <c r="BW21" s="54">
        <f t="shared" ref="BW21:BW28" si="35">BE21/M21</f>
        <v>4.6393855653728711</v>
      </c>
      <c r="BX21" s="54">
        <f t="shared" si="21"/>
        <v>5.5595194182052072</v>
      </c>
    </row>
    <row r="22" spans="2:76" ht="18" customHeight="1" x14ac:dyDescent="0.3">
      <c r="B22" s="14">
        <v>18</v>
      </c>
      <c r="C22" s="53">
        <f>'2. Energy'!O27</f>
        <v>103333.0386300043</v>
      </c>
      <c r="D22" s="53">
        <f>'2. Energy'!P27</f>
        <v>15609.913856532707</v>
      </c>
      <c r="E22" s="53">
        <f>'2. Energy'!Q27</f>
        <v>87723.124773471602</v>
      </c>
      <c r="F22" s="53">
        <f>'3. Nomination'!W23</f>
        <v>20000</v>
      </c>
      <c r="G22" s="53">
        <f>'3. Nomination'!X23</f>
        <v>5000</v>
      </c>
      <c r="H22" s="53">
        <f>'3. Nomination'!Y23</f>
        <v>10000</v>
      </c>
      <c r="I22" s="53">
        <f>'3. Nomination'!Z23</f>
        <v>10000</v>
      </c>
      <c r="J22" s="53">
        <f>'3. Nomination'!AA23</f>
        <v>20000</v>
      </c>
      <c r="K22" s="53">
        <f>'3. Nomination'!AB23</f>
        <v>10000</v>
      </c>
      <c r="L22" s="53">
        <f>'3. Nomination'!AC23</f>
        <v>0</v>
      </c>
      <c r="M22" s="53">
        <f>'3. Nomination'!AD23</f>
        <v>12723.124773471602</v>
      </c>
      <c r="N22" s="53">
        <f>'1. Rates'!C$41*'1. Rates'!C$55</f>
        <v>32322.089552238805</v>
      </c>
      <c r="O22" s="53">
        <f>'1. Rates'!D$41*'1. Rates'!D$55</f>
        <v>8080.5223880597014</v>
      </c>
      <c r="P22" s="53">
        <f>'1. Rates'!E$41*'1. Rates'!E$55</f>
        <v>16021.334867008814</v>
      </c>
      <c r="Q22" s="53">
        <f>'1. Rates'!F$41*'1. Rates'!F$55</f>
        <v>16463.334867008813</v>
      </c>
      <c r="R22" s="53">
        <f>'1. Rates'!G$41*'1. Rates'!G$55</f>
        <v>0</v>
      </c>
      <c r="S22" s="53">
        <f>'1. Rates'!H$41*'1. Rates'!H$55</f>
        <v>23081</v>
      </c>
      <c r="T22" s="53"/>
      <c r="U22" s="53"/>
      <c r="V22" s="53">
        <f t="shared" si="5"/>
        <v>95968.281674316138</v>
      </c>
      <c r="W22" s="53">
        <f>F22*'1. Rates'!C$56</f>
        <v>65654.455917746949</v>
      </c>
      <c r="X22" s="53">
        <f>G22*'1. Rates'!D$56</f>
        <v>16413.613979436737</v>
      </c>
      <c r="Y22" s="53">
        <f>H22*'1. Rates'!E$56</f>
        <v>33059.364255153028</v>
      </c>
      <c r="Z22" s="53">
        <f>I22*'1. Rates'!F$56</f>
        <v>33059.364255153028</v>
      </c>
      <c r="AA22" s="53">
        <f>J22*'1. Rates'!G$56</f>
        <v>123628</v>
      </c>
      <c r="AB22" s="53">
        <f>K22*'1. Rates'!H$56</f>
        <v>34702.174591513132</v>
      </c>
      <c r="AC22" s="53">
        <f>L22*'1. Rates'!Q58</f>
        <v>0</v>
      </c>
      <c r="AD22" s="53">
        <f>M22*'2. Energy'!N27</f>
        <v>97474.646220848808</v>
      </c>
      <c r="AE22" s="53">
        <f t="shared" si="6"/>
        <v>403991.61921985168</v>
      </c>
      <c r="AF22" s="53">
        <f>(N22+W22)*'1. Rates'!C$60</f>
        <v>11757.185456398289</v>
      </c>
      <c r="AG22" s="53">
        <f>(O22+X22)*'1. Rates'!D$60</f>
        <v>2939.2963640995722</v>
      </c>
      <c r="AH22" s="53">
        <f>(P22+Y22)*'1. Rates'!E$60</f>
        <v>5889.6838946594207</v>
      </c>
      <c r="AI22" s="53">
        <f>(Q22+Z22)*'1. Rates'!F$60</f>
        <v>5942.7238946594207</v>
      </c>
      <c r="AJ22" s="53">
        <f>(R22+AA22)*'1. Rates'!G$60</f>
        <v>0</v>
      </c>
      <c r="AK22" s="53">
        <f>(S22+AB22)*'1. Rates'!H$60</f>
        <v>6933.9809509815759</v>
      </c>
      <c r="AL22" s="53">
        <f>(T22+AC22)*'1. Rates'!$I$60</f>
        <v>0</v>
      </c>
      <c r="AM22" s="53">
        <f>(U22+AD22)*'1. Rates'!$J$60</f>
        <v>8204.0204133148309</v>
      </c>
      <c r="AN22" s="53">
        <f t="shared" si="7"/>
        <v>41666.890974113106</v>
      </c>
      <c r="AO22" s="53">
        <f t="shared" si="8"/>
        <v>97976.545469985751</v>
      </c>
      <c r="AP22" s="53">
        <f t="shared" si="23"/>
        <v>24494.136367496438</v>
      </c>
      <c r="AQ22" s="53">
        <f t="shared" si="24"/>
        <v>49080.699122161845</v>
      </c>
      <c r="AR22" s="53">
        <f t="shared" si="25"/>
        <v>49522.699122161837</v>
      </c>
      <c r="AS22" s="53">
        <f t="shared" si="26"/>
        <v>123628</v>
      </c>
      <c r="AT22" s="53">
        <f t="shared" si="26"/>
        <v>57783.174591513132</v>
      </c>
      <c r="AU22" s="53">
        <f t="shared" si="27"/>
        <v>0</v>
      </c>
      <c r="AV22" s="53">
        <f t="shared" si="28"/>
        <v>97474.646220848808</v>
      </c>
      <c r="AW22" s="53">
        <f t="shared" si="9"/>
        <v>499959.90089416783</v>
      </c>
      <c r="AX22" s="53">
        <f t="shared" si="10"/>
        <v>109733.73092638404</v>
      </c>
      <c r="AY22" s="53">
        <f t="shared" si="11"/>
        <v>27433.432731596011</v>
      </c>
      <c r="AZ22" s="53">
        <f t="shared" si="12"/>
        <v>54970.383016821266</v>
      </c>
      <c r="BA22" s="53">
        <f t="shared" si="13"/>
        <v>55465.42301682126</v>
      </c>
      <c r="BB22" s="53">
        <f t="shared" si="14"/>
        <v>123628</v>
      </c>
      <c r="BC22" s="53">
        <f t="shared" si="14"/>
        <v>64717.155542494707</v>
      </c>
      <c r="BD22" s="53">
        <f t="shared" si="15"/>
        <v>0</v>
      </c>
      <c r="BE22" s="53">
        <f t="shared" si="16"/>
        <v>105678.66663416364</v>
      </c>
      <c r="BF22" s="53">
        <f t="shared" si="17"/>
        <v>541626.79186828085</v>
      </c>
      <c r="BG22" s="54">
        <f t="shared" si="18"/>
        <v>4.8988272734992879</v>
      </c>
      <c r="BH22" s="54">
        <f t="shared" si="29"/>
        <v>4.8988272734992879</v>
      </c>
      <c r="BI22" s="54">
        <f t="shared" si="30"/>
        <v>4.9080699122161846</v>
      </c>
      <c r="BJ22" s="54">
        <f t="shared" si="31"/>
        <v>4.9522699122161837</v>
      </c>
      <c r="BK22" s="54">
        <f t="shared" si="31"/>
        <v>6.1814</v>
      </c>
      <c r="BL22" s="54">
        <f t="shared" si="31"/>
        <v>5.7783174591513129</v>
      </c>
      <c r="BM22" s="54"/>
      <c r="BN22" s="54">
        <f t="shared" si="19"/>
        <v>7.6612190759999992</v>
      </c>
      <c r="BO22" s="54">
        <f t="shared" si="22"/>
        <v>5.6992942531997102</v>
      </c>
      <c r="BP22" s="54">
        <f t="shared" si="20"/>
        <v>5.4866865463192021</v>
      </c>
      <c r="BQ22" s="54">
        <f t="shared" si="32"/>
        <v>5.4866865463192021</v>
      </c>
      <c r="BR22" s="54">
        <f t="shared" si="33"/>
        <v>5.4970383016821263</v>
      </c>
      <c r="BS22" s="54">
        <f t="shared" si="34"/>
        <v>5.546542301682126</v>
      </c>
      <c r="BT22" s="54">
        <f t="shared" si="34"/>
        <v>6.1814</v>
      </c>
      <c r="BU22" s="54">
        <f t="shared" si="34"/>
        <v>6.4717155542494709</v>
      </c>
      <c r="BV22" s="54"/>
      <c r="BW22" s="54">
        <f t="shared" si="35"/>
        <v>8.3060308309252253</v>
      </c>
      <c r="BX22" s="54">
        <f t="shared" si="21"/>
        <v>6.1742760904485534</v>
      </c>
    </row>
    <row r="23" spans="2:76" ht="18" customHeight="1" x14ac:dyDescent="0.3">
      <c r="B23" s="14">
        <v>19</v>
      </c>
      <c r="C23" s="53">
        <f>'2. Energy'!O28</f>
        <v>102689.44155137496</v>
      </c>
      <c r="D23" s="53">
        <f>'2. Energy'!P28</f>
        <v>14847.048679867985</v>
      </c>
      <c r="E23" s="53">
        <f>'2. Energy'!Q28</f>
        <v>87842.392871506978</v>
      </c>
      <c r="F23" s="53">
        <f>'3. Nomination'!W24</f>
        <v>20000</v>
      </c>
      <c r="G23" s="53">
        <f>'3. Nomination'!X24</f>
        <v>5000</v>
      </c>
      <c r="H23" s="53">
        <f>'3. Nomination'!Y24</f>
        <v>10000</v>
      </c>
      <c r="I23" s="53">
        <f>'3. Nomination'!Z24</f>
        <v>10000</v>
      </c>
      <c r="J23" s="53">
        <f>'3. Nomination'!AA24</f>
        <v>20000</v>
      </c>
      <c r="K23" s="53">
        <f>'3. Nomination'!AB24</f>
        <v>10000</v>
      </c>
      <c r="L23" s="53">
        <f>'3. Nomination'!AC24</f>
        <v>0</v>
      </c>
      <c r="M23" s="53">
        <f>'3. Nomination'!AD24</f>
        <v>12842.392871506978</v>
      </c>
      <c r="N23" s="53">
        <f>'1. Rates'!C$41*'1. Rates'!C$55</f>
        <v>32322.089552238805</v>
      </c>
      <c r="O23" s="53">
        <f>'1. Rates'!D$41*'1. Rates'!D$55</f>
        <v>8080.5223880597014</v>
      </c>
      <c r="P23" s="53">
        <f>'1. Rates'!E$41*'1. Rates'!E$55</f>
        <v>16021.334867008814</v>
      </c>
      <c r="Q23" s="53">
        <f>'1. Rates'!F$41*'1. Rates'!F$55</f>
        <v>16463.334867008813</v>
      </c>
      <c r="R23" s="53">
        <f>'1. Rates'!G$41*'1. Rates'!G$55</f>
        <v>0</v>
      </c>
      <c r="S23" s="53">
        <f>'1. Rates'!H$41*'1. Rates'!H$55</f>
        <v>23081</v>
      </c>
      <c r="T23" s="53"/>
      <c r="U23" s="53"/>
      <c r="V23" s="53">
        <f t="shared" si="5"/>
        <v>95968.281674316138</v>
      </c>
      <c r="W23" s="53">
        <f>F23*'1. Rates'!C$56</f>
        <v>65654.455917746949</v>
      </c>
      <c r="X23" s="53">
        <f>G23*'1. Rates'!D$56</f>
        <v>16413.613979436737</v>
      </c>
      <c r="Y23" s="53">
        <f>H23*'1. Rates'!E$56</f>
        <v>33059.364255153028</v>
      </c>
      <c r="Z23" s="53">
        <f>I23*'1. Rates'!F$56</f>
        <v>33059.364255153028</v>
      </c>
      <c r="AA23" s="53">
        <f>J23*'1. Rates'!G$56</f>
        <v>123628</v>
      </c>
      <c r="AB23" s="53">
        <f>K23*'1. Rates'!H$56</f>
        <v>34702.174591513132</v>
      </c>
      <c r="AC23" s="53">
        <f>L23*'1. Rates'!Q59</f>
        <v>0</v>
      </c>
      <c r="AD23" s="53">
        <f>M23*'2. Energy'!N28</f>
        <v>51496.939577413046</v>
      </c>
      <c r="AE23" s="53">
        <f t="shared" si="6"/>
        <v>358013.91257641587</v>
      </c>
      <c r="AF23" s="53">
        <f>(N23+W23)*'1. Rates'!C$60</f>
        <v>11757.185456398289</v>
      </c>
      <c r="AG23" s="53">
        <f>(O23+X23)*'1. Rates'!D$60</f>
        <v>2939.2963640995722</v>
      </c>
      <c r="AH23" s="53">
        <f>(P23+Y23)*'1. Rates'!E$60</f>
        <v>5889.6838946594207</v>
      </c>
      <c r="AI23" s="53">
        <f>(Q23+Z23)*'1. Rates'!F$60</f>
        <v>5942.7238946594207</v>
      </c>
      <c r="AJ23" s="53">
        <f>(R23+AA23)*'1. Rates'!G$60</f>
        <v>0</v>
      </c>
      <c r="AK23" s="53">
        <f>(S23+AB23)*'1. Rates'!H$60</f>
        <v>6933.9809509815759</v>
      </c>
      <c r="AL23" s="53">
        <f>(T23+AC23)*'1. Rates'!$I$60</f>
        <v>0</v>
      </c>
      <c r="AM23" s="53">
        <f>(U23+AD23)*'1. Rates'!$J$60</f>
        <v>4334.2752181846099</v>
      </c>
      <c r="AN23" s="53">
        <f t="shared" si="7"/>
        <v>37797.145778982886</v>
      </c>
      <c r="AO23" s="53">
        <f t="shared" si="8"/>
        <v>97976.545469985751</v>
      </c>
      <c r="AP23" s="53">
        <f t="shared" si="23"/>
        <v>24494.136367496438</v>
      </c>
      <c r="AQ23" s="53">
        <f t="shared" si="24"/>
        <v>49080.699122161845</v>
      </c>
      <c r="AR23" s="53">
        <f t="shared" si="25"/>
        <v>49522.699122161837</v>
      </c>
      <c r="AS23" s="53">
        <f t="shared" si="26"/>
        <v>123628</v>
      </c>
      <c r="AT23" s="53">
        <f t="shared" si="26"/>
        <v>57783.174591513132</v>
      </c>
      <c r="AU23" s="53">
        <f t="shared" si="27"/>
        <v>0</v>
      </c>
      <c r="AV23" s="53">
        <f t="shared" si="28"/>
        <v>51496.939577413046</v>
      </c>
      <c r="AW23" s="53">
        <f t="shared" si="9"/>
        <v>453982.19425073202</v>
      </c>
      <c r="AX23" s="53">
        <f t="shared" si="10"/>
        <v>109733.73092638404</v>
      </c>
      <c r="AY23" s="53">
        <f t="shared" si="11"/>
        <v>27433.432731596011</v>
      </c>
      <c r="AZ23" s="53">
        <f t="shared" si="12"/>
        <v>54970.383016821266</v>
      </c>
      <c r="BA23" s="53">
        <f t="shared" si="13"/>
        <v>55465.42301682126</v>
      </c>
      <c r="BB23" s="53">
        <f t="shared" si="14"/>
        <v>123628</v>
      </c>
      <c r="BC23" s="53">
        <f t="shared" si="14"/>
        <v>64717.155542494707</v>
      </c>
      <c r="BD23" s="53">
        <f t="shared" si="15"/>
        <v>0</v>
      </c>
      <c r="BE23" s="53">
        <f t="shared" si="16"/>
        <v>55831.214795597654</v>
      </c>
      <c r="BF23" s="53">
        <f t="shared" si="17"/>
        <v>491779.34002971492</v>
      </c>
      <c r="BG23" s="54">
        <f t="shared" si="18"/>
        <v>4.8988272734992879</v>
      </c>
      <c r="BH23" s="54">
        <f t="shared" si="29"/>
        <v>4.8988272734992879</v>
      </c>
      <c r="BI23" s="54">
        <f t="shared" si="30"/>
        <v>4.9080699122161846</v>
      </c>
      <c r="BJ23" s="54">
        <f t="shared" si="31"/>
        <v>4.9522699122161837</v>
      </c>
      <c r="BK23" s="54">
        <f t="shared" si="31"/>
        <v>6.1814</v>
      </c>
      <c r="BL23" s="54">
        <f t="shared" si="31"/>
        <v>5.7783174591513129</v>
      </c>
      <c r="BM23" s="54"/>
      <c r="BN23" s="54">
        <f t="shared" si="19"/>
        <v>4.0099177849999998</v>
      </c>
      <c r="BO23" s="54">
        <f t="shared" si="22"/>
        <v>5.1681446669468869</v>
      </c>
      <c r="BP23" s="54">
        <f t="shared" si="20"/>
        <v>5.4866865463192021</v>
      </c>
      <c r="BQ23" s="54">
        <f t="shared" si="32"/>
        <v>5.4866865463192021</v>
      </c>
      <c r="BR23" s="54">
        <f t="shared" si="33"/>
        <v>5.4970383016821263</v>
      </c>
      <c r="BS23" s="54">
        <f t="shared" si="34"/>
        <v>5.546542301682126</v>
      </c>
      <c r="BT23" s="54">
        <f t="shared" si="34"/>
        <v>6.1814</v>
      </c>
      <c r="BU23" s="54">
        <f t="shared" si="34"/>
        <v>6.4717155542494709</v>
      </c>
      <c r="BV23" s="54"/>
      <c r="BW23" s="54">
        <f t="shared" si="35"/>
        <v>4.3474152639784638</v>
      </c>
      <c r="BX23" s="54">
        <f t="shared" si="21"/>
        <v>5.5984283209255681</v>
      </c>
    </row>
    <row r="24" spans="2:76" ht="18" customHeight="1" x14ac:dyDescent="0.3">
      <c r="B24" s="14">
        <v>20</v>
      </c>
      <c r="C24" s="53">
        <f>'2. Energy'!O29</f>
        <v>96962.930379049067</v>
      </c>
      <c r="D24" s="53">
        <f>'2. Energy'!P29</f>
        <v>13458.841943311978</v>
      </c>
      <c r="E24" s="53">
        <f>'2. Energy'!Q29</f>
        <v>83504.088435737096</v>
      </c>
      <c r="F24" s="53">
        <f>'3. Nomination'!W25</f>
        <v>20000</v>
      </c>
      <c r="G24" s="53">
        <f>'3. Nomination'!X25</f>
        <v>5000</v>
      </c>
      <c r="H24" s="53">
        <f>'3. Nomination'!Y25</f>
        <v>10000</v>
      </c>
      <c r="I24" s="53">
        <f>'3. Nomination'!Z25</f>
        <v>10000</v>
      </c>
      <c r="J24" s="53">
        <f>'3. Nomination'!AA25</f>
        <v>20000</v>
      </c>
      <c r="K24" s="53">
        <f>'3. Nomination'!AB25</f>
        <v>10000</v>
      </c>
      <c r="L24" s="53">
        <f>'3. Nomination'!AC25</f>
        <v>0</v>
      </c>
      <c r="M24" s="53">
        <f>'3. Nomination'!AD25</f>
        <v>8504.088435737096</v>
      </c>
      <c r="N24" s="53">
        <f>'1. Rates'!C$41*'1. Rates'!C$55</f>
        <v>32322.089552238805</v>
      </c>
      <c r="O24" s="53">
        <f>'1. Rates'!D$41*'1. Rates'!D$55</f>
        <v>8080.5223880597014</v>
      </c>
      <c r="P24" s="53">
        <f>'1. Rates'!E$41*'1. Rates'!E$55</f>
        <v>16021.334867008814</v>
      </c>
      <c r="Q24" s="53">
        <f>'1. Rates'!F$41*'1. Rates'!F$55</f>
        <v>16463.334867008813</v>
      </c>
      <c r="R24" s="53">
        <f>'1. Rates'!G$41*'1. Rates'!G$55</f>
        <v>0</v>
      </c>
      <c r="S24" s="53">
        <f>'1. Rates'!H$41*'1. Rates'!H$55</f>
        <v>23081</v>
      </c>
      <c r="T24" s="53"/>
      <c r="U24" s="53"/>
      <c r="V24" s="53">
        <f t="shared" si="5"/>
        <v>95968.281674316138</v>
      </c>
      <c r="W24" s="53">
        <f>F24*'1. Rates'!C$56</f>
        <v>65654.455917746949</v>
      </c>
      <c r="X24" s="53">
        <f>G24*'1. Rates'!D$56</f>
        <v>16413.613979436737</v>
      </c>
      <c r="Y24" s="53">
        <f>H24*'1. Rates'!E$56</f>
        <v>33059.364255153028</v>
      </c>
      <c r="Z24" s="53">
        <f>I24*'1. Rates'!F$56</f>
        <v>33059.364255153028</v>
      </c>
      <c r="AA24" s="53">
        <f>J24*'1. Rates'!G$56</f>
        <v>123628</v>
      </c>
      <c r="AB24" s="53">
        <f>K24*'1. Rates'!H$56</f>
        <v>34702.174591513132</v>
      </c>
      <c r="AC24" s="53">
        <f>L24*'1. Rates'!Q60</f>
        <v>0</v>
      </c>
      <c r="AD24" s="53">
        <f>M24*'2. Energy'!N29</f>
        <v>30934.298545235164</v>
      </c>
      <c r="AE24" s="53">
        <f t="shared" si="6"/>
        <v>337451.27154423803</v>
      </c>
      <c r="AF24" s="53">
        <f>(N24+W24)*'1. Rates'!C$60</f>
        <v>11757.185456398289</v>
      </c>
      <c r="AG24" s="53">
        <f>(O24+X24)*'1. Rates'!D$60</f>
        <v>2939.2963640995722</v>
      </c>
      <c r="AH24" s="53">
        <f>(P24+Y24)*'1. Rates'!E$60</f>
        <v>5889.6838946594207</v>
      </c>
      <c r="AI24" s="53">
        <f>(Q24+Z24)*'1. Rates'!F$60</f>
        <v>5942.7238946594207</v>
      </c>
      <c r="AJ24" s="53">
        <f>(R24+AA24)*'1. Rates'!G$60</f>
        <v>0</v>
      </c>
      <c r="AK24" s="53">
        <f>(S24+AB24)*'1. Rates'!H$60</f>
        <v>6933.9809509815759</v>
      </c>
      <c r="AL24" s="53">
        <f>(T24+AC24)*'1. Rates'!$I$60</f>
        <v>0</v>
      </c>
      <c r="AM24" s="53">
        <f>(U24+AD24)*'1. Rates'!$J$60</f>
        <v>2603.6064410193521</v>
      </c>
      <c r="AN24" s="53">
        <f t="shared" si="7"/>
        <v>36066.477001817628</v>
      </c>
      <c r="AO24" s="53">
        <f t="shared" si="8"/>
        <v>97976.545469985751</v>
      </c>
      <c r="AP24" s="53">
        <f t="shared" si="23"/>
        <v>24494.136367496438</v>
      </c>
      <c r="AQ24" s="53">
        <f t="shared" si="24"/>
        <v>49080.699122161845</v>
      </c>
      <c r="AR24" s="53">
        <f t="shared" si="25"/>
        <v>49522.699122161837</v>
      </c>
      <c r="AS24" s="53">
        <f t="shared" si="26"/>
        <v>123628</v>
      </c>
      <c r="AT24" s="53">
        <f t="shared" si="26"/>
        <v>57783.174591513132</v>
      </c>
      <c r="AU24" s="53">
        <f t="shared" si="27"/>
        <v>0</v>
      </c>
      <c r="AV24" s="53">
        <f t="shared" si="28"/>
        <v>30934.298545235164</v>
      </c>
      <c r="AW24" s="53">
        <f t="shared" si="9"/>
        <v>433419.55321855418</v>
      </c>
      <c r="AX24" s="53">
        <f t="shared" si="10"/>
        <v>109733.73092638404</v>
      </c>
      <c r="AY24" s="53">
        <f t="shared" si="11"/>
        <v>27433.432731596011</v>
      </c>
      <c r="AZ24" s="53">
        <f t="shared" si="12"/>
        <v>54970.383016821266</v>
      </c>
      <c r="BA24" s="53">
        <f t="shared" si="13"/>
        <v>55465.42301682126</v>
      </c>
      <c r="BB24" s="53">
        <f t="shared" si="14"/>
        <v>123628</v>
      </c>
      <c r="BC24" s="53">
        <f t="shared" si="14"/>
        <v>64717.155542494707</v>
      </c>
      <c r="BD24" s="53">
        <f t="shared" si="15"/>
        <v>0</v>
      </c>
      <c r="BE24" s="53">
        <f t="shared" si="16"/>
        <v>33537.904986254514</v>
      </c>
      <c r="BF24" s="53">
        <f t="shared" si="17"/>
        <v>469486.03022037179</v>
      </c>
      <c r="BG24" s="54">
        <f t="shared" si="18"/>
        <v>4.8988272734992879</v>
      </c>
      <c r="BH24" s="54">
        <f t="shared" si="29"/>
        <v>4.8988272734992879</v>
      </c>
      <c r="BI24" s="54">
        <f t="shared" si="30"/>
        <v>4.9080699122161846</v>
      </c>
      <c r="BJ24" s="54">
        <f t="shared" si="31"/>
        <v>4.9522699122161837</v>
      </c>
      <c r="BK24" s="54">
        <f t="shared" si="31"/>
        <v>6.1814</v>
      </c>
      <c r="BL24" s="54">
        <f t="shared" si="31"/>
        <v>5.7783174591513129</v>
      </c>
      <c r="BM24" s="54"/>
      <c r="BN24" s="54">
        <f t="shared" si="19"/>
        <v>3.6375795923333336</v>
      </c>
      <c r="BO24" s="54">
        <f t="shared" si="22"/>
        <v>5.1903991928743025</v>
      </c>
      <c r="BP24" s="54">
        <f t="shared" si="20"/>
        <v>5.4866865463192021</v>
      </c>
      <c r="BQ24" s="54">
        <f t="shared" si="32"/>
        <v>5.4866865463192021</v>
      </c>
      <c r="BR24" s="54">
        <f t="shared" si="33"/>
        <v>5.4970383016821263</v>
      </c>
      <c r="BS24" s="54">
        <f t="shared" si="34"/>
        <v>5.546542301682126</v>
      </c>
      <c r="BT24" s="54">
        <f t="shared" si="34"/>
        <v>6.1814</v>
      </c>
      <c r="BU24" s="54">
        <f t="shared" si="34"/>
        <v>6.4717155542494709</v>
      </c>
      <c r="BV24" s="54"/>
      <c r="BW24" s="54">
        <f t="shared" si="35"/>
        <v>3.9437389721062561</v>
      </c>
      <c r="BX24" s="54">
        <f t="shared" si="21"/>
        <v>5.6223119013110106</v>
      </c>
    </row>
    <row r="25" spans="2:76" ht="18" customHeight="1" x14ac:dyDescent="0.3">
      <c r="B25" s="14">
        <v>21</v>
      </c>
      <c r="C25" s="53">
        <f>'2. Energy'!O30</f>
        <v>92507.616764144987</v>
      </c>
      <c r="D25" s="53">
        <f>'2. Energy'!P30</f>
        <v>11737.29170064065</v>
      </c>
      <c r="E25" s="53">
        <f>'2. Energy'!Q30</f>
        <v>80770.325063504337</v>
      </c>
      <c r="F25" s="53">
        <f>'3. Nomination'!W26</f>
        <v>20000</v>
      </c>
      <c r="G25" s="53">
        <f>'3. Nomination'!X26</f>
        <v>5000</v>
      </c>
      <c r="H25" s="53">
        <f>'3. Nomination'!Y26</f>
        <v>10000</v>
      </c>
      <c r="I25" s="53">
        <f>'3. Nomination'!Z26</f>
        <v>10000</v>
      </c>
      <c r="J25" s="53">
        <f>'3. Nomination'!AA26</f>
        <v>20000</v>
      </c>
      <c r="K25" s="53">
        <f>'3. Nomination'!AB26</f>
        <v>10000</v>
      </c>
      <c r="L25" s="53">
        <f>'3. Nomination'!AC26</f>
        <v>0</v>
      </c>
      <c r="M25" s="53">
        <f>'3. Nomination'!AD26</f>
        <v>5770.3250635043369</v>
      </c>
      <c r="N25" s="53">
        <f>'1. Rates'!C$41*'1. Rates'!C$55</f>
        <v>32322.089552238805</v>
      </c>
      <c r="O25" s="53">
        <f>'1. Rates'!D$41*'1. Rates'!D$55</f>
        <v>8080.5223880597014</v>
      </c>
      <c r="P25" s="53">
        <f>'1. Rates'!E$41*'1. Rates'!E$55</f>
        <v>16021.334867008814</v>
      </c>
      <c r="Q25" s="53">
        <f>'1. Rates'!F$41*'1. Rates'!F$55</f>
        <v>16463.334867008813</v>
      </c>
      <c r="R25" s="53">
        <f>'1. Rates'!G$41*'1. Rates'!G$55</f>
        <v>0</v>
      </c>
      <c r="S25" s="53">
        <f>'1. Rates'!H$41*'1. Rates'!H$55</f>
        <v>23081</v>
      </c>
      <c r="T25" s="53"/>
      <c r="U25" s="53"/>
      <c r="V25" s="53">
        <f t="shared" si="5"/>
        <v>95968.281674316138</v>
      </c>
      <c r="W25" s="53">
        <f>F25*'1. Rates'!C$56</f>
        <v>65654.455917746949</v>
      </c>
      <c r="X25" s="53">
        <f>G25*'1. Rates'!D$56</f>
        <v>16413.613979436737</v>
      </c>
      <c r="Y25" s="53">
        <f>H25*'1. Rates'!E$56</f>
        <v>33059.364255153028</v>
      </c>
      <c r="Z25" s="53">
        <f>I25*'1. Rates'!F$56</f>
        <v>33059.364255153028</v>
      </c>
      <c r="AA25" s="53">
        <f>J25*'1. Rates'!G$56</f>
        <v>123628</v>
      </c>
      <c r="AB25" s="53">
        <f>K25*'1. Rates'!H$56</f>
        <v>34702.174591513132</v>
      </c>
      <c r="AC25" s="53">
        <f>L25*'1. Rates'!Q61</f>
        <v>0</v>
      </c>
      <c r="AD25" s="53">
        <f>M25*'2. Energy'!N30</f>
        <v>20927.193810987043</v>
      </c>
      <c r="AE25" s="53">
        <f t="shared" si="6"/>
        <v>327444.1668099899</v>
      </c>
      <c r="AF25" s="53">
        <f>(N25+W25)*'1. Rates'!C$60</f>
        <v>11757.185456398289</v>
      </c>
      <c r="AG25" s="53">
        <f>(O25+X25)*'1. Rates'!D$60</f>
        <v>2939.2963640995722</v>
      </c>
      <c r="AH25" s="53">
        <f>(P25+Y25)*'1. Rates'!E$60</f>
        <v>5889.6838946594207</v>
      </c>
      <c r="AI25" s="53">
        <f>(Q25+Z25)*'1. Rates'!F$60</f>
        <v>5942.7238946594207</v>
      </c>
      <c r="AJ25" s="53">
        <f>(R25+AA25)*'1. Rates'!G$60</f>
        <v>0</v>
      </c>
      <c r="AK25" s="53">
        <f>(S25+AB25)*'1. Rates'!H$60</f>
        <v>6933.9809509815759</v>
      </c>
      <c r="AL25" s="53">
        <f>(T25+AC25)*'1. Rates'!$I$60</f>
        <v>0</v>
      </c>
      <c r="AM25" s="53">
        <f>(U25+AD25)*'1. Rates'!$J$60</f>
        <v>1761.3516116769595</v>
      </c>
      <c r="AN25" s="53">
        <f t="shared" si="7"/>
        <v>35224.222172475238</v>
      </c>
      <c r="AO25" s="53">
        <f t="shared" si="8"/>
        <v>97976.545469985751</v>
      </c>
      <c r="AP25" s="53">
        <f t="shared" si="23"/>
        <v>24494.136367496438</v>
      </c>
      <c r="AQ25" s="53">
        <f t="shared" si="24"/>
        <v>49080.699122161845</v>
      </c>
      <c r="AR25" s="53">
        <f t="shared" si="25"/>
        <v>49522.699122161837</v>
      </c>
      <c r="AS25" s="53">
        <f t="shared" si="26"/>
        <v>123628</v>
      </c>
      <c r="AT25" s="53">
        <f t="shared" si="26"/>
        <v>57783.174591513132</v>
      </c>
      <c r="AU25" s="53">
        <f t="shared" si="27"/>
        <v>0</v>
      </c>
      <c r="AV25" s="53">
        <f t="shared" si="28"/>
        <v>20927.193810987043</v>
      </c>
      <c r="AW25" s="53">
        <f t="shared" si="9"/>
        <v>423412.44848430605</v>
      </c>
      <c r="AX25" s="53">
        <f t="shared" si="10"/>
        <v>109733.73092638404</v>
      </c>
      <c r="AY25" s="53">
        <f t="shared" si="11"/>
        <v>27433.432731596011</v>
      </c>
      <c r="AZ25" s="53">
        <f t="shared" si="12"/>
        <v>54970.383016821266</v>
      </c>
      <c r="BA25" s="53">
        <f t="shared" si="13"/>
        <v>55465.42301682126</v>
      </c>
      <c r="BB25" s="53">
        <f t="shared" si="14"/>
        <v>123628</v>
      </c>
      <c r="BC25" s="53">
        <f t="shared" si="14"/>
        <v>64717.155542494707</v>
      </c>
      <c r="BD25" s="53">
        <f t="shared" si="15"/>
        <v>0</v>
      </c>
      <c r="BE25" s="53">
        <f t="shared" si="16"/>
        <v>22688.545422664003</v>
      </c>
      <c r="BF25" s="53">
        <f t="shared" si="17"/>
        <v>458636.67065678129</v>
      </c>
      <c r="BG25" s="54">
        <f t="shared" si="18"/>
        <v>4.8988272734992879</v>
      </c>
      <c r="BH25" s="54">
        <f t="shared" si="29"/>
        <v>4.8988272734992879</v>
      </c>
      <c r="BI25" s="54">
        <f t="shared" si="30"/>
        <v>4.9080699122161846</v>
      </c>
      <c r="BJ25" s="54">
        <f t="shared" si="31"/>
        <v>4.9522699122161837</v>
      </c>
      <c r="BK25" s="54">
        <f t="shared" si="31"/>
        <v>6.1814</v>
      </c>
      <c r="BL25" s="54">
        <f t="shared" si="31"/>
        <v>5.7783174591513129</v>
      </c>
      <c r="BM25" s="54"/>
      <c r="BN25" s="54">
        <f t="shared" si="19"/>
        <v>3.6266923579999997</v>
      </c>
      <c r="BO25" s="54">
        <f t="shared" si="22"/>
        <v>5.2421783390298975</v>
      </c>
      <c r="BP25" s="54">
        <f t="shared" si="20"/>
        <v>5.4866865463192021</v>
      </c>
      <c r="BQ25" s="54">
        <f t="shared" si="32"/>
        <v>5.4866865463192021</v>
      </c>
      <c r="BR25" s="54">
        <f t="shared" si="33"/>
        <v>5.4970383016821263</v>
      </c>
      <c r="BS25" s="54">
        <f t="shared" si="34"/>
        <v>5.546542301682126</v>
      </c>
      <c r="BT25" s="54">
        <f t="shared" si="34"/>
        <v>6.1814</v>
      </c>
      <c r="BU25" s="54">
        <f t="shared" si="34"/>
        <v>6.4717155542494709</v>
      </c>
      <c r="BV25" s="54"/>
      <c r="BW25" s="54">
        <f t="shared" si="35"/>
        <v>3.9319354062325869</v>
      </c>
      <c r="BX25" s="54">
        <f t="shared" si="21"/>
        <v>5.6782818478963133</v>
      </c>
    </row>
    <row r="26" spans="2:76" ht="18" customHeight="1" x14ac:dyDescent="0.3">
      <c r="B26" s="14">
        <v>22</v>
      </c>
      <c r="C26" s="53">
        <f>'2. Energy'!O31</f>
        <v>87103.167368808208</v>
      </c>
      <c r="D26" s="53">
        <f>'2. Energy'!P31</f>
        <v>8464.465734808773</v>
      </c>
      <c r="E26" s="53">
        <f>'2. Energy'!Q31</f>
        <v>78638.70163399943</v>
      </c>
      <c r="F26" s="53">
        <f>'3. Nomination'!W27</f>
        <v>20000</v>
      </c>
      <c r="G26" s="53">
        <f>'3. Nomination'!X27</f>
        <v>5000</v>
      </c>
      <c r="H26" s="53">
        <f>'3. Nomination'!Y27</f>
        <v>10000</v>
      </c>
      <c r="I26" s="53">
        <f>'3. Nomination'!Z27</f>
        <v>10000</v>
      </c>
      <c r="J26" s="53">
        <f>'3. Nomination'!AA27</f>
        <v>20000</v>
      </c>
      <c r="K26" s="53">
        <f>'3. Nomination'!AB27</f>
        <v>10000</v>
      </c>
      <c r="L26" s="53">
        <f>'3. Nomination'!AC27</f>
        <v>0</v>
      </c>
      <c r="M26" s="53">
        <f>'3. Nomination'!AD27</f>
        <v>3638.7016339994298</v>
      </c>
      <c r="N26" s="53">
        <f>'1. Rates'!C$41*'1. Rates'!C$55</f>
        <v>32322.089552238805</v>
      </c>
      <c r="O26" s="53">
        <f>'1. Rates'!D$41*'1. Rates'!D$55</f>
        <v>8080.5223880597014</v>
      </c>
      <c r="P26" s="53">
        <f>'1. Rates'!E$41*'1. Rates'!E$55</f>
        <v>16021.334867008814</v>
      </c>
      <c r="Q26" s="53">
        <f>'1. Rates'!F$41*'1. Rates'!F$55</f>
        <v>16463.334867008813</v>
      </c>
      <c r="R26" s="53">
        <f>'1. Rates'!G$41*'1. Rates'!G$55</f>
        <v>0</v>
      </c>
      <c r="S26" s="53">
        <f>'1. Rates'!H$41*'1. Rates'!H$55</f>
        <v>23081</v>
      </c>
      <c r="T26" s="53"/>
      <c r="U26" s="53"/>
      <c r="V26" s="53">
        <f t="shared" si="5"/>
        <v>95968.281674316138</v>
      </c>
      <c r="W26" s="53">
        <f>F26*'1. Rates'!C$56</f>
        <v>65654.455917746949</v>
      </c>
      <c r="X26" s="53">
        <f>G26*'1. Rates'!D$56</f>
        <v>16413.613979436737</v>
      </c>
      <c r="Y26" s="53">
        <f>H26*'1. Rates'!E$56</f>
        <v>33059.364255153028</v>
      </c>
      <c r="Z26" s="53">
        <f>I26*'1. Rates'!F$56</f>
        <v>33059.364255153028</v>
      </c>
      <c r="AA26" s="53">
        <f>J26*'1. Rates'!G$56</f>
        <v>123628</v>
      </c>
      <c r="AB26" s="53">
        <f>K26*'1. Rates'!H$56</f>
        <v>34702.174591513132</v>
      </c>
      <c r="AC26" s="53">
        <f>L26*'1. Rates'!Q62</f>
        <v>0</v>
      </c>
      <c r="AD26" s="53">
        <f>M26*'2. Energy'!N31</f>
        <v>12432.370325954738</v>
      </c>
      <c r="AE26" s="53">
        <f t="shared" si="6"/>
        <v>318949.34332495759</v>
      </c>
      <c r="AF26" s="53">
        <f>(N26+W26)*'1. Rates'!C$60</f>
        <v>11757.185456398289</v>
      </c>
      <c r="AG26" s="53">
        <f>(O26+X26)*'1. Rates'!D$60</f>
        <v>2939.2963640995722</v>
      </c>
      <c r="AH26" s="53">
        <f>(P26+Y26)*'1. Rates'!E$60</f>
        <v>5889.6838946594207</v>
      </c>
      <c r="AI26" s="53">
        <f>(Q26+Z26)*'1. Rates'!F$60</f>
        <v>5942.7238946594207</v>
      </c>
      <c r="AJ26" s="53">
        <f>(R26+AA26)*'1. Rates'!G$60</f>
        <v>0</v>
      </c>
      <c r="AK26" s="53">
        <f>(S26+AB26)*'1. Rates'!H$60</f>
        <v>6933.9809509815759</v>
      </c>
      <c r="AL26" s="53">
        <f>(T26+AC26)*'1. Rates'!$I$60</f>
        <v>0</v>
      </c>
      <c r="AM26" s="53">
        <f>(U26+AD26)*'1. Rates'!$J$60</f>
        <v>1046.3789702701838</v>
      </c>
      <c r="AN26" s="53">
        <f t="shared" si="7"/>
        <v>34509.249531068461</v>
      </c>
      <c r="AO26" s="53">
        <f t="shared" si="8"/>
        <v>97976.545469985751</v>
      </c>
      <c r="AP26" s="53">
        <f t="shared" si="23"/>
        <v>24494.136367496438</v>
      </c>
      <c r="AQ26" s="53">
        <f t="shared" si="24"/>
        <v>49080.699122161845</v>
      </c>
      <c r="AR26" s="53">
        <f t="shared" si="25"/>
        <v>49522.699122161837</v>
      </c>
      <c r="AS26" s="53">
        <f t="shared" si="26"/>
        <v>123628</v>
      </c>
      <c r="AT26" s="53">
        <f t="shared" si="26"/>
        <v>57783.174591513132</v>
      </c>
      <c r="AU26" s="53">
        <f t="shared" si="27"/>
        <v>0</v>
      </c>
      <c r="AV26" s="53">
        <f t="shared" si="28"/>
        <v>12432.370325954738</v>
      </c>
      <c r="AW26" s="53">
        <f t="shared" si="9"/>
        <v>414917.62499927374</v>
      </c>
      <c r="AX26" s="53">
        <f t="shared" si="10"/>
        <v>109733.73092638404</v>
      </c>
      <c r="AY26" s="53">
        <f t="shared" si="11"/>
        <v>27433.432731596011</v>
      </c>
      <c r="AZ26" s="53">
        <f t="shared" si="12"/>
        <v>54970.383016821266</v>
      </c>
      <c r="BA26" s="53">
        <f t="shared" si="13"/>
        <v>55465.42301682126</v>
      </c>
      <c r="BB26" s="53">
        <f t="shared" si="14"/>
        <v>123628</v>
      </c>
      <c r="BC26" s="53">
        <f t="shared" si="14"/>
        <v>64717.155542494707</v>
      </c>
      <c r="BD26" s="53">
        <f t="shared" si="15"/>
        <v>0</v>
      </c>
      <c r="BE26" s="53">
        <f t="shared" si="16"/>
        <v>13478.749296224922</v>
      </c>
      <c r="BF26" s="53">
        <f t="shared" si="17"/>
        <v>449426.87453034217</v>
      </c>
      <c r="BG26" s="54">
        <f t="shared" si="18"/>
        <v>4.8988272734992879</v>
      </c>
      <c r="BH26" s="54">
        <f t="shared" si="29"/>
        <v>4.8988272734992879</v>
      </c>
      <c r="BI26" s="54">
        <f t="shared" si="30"/>
        <v>4.9080699122161846</v>
      </c>
      <c r="BJ26" s="54">
        <f t="shared" si="31"/>
        <v>4.9522699122161837</v>
      </c>
      <c r="BK26" s="54">
        <f t="shared" si="31"/>
        <v>6.1814</v>
      </c>
      <c r="BL26" s="54">
        <f t="shared" si="31"/>
        <v>5.7783174591513129</v>
      </c>
      <c r="BM26" s="54"/>
      <c r="BN26" s="54">
        <f t="shared" si="19"/>
        <v>3.4167050713333333</v>
      </c>
      <c r="BO26" s="54">
        <f t="shared" si="22"/>
        <v>5.276252231762232</v>
      </c>
      <c r="BP26" s="54">
        <f t="shared" si="20"/>
        <v>5.4866865463192021</v>
      </c>
      <c r="BQ26" s="54">
        <f t="shared" si="32"/>
        <v>5.4866865463192021</v>
      </c>
      <c r="BR26" s="54">
        <f t="shared" si="33"/>
        <v>5.4970383016821263</v>
      </c>
      <c r="BS26" s="54">
        <f t="shared" si="34"/>
        <v>5.546542301682126</v>
      </c>
      <c r="BT26" s="54">
        <f t="shared" si="34"/>
        <v>6.1814</v>
      </c>
      <c r="BU26" s="54">
        <f t="shared" si="34"/>
        <v>6.4717155542494709</v>
      </c>
      <c r="BV26" s="54"/>
      <c r="BW26" s="54">
        <f t="shared" si="35"/>
        <v>3.704274395647531</v>
      </c>
      <c r="BX26" s="54">
        <f t="shared" si="21"/>
        <v>5.7150851322808789</v>
      </c>
    </row>
    <row r="27" spans="2:76" ht="18" customHeight="1" x14ac:dyDescent="0.3">
      <c r="B27" s="14">
        <v>23</v>
      </c>
      <c r="C27" s="53">
        <f>'2. Energy'!O32</f>
        <v>82343.084380810993</v>
      </c>
      <c r="D27" s="53">
        <f>'2. Energy'!P32</f>
        <v>6243.2122058823516</v>
      </c>
      <c r="E27" s="53">
        <f>'2. Energy'!Q32</f>
        <v>76099.872174928634</v>
      </c>
      <c r="F27" s="53">
        <f>'3. Nomination'!W28</f>
        <v>10000</v>
      </c>
      <c r="G27" s="53">
        <f>'3. Nomination'!X28</f>
        <v>2500</v>
      </c>
      <c r="H27" s="53">
        <f>'3. Nomination'!Y28</f>
        <v>5000</v>
      </c>
      <c r="I27" s="53">
        <f>'3. Nomination'!Z28</f>
        <v>5000</v>
      </c>
      <c r="J27" s="53">
        <f>'3. Nomination'!AA28</f>
        <v>20000</v>
      </c>
      <c r="K27" s="53">
        <f>'3. Nomination'!AB28</f>
        <v>10000</v>
      </c>
      <c r="L27" s="53">
        <f>'3. Nomination'!AC28</f>
        <v>0</v>
      </c>
      <c r="M27" s="53">
        <f>'3. Nomination'!AD28</f>
        <v>23599.872174928634</v>
      </c>
      <c r="N27" s="53">
        <f>'1. Rates'!C$41*'1. Rates'!C$55</f>
        <v>32322.089552238805</v>
      </c>
      <c r="O27" s="53">
        <f>'1. Rates'!D$41*'1. Rates'!D$55</f>
        <v>8080.5223880597014</v>
      </c>
      <c r="P27" s="53">
        <f>'1. Rates'!E$41*'1. Rates'!E$55</f>
        <v>16021.334867008814</v>
      </c>
      <c r="Q27" s="53">
        <f>'1. Rates'!F$41*'1. Rates'!F$55</f>
        <v>16463.334867008813</v>
      </c>
      <c r="R27" s="53">
        <f>'1. Rates'!G$41*'1. Rates'!G$55</f>
        <v>0</v>
      </c>
      <c r="S27" s="53">
        <f>'1. Rates'!H$41*'1. Rates'!H$55</f>
        <v>23081</v>
      </c>
      <c r="T27" s="53"/>
      <c r="U27" s="53"/>
      <c r="V27" s="53">
        <f t="shared" si="5"/>
        <v>95968.281674316138</v>
      </c>
      <c r="W27" s="53">
        <f>F27*'1. Rates'!C$56</f>
        <v>32827.227958873475</v>
      </c>
      <c r="X27" s="53">
        <f>G27*'1. Rates'!D$56</f>
        <v>8206.8069897183686</v>
      </c>
      <c r="Y27" s="53">
        <f>H27*'1. Rates'!E$56</f>
        <v>16529.682127576514</v>
      </c>
      <c r="Z27" s="53">
        <f>I27*'1. Rates'!F$56</f>
        <v>16529.682127576514</v>
      </c>
      <c r="AA27" s="53">
        <f>J27*'1. Rates'!G$56</f>
        <v>123628</v>
      </c>
      <c r="AB27" s="53">
        <f>K27*'1. Rates'!H$56</f>
        <v>34702.174591513132</v>
      </c>
      <c r="AC27" s="53">
        <f>L27*'1. Rates'!Q63</f>
        <v>0</v>
      </c>
      <c r="AD27" s="53">
        <f>M27*'2. Energy'!N32</f>
        <v>79143.664180004096</v>
      </c>
      <c r="AE27" s="53">
        <f t="shared" si="6"/>
        <v>311567.23797526211</v>
      </c>
      <c r="AF27" s="53">
        <f>(N27+W27)*'1. Rates'!C$60</f>
        <v>7817.9181013334737</v>
      </c>
      <c r="AG27" s="53">
        <f>(O27+X27)*'1. Rates'!D$60</f>
        <v>1954.4795253333684</v>
      </c>
      <c r="AH27" s="53">
        <f>(P27+Y27)*'1. Rates'!E$60</f>
        <v>3906.122039350239</v>
      </c>
      <c r="AI27" s="53">
        <f>(Q27+Z27)*'1. Rates'!F$60</f>
        <v>3959.162039350239</v>
      </c>
      <c r="AJ27" s="53">
        <f>(R27+AA27)*'1. Rates'!G$60</f>
        <v>0</v>
      </c>
      <c r="AK27" s="53">
        <f>(S27+AB27)*'1. Rates'!H$60</f>
        <v>6933.9809509815759</v>
      </c>
      <c r="AL27" s="53">
        <f>(T27+AC27)*'1. Rates'!$I$60</f>
        <v>0</v>
      </c>
      <c r="AM27" s="53">
        <f>(U27+AD27)*'1. Rates'!$J$60</f>
        <v>6661.1807448490108</v>
      </c>
      <c r="AN27" s="53">
        <f t="shared" si="7"/>
        <v>31232.843401197904</v>
      </c>
      <c r="AO27" s="53">
        <f t="shared" si="8"/>
        <v>65149.317511112284</v>
      </c>
      <c r="AP27" s="53">
        <f t="shared" si="23"/>
        <v>16287.329377778071</v>
      </c>
      <c r="AQ27" s="53">
        <f t="shared" si="24"/>
        <v>32551.016994585327</v>
      </c>
      <c r="AR27" s="53">
        <f t="shared" si="25"/>
        <v>32993.016994585327</v>
      </c>
      <c r="AS27" s="53">
        <f t="shared" si="26"/>
        <v>123628</v>
      </c>
      <c r="AT27" s="53">
        <f t="shared" si="26"/>
        <v>57783.174591513132</v>
      </c>
      <c r="AU27" s="53">
        <f t="shared" si="27"/>
        <v>0</v>
      </c>
      <c r="AV27" s="53">
        <f t="shared" si="28"/>
        <v>79143.664180004096</v>
      </c>
      <c r="AW27" s="53">
        <f t="shared" si="9"/>
        <v>407535.5196495782</v>
      </c>
      <c r="AX27" s="53">
        <f t="shared" si="10"/>
        <v>72967.235612445758</v>
      </c>
      <c r="AY27" s="53">
        <f t="shared" si="11"/>
        <v>18241.80890311144</v>
      </c>
      <c r="AZ27" s="53">
        <f t="shared" si="12"/>
        <v>36457.139033935564</v>
      </c>
      <c r="BA27" s="53">
        <f t="shared" si="13"/>
        <v>36952.179033935565</v>
      </c>
      <c r="BB27" s="53">
        <f t="shared" si="14"/>
        <v>123628</v>
      </c>
      <c r="BC27" s="53">
        <f t="shared" si="14"/>
        <v>64717.155542494707</v>
      </c>
      <c r="BD27" s="53">
        <f t="shared" si="15"/>
        <v>0</v>
      </c>
      <c r="BE27" s="53">
        <f t="shared" si="16"/>
        <v>85804.844924853111</v>
      </c>
      <c r="BF27" s="53">
        <f t="shared" si="17"/>
        <v>438768.36305077618</v>
      </c>
      <c r="BG27" s="54">
        <f t="shared" si="18"/>
        <v>6.5149317511112281</v>
      </c>
      <c r="BH27" s="54">
        <f t="shared" si="29"/>
        <v>6.5149317511112281</v>
      </c>
      <c r="BI27" s="54">
        <f t="shared" si="30"/>
        <v>6.5102033989170653</v>
      </c>
      <c r="BJ27" s="54">
        <f t="shared" si="31"/>
        <v>6.5986033989170654</v>
      </c>
      <c r="BK27" s="54">
        <f t="shared" si="31"/>
        <v>6.1814</v>
      </c>
      <c r="BL27" s="54">
        <f t="shared" si="31"/>
        <v>5.7783174591513129</v>
      </c>
      <c r="BM27" s="54"/>
      <c r="BN27" s="54">
        <f t="shared" si="19"/>
        <v>3.3535632563333335</v>
      </c>
      <c r="BO27" s="54">
        <f t="shared" si="22"/>
        <v>5.3552720655402384</v>
      </c>
      <c r="BP27" s="54">
        <f t="shared" si="20"/>
        <v>7.2967235612445762</v>
      </c>
      <c r="BQ27" s="54">
        <f t="shared" si="32"/>
        <v>7.2967235612445762</v>
      </c>
      <c r="BR27" s="54">
        <f t="shared" si="33"/>
        <v>7.2914278067871132</v>
      </c>
      <c r="BS27" s="54">
        <f t="shared" si="34"/>
        <v>7.3904358067871128</v>
      </c>
      <c r="BT27" s="54">
        <f t="shared" si="34"/>
        <v>6.1814</v>
      </c>
      <c r="BU27" s="54">
        <f t="shared" si="34"/>
        <v>6.4717155542494709</v>
      </c>
      <c r="BV27" s="54"/>
      <c r="BW27" s="54">
        <f t="shared" si="35"/>
        <v>3.6358182065074081</v>
      </c>
      <c r="BX27" s="54">
        <f t="shared" si="21"/>
        <v>5.7656911964607733</v>
      </c>
    </row>
    <row r="28" spans="2:76" ht="18" customHeight="1" x14ac:dyDescent="0.3">
      <c r="B28" s="14">
        <v>24</v>
      </c>
      <c r="C28" s="53">
        <f>'2. Energy'!O33</f>
        <v>77944.527392793621</v>
      </c>
      <c r="D28" s="53">
        <f>'2. Energy'!P33</f>
        <v>5717.4657499999994</v>
      </c>
      <c r="E28" s="53">
        <f>'2. Energy'!Q33</f>
        <v>72227.061642793618</v>
      </c>
      <c r="F28" s="53">
        <f>'3. Nomination'!W29</f>
        <v>10000</v>
      </c>
      <c r="G28" s="53">
        <f>'3. Nomination'!X29</f>
        <v>2500</v>
      </c>
      <c r="H28" s="53">
        <f>'3. Nomination'!Y29</f>
        <v>5000</v>
      </c>
      <c r="I28" s="53">
        <f>'3. Nomination'!Z29</f>
        <v>5000</v>
      </c>
      <c r="J28" s="53">
        <f>'3. Nomination'!AA29</f>
        <v>20000</v>
      </c>
      <c r="K28" s="53">
        <f>'3. Nomination'!AB29</f>
        <v>0</v>
      </c>
      <c r="L28" s="53">
        <f>'3. Nomination'!AC29</f>
        <v>0</v>
      </c>
      <c r="M28" s="53">
        <f>'3. Nomination'!AD29</f>
        <v>29727.061642793618</v>
      </c>
      <c r="N28" s="53">
        <f>'1. Rates'!C$41*'1. Rates'!C$55</f>
        <v>32322.089552238805</v>
      </c>
      <c r="O28" s="53">
        <f>'1. Rates'!D$41*'1. Rates'!D$55</f>
        <v>8080.5223880597014</v>
      </c>
      <c r="P28" s="53">
        <f>'1. Rates'!E$41*'1. Rates'!E$55</f>
        <v>16021.334867008814</v>
      </c>
      <c r="Q28" s="53">
        <f>'1. Rates'!F$41*'1. Rates'!F$55</f>
        <v>16463.334867008813</v>
      </c>
      <c r="R28" s="53">
        <f>'1. Rates'!G$41*'1. Rates'!G$55</f>
        <v>0</v>
      </c>
      <c r="S28" s="53">
        <f>'1. Rates'!H$41*'1. Rates'!H$55</f>
        <v>23081</v>
      </c>
      <c r="T28" s="53"/>
      <c r="U28" s="53"/>
      <c r="V28" s="53">
        <f t="shared" si="5"/>
        <v>95968.281674316138</v>
      </c>
      <c r="W28" s="53">
        <f>F28*'1. Rates'!C$56</f>
        <v>32827.227958873475</v>
      </c>
      <c r="X28" s="53">
        <f>G28*'1. Rates'!D$56</f>
        <v>8206.8069897183686</v>
      </c>
      <c r="Y28" s="53">
        <f>H28*'1. Rates'!E$56</f>
        <v>16529.682127576514</v>
      </c>
      <c r="Z28" s="53">
        <f>I28*'1. Rates'!F$56</f>
        <v>16529.682127576514</v>
      </c>
      <c r="AA28" s="53">
        <f>J28*'1. Rates'!G$56</f>
        <v>123628</v>
      </c>
      <c r="AB28" s="53">
        <f>K28*'1. Rates'!H$56</f>
        <v>0</v>
      </c>
      <c r="AC28" s="53">
        <f>L28*'1. Rates'!Q64</f>
        <v>0</v>
      </c>
      <c r="AD28" s="53">
        <f>M28*'2. Energy'!N33</f>
        <v>90340.428350608607</v>
      </c>
      <c r="AE28" s="53">
        <f t="shared" si="6"/>
        <v>288061.82755435345</v>
      </c>
      <c r="AF28" s="53">
        <f>(N28+W28)*'1. Rates'!C$60</f>
        <v>7817.9181013334737</v>
      </c>
      <c r="AG28" s="53">
        <f>(O28+X28)*'1. Rates'!D$60</f>
        <v>1954.4795253333684</v>
      </c>
      <c r="AH28" s="53">
        <f>(P28+Y28)*'1. Rates'!E$60</f>
        <v>3906.122039350239</v>
      </c>
      <c r="AI28" s="53">
        <f>(Q28+Z28)*'1. Rates'!F$60</f>
        <v>3959.162039350239</v>
      </c>
      <c r="AJ28" s="53">
        <f>(R28+AA28)*'1. Rates'!G$60</f>
        <v>0</v>
      </c>
      <c r="AK28" s="53">
        <f>(S28+AB28)*'1. Rates'!H$60</f>
        <v>2769.72</v>
      </c>
      <c r="AL28" s="53">
        <f>(T28+AC28)*'1. Rates'!$I$60</f>
        <v>0</v>
      </c>
      <c r="AM28" s="53">
        <f>(U28+AD28)*'1. Rates'!$J$60</f>
        <v>7603.5640761061177</v>
      </c>
      <c r="AN28" s="53">
        <f t="shared" si="7"/>
        <v>28010.965781473438</v>
      </c>
      <c r="AO28" s="53">
        <f t="shared" si="8"/>
        <v>65149.317511112284</v>
      </c>
      <c r="AP28" s="53">
        <f t="shared" si="23"/>
        <v>16287.329377778071</v>
      </c>
      <c r="AQ28" s="53">
        <f t="shared" si="24"/>
        <v>32551.016994585327</v>
      </c>
      <c r="AR28" s="53">
        <f t="shared" si="25"/>
        <v>32993.016994585327</v>
      </c>
      <c r="AS28" s="53">
        <f t="shared" si="26"/>
        <v>123628</v>
      </c>
      <c r="AT28" s="53">
        <f t="shared" si="26"/>
        <v>23081</v>
      </c>
      <c r="AU28" s="53">
        <f t="shared" si="27"/>
        <v>0</v>
      </c>
      <c r="AV28" s="53">
        <f t="shared" si="28"/>
        <v>90340.428350608607</v>
      </c>
      <c r="AW28" s="53">
        <f t="shared" si="9"/>
        <v>384030.10922866961</v>
      </c>
      <c r="AX28" s="53">
        <f t="shared" si="10"/>
        <v>72967.235612445758</v>
      </c>
      <c r="AY28" s="53">
        <f t="shared" si="11"/>
        <v>18241.80890311144</v>
      </c>
      <c r="AZ28" s="53">
        <f t="shared" si="12"/>
        <v>36457.139033935564</v>
      </c>
      <c r="BA28" s="53">
        <f t="shared" si="13"/>
        <v>36952.179033935565</v>
      </c>
      <c r="BB28" s="53">
        <f t="shared" si="14"/>
        <v>123628</v>
      </c>
      <c r="BC28" s="53">
        <f t="shared" si="14"/>
        <v>25850.720000000001</v>
      </c>
      <c r="BD28" s="53">
        <f t="shared" si="15"/>
        <v>0</v>
      </c>
      <c r="BE28" s="53">
        <f t="shared" si="16"/>
        <v>97943.992426714729</v>
      </c>
      <c r="BF28" s="53">
        <f t="shared" si="17"/>
        <v>412041.0750101431</v>
      </c>
      <c r="BG28" s="54">
        <f t="shared" si="18"/>
        <v>6.5149317511112281</v>
      </c>
      <c r="BH28" s="54">
        <f t="shared" si="29"/>
        <v>6.5149317511112281</v>
      </c>
      <c r="BI28" s="54">
        <f t="shared" si="30"/>
        <v>6.5102033989170653</v>
      </c>
      <c r="BJ28" s="54">
        <f t="shared" si="31"/>
        <v>6.5986033989170654</v>
      </c>
      <c r="BK28" s="54">
        <f t="shared" si="31"/>
        <v>6.1814</v>
      </c>
      <c r="BL28" s="54" t="e">
        <f t="shared" si="31"/>
        <v>#DIV/0!</v>
      </c>
      <c r="BM28" s="54"/>
      <c r="BN28" s="54">
        <f t="shared" si="19"/>
        <v>3.0389962330000002</v>
      </c>
      <c r="BO28" s="54">
        <f t="shared" si="22"/>
        <v>5.3169836968853881</v>
      </c>
      <c r="BP28" s="54">
        <f>AX28/F28</f>
        <v>7.2967235612445762</v>
      </c>
      <c r="BQ28" s="54">
        <f t="shared" si="32"/>
        <v>7.2967235612445762</v>
      </c>
      <c r="BR28" s="54">
        <f t="shared" si="33"/>
        <v>7.2914278067871132</v>
      </c>
      <c r="BS28" s="54">
        <f t="shared" si="34"/>
        <v>7.3904358067871128</v>
      </c>
      <c r="BT28" s="54">
        <f t="shared" si="34"/>
        <v>6.1814</v>
      </c>
      <c r="BU28" s="54" t="e">
        <f t="shared" si="34"/>
        <v>#DIV/0!</v>
      </c>
      <c r="BV28" s="54"/>
      <c r="BW28" s="54">
        <f t="shared" si="35"/>
        <v>3.2947754340348046</v>
      </c>
      <c r="BX28" s="54">
        <f t="shared" si="21"/>
        <v>5.7048018518036177</v>
      </c>
    </row>
    <row r="29" spans="2:76" ht="21" customHeight="1" x14ac:dyDescent="0.3">
      <c r="B29" s="55" t="s">
        <v>137</v>
      </c>
      <c r="C29" s="56">
        <f t="shared" ref="C29:D29" si="36">SUM(C5:C28)</f>
        <v>2123638.2454340463</v>
      </c>
      <c r="D29" s="56">
        <f t="shared" si="36"/>
        <v>252419.21169170926</v>
      </c>
      <c r="E29" s="56">
        <f>SUM(E5:E28)</f>
        <v>1871219.0337423368</v>
      </c>
      <c r="F29" s="56">
        <f t="shared" ref="F29:L29" si="37">SUM(F5:F28)</f>
        <v>300000</v>
      </c>
      <c r="G29" s="56">
        <f t="shared" si="37"/>
        <v>75000</v>
      </c>
      <c r="H29" s="56">
        <f t="shared" si="37"/>
        <v>150000</v>
      </c>
      <c r="I29" s="56">
        <f t="shared" si="37"/>
        <v>150000</v>
      </c>
      <c r="J29" s="56">
        <f t="shared" si="37"/>
        <v>350000</v>
      </c>
      <c r="K29" s="56">
        <f t="shared" si="37"/>
        <v>100000</v>
      </c>
      <c r="L29" s="56">
        <f t="shared" si="37"/>
        <v>0</v>
      </c>
      <c r="M29" s="56">
        <f>SUM(M5:M28)</f>
        <v>746219.03374233679</v>
      </c>
      <c r="N29" s="56">
        <f t="shared" ref="N29:Q29" si="38">SUM(N5:N28)</f>
        <v>775730.14925373148</v>
      </c>
      <c r="O29" s="56">
        <f t="shared" si="38"/>
        <v>193932.53731343287</v>
      </c>
      <c r="P29" s="56">
        <f t="shared" si="38"/>
        <v>384512.03680821136</v>
      </c>
      <c r="Q29" s="56">
        <f t="shared" si="38"/>
        <v>395120.0368082113</v>
      </c>
      <c r="R29" s="56">
        <f t="shared" ref="R29" si="39">SUM(R5:R28)</f>
        <v>0</v>
      </c>
      <c r="S29" s="56">
        <f t="shared" ref="S29" si="40">SUM(S5:S28)</f>
        <v>553944</v>
      </c>
      <c r="T29" s="56">
        <f t="shared" ref="T29" si="41">SUM(T5:T28)</f>
        <v>0</v>
      </c>
      <c r="U29" s="56">
        <f t="shared" ref="U29" si="42">SUM(U5:U28)</f>
        <v>0</v>
      </c>
      <c r="V29" s="56">
        <f t="shared" ref="V29" si="43">SUM(V5:V28)</f>
        <v>2303238.7601835872</v>
      </c>
      <c r="W29" s="56">
        <f t="shared" ref="W29" si="44">SUM(W5:W28)</f>
        <v>984816.83876620466</v>
      </c>
      <c r="X29" s="56">
        <f t="shared" ref="X29" si="45">SUM(X5:X28)</f>
        <v>246204.20969155116</v>
      </c>
      <c r="Y29" s="56">
        <f t="shared" ref="Y29" si="46">SUM(Y5:Y28)</f>
        <v>495890.46382729558</v>
      </c>
      <c r="Z29" s="56">
        <f t="shared" ref="Z29" si="47">SUM(Z5:Z28)</f>
        <v>495890.46382729558</v>
      </c>
      <c r="AA29" s="56">
        <f t="shared" ref="AA29" si="48">SUM(AA5:AA28)</f>
        <v>2163490</v>
      </c>
      <c r="AB29" s="56">
        <f t="shared" ref="AB29" si="49">SUM(AB5:AB28)</f>
        <v>347021.74591513124</v>
      </c>
      <c r="AC29" s="56">
        <f t="shared" ref="AC29" si="50">SUM(AC5:AC28)</f>
        <v>0</v>
      </c>
      <c r="AD29" s="56">
        <f t="shared" ref="AD29" si="51">SUM(AD5:AD28)</f>
        <v>2197741.9254888562</v>
      </c>
      <c r="AE29" s="56">
        <f t="shared" ref="AE29" si="52">SUM(AE5:AE28)</f>
        <v>6931055.6475163326</v>
      </c>
      <c r="AF29" s="56">
        <f t="shared" ref="AF29" si="53">SUM(AF5:AF28)</f>
        <v>211265.63856239224</v>
      </c>
      <c r="AG29" s="56">
        <f t="shared" ref="AG29" si="54">SUM(AG5:AG28)</f>
        <v>52816.40964059806</v>
      </c>
      <c r="AH29" s="56">
        <f t="shared" ref="AH29" si="55">SUM(AH5:AH28)</f>
        <v>105648.30007626081</v>
      </c>
      <c r="AI29" s="56">
        <f t="shared" ref="AI29" si="56">SUM(AI5:AI28)</f>
        <v>106921.26007626079</v>
      </c>
      <c r="AJ29" s="56">
        <f t="shared" ref="AJ29" si="57">SUM(AJ5:AJ28)</f>
        <v>0</v>
      </c>
      <c r="AK29" s="56">
        <f t="shared" ref="AK29" si="58">SUM(AK5:AK28)</f>
        <v>108115.8895098158</v>
      </c>
      <c r="AL29" s="56">
        <f t="shared" ref="AL29" si="59">SUM(AL5:AL28)</f>
        <v>0</v>
      </c>
      <c r="AM29" s="56">
        <f t="shared" ref="AM29" si="60">SUM(AM5:AM28)</f>
        <v>184974.45560414786</v>
      </c>
      <c r="AN29" s="56">
        <f t="shared" ref="AN29" si="61">SUM(AN5:AN28)</f>
        <v>769741.95346947561</v>
      </c>
      <c r="AO29" s="56">
        <f t="shared" ref="AO29" si="62">SUM(AO5:AO28)</f>
        <v>1760546.988019936</v>
      </c>
      <c r="AP29" s="56">
        <f t="shared" ref="AP29" si="63">SUM(AP5:AP28)</f>
        <v>440136.747004984</v>
      </c>
      <c r="AQ29" s="56">
        <f t="shared" ref="AQ29" si="64">SUM(AQ5:AQ28)</f>
        <v>880402.50063550705</v>
      </c>
      <c r="AR29" s="56">
        <f t="shared" ref="AR29" si="65">SUM(AR5:AR28)</f>
        <v>891010.50063550693</v>
      </c>
      <c r="AS29" s="56">
        <f t="shared" ref="AS29" si="66">SUM(AS5:AS28)</f>
        <v>2163490</v>
      </c>
      <c r="AT29" s="56">
        <f t="shared" ref="AT29" si="67">SUM(AT5:AT28)</f>
        <v>900965.74591513118</v>
      </c>
      <c r="AU29" s="56">
        <f t="shared" ref="AU29" si="68">SUM(AU5:AU28)</f>
        <v>0</v>
      </c>
      <c r="AV29" s="56">
        <f t="shared" ref="AV29" si="69">SUM(AV5:AV28)</f>
        <v>2197741.9254888562</v>
      </c>
      <c r="AW29" s="56">
        <f t="shared" ref="AW29" si="70">SUM(AW5:AW28)</f>
        <v>9234294.4076999184</v>
      </c>
      <c r="AX29" s="56">
        <f t="shared" ref="AX29" si="71">SUM(AX5:AX28)</f>
        <v>1971812.6265823275</v>
      </c>
      <c r="AY29" s="56">
        <f t="shared" ref="AY29" si="72">SUM(AY5:AY28)</f>
        <v>492953.15664558188</v>
      </c>
      <c r="AZ29" s="56">
        <f t="shared" ref="AZ29" si="73">SUM(AZ5:AZ28)</f>
        <v>986050.80071176763</v>
      </c>
      <c r="BA29" s="56">
        <f t="shared" ref="BA29" si="74">SUM(BA5:BA28)</f>
        <v>997931.76071176748</v>
      </c>
      <c r="BB29" s="56">
        <f t="shared" ref="BB29" si="75">SUM(BB5:BB28)</f>
        <v>2163490</v>
      </c>
      <c r="BC29" s="56">
        <f t="shared" ref="BC29" si="76">SUM(BC5:BC28)</f>
        <v>1009081.6354249472</v>
      </c>
      <c r="BD29" s="56">
        <f t="shared" ref="BD29" si="77">SUM(BD5:BD28)</f>
        <v>0</v>
      </c>
      <c r="BE29" s="56">
        <f t="shared" ref="BE29" si="78">SUM(BE5:BE28)</f>
        <v>2382716.3810930038</v>
      </c>
      <c r="BF29" s="56">
        <f t="shared" ref="BF29" si="79">SUM(BF5:BF28)</f>
        <v>10004036.361169394</v>
      </c>
      <c r="BG29" s="58">
        <f t="shared" ref="BG29" si="80">AO29/F29</f>
        <v>5.8684899600664533</v>
      </c>
      <c r="BH29" s="58">
        <f t="shared" si="29"/>
        <v>5.8684899600664533</v>
      </c>
      <c r="BI29" s="58">
        <f t="shared" si="30"/>
        <v>5.8693500042367139</v>
      </c>
      <c r="BJ29" s="58">
        <f t="shared" si="31"/>
        <v>5.9400700042367127</v>
      </c>
      <c r="BK29" s="58">
        <f t="shared" si="31"/>
        <v>6.1814</v>
      </c>
      <c r="BL29" s="58">
        <f t="shared" si="31"/>
        <v>9.0096574591513114</v>
      </c>
      <c r="BM29" s="58"/>
      <c r="BN29" s="58">
        <f t="shared" ref="BN29" si="81">AV29/M29</f>
        <v>2.9451700186030343</v>
      </c>
      <c r="BO29" s="59">
        <f t="shared" ref="BO29" si="82">AW29/E29</f>
        <v>4.9349083357878367</v>
      </c>
      <c r="BP29" s="58">
        <f>AX29/F29</f>
        <v>6.5727087552744248</v>
      </c>
      <c r="BQ29" s="58">
        <f t="shared" ref="BQ29:BV29" si="83">AY29/G29</f>
        <v>6.5727087552744248</v>
      </c>
      <c r="BR29" s="58">
        <f t="shared" si="83"/>
        <v>6.5736720047451174</v>
      </c>
      <c r="BS29" s="58">
        <f>BA29/I29</f>
        <v>6.6528784047451168</v>
      </c>
      <c r="BT29" s="58">
        <f t="shared" si="83"/>
        <v>6.1814</v>
      </c>
      <c r="BU29" s="58">
        <f t="shared" si="83"/>
        <v>10.090816354249473</v>
      </c>
      <c r="BV29" s="58" t="e">
        <f t="shared" si="83"/>
        <v>#DIV/0!</v>
      </c>
      <c r="BW29" s="58">
        <f t="shared" ref="BW29" si="84">BE29/M29</f>
        <v>3.1930522719898029</v>
      </c>
      <c r="BX29" s="59">
        <f>BF29/E29</f>
        <v>5.3462668884688833</v>
      </c>
    </row>
  </sheetData>
  <mergeCells count="18">
    <mergeCell ref="C3:E3"/>
    <mergeCell ref="F3:L3"/>
    <mergeCell ref="M3:M4"/>
    <mergeCell ref="B3:B4"/>
    <mergeCell ref="N3:U3"/>
    <mergeCell ref="V3:V4"/>
    <mergeCell ref="AE3:AE4"/>
    <mergeCell ref="AN3:AN4"/>
    <mergeCell ref="AF3:AM3"/>
    <mergeCell ref="W3:AD3"/>
    <mergeCell ref="AO3:AV3"/>
    <mergeCell ref="AW3:AW4"/>
    <mergeCell ref="BX3:BX4"/>
    <mergeCell ref="AX3:BE3"/>
    <mergeCell ref="BF3:BF4"/>
    <mergeCell ref="BG3:BN3"/>
    <mergeCell ref="BO3:BO4"/>
    <mergeCell ref="BP3:BW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35D-2A3C-4581-829D-625A0430D4E5}">
  <sheetPr>
    <pageSetUpPr fitToPage="1"/>
  </sheetPr>
  <dimension ref="A1:AA44"/>
  <sheetViews>
    <sheetView showGridLines="0" tabSelected="1" topLeftCell="A9" zoomScale="80" zoomScaleNormal="80" zoomScaleSheetLayoutView="70" workbookViewId="0">
      <selection activeCell="J11" sqref="J11:J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3.44140625" customWidth="1"/>
    <col min="19" max="19" width="11.5546875" customWidth="1"/>
    <col min="20" max="21" width="15.44140625" customWidth="1"/>
    <col min="22" max="23" width="14.44140625" customWidth="1"/>
    <col min="24" max="24" width="0.5546875" customWidth="1"/>
  </cols>
  <sheetData>
    <row r="1" spans="3:23" ht="10.5" customHeight="1" x14ac:dyDescent="0.3"/>
    <row r="2" spans="3:23" ht="21.6" customHeight="1" x14ac:dyDescent="0.3">
      <c r="W2" s="74" t="s">
        <v>158</v>
      </c>
    </row>
    <row r="3" spans="3:23" ht="20.85" customHeight="1" x14ac:dyDescent="0.3">
      <c r="W3" s="73" t="s">
        <v>159</v>
      </c>
    </row>
    <row r="4" spans="3:23" ht="27" customHeight="1" x14ac:dyDescent="0.35">
      <c r="W4" s="61"/>
    </row>
    <row r="5" spans="3:23" ht="23.85" customHeight="1" x14ac:dyDescent="0.3">
      <c r="C5" s="193" t="s">
        <v>160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23" ht="21" customHeight="1" x14ac:dyDescent="0.3">
      <c r="C6" s="202">
        <f>'1. Rates'!C4</f>
        <v>45677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spans="3:23" ht="14.25" customHeight="1" x14ac:dyDescent="0.35">
      <c r="C7" s="61"/>
      <c r="E7" s="194"/>
      <c r="F7" s="194"/>
      <c r="G7" s="194"/>
    </row>
    <row r="8" spans="3:23" ht="4.3499999999999996" customHeight="1" x14ac:dyDescent="0.3"/>
    <row r="9" spans="3:23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166</v>
      </c>
      <c r="T9" s="197" t="s">
        <v>167</v>
      </c>
      <c r="U9" s="199"/>
      <c r="V9" s="197" t="s">
        <v>168</v>
      </c>
      <c r="W9" s="199"/>
    </row>
    <row r="10" spans="3:23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75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/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23" ht="20.85" customHeight="1" x14ac:dyDescent="0.3">
      <c r="C11" s="64">
        <v>1</v>
      </c>
      <c r="D11" s="65">
        <f>'4.Projected'!C5</f>
        <v>67508.866812003762</v>
      </c>
      <c r="E11" s="65">
        <f>'4.Projected'!D5</f>
        <v>5300.2405192682254</v>
      </c>
      <c r="F11" s="65">
        <f>'4.Projected'!E5</f>
        <v>62208.626292735535</v>
      </c>
      <c r="G11" s="80">
        <f>'4.Projected'!F5+'4.Projected'!G5</f>
        <v>12500</v>
      </c>
      <c r="H11" s="80">
        <f>'4.Projected'!H5+'4.Projected'!I5</f>
        <v>10000</v>
      </c>
      <c r="I11" s="80">
        <f>'4.Projected'!J5</f>
        <v>0</v>
      </c>
      <c r="J11" s="80">
        <f>'4.Projected'!K5</f>
        <v>0</v>
      </c>
      <c r="K11" s="80">
        <f>'4.Projected'!L5</f>
        <v>0</v>
      </c>
      <c r="L11" s="65">
        <f>'4.Projected'!M5</f>
        <v>39708.626292735535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>
        <f>'2. Energy'!N10</f>
        <v>2.8307857319047622</v>
      </c>
      <c r="S11" s="77">
        <f>SUM('5. Actual'!AH5:AN5)/SUM('5. Actual'!Q5:V5)</f>
        <v>3.293039964610883</v>
      </c>
      <c r="T11" s="66">
        <f>'4.Projected'!AW5</f>
        <v>282468.29362107505</v>
      </c>
      <c r="U11" s="66">
        <f>'4.Projected'!BF5</f>
        <v>312336.47493723326</v>
      </c>
      <c r="V11" s="77">
        <f>T11/F11</f>
        <v>4.5406611663768652</v>
      </c>
      <c r="W11" s="77">
        <f>U11/F11</f>
        <v>5.0207904200853024</v>
      </c>
    </row>
    <row r="12" spans="3:23" ht="19.350000000000001" customHeight="1" x14ac:dyDescent="0.3">
      <c r="C12" s="64">
        <v>2</v>
      </c>
      <c r="D12" s="65">
        <f>'4.Projected'!C6</f>
        <v>64036.845991138456</v>
      </c>
      <c r="E12" s="65">
        <f>'4.Projected'!D6</f>
        <v>5231.7440848701544</v>
      </c>
      <c r="F12" s="65">
        <f>'4.Projected'!E6</f>
        <v>58805.101906268304</v>
      </c>
      <c r="G12" s="80">
        <f>'4.Projected'!F6+'4.Projected'!G6</f>
        <v>12500</v>
      </c>
      <c r="H12" s="80">
        <f>'4.Projected'!H6+'4.Projected'!I6</f>
        <v>10000</v>
      </c>
      <c r="I12" s="80">
        <f>'4.Projected'!J6</f>
        <v>0</v>
      </c>
      <c r="J12" s="80">
        <f>'4.Projected'!K6</f>
        <v>0</v>
      </c>
      <c r="K12" s="80">
        <f>'4.Projected'!L6</f>
        <v>0</v>
      </c>
      <c r="L12" s="65">
        <f>'4.Projected'!M6</f>
        <v>36305.101906268304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>
        <f>'2. Energy'!N11</f>
        <v>2.1515253821428573</v>
      </c>
      <c r="S12" s="77">
        <f>SUM('5. Actual'!AH6:AN6)/SUM('5. Actual'!Q6:V6)</f>
        <v>3.293039964610883</v>
      </c>
      <c r="T12" s="66">
        <f>'4.Projected'!AW6</f>
        <v>248173.02913068031</v>
      </c>
      <c r="U12" s="66">
        <f>'4.Projected'!BF6</f>
        <v>275154.72600326582</v>
      </c>
      <c r="V12" s="77">
        <f t="shared" ref="V12:V34" si="0">T12/F12</f>
        <v>4.2202635670328874</v>
      </c>
      <c r="W12" s="77">
        <f t="shared" ref="W12:W34" si="1">U12/F12</f>
        <v>4.6790961512462887</v>
      </c>
    </row>
    <row r="13" spans="3:23" ht="19.350000000000001" customHeight="1" x14ac:dyDescent="0.3">
      <c r="C13" s="64">
        <v>3</v>
      </c>
      <c r="D13" s="65">
        <f>'4.Projected'!C7</f>
        <v>61458.756275403626</v>
      </c>
      <c r="E13" s="65">
        <f>'4.Projected'!D7</f>
        <v>5172.9645141120864</v>
      </c>
      <c r="F13" s="65">
        <f>'4.Projected'!E7</f>
        <v>56285.791761291541</v>
      </c>
      <c r="G13" s="80">
        <f>'4.Projected'!F7+'4.Projected'!G7</f>
        <v>12500</v>
      </c>
      <c r="H13" s="80">
        <f>'4.Projected'!H7+'4.Projected'!I7</f>
        <v>10000</v>
      </c>
      <c r="I13" s="80">
        <f>'4.Projected'!J7</f>
        <v>0</v>
      </c>
      <c r="J13" s="80">
        <f>'4.Projected'!K7</f>
        <v>0</v>
      </c>
      <c r="K13" s="80">
        <f>'4.Projected'!L7</f>
        <v>0</v>
      </c>
      <c r="L13" s="65">
        <f>'4.Projected'!M7</f>
        <v>33785.791761291541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>
        <f>'2. Energy'!N12</f>
        <v>1.0881953983333335</v>
      </c>
      <c r="S13" s="77">
        <f>SUM('5. Actual'!AH7:AN7)/SUM('5. Actual'!Q7:V7)</f>
        <v>3.293039964610883</v>
      </c>
      <c r="T13" s="66">
        <f>'4.Projected'!AW7</f>
        <v>206827.22400174671</v>
      </c>
      <c r="U13" s="66">
        <f>'4.Projected'!BF7</f>
        <v>230329.02284511371</v>
      </c>
      <c r="V13" s="77">
        <f t="shared" si="0"/>
        <v>3.6745902923228386</v>
      </c>
      <c r="W13" s="77">
        <f t="shared" si="1"/>
        <v>4.0921343670875379</v>
      </c>
    </row>
    <row r="14" spans="3:23" ht="19.350000000000001" customHeight="1" x14ac:dyDescent="0.3">
      <c r="C14" s="64">
        <v>4</v>
      </c>
      <c r="D14" s="65">
        <f>'4.Projected'!C8</f>
        <v>59778.96047892818</v>
      </c>
      <c r="E14" s="65">
        <f>'4.Projected'!D8</f>
        <v>5075.9463236804486</v>
      </c>
      <c r="F14" s="65">
        <f>'4.Projected'!E8</f>
        <v>54703.014155247729</v>
      </c>
      <c r="G14" s="80">
        <f>'4.Projected'!F8+'4.Projected'!G8</f>
        <v>12500</v>
      </c>
      <c r="H14" s="80">
        <f>'4.Projected'!H8+'4.Projected'!I8</f>
        <v>10000</v>
      </c>
      <c r="I14" s="80">
        <f>'4.Projected'!J8</f>
        <v>0</v>
      </c>
      <c r="J14" s="80">
        <f>'4.Projected'!K8</f>
        <v>0</v>
      </c>
      <c r="K14" s="80">
        <f>'4.Projected'!L8</f>
        <v>0</v>
      </c>
      <c r="L14" s="65">
        <f>'4.Projected'!M8</f>
        <v>32203.014155247729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>
        <f>'2. Energy'!N13</f>
        <v>1.1612468554761903</v>
      </c>
      <c r="S14" s="77">
        <f>SUM('5. Actual'!AH8:AN8)/SUM('5. Actual'!Q8:V8)</f>
        <v>3.293039964610883</v>
      </c>
      <c r="T14" s="66">
        <f>'4.Projected'!AW8</f>
        <v>207457.3298026977</v>
      </c>
      <c r="U14" s="66">
        <f>'4.Projected'!BF8</f>
        <v>231012.16193270864</v>
      </c>
      <c r="V14" s="77">
        <f t="shared" si="0"/>
        <v>3.7924295947190703</v>
      </c>
      <c r="W14" s="77">
        <f t="shared" si="1"/>
        <v>4.2230243707795276</v>
      </c>
    </row>
    <row r="15" spans="3:23" ht="19.350000000000001" customHeight="1" x14ac:dyDescent="0.3">
      <c r="C15" s="64">
        <v>5</v>
      </c>
      <c r="D15" s="65">
        <f>'4.Projected'!C9</f>
        <v>59738.436628100244</v>
      </c>
      <c r="E15" s="65">
        <f>'4.Projected'!D9</f>
        <v>5154.3237133020193</v>
      </c>
      <c r="F15" s="65">
        <f>'4.Projected'!E9</f>
        <v>54584.112914798228</v>
      </c>
      <c r="G15" s="80">
        <f>'4.Projected'!F9+'4.Projected'!G9</f>
        <v>12500</v>
      </c>
      <c r="H15" s="80">
        <f>'4.Projected'!H9+'4.Projected'!I9</f>
        <v>10000</v>
      </c>
      <c r="I15" s="80">
        <f>'4.Projected'!J9</f>
        <v>0</v>
      </c>
      <c r="J15" s="80">
        <f>'4.Projected'!K9</f>
        <v>0</v>
      </c>
      <c r="K15" s="80">
        <f>'4.Projected'!L9</f>
        <v>0</v>
      </c>
      <c r="L15" s="65">
        <f>'4.Projected'!M9</f>
        <v>32084.112914798228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>
        <f>'2. Energy'!N14</f>
        <v>2.2224229392857144</v>
      </c>
      <c r="S15" s="77">
        <f>SUM('5. Actual'!AH9:AN9)/SUM('5. Actual'!Q9:V9)</f>
        <v>3.293039964610883</v>
      </c>
      <c r="T15" s="66">
        <f>'4.Projected'!AW9</f>
        <v>241366.14940654166</v>
      </c>
      <c r="U15" s="66">
        <f>'4.Projected'!BF9</f>
        <v>267774.94058135955</v>
      </c>
      <c r="V15" s="77">
        <f t="shared" si="0"/>
        <v>4.4219121007480036</v>
      </c>
      <c r="W15" s="77">
        <f t="shared" si="1"/>
        <v>4.9057303724865235</v>
      </c>
    </row>
    <row r="16" spans="3:23" ht="19.350000000000001" customHeight="1" x14ac:dyDescent="0.3">
      <c r="C16" s="64">
        <v>6</v>
      </c>
      <c r="D16" s="65">
        <f>'4.Projected'!C10</f>
        <v>62428.256664066801</v>
      </c>
      <c r="E16" s="65">
        <f>'4.Projected'!D10</f>
        <v>5316.2001736245902</v>
      </c>
      <c r="F16" s="65">
        <f>'4.Projected'!E10</f>
        <v>57112.056490442214</v>
      </c>
      <c r="G16" s="80">
        <f>'4.Projected'!F10+'4.Projected'!G10</f>
        <v>12500</v>
      </c>
      <c r="H16" s="80">
        <f>'4.Projected'!H10+'4.Projected'!I10</f>
        <v>10000</v>
      </c>
      <c r="I16" s="80">
        <f>'4.Projected'!J10</f>
        <v>10000</v>
      </c>
      <c r="J16" s="80">
        <f>'4.Projected'!K10</f>
        <v>0</v>
      </c>
      <c r="K16" s="80">
        <f>'4.Projected'!L10</f>
        <v>0</v>
      </c>
      <c r="L16" s="65">
        <f>'4.Projected'!M10</f>
        <v>24612.056490442214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>
        <f>'2. Energy'!N15</f>
        <v>2.7972217783333337</v>
      </c>
      <c r="S16" s="77">
        <f>SUM('5. Actual'!AH10:AN10)/SUM('5. Actual'!Q10:V10)</f>
        <v>4.1817661293459958</v>
      </c>
      <c r="T16" s="66">
        <f>'4.Projected'!AW10</f>
        <v>300721.06130269624</v>
      </c>
      <c r="U16" s="66">
        <f>'4.Projected'!BF10</f>
        <v>326922.8816416685</v>
      </c>
      <c r="V16" s="77">
        <f t="shared" si="0"/>
        <v>5.2654567140831698</v>
      </c>
      <c r="W16" s="77">
        <f t="shared" si="1"/>
        <v>5.7242358572113323</v>
      </c>
    </row>
    <row r="17" spans="3:23" ht="19.350000000000001" customHeight="1" x14ac:dyDescent="0.3">
      <c r="C17" s="64">
        <v>7</v>
      </c>
      <c r="D17" s="65">
        <f>'4.Projected'!C11</f>
        <v>65280.837737812115</v>
      </c>
      <c r="E17" s="65">
        <f>'4.Projected'!D11</f>
        <v>6026.9370229463693</v>
      </c>
      <c r="F17" s="65">
        <f>'4.Projected'!E11</f>
        <v>59253.900714865747</v>
      </c>
      <c r="G17" s="80">
        <f>'4.Projected'!F11+'4.Projected'!G11</f>
        <v>12500</v>
      </c>
      <c r="H17" s="80">
        <f>'4.Projected'!H11+'4.Projected'!I11</f>
        <v>10000</v>
      </c>
      <c r="I17" s="80">
        <f>'4.Projected'!J11</f>
        <v>10000</v>
      </c>
      <c r="J17" s="80">
        <f>'4.Projected'!K11</f>
        <v>0</v>
      </c>
      <c r="K17" s="80">
        <f>'4.Projected'!L11</f>
        <v>0</v>
      </c>
      <c r="L17" s="65">
        <f>'4.Projected'!M11</f>
        <v>26753.900714865747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>
        <f>'2. Energy'!N16</f>
        <v>2.8223892276190474</v>
      </c>
      <c r="S17" s="77">
        <f>SUM('5. Actual'!AH11:AN11)/SUM('5. Actual'!Q11:V11)</f>
        <v>4.1817661293459958</v>
      </c>
      <c r="T17" s="66">
        <f>'4.Projected'!AW11</f>
        <v>307385.60205248767</v>
      </c>
      <c r="U17" s="66">
        <f>'4.Projected'!BF11</f>
        <v>334148.34803188511</v>
      </c>
      <c r="V17" s="77">
        <f t="shared" si="0"/>
        <v>5.1876011257326402</v>
      </c>
      <c r="W17" s="77">
        <f t="shared" si="1"/>
        <v>5.6392633058848265</v>
      </c>
    </row>
    <row r="18" spans="3:23" ht="19.350000000000001" customHeight="1" x14ac:dyDescent="0.3">
      <c r="C18" s="64">
        <v>8</v>
      </c>
      <c r="D18" s="65">
        <f>'4.Projected'!C12</f>
        <v>71789.233350535622</v>
      </c>
      <c r="E18" s="65">
        <f>'4.Projected'!D12</f>
        <v>7195.7318263237594</v>
      </c>
      <c r="F18" s="65">
        <f>'4.Projected'!E12</f>
        <v>64593.501524211861</v>
      </c>
      <c r="G18" s="80">
        <f>'4.Projected'!F12+'4.Projected'!G12</f>
        <v>12500</v>
      </c>
      <c r="H18" s="80">
        <f>'4.Projected'!H12+'4.Projected'!I12</f>
        <v>10000</v>
      </c>
      <c r="I18" s="80">
        <f>'4.Projected'!J12</f>
        <v>10000</v>
      </c>
      <c r="J18" s="80">
        <f>'4.Projected'!K12</f>
        <v>0</v>
      </c>
      <c r="K18" s="80">
        <f>'4.Projected'!L12</f>
        <v>0</v>
      </c>
      <c r="L18" s="65">
        <f>'4.Projected'!M12</f>
        <v>32093.501524211861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>
        <f>'2. Energy'!N17</f>
        <v>2.4495059886666666</v>
      </c>
      <c r="S18" s="77">
        <f>SUM('5. Actual'!AH12:AN12)/SUM('5. Actual'!Q12:V12)</f>
        <v>4.1817661293459958</v>
      </c>
      <c r="T18" s="66">
        <f>'4.Projected'!AW12</f>
        <v>310488.90505890077</v>
      </c>
      <c r="U18" s="66">
        <f>'4.Projected'!BF12</f>
        <v>337512.84266299655</v>
      </c>
      <c r="V18" s="77">
        <f t="shared" si="0"/>
        <v>4.806813343947903</v>
      </c>
      <c r="W18" s="77">
        <f t="shared" si="1"/>
        <v>5.2251826375519395</v>
      </c>
    </row>
    <row r="19" spans="3:23" ht="19.350000000000001" customHeight="1" x14ac:dyDescent="0.3">
      <c r="C19" s="64">
        <v>9</v>
      </c>
      <c r="D19" s="65">
        <f>'4.Projected'!C13</f>
        <v>87389.614149444242</v>
      </c>
      <c r="E19" s="65">
        <f>'4.Projected'!D13</f>
        <v>8933.1253605043021</v>
      </c>
      <c r="F19" s="65">
        <f>'4.Projected'!E13</f>
        <v>78456.48878893994</v>
      </c>
      <c r="G19" s="80">
        <f>'4.Projected'!F13+'4.Projected'!G13</f>
        <v>12500</v>
      </c>
      <c r="H19" s="80">
        <f>'4.Projected'!H13+'4.Projected'!I13</f>
        <v>10000</v>
      </c>
      <c r="I19" s="80">
        <f>'4.Projected'!J13</f>
        <v>20000</v>
      </c>
      <c r="J19" s="80">
        <f>'4.Projected'!K13</f>
        <v>0</v>
      </c>
      <c r="K19" s="80">
        <f>'4.Projected'!L13</f>
        <v>0</v>
      </c>
      <c r="L19" s="65">
        <f>'4.Projected'!M13</f>
        <v>35956.48878893994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>
        <f>'2. Energy'!N18</f>
        <v>3.1170035086666665</v>
      </c>
      <c r="S19" s="77">
        <f>SUM('5. Actual'!AH13:AN13)/SUM('5. Actual'!Q13:V13)</f>
        <v>4.6522682165587028</v>
      </c>
      <c r="T19" s="66">
        <f>'4.Projected'!AW13</f>
        <v>405766.18259252043</v>
      </c>
      <c r="U19" s="66">
        <f>'4.Projected'!BF13</f>
        <v>435606.57988768531</v>
      </c>
      <c r="V19" s="77">
        <f t="shared" si="0"/>
        <v>5.1718626318352596</v>
      </c>
      <c r="W19" s="77">
        <f t="shared" si="1"/>
        <v>5.5522058992409695</v>
      </c>
    </row>
    <row r="20" spans="3:23" ht="19.350000000000001" customHeight="1" x14ac:dyDescent="0.3">
      <c r="C20" s="64">
        <v>10</v>
      </c>
      <c r="D20" s="65">
        <f>'4.Projected'!C14</f>
        <v>101103.64044798797</v>
      </c>
      <c r="E20" s="65">
        <f>'4.Projected'!D14</f>
        <v>14753.131298959213</v>
      </c>
      <c r="F20" s="65">
        <f>'4.Projected'!E14</f>
        <v>86350.50914902876</v>
      </c>
      <c r="G20" s="80">
        <f>'4.Projected'!F14+'4.Projected'!G14</f>
        <v>12500</v>
      </c>
      <c r="H20" s="80">
        <f>'4.Projected'!H14+'4.Projected'!I14</f>
        <v>10000</v>
      </c>
      <c r="I20" s="80">
        <f>'4.Projected'!J14</f>
        <v>20000</v>
      </c>
      <c r="J20" s="80">
        <f>'4.Projected'!K14</f>
        <v>0</v>
      </c>
      <c r="K20" s="80">
        <f>'4.Projected'!L14</f>
        <v>0</v>
      </c>
      <c r="L20" s="65">
        <f>'4.Projected'!M14</f>
        <v>43850.50914902876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>
        <f>'2. Energy'!N19</f>
        <v>2.9711063429999998</v>
      </c>
      <c r="S20" s="77">
        <f>SUM('5. Actual'!AH14:AN14)/SUM('5. Actual'!Q14:V14)</f>
        <v>4.6522682165587028</v>
      </c>
      <c r="T20" s="66">
        <f>'4.Projected'!AW14</f>
        <v>423974.20675451984</v>
      </c>
      <c r="U20" s="66">
        <f>'4.Projected'!BF14</f>
        <v>455347.09488399589</v>
      </c>
      <c r="V20" s="77">
        <f t="shared" si="0"/>
        <v>4.9099213303166556</v>
      </c>
      <c r="W20" s="77">
        <f t="shared" si="1"/>
        <v>5.2732415751959403</v>
      </c>
    </row>
    <row r="21" spans="3:23" ht="19.350000000000001" customHeight="1" x14ac:dyDescent="0.3">
      <c r="C21" s="64">
        <v>11</v>
      </c>
      <c r="D21" s="65">
        <f>'4.Projected'!C15</f>
        <v>107959.72341133133</v>
      </c>
      <c r="E21" s="65">
        <f>'4.Projected'!D15</f>
        <v>15709.748416936136</v>
      </c>
      <c r="F21" s="65">
        <f>'4.Projected'!E15</f>
        <v>92249.97499439519</v>
      </c>
      <c r="G21" s="80">
        <f>'4.Projected'!F15+'4.Projected'!G15</f>
        <v>12500</v>
      </c>
      <c r="H21" s="80">
        <f>'4.Projected'!H15+'4.Projected'!I15</f>
        <v>10000</v>
      </c>
      <c r="I21" s="80">
        <f>'4.Projected'!J15</f>
        <v>20000</v>
      </c>
      <c r="J21" s="80">
        <f>'4.Projected'!K15</f>
        <v>0</v>
      </c>
      <c r="K21" s="80">
        <f>'4.Projected'!L15</f>
        <v>0</v>
      </c>
      <c r="L21" s="65">
        <f>'4.Projected'!M15</f>
        <v>49749.97499439519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>
        <f>'2. Energy'!N20</f>
        <v>3.0793276533333334</v>
      </c>
      <c r="S21" s="77">
        <f>SUM('5. Actual'!AH15:AN15)/SUM('5. Actual'!Q15:V15)</f>
        <v>4.6522682165587028</v>
      </c>
      <c r="T21" s="66">
        <f>'4.Projected'!AW15</f>
        <v>446886.1546309439</v>
      </c>
      <c r="U21" s="66">
        <f>'4.Projected'!BF15</f>
        <v>480187.44255846698</v>
      </c>
      <c r="V21" s="77">
        <f t="shared" si="0"/>
        <v>4.844295672254602</v>
      </c>
      <c r="W21" s="77">
        <f t="shared" si="1"/>
        <v>5.2052853411357738</v>
      </c>
    </row>
    <row r="22" spans="3:23" ht="19.350000000000001" customHeight="1" x14ac:dyDescent="0.3">
      <c r="C22" s="64">
        <v>12</v>
      </c>
      <c r="D22" s="65">
        <f>'4.Projected'!C16</f>
        <v>110080.97931230487</v>
      </c>
      <c r="E22" s="65">
        <f>'4.Projected'!D16</f>
        <v>15288.482675606536</v>
      </c>
      <c r="F22" s="65">
        <f>'4.Projected'!E16</f>
        <v>94792.496636698343</v>
      </c>
      <c r="G22" s="80">
        <f>'4.Projected'!F16+'4.Projected'!G16</f>
        <v>12500</v>
      </c>
      <c r="H22" s="80">
        <f>'4.Projected'!H16+'4.Projected'!I16</f>
        <v>10000</v>
      </c>
      <c r="I22" s="80">
        <f>'4.Projected'!J16</f>
        <v>20000</v>
      </c>
      <c r="J22" s="80">
        <f>'4.Projected'!K16</f>
        <v>0</v>
      </c>
      <c r="K22" s="80">
        <f>'4.Projected'!L16</f>
        <v>0</v>
      </c>
      <c r="L22" s="65">
        <f>'4.Projected'!M16</f>
        <v>52292.496636698343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>
        <f>'2. Energy'!N21</f>
        <v>2.7918443083333337</v>
      </c>
      <c r="S22" s="77">
        <f>SUM('5. Actual'!AH16:AN16)/SUM('5. Actual'!Q16:V16)</f>
        <v>4.6522682165587028</v>
      </c>
      <c r="T22" s="66">
        <f>'4.Projected'!AW16</f>
        <v>439682.18998176721</v>
      </c>
      <c r="U22" s="66">
        <f>'4.Projected'!BF16</f>
        <v>472377.15128662437</v>
      </c>
      <c r="V22" s="77">
        <f t="shared" si="0"/>
        <v>4.6383649084261691</v>
      </c>
      <c r="W22" s="77">
        <f t="shared" si="1"/>
        <v>4.9832757659823725</v>
      </c>
    </row>
    <row r="23" spans="3:23" ht="19.350000000000001" customHeight="1" x14ac:dyDescent="0.3">
      <c r="C23" s="64">
        <v>13</v>
      </c>
      <c r="D23" s="65">
        <f>'4.Projected'!C17</f>
        <v>108883.67686633125</v>
      </c>
      <c r="E23" s="65">
        <f>'4.Projected'!D17</f>
        <v>15654.785977517513</v>
      </c>
      <c r="F23" s="65">
        <f>'4.Projected'!E17</f>
        <v>93228.890888813738</v>
      </c>
      <c r="G23" s="80">
        <f>'4.Projected'!F17+'4.Projected'!G17</f>
        <v>12500</v>
      </c>
      <c r="H23" s="80">
        <f>'4.Projected'!H17+'4.Projected'!I17</f>
        <v>10000</v>
      </c>
      <c r="I23" s="80">
        <f>'4.Projected'!J17</f>
        <v>20000</v>
      </c>
      <c r="J23" s="80">
        <f>'4.Projected'!K17</f>
        <v>0</v>
      </c>
      <c r="K23" s="80">
        <f>'4.Projected'!L17</f>
        <v>0</v>
      </c>
      <c r="L23" s="65">
        <f>'4.Projected'!M17</f>
        <v>50728.890888813738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>
        <f>'2. Energy'!N22</f>
        <v>2.9954505513333332</v>
      </c>
      <c r="S23" s="77">
        <f>SUM('5. Actual'!AH17:AN17)/SUM('5. Actual'!Q17:V17)</f>
        <v>4.6522682165587028</v>
      </c>
      <c r="T23" s="66">
        <f>'4.Projected'!AW17</f>
        <v>445645.5650594866</v>
      </c>
      <c r="U23" s="66">
        <f>'4.Projected'!BF17</f>
        <v>478842.43791536405</v>
      </c>
      <c r="V23" s="77">
        <f t="shared" si="0"/>
        <v>4.7801229941796759</v>
      </c>
      <c r="W23" s="77">
        <f t="shared" si="1"/>
        <v>5.1362022367770006</v>
      </c>
    </row>
    <row r="24" spans="3:23" ht="19.350000000000001" customHeight="1" x14ac:dyDescent="0.3">
      <c r="C24" s="64">
        <v>14</v>
      </c>
      <c r="D24" s="65">
        <f>'4.Projected'!C18</f>
        <v>112615.29510001036</v>
      </c>
      <c r="E24" s="65">
        <f>'4.Projected'!D18</f>
        <v>15297.693443735659</v>
      </c>
      <c r="F24" s="65">
        <f>'4.Projected'!E18</f>
        <v>97317.60165627471</v>
      </c>
      <c r="G24" s="80">
        <f>'4.Projected'!F18+'4.Projected'!G18</f>
        <v>12500</v>
      </c>
      <c r="H24" s="80">
        <f>'4.Projected'!H18+'4.Projected'!I18</f>
        <v>10000</v>
      </c>
      <c r="I24" s="80">
        <f>'4.Projected'!J18</f>
        <v>20000</v>
      </c>
      <c r="J24" s="80">
        <f>'4.Projected'!K18</f>
        <v>10000</v>
      </c>
      <c r="K24" s="80">
        <f>'4.Projected'!L18</f>
        <v>0</v>
      </c>
      <c r="L24" s="65">
        <f>'4.Projected'!M18</f>
        <v>44817.60165627471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>
        <f>'2. Energy'!N23</f>
        <v>3.5249936367272725</v>
      </c>
      <c r="S24" s="77">
        <f>SUM('5. Actual'!AH18:AN18)/SUM('5. Actual'!Q18:V18)</f>
        <v>4.4271156913382477</v>
      </c>
      <c r="T24" s="66">
        <f>'4.Projected'!AW18</f>
        <v>486373.61612132011</v>
      </c>
      <c r="U24" s="66">
        <f>'4.Projected'!BF18</f>
        <v>524241.92195174936</v>
      </c>
      <c r="V24" s="77">
        <f t="shared" si="0"/>
        <v>4.9977969847550225</v>
      </c>
      <c r="W24" s="77">
        <f t="shared" si="1"/>
        <v>5.3869178137308529</v>
      </c>
    </row>
    <row r="25" spans="3:23" ht="19.350000000000001" customHeight="1" x14ac:dyDescent="0.3">
      <c r="C25" s="64">
        <v>15</v>
      </c>
      <c r="D25" s="65">
        <f>'4.Projected'!C19</f>
        <v>114599.84277688684</v>
      </c>
      <c r="E25" s="65">
        <f>'4.Projected'!D19</f>
        <v>15177.952556930688</v>
      </c>
      <c r="F25" s="65">
        <f>'4.Projected'!E19</f>
        <v>99421.890219956156</v>
      </c>
      <c r="G25" s="80">
        <f>'4.Projected'!F19+'4.Projected'!G19</f>
        <v>12500</v>
      </c>
      <c r="H25" s="80">
        <f>'4.Projected'!H19+'4.Projected'!I19</f>
        <v>10000</v>
      </c>
      <c r="I25" s="80">
        <f>'4.Projected'!J19</f>
        <v>20000</v>
      </c>
      <c r="J25" s="80">
        <f>'4.Projected'!K19</f>
        <v>10000</v>
      </c>
      <c r="K25" s="80">
        <f>'4.Projected'!L19</f>
        <v>0</v>
      </c>
      <c r="L25" s="65">
        <f>'4.Projected'!M19</f>
        <v>46921.890219956156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>
        <f>'2. Energy'!N24</f>
        <v>3.3787969903333339</v>
      </c>
      <c r="S25" s="77">
        <f>SUM('5. Actual'!AH19:AN19)/SUM('5. Actual'!Q19:V19)</f>
        <v>4.4271156913382477</v>
      </c>
      <c r="T25" s="66">
        <f>'4.Projected'!AW19</f>
        <v>486931.39692551305</v>
      </c>
      <c r="U25" s="66">
        <f>'4.Projected'!BF19</f>
        <v>524846.64875965891</v>
      </c>
      <c r="V25" s="77">
        <f t="shared" si="0"/>
        <v>4.8976276335950732</v>
      </c>
      <c r="W25" s="77">
        <f t="shared" si="1"/>
        <v>5.2789848150997098</v>
      </c>
    </row>
    <row r="26" spans="3:23" ht="19.350000000000001" customHeight="1" x14ac:dyDescent="0.3">
      <c r="C26" s="64">
        <v>16</v>
      </c>
      <c r="D26" s="65">
        <f>'4.Projected'!C20</f>
        <v>114794.61188381146</v>
      </c>
      <c r="E26" s="65">
        <f>'4.Projected'!D20</f>
        <v>15377.067202970291</v>
      </c>
      <c r="F26" s="65">
        <f>'4.Projected'!E20</f>
        <v>99417.54468084118</v>
      </c>
      <c r="G26" s="80">
        <f>'4.Projected'!F20+'4.Projected'!G20</f>
        <v>12500</v>
      </c>
      <c r="H26" s="80">
        <f>'4.Projected'!H20+'4.Projected'!I20</f>
        <v>10000</v>
      </c>
      <c r="I26" s="80">
        <f>'4.Projected'!J20</f>
        <v>20000</v>
      </c>
      <c r="J26" s="80">
        <f>'4.Projected'!K20</f>
        <v>10000</v>
      </c>
      <c r="K26" s="80">
        <f>'4.Projected'!L20</f>
        <v>0</v>
      </c>
      <c r="L26" s="65">
        <f>'4.Projected'!M20</f>
        <v>46917.54468084118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>
        <f>'2. Energy'!N25</f>
        <v>3.361733596333333</v>
      </c>
      <c r="S26" s="77">
        <f>SUM('5. Actual'!AH20:AN20)/SUM('5. Actual'!Q20:V20)</f>
        <v>4.4271156913382477</v>
      </c>
      <c r="T26" s="66">
        <f>'4.Projected'!AW20</f>
        <v>486116.14168062818</v>
      </c>
      <c r="U26" s="66">
        <f>'4.Projected'!BF20</f>
        <v>523962.7769982703</v>
      </c>
      <c r="V26" s="77">
        <f t="shared" si="0"/>
        <v>4.8896413931887004</v>
      </c>
      <c r="W26" s="77">
        <f t="shared" si="1"/>
        <v>5.2703250586236168</v>
      </c>
    </row>
    <row r="27" spans="3:23" ht="19.350000000000001" customHeight="1" x14ac:dyDescent="0.3">
      <c r="C27" s="64">
        <v>17</v>
      </c>
      <c r="D27" s="65">
        <f>'4.Projected'!C21</f>
        <v>111306.86108096261</v>
      </c>
      <c r="E27" s="65">
        <f>'4.Projected'!D21</f>
        <v>15674.896709376819</v>
      </c>
      <c r="F27" s="65">
        <f>'4.Projected'!E21</f>
        <v>95631.964371585796</v>
      </c>
      <c r="G27" s="80">
        <f>'4.Projected'!F21+'4.Projected'!G21</f>
        <v>25000</v>
      </c>
      <c r="H27" s="80">
        <f>'4.Projected'!H21+'4.Projected'!I21</f>
        <v>20000</v>
      </c>
      <c r="I27" s="80">
        <f>'4.Projected'!J21</f>
        <v>20000</v>
      </c>
      <c r="J27" s="80">
        <f>'4.Projected'!K21</f>
        <v>10000</v>
      </c>
      <c r="K27" s="80">
        <f>'4.Projected'!L21</f>
        <v>0</v>
      </c>
      <c r="L27" s="65">
        <f>'4.Projected'!M21</f>
        <v>20631.964371585796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>
        <f>'2. Energy'!N26</f>
        <v>4.2792219193333336</v>
      </c>
      <c r="S27" s="77">
        <f>SUM('5. Actual'!AH21:AN21)/SUM('5. Actual'!Q21:V21)</f>
        <v>4.0868929733200376</v>
      </c>
      <c r="T27" s="66">
        <f>'4.Projected'!AW21</f>
        <v>490774.00885111332</v>
      </c>
      <c r="U27" s="66">
        <f>'4.Projected'!BF21</f>
        <v>531667.76292493974</v>
      </c>
      <c r="V27" s="77">
        <f t="shared" si="0"/>
        <v>5.1319034600624835</v>
      </c>
      <c r="W27" s="77">
        <f t="shared" si="1"/>
        <v>5.5595194182052072</v>
      </c>
    </row>
    <row r="28" spans="3:23" ht="19.350000000000001" customHeight="1" x14ac:dyDescent="0.3">
      <c r="C28" s="64">
        <v>18</v>
      </c>
      <c r="D28" s="65">
        <f>'4.Projected'!C22</f>
        <v>103333.0386300043</v>
      </c>
      <c r="E28" s="65">
        <f>'4.Projected'!D22</f>
        <v>15609.913856532707</v>
      </c>
      <c r="F28" s="65">
        <f>'4.Projected'!E22</f>
        <v>87723.124773471602</v>
      </c>
      <c r="G28" s="80">
        <f>'4.Projected'!F22+'4.Projected'!G22</f>
        <v>25000</v>
      </c>
      <c r="H28" s="80">
        <f>'4.Projected'!H22+'4.Projected'!I22</f>
        <v>20000</v>
      </c>
      <c r="I28" s="80">
        <f>'4.Projected'!J22</f>
        <v>20000</v>
      </c>
      <c r="J28" s="80">
        <f>'4.Projected'!K22</f>
        <v>10000</v>
      </c>
      <c r="K28" s="80">
        <f>'4.Projected'!L22</f>
        <v>0</v>
      </c>
      <c r="L28" s="65">
        <f>'4.Projected'!M22</f>
        <v>12723.124773471602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>
        <f>'2. Energy'!N27</f>
        <v>7.6612190760000001</v>
      </c>
      <c r="S28" s="77">
        <f>SUM('5. Actual'!AH22:AN22)/SUM('5. Actual'!Q22:V22)</f>
        <v>4.0868929733200376</v>
      </c>
      <c r="T28" s="66">
        <f>'4.Projected'!AW22</f>
        <v>499959.90089416783</v>
      </c>
      <c r="U28" s="66">
        <f>'4.Projected'!BF22</f>
        <v>541626.79186828085</v>
      </c>
      <c r="V28" s="77">
        <f t="shared" si="0"/>
        <v>5.6992942531997102</v>
      </c>
      <c r="W28" s="77">
        <f t="shared" si="1"/>
        <v>6.1742760904485534</v>
      </c>
    </row>
    <row r="29" spans="3:23" ht="19.350000000000001" customHeight="1" x14ac:dyDescent="0.3">
      <c r="C29" s="64">
        <v>19</v>
      </c>
      <c r="D29" s="65">
        <f>'4.Projected'!C23</f>
        <v>102689.44155137496</v>
      </c>
      <c r="E29" s="65">
        <f>'4.Projected'!D23</f>
        <v>14847.048679867985</v>
      </c>
      <c r="F29" s="65">
        <f>'4.Projected'!E23</f>
        <v>87842.392871506978</v>
      </c>
      <c r="G29" s="80">
        <f>'4.Projected'!F23+'4.Projected'!G23</f>
        <v>25000</v>
      </c>
      <c r="H29" s="80">
        <f>'4.Projected'!H23+'4.Projected'!I23</f>
        <v>20000</v>
      </c>
      <c r="I29" s="80">
        <f>'4.Projected'!J23</f>
        <v>20000</v>
      </c>
      <c r="J29" s="80">
        <f>'4.Projected'!K23</f>
        <v>10000</v>
      </c>
      <c r="K29" s="80">
        <f>'4.Projected'!L23</f>
        <v>0</v>
      </c>
      <c r="L29" s="65">
        <f>'4.Projected'!M23</f>
        <v>12842.392871506978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>
        <f>'2. Energy'!N28</f>
        <v>4.0099177849999998</v>
      </c>
      <c r="S29" s="77">
        <f>SUM('5. Actual'!AH23:AN23)/SUM('5. Actual'!Q23:V23)</f>
        <v>4.0868929733200376</v>
      </c>
      <c r="T29" s="66">
        <f>'4.Projected'!AW23</f>
        <v>453982.19425073202</v>
      </c>
      <c r="U29" s="66">
        <f>'4.Projected'!BF23</f>
        <v>491779.34002971492</v>
      </c>
      <c r="V29" s="77">
        <f t="shared" si="0"/>
        <v>5.1681446669468869</v>
      </c>
      <c r="W29" s="77">
        <f t="shared" si="1"/>
        <v>5.5984283209255681</v>
      </c>
    </row>
    <row r="30" spans="3:23" ht="19.350000000000001" customHeight="1" x14ac:dyDescent="0.3">
      <c r="C30" s="64">
        <v>20</v>
      </c>
      <c r="D30" s="65">
        <f>'4.Projected'!C24</f>
        <v>96962.930379049067</v>
      </c>
      <c r="E30" s="65">
        <f>'4.Projected'!D24</f>
        <v>13458.841943311978</v>
      </c>
      <c r="F30" s="65">
        <f>'4.Projected'!E24</f>
        <v>83504.088435737096</v>
      </c>
      <c r="G30" s="80">
        <f>'4.Projected'!F24+'4.Projected'!G24</f>
        <v>25000</v>
      </c>
      <c r="H30" s="80">
        <f>'4.Projected'!H24+'4.Projected'!I24</f>
        <v>20000</v>
      </c>
      <c r="I30" s="80">
        <f>'4.Projected'!J24</f>
        <v>20000</v>
      </c>
      <c r="J30" s="80">
        <f>'4.Projected'!K24</f>
        <v>10000</v>
      </c>
      <c r="K30" s="80">
        <f>'4.Projected'!L24</f>
        <v>0</v>
      </c>
      <c r="L30" s="65">
        <f>'4.Projected'!M24</f>
        <v>8504.088435737096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>
        <f>'2. Energy'!N29</f>
        <v>3.6375795923333336</v>
      </c>
      <c r="S30" s="77">
        <f>SUM('5. Actual'!AH24:AN24)/SUM('5. Actual'!Q24:V24)</f>
        <v>4.0868929733200376</v>
      </c>
      <c r="T30" s="66">
        <f>'4.Projected'!AW24</f>
        <v>433419.55321855418</v>
      </c>
      <c r="U30" s="66">
        <f>'4.Projected'!BF24</f>
        <v>469486.03022037179</v>
      </c>
      <c r="V30" s="77">
        <f t="shared" si="0"/>
        <v>5.1903991928743025</v>
      </c>
      <c r="W30" s="77">
        <f t="shared" si="1"/>
        <v>5.6223119013110106</v>
      </c>
    </row>
    <row r="31" spans="3:23" ht="19.350000000000001" customHeight="1" x14ac:dyDescent="0.3">
      <c r="C31" s="64">
        <v>21</v>
      </c>
      <c r="D31" s="65">
        <f>'4.Projected'!C25</f>
        <v>92507.616764144987</v>
      </c>
      <c r="E31" s="65">
        <f>'4.Projected'!D25</f>
        <v>11737.29170064065</v>
      </c>
      <c r="F31" s="65">
        <f>'4.Projected'!E25</f>
        <v>80770.325063504337</v>
      </c>
      <c r="G31" s="80">
        <f>'4.Projected'!F25+'4.Projected'!G25</f>
        <v>25000</v>
      </c>
      <c r="H31" s="80">
        <f>'4.Projected'!H25+'4.Projected'!I25</f>
        <v>20000</v>
      </c>
      <c r="I31" s="80">
        <f>'4.Projected'!J25</f>
        <v>20000</v>
      </c>
      <c r="J31" s="80">
        <f>'4.Projected'!K25</f>
        <v>10000</v>
      </c>
      <c r="K31" s="80">
        <f>'4.Projected'!L25</f>
        <v>0</v>
      </c>
      <c r="L31" s="65">
        <f>'4.Projected'!M25</f>
        <v>5770.3250635043369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>
        <f>'2. Energy'!N30</f>
        <v>3.6266923579999997</v>
      </c>
      <c r="S31" s="77">
        <f>SUM('5. Actual'!AH25:AN25)/SUM('5. Actual'!Q25:V25)</f>
        <v>4.0868929733200376</v>
      </c>
      <c r="T31" s="66">
        <f>'4.Projected'!AW25</f>
        <v>423412.44848430605</v>
      </c>
      <c r="U31" s="66">
        <f>'4.Projected'!BF25</f>
        <v>458636.67065678129</v>
      </c>
      <c r="V31" s="77">
        <f t="shared" si="0"/>
        <v>5.2421783390298975</v>
      </c>
      <c r="W31" s="77">
        <f t="shared" si="1"/>
        <v>5.6782818478963133</v>
      </c>
    </row>
    <row r="32" spans="3:23" ht="19.350000000000001" customHeight="1" x14ac:dyDescent="0.3">
      <c r="C32" s="64">
        <v>22</v>
      </c>
      <c r="D32" s="65">
        <f>'4.Projected'!C26</f>
        <v>87103.167368808208</v>
      </c>
      <c r="E32" s="65">
        <f>'4.Projected'!D26</f>
        <v>8464.465734808773</v>
      </c>
      <c r="F32" s="65">
        <f>'4.Projected'!E26</f>
        <v>78638.70163399943</v>
      </c>
      <c r="G32" s="80">
        <f>'4.Projected'!F26+'4.Projected'!G26</f>
        <v>25000</v>
      </c>
      <c r="H32" s="80">
        <f>'4.Projected'!H26+'4.Projected'!I26</f>
        <v>20000</v>
      </c>
      <c r="I32" s="80">
        <f>'4.Projected'!J26</f>
        <v>20000</v>
      </c>
      <c r="J32" s="80">
        <f>'4.Projected'!K26</f>
        <v>10000</v>
      </c>
      <c r="K32" s="80">
        <f>'4.Projected'!L26</f>
        <v>0</v>
      </c>
      <c r="L32" s="65">
        <f>'4.Projected'!M26</f>
        <v>3638.7016339994298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>
        <f>'2. Energy'!N31</f>
        <v>3.4167050713333333</v>
      </c>
      <c r="S32" s="77">
        <f>SUM('5. Actual'!AH26:AN26)/SUM('5. Actual'!Q26:V26)</f>
        <v>4.0868929733200376</v>
      </c>
      <c r="T32" s="66">
        <f>'4.Projected'!AW26</f>
        <v>414917.62499927374</v>
      </c>
      <c r="U32" s="66">
        <f>'4.Projected'!BF26</f>
        <v>449426.87453034217</v>
      </c>
      <c r="V32" s="77">
        <f t="shared" si="0"/>
        <v>5.276252231762232</v>
      </c>
      <c r="W32" s="77">
        <f t="shared" si="1"/>
        <v>5.7150851322808789</v>
      </c>
    </row>
    <row r="33" spans="1:27" ht="19.350000000000001" customHeight="1" x14ac:dyDescent="0.3">
      <c r="C33" s="64">
        <v>23</v>
      </c>
      <c r="D33" s="65">
        <f>'4.Projected'!C27</f>
        <v>82343.084380810993</v>
      </c>
      <c r="E33" s="65">
        <f>'4.Projected'!D27</f>
        <v>6243.2122058823516</v>
      </c>
      <c r="F33" s="65">
        <f>'4.Projected'!E27</f>
        <v>76099.872174928634</v>
      </c>
      <c r="G33" s="80">
        <f>'4.Projected'!F27+'4.Projected'!G27</f>
        <v>12500</v>
      </c>
      <c r="H33" s="80">
        <f>'4.Projected'!H27+'4.Projected'!I27</f>
        <v>10000</v>
      </c>
      <c r="I33" s="80">
        <f>'4.Projected'!J27</f>
        <v>20000</v>
      </c>
      <c r="J33" s="80">
        <f>'4.Projected'!K27</f>
        <v>10000</v>
      </c>
      <c r="K33" s="80">
        <f>'4.Projected'!L27</f>
        <v>0</v>
      </c>
      <c r="L33" s="65">
        <f>'4.Projected'!M27</f>
        <v>23599.872174928634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>
        <f>'2. Energy'!N32</f>
        <v>3.3535632563333331</v>
      </c>
      <c r="S33" s="77">
        <f>SUM('5. Actual'!AH27:AN27)/SUM('5. Actual'!Q27:V27)</f>
        <v>4.4271156913382477</v>
      </c>
      <c r="T33" s="66">
        <f>'4.Projected'!AW27</f>
        <v>407535.5196495782</v>
      </c>
      <c r="U33" s="66">
        <f>'4.Projected'!BF27</f>
        <v>438768.36305077618</v>
      </c>
      <c r="V33" s="77">
        <f t="shared" si="0"/>
        <v>5.3552720655402384</v>
      </c>
      <c r="W33" s="77">
        <f t="shared" si="1"/>
        <v>5.7656911964607733</v>
      </c>
    </row>
    <row r="34" spans="1:27" ht="20.85" customHeight="1" x14ac:dyDescent="0.3">
      <c r="C34" s="64">
        <v>24</v>
      </c>
      <c r="D34" s="65">
        <f>'4.Projected'!C28</f>
        <v>77944.527392793621</v>
      </c>
      <c r="E34" s="65">
        <f>'4.Projected'!D28</f>
        <v>5717.4657499999994</v>
      </c>
      <c r="F34" s="65">
        <f>'4.Projected'!E28</f>
        <v>72227.061642793618</v>
      </c>
      <c r="G34" s="80">
        <f>'4.Projected'!F28+'4.Projected'!G28</f>
        <v>12500</v>
      </c>
      <c r="H34" s="80">
        <f>'4.Projected'!H28+'4.Projected'!I28</f>
        <v>10000</v>
      </c>
      <c r="I34" s="80">
        <f>'4.Projected'!J28</f>
        <v>20000</v>
      </c>
      <c r="J34" s="80">
        <f>'4.Projected'!K28</f>
        <v>0</v>
      </c>
      <c r="K34" s="80">
        <f>'4.Projected'!L28</f>
        <v>0</v>
      </c>
      <c r="L34" s="65">
        <f>'4.Projected'!M28</f>
        <v>29727.061642793618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>
        <f>'2. Energy'!N33</f>
        <v>3.0389962330000002</v>
      </c>
      <c r="S34" s="77">
        <f>SUM('5. Actual'!AH28:AN28)/SUM('5. Actual'!Q28:V28)</f>
        <v>4.6522682165587028</v>
      </c>
      <c r="T34" s="66">
        <f>'4.Projected'!AW28</f>
        <v>384030.10922866961</v>
      </c>
      <c r="U34" s="66">
        <f>'4.Projected'!BF28</f>
        <v>412041.0750101431</v>
      </c>
      <c r="V34" s="77">
        <f t="shared" si="0"/>
        <v>5.3169836968853881</v>
      </c>
      <c r="W34" s="77">
        <f t="shared" si="1"/>
        <v>5.7048018518036177</v>
      </c>
    </row>
    <row r="35" spans="1:27" ht="23.85" customHeight="1" x14ac:dyDescent="0.3">
      <c r="C35" s="67" t="s">
        <v>92</v>
      </c>
      <c r="D35" s="68">
        <f>SUM(D11:D34)</f>
        <v>2123638.2454340463</v>
      </c>
      <c r="E35" s="68">
        <f>SUM(E11:E34)</f>
        <v>252419.21169170926</v>
      </c>
      <c r="F35" s="68">
        <f t="shared" ref="F35:L35" si="2">SUM(F11:F34)</f>
        <v>1871219.0337423368</v>
      </c>
      <c r="G35" s="82">
        <f t="shared" si="2"/>
        <v>375000</v>
      </c>
      <c r="H35" s="82">
        <f t="shared" si="2"/>
        <v>300000</v>
      </c>
      <c r="I35" s="82">
        <f t="shared" si="2"/>
        <v>350000</v>
      </c>
      <c r="J35" s="82">
        <f t="shared" ref="J35" si="3">SUM(J11:J34)</f>
        <v>100000</v>
      </c>
      <c r="K35" s="82">
        <f t="shared" si="2"/>
        <v>0</v>
      </c>
      <c r="L35" s="68">
        <f t="shared" si="2"/>
        <v>746219.03374233679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>
        <f t="shared" si="4"/>
        <v>3.1569768825481606</v>
      </c>
      <c r="S35" s="79">
        <f>'3. Nomination'!V30</f>
        <v>4.2073899751355368</v>
      </c>
      <c r="T35" s="68">
        <f>SUM(T11:T34)</f>
        <v>9234294.4076999184</v>
      </c>
      <c r="U35" s="68">
        <f t="shared" ref="U35" si="6">SUM(U11:U34)</f>
        <v>10004036.361169394</v>
      </c>
      <c r="V35" s="79">
        <f t="shared" ref="V35" si="7">T35/F35</f>
        <v>4.9349083357878367</v>
      </c>
      <c r="W35" s="79">
        <f t="shared" ref="W35" si="8">U35/F35</f>
        <v>5.3462668884688833</v>
      </c>
    </row>
    <row r="36" spans="1:27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1:27" ht="18.75" customHeight="1" x14ac:dyDescent="0.3">
      <c r="A37" s="12"/>
      <c r="B37" s="12"/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7" ht="18.75" customHeight="1" x14ac:dyDescent="0.3">
      <c r="A38" s="12"/>
      <c r="B38" s="12"/>
      <c r="C38" s="134" t="s">
        <v>178</v>
      </c>
      <c r="D38" s="12"/>
      <c r="E38" s="12"/>
      <c r="F38" s="1" t="s">
        <v>176</v>
      </c>
      <c r="G38" s="124">
        <f>G35/(25*24*1000)</f>
        <v>0.625</v>
      </c>
      <c r="H38" s="124">
        <f>H35/(20*24*1000)</f>
        <v>0.625</v>
      </c>
      <c r="I38" s="124">
        <f>I35/(20*24*1000)</f>
        <v>0.72916666666666663</v>
      </c>
      <c r="J38" s="124">
        <f>J35/(10*24*1000)</f>
        <v>0.41666666666666669</v>
      </c>
      <c r="K38" s="1" t="s">
        <v>176</v>
      </c>
      <c r="L38" s="125" t="s">
        <v>176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A38" s="83"/>
    </row>
    <row r="39" spans="1:27" ht="18.75" customHeight="1" x14ac:dyDescent="0.3">
      <c r="C39" s="135" t="s">
        <v>179</v>
      </c>
      <c r="D39" s="131"/>
      <c r="E39" s="131"/>
      <c r="F39" s="132" t="s">
        <v>176</v>
      </c>
      <c r="G39" s="126">
        <f t="shared" ref="G39:L39" si="9">G35/$F$35</f>
        <v>0.20040411797758401</v>
      </c>
      <c r="H39" s="126">
        <f t="shared" si="9"/>
        <v>0.16032329438206719</v>
      </c>
      <c r="I39" s="126">
        <f t="shared" si="9"/>
        <v>0.18704384344574507</v>
      </c>
      <c r="J39" s="126">
        <f>J35/$F$35</f>
        <v>5.3441098127355736E-2</v>
      </c>
      <c r="K39" s="126">
        <f t="shared" si="9"/>
        <v>0</v>
      </c>
      <c r="L39" s="127">
        <f t="shared" si="9"/>
        <v>0.39878764606724798</v>
      </c>
      <c r="AA39" s="83"/>
    </row>
    <row r="40" spans="1:27" ht="15" x14ac:dyDescent="0.3">
      <c r="AA40" s="84"/>
    </row>
    <row r="41" spans="1:27" ht="18" customHeight="1" x14ac:dyDescent="0.3">
      <c r="D41" s="83" t="s">
        <v>180</v>
      </c>
      <c r="F41" s="83"/>
      <c r="G41" s="83"/>
      <c r="H41" s="83"/>
      <c r="I41" s="83"/>
      <c r="K41" s="83"/>
      <c r="L41" s="83" t="s">
        <v>181</v>
      </c>
      <c r="O41" s="83"/>
      <c r="P41" s="83"/>
      <c r="Q41" s="83"/>
      <c r="S41" s="83"/>
      <c r="T41" s="83" t="s">
        <v>182</v>
      </c>
      <c r="AA41" s="84"/>
    </row>
    <row r="42" spans="1:27" ht="15" x14ac:dyDescent="0.3">
      <c r="D42" s="83"/>
      <c r="F42" s="83"/>
      <c r="G42" s="83"/>
      <c r="H42" s="83"/>
      <c r="I42" s="83"/>
      <c r="K42" s="83"/>
      <c r="L42" s="83"/>
      <c r="O42" s="83"/>
      <c r="P42" s="83"/>
      <c r="Q42" s="83"/>
      <c r="S42" s="83"/>
      <c r="T42" s="83"/>
    </row>
    <row r="43" spans="1:27" ht="15" x14ac:dyDescent="0.3">
      <c r="D43" s="84"/>
      <c r="F43" s="84"/>
      <c r="G43" s="84"/>
      <c r="H43" s="84"/>
      <c r="I43" s="84"/>
      <c r="K43" s="84"/>
      <c r="L43" s="84"/>
      <c r="O43" s="84"/>
      <c r="P43" s="84"/>
      <c r="Q43" s="84"/>
      <c r="S43" s="84"/>
      <c r="T43" s="84"/>
    </row>
    <row r="44" spans="1:27" ht="18" x14ac:dyDescent="0.3">
      <c r="D44" s="192" t="str">
        <f>'1. Rates'!C6</f>
        <v>Justin Laurence F. Lunar</v>
      </c>
      <c r="E44" s="192"/>
      <c r="F44" s="192"/>
      <c r="G44" s="85"/>
      <c r="H44" s="85"/>
      <c r="I44" s="85"/>
      <c r="K44" s="85"/>
      <c r="L44" s="86" t="s">
        <v>183</v>
      </c>
      <c r="M44" s="86"/>
      <c r="N44" s="86"/>
      <c r="O44" s="85"/>
      <c r="P44" s="85"/>
      <c r="Q44" s="84"/>
      <c r="S44" s="85"/>
      <c r="T44" s="85" t="s">
        <v>184</v>
      </c>
    </row>
  </sheetData>
  <mergeCells count="13">
    <mergeCell ref="D44:F44"/>
    <mergeCell ref="C5:W5"/>
    <mergeCell ref="E7:G7"/>
    <mergeCell ref="C9:C10"/>
    <mergeCell ref="D9:F9"/>
    <mergeCell ref="G9:K9"/>
    <mergeCell ref="C6:W6"/>
    <mergeCell ref="L9:L10"/>
    <mergeCell ref="M9:Q9"/>
    <mergeCell ref="R9:R10"/>
    <mergeCell ref="T9:U9"/>
    <mergeCell ref="V9:W9"/>
    <mergeCell ref="S9:S10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C7D2-C612-4D39-B558-9CA4563C7250}">
  <dimension ref="B1:CI29"/>
  <sheetViews>
    <sheetView showGridLines="0" zoomScale="70" zoomScaleNormal="70" workbookViewId="0">
      <pane xSplit="2" ySplit="4" topLeftCell="BN5" activePane="bottomRight" state="frozen"/>
      <selection pane="topRight" activeCell="C1" sqref="C1"/>
      <selection pane="bottomLeft" activeCell="A5" sqref="A5"/>
      <selection pane="bottomRight" activeCell="CE15" sqref="CE1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6" width="17" style="1" customWidth="1"/>
    <col min="17" max="87" width="15" style="1" customWidth="1"/>
    <col min="88" max="16384" width="8.5546875" style="1"/>
  </cols>
  <sheetData>
    <row r="1" spans="2:87" ht="12" customHeight="1" x14ac:dyDescent="0.3"/>
    <row r="2" spans="2:87" ht="16.5" customHeight="1" x14ac:dyDescent="0.3">
      <c r="B2" s="50" t="s">
        <v>185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I2" s="4"/>
      <c r="AJ2" s="4"/>
      <c r="AK2" s="4"/>
      <c r="AL2" s="4"/>
      <c r="AM2" s="4"/>
      <c r="AN2" s="4"/>
      <c r="AO2" s="4"/>
      <c r="AP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F2" s="4"/>
      <c r="BG2" s="4"/>
      <c r="BH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</row>
    <row r="3" spans="2:87" ht="31.35" customHeight="1" x14ac:dyDescent="0.3">
      <c r="B3" s="187" t="s">
        <v>9</v>
      </c>
      <c r="C3" s="205" t="s">
        <v>186</v>
      </c>
      <c r="D3" s="205"/>
      <c r="E3" s="205"/>
      <c r="F3" s="164" t="s">
        <v>187</v>
      </c>
      <c r="G3" s="165"/>
      <c r="H3" s="165"/>
      <c r="I3" s="165"/>
      <c r="J3" s="165"/>
      <c r="K3" s="166">
        <f>'1. Rates'!C4</f>
        <v>45677</v>
      </c>
      <c r="L3" s="166"/>
      <c r="M3" s="166"/>
      <c r="N3" s="166"/>
      <c r="O3" s="167"/>
      <c r="P3" s="188" t="s">
        <v>188</v>
      </c>
      <c r="Q3" s="188" t="s">
        <v>150</v>
      </c>
      <c r="R3" s="188"/>
      <c r="S3" s="188"/>
      <c r="T3" s="188"/>
      <c r="U3" s="188"/>
      <c r="V3" s="188"/>
      <c r="W3" s="188"/>
      <c r="X3" s="188" t="s">
        <v>129</v>
      </c>
      <c r="Y3" s="187" t="s">
        <v>151</v>
      </c>
      <c r="Z3" s="187"/>
      <c r="AA3" s="187"/>
      <c r="AB3" s="187"/>
      <c r="AC3" s="187"/>
      <c r="AD3" s="187"/>
      <c r="AE3" s="187"/>
      <c r="AF3" s="187"/>
      <c r="AG3" s="187" t="s">
        <v>92</v>
      </c>
      <c r="AH3" s="189" t="s">
        <v>152</v>
      </c>
      <c r="AI3" s="190"/>
      <c r="AJ3" s="190"/>
      <c r="AK3" s="190"/>
      <c r="AL3" s="190"/>
      <c r="AM3" s="190"/>
      <c r="AN3" s="190"/>
      <c r="AO3" s="191"/>
      <c r="AP3" s="188" t="s">
        <v>92</v>
      </c>
      <c r="AQ3" s="187" t="s">
        <v>153</v>
      </c>
      <c r="AR3" s="187"/>
      <c r="AS3" s="187"/>
      <c r="AT3" s="187"/>
      <c r="AU3" s="187"/>
      <c r="AV3" s="187"/>
      <c r="AW3" s="187"/>
      <c r="AX3" s="187"/>
      <c r="AY3" s="187" t="s">
        <v>92</v>
      </c>
      <c r="AZ3" s="189" t="s">
        <v>154</v>
      </c>
      <c r="BA3" s="190"/>
      <c r="BB3" s="190"/>
      <c r="BC3" s="190"/>
      <c r="BD3" s="190"/>
      <c r="BE3" s="190"/>
      <c r="BF3" s="190"/>
      <c r="BG3" s="191"/>
      <c r="BH3" s="188" t="s">
        <v>92</v>
      </c>
      <c r="BI3" s="187" t="s">
        <v>155</v>
      </c>
      <c r="BJ3" s="187"/>
      <c r="BK3" s="187"/>
      <c r="BL3" s="187"/>
      <c r="BM3" s="187"/>
      <c r="BN3" s="187"/>
      <c r="BO3" s="187"/>
      <c r="BP3" s="187"/>
      <c r="BQ3" s="187" t="s">
        <v>92</v>
      </c>
      <c r="BR3" s="189" t="s">
        <v>156</v>
      </c>
      <c r="BS3" s="190"/>
      <c r="BT3" s="190"/>
      <c r="BU3" s="190"/>
      <c r="BV3" s="190"/>
      <c r="BW3" s="190"/>
      <c r="BX3" s="190"/>
      <c r="BY3" s="191"/>
      <c r="BZ3" s="188" t="s">
        <v>92</v>
      </c>
      <c r="CA3" s="187" t="s">
        <v>157</v>
      </c>
      <c r="CB3" s="187"/>
      <c r="CC3" s="187"/>
      <c r="CD3" s="187"/>
      <c r="CE3" s="187"/>
      <c r="CF3" s="187"/>
      <c r="CG3" s="187"/>
      <c r="CH3" s="187"/>
      <c r="CI3" s="187" t="s">
        <v>92</v>
      </c>
    </row>
    <row r="4" spans="2:87" ht="39.75" customHeight="1" x14ac:dyDescent="0.3">
      <c r="B4" s="187"/>
      <c r="C4" s="75" t="s">
        <v>134</v>
      </c>
      <c r="D4" s="75" t="s">
        <v>170</v>
      </c>
      <c r="E4" s="75" t="s">
        <v>136</v>
      </c>
      <c r="F4" s="57" t="str">
        <f>'1. Rates'!AA12</f>
        <v>ILOMORE01
(08PEDC_T1L1)</v>
      </c>
      <c r="G4" s="57" t="str">
        <f>'1. Rates'!AB12</f>
        <v>SBAMORE02
(08BANTAP_L01)</v>
      </c>
      <c r="H4" s="57" t="str">
        <f>'1. Rates'!AC12</f>
        <v>SBAMORE03
(08STBAR_T1L1)</v>
      </c>
      <c r="I4" s="57" t="str">
        <f>'1. Rates'!AD12</f>
        <v>PN1MORE04
(08PEDC_T1L2)</v>
      </c>
      <c r="J4" s="57" t="str">
        <f>'1. Rates'!AE12</f>
        <v>PN1MORE05
(08PEDC_T1L2)</v>
      </c>
      <c r="K4" s="57" t="str">
        <f>'1. Rates'!AF12</f>
        <v>SCPC
(03CALACA_G01)</v>
      </c>
      <c r="L4" s="57" t="str">
        <f>'1. Rates'!AG12</f>
        <v>KSPC
(05KSPC_G01)</v>
      </c>
      <c r="M4" s="57" t="str">
        <f>'1. Rates'!AH12</f>
        <v>EDC
(04LEYTE_A)</v>
      </c>
      <c r="N4" s="57" t="str">
        <f>'1. Rates'!AI12</f>
        <v>PEDC
(08PEDC_U01)</v>
      </c>
      <c r="O4" s="57" t="str">
        <f>'1. Rates'!AJ12</f>
        <v>RESERVED</v>
      </c>
      <c r="P4" s="188"/>
      <c r="Q4" s="76" t="s">
        <v>70</v>
      </c>
      <c r="R4" s="76" t="s">
        <v>71</v>
      </c>
      <c r="S4" s="76" t="s">
        <v>72</v>
      </c>
      <c r="T4" s="76" t="s">
        <v>73</v>
      </c>
      <c r="U4" s="76" t="s">
        <v>17</v>
      </c>
      <c r="V4" s="76" t="s">
        <v>74</v>
      </c>
      <c r="W4" s="76" t="s">
        <v>65</v>
      </c>
      <c r="X4" s="188"/>
      <c r="Y4" s="75" t="s">
        <v>70</v>
      </c>
      <c r="Z4" s="75" t="s">
        <v>71</v>
      </c>
      <c r="AA4" s="75" t="s">
        <v>72</v>
      </c>
      <c r="AB4" s="75" t="s">
        <v>73</v>
      </c>
      <c r="AC4" s="75" t="s">
        <v>17</v>
      </c>
      <c r="AD4" s="75" t="s">
        <v>74</v>
      </c>
      <c r="AE4" s="75" t="s">
        <v>65</v>
      </c>
      <c r="AF4" s="75" t="s">
        <v>76</v>
      </c>
      <c r="AG4" s="187"/>
      <c r="AH4" s="76" t="s">
        <v>70</v>
      </c>
      <c r="AI4" s="76" t="s">
        <v>71</v>
      </c>
      <c r="AJ4" s="76" t="s">
        <v>72</v>
      </c>
      <c r="AK4" s="76" t="s">
        <v>73</v>
      </c>
      <c r="AL4" s="76" t="s">
        <v>17</v>
      </c>
      <c r="AM4" s="76" t="s">
        <v>74</v>
      </c>
      <c r="AN4" s="76" t="s">
        <v>65</v>
      </c>
      <c r="AO4" s="76" t="s">
        <v>76</v>
      </c>
      <c r="AP4" s="188"/>
      <c r="AQ4" s="75" t="s">
        <v>70</v>
      </c>
      <c r="AR4" s="75" t="s">
        <v>71</v>
      </c>
      <c r="AS4" s="75" t="s">
        <v>72</v>
      </c>
      <c r="AT4" s="75" t="s">
        <v>73</v>
      </c>
      <c r="AU4" s="75" t="s">
        <v>17</v>
      </c>
      <c r="AV4" s="75" t="s">
        <v>74</v>
      </c>
      <c r="AW4" s="75" t="s">
        <v>65</v>
      </c>
      <c r="AX4" s="75" t="s">
        <v>76</v>
      </c>
      <c r="AY4" s="187"/>
      <c r="AZ4" s="76" t="s">
        <v>70</v>
      </c>
      <c r="BA4" s="76" t="s">
        <v>71</v>
      </c>
      <c r="BB4" s="76" t="s">
        <v>72</v>
      </c>
      <c r="BC4" s="76" t="s">
        <v>73</v>
      </c>
      <c r="BD4" s="76" t="s">
        <v>17</v>
      </c>
      <c r="BE4" s="76" t="s">
        <v>74</v>
      </c>
      <c r="BF4" s="76" t="s">
        <v>65</v>
      </c>
      <c r="BG4" s="76" t="s">
        <v>76</v>
      </c>
      <c r="BH4" s="188"/>
      <c r="BI4" s="75" t="s">
        <v>70</v>
      </c>
      <c r="BJ4" s="75" t="s">
        <v>71</v>
      </c>
      <c r="BK4" s="75" t="s">
        <v>72</v>
      </c>
      <c r="BL4" s="75" t="s">
        <v>73</v>
      </c>
      <c r="BM4" s="75" t="s">
        <v>17</v>
      </c>
      <c r="BN4" s="75" t="s">
        <v>74</v>
      </c>
      <c r="BO4" s="75" t="s">
        <v>65</v>
      </c>
      <c r="BP4" s="75" t="s">
        <v>76</v>
      </c>
      <c r="BQ4" s="187"/>
      <c r="BR4" s="76" t="s">
        <v>70</v>
      </c>
      <c r="BS4" s="76" t="s">
        <v>71</v>
      </c>
      <c r="BT4" s="76" t="s">
        <v>72</v>
      </c>
      <c r="BU4" s="76" t="s">
        <v>73</v>
      </c>
      <c r="BV4" s="76" t="s">
        <v>17</v>
      </c>
      <c r="BW4" s="76" t="s">
        <v>74</v>
      </c>
      <c r="BX4" s="76" t="s">
        <v>65</v>
      </c>
      <c r="BY4" s="76" t="s">
        <v>76</v>
      </c>
      <c r="BZ4" s="188"/>
      <c r="CA4" s="75" t="s">
        <v>70</v>
      </c>
      <c r="CB4" s="75" t="s">
        <v>71</v>
      </c>
      <c r="CC4" s="75" t="s">
        <v>72</v>
      </c>
      <c r="CD4" s="75" t="s">
        <v>73</v>
      </c>
      <c r="CE4" s="75" t="s">
        <v>17</v>
      </c>
      <c r="CF4" s="75" t="s">
        <v>74</v>
      </c>
      <c r="CG4" s="75" t="s">
        <v>65</v>
      </c>
      <c r="CH4" s="75" t="s">
        <v>76</v>
      </c>
      <c r="CI4" s="187"/>
    </row>
    <row r="5" spans="2:87" ht="18" customHeight="1" x14ac:dyDescent="0.3">
      <c r="B5" s="14">
        <v>1</v>
      </c>
      <c r="C5" s="119"/>
      <c r="D5" s="119"/>
      <c r="E5" s="119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54" t="e">
        <f>AVERAGE(F5:J5)</f>
        <v>#DIV/0!</v>
      </c>
      <c r="Q5" s="53">
        <f>'3. Nomination'!W6</f>
        <v>10000</v>
      </c>
      <c r="R5" s="53">
        <f>'3. Nomination'!X6</f>
        <v>2500</v>
      </c>
      <c r="S5" s="53">
        <f>'3. Nomination'!Y6</f>
        <v>5000</v>
      </c>
      <c r="T5" s="53">
        <f>'3. Nomination'!Z6</f>
        <v>5000</v>
      </c>
      <c r="U5" s="53">
        <f>'3. Nomination'!AA6</f>
        <v>0</v>
      </c>
      <c r="V5" s="53">
        <f>'3. Nomination'!AB6</f>
        <v>0</v>
      </c>
      <c r="W5" s="53">
        <f>'3. Nomination'!AC6</f>
        <v>0</v>
      </c>
      <c r="X5" s="53">
        <f>E5-Q5-R5-S5-T5-U5-V5-W5</f>
        <v>-22500</v>
      </c>
      <c r="Y5" s="53">
        <f>'1. Rates'!C$41*'1. Rates'!C$55</f>
        <v>32322.089552238805</v>
      </c>
      <c r="Z5" s="53">
        <f>'1. Rates'!D$41*'1. Rates'!D$55</f>
        <v>8080.5223880597014</v>
      </c>
      <c r="AA5" s="53">
        <f>'1. Rates'!E$41*'1. Rates'!E$55</f>
        <v>16021.334867008814</v>
      </c>
      <c r="AB5" s="53">
        <f>'1. Rates'!F$41*'1. Rates'!F$55</f>
        <v>16463.334867008813</v>
      </c>
      <c r="AC5" s="53">
        <f>'1. Rates'!G$41*'1. Rates'!G$55</f>
        <v>0</v>
      </c>
      <c r="AD5" s="53">
        <f>'1. Rates'!H$41*'1. Rates'!H$55</f>
        <v>23081</v>
      </c>
      <c r="AE5" s="53"/>
      <c r="AF5" s="53"/>
      <c r="AG5" s="53">
        <f>Y5+Z5+AA5+AB5+AC5+AD5+AE5+AF5</f>
        <v>95968.281674316138</v>
      </c>
      <c r="AH5" s="53">
        <f>Q5*'1. Rates'!C$56</f>
        <v>32827.227958873475</v>
      </c>
      <c r="AI5" s="53">
        <f>R5*'1. Rates'!D$56</f>
        <v>8206.8069897183686</v>
      </c>
      <c r="AJ5" s="53">
        <f>S5*'1. Rates'!E$56</f>
        <v>16529.682127576514</v>
      </c>
      <c r="AK5" s="53">
        <f>T5*'1. Rates'!F$56</f>
        <v>16529.682127576514</v>
      </c>
      <c r="AL5" s="53">
        <f>U5*'1. Rates'!G$56</f>
        <v>0</v>
      </c>
      <c r="AM5" s="53">
        <f>V5*'1. Rates'!H$56</f>
        <v>0</v>
      </c>
      <c r="AN5" s="53">
        <f>W5*'1. Rates'!Q41</f>
        <v>0</v>
      </c>
      <c r="AO5" s="53" t="e">
        <f>X5*P5</f>
        <v>#DIV/0!</v>
      </c>
      <c r="AP5" s="53" t="e">
        <f>AH5+AI5+AJ5+AK5+AL5+AM5+AN5+AO5</f>
        <v>#DIV/0!</v>
      </c>
      <c r="AQ5" s="53">
        <f>(Y5+AH5)*'1. Rates'!C$60</f>
        <v>7817.9181013334737</v>
      </c>
      <c r="AR5" s="53">
        <f>(Z5+AI5)*'1. Rates'!D$60</f>
        <v>1954.4795253333684</v>
      </c>
      <c r="AS5" s="53">
        <f>(AA5+AJ5)*'1. Rates'!E$60</f>
        <v>3906.122039350239</v>
      </c>
      <c r="AT5" s="53">
        <f>(AB5+AK5)*'1. Rates'!F$60</f>
        <v>3959.162039350239</v>
      </c>
      <c r="AU5" s="53">
        <f>(AC5+AL5)*'1. Rates'!G$60</f>
        <v>0</v>
      </c>
      <c r="AV5" s="53">
        <f>(AD5+AM5)*'1. Rates'!H$60</f>
        <v>2769.72</v>
      </c>
      <c r="AW5" s="53">
        <f>(AE5+AN5)*'1. Rates'!$I$60</f>
        <v>0</v>
      </c>
      <c r="AX5" s="53" t="e">
        <f>(AF5+AO5)*'1. Rates'!$J$60</f>
        <v>#DIV/0!</v>
      </c>
      <c r="AY5" s="53" t="e">
        <f>AQ5+AR5+AS5+AT5+AU5+AV5+AW5+AX5</f>
        <v>#DIV/0!</v>
      </c>
      <c r="AZ5" s="53">
        <f>Y5+AH5</f>
        <v>65149.317511112284</v>
      </c>
      <c r="BA5" s="53">
        <f t="shared" ref="BA5:BG20" si="0">Z5+AI5</f>
        <v>16287.329377778071</v>
      </c>
      <c r="BB5" s="53">
        <f t="shared" si="0"/>
        <v>32551.016994585327</v>
      </c>
      <c r="BC5" s="53">
        <f t="shared" si="0"/>
        <v>32993.016994585327</v>
      </c>
      <c r="BD5" s="53">
        <f t="shared" si="0"/>
        <v>0</v>
      </c>
      <c r="BE5" s="53">
        <f t="shared" si="0"/>
        <v>23081</v>
      </c>
      <c r="BF5" s="53">
        <f t="shared" si="0"/>
        <v>0</v>
      </c>
      <c r="BG5" s="53" t="e">
        <f t="shared" si="0"/>
        <v>#DIV/0!</v>
      </c>
      <c r="BH5" s="53" t="e">
        <f>AZ5+BA5+BB5+BC5+BD5+BE5+BF5+BG5</f>
        <v>#DIV/0!</v>
      </c>
      <c r="BI5" s="53">
        <f>Y5+AH5+AQ5</f>
        <v>72967.235612445758</v>
      </c>
      <c r="BJ5" s="53">
        <f t="shared" ref="BJ5:BP20" si="1">Z5+AI5+AR5</f>
        <v>18241.80890311144</v>
      </c>
      <c r="BK5" s="53">
        <f t="shared" si="1"/>
        <v>36457.139033935564</v>
      </c>
      <c r="BL5" s="53">
        <f t="shared" si="1"/>
        <v>36952.179033935565</v>
      </c>
      <c r="BM5" s="53">
        <f t="shared" si="1"/>
        <v>0</v>
      </c>
      <c r="BN5" s="53">
        <f t="shared" si="1"/>
        <v>25850.720000000001</v>
      </c>
      <c r="BO5" s="53">
        <f t="shared" si="1"/>
        <v>0</v>
      </c>
      <c r="BP5" s="53" t="e">
        <f t="shared" si="1"/>
        <v>#DIV/0!</v>
      </c>
      <c r="BQ5" s="53" t="e">
        <f>BI5+BJ5+BK5+BL5+BM5+BN5+BO5+BP5</f>
        <v>#DIV/0!</v>
      </c>
      <c r="BR5" s="54">
        <f>AZ5/Q5</f>
        <v>6.5149317511112281</v>
      </c>
      <c r="BS5" s="54">
        <f t="shared" ref="BS5:BW20" si="2">BA5/R5</f>
        <v>6.5149317511112281</v>
      </c>
      <c r="BT5" s="54">
        <f t="shared" si="2"/>
        <v>6.5102033989170653</v>
      </c>
      <c r="BU5" s="54">
        <f t="shared" si="2"/>
        <v>6.5986033989170654</v>
      </c>
      <c r="BV5" s="54" t="e">
        <f t="shared" si="2"/>
        <v>#DIV/0!</v>
      </c>
      <c r="BW5" s="54" t="e">
        <f t="shared" si="2"/>
        <v>#DIV/0!</v>
      </c>
      <c r="BX5" s="54"/>
      <c r="BY5" s="54" t="e">
        <f t="shared" ref="BY5:BY29" si="3">BG5/X5</f>
        <v>#DIV/0!</v>
      </c>
      <c r="BZ5" s="54" t="e">
        <f t="shared" ref="BZ5:BZ28" si="4">BH5/E5</f>
        <v>#DIV/0!</v>
      </c>
      <c r="CA5" s="54">
        <f>BI5/Q5</f>
        <v>7.2967235612445762</v>
      </c>
      <c r="CB5" s="54">
        <f t="shared" ref="CB5:CF20" si="5">BJ5/R5</f>
        <v>7.2967235612445762</v>
      </c>
      <c r="CC5" s="54">
        <f t="shared" si="5"/>
        <v>7.2914278067871132</v>
      </c>
      <c r="CD5" s="54">
        <f t="shared" si="5"/>
        <v>7.3904358067871128</v>
      </c>
      <c r="CE5" s="54" t="e">
        <f t="shared" si="5"/>
        <v>#DIV/0!</v>
      </c>
      <c r="CF5" s="54" t="e">
        <f t="shared" si="5"/>
        <v>#DIV/0!</v>
      </c>
      <c r="CG5" s="54"/>
      <c r="CH5" s="54" t="e">
        <f t="shared" ref="CH5:CH29" si="6">BP5/X5</f>
        <v>#DIV/0!</v>
      </c>
      <c r="CI5" s="54" t="e">
        <f>BQ5/E5</f>
        <v>#DIV/0!</v>
      </c>
    </row>
    <row r="6" spans="2:87" ht="18" customHeight="1" x14ac:dyDescent="0.3">
      <c r="B6" s="14">
        <v>2</v>
      </c>
      <c r="C6" s="119"/>
      <c r="D6" s="119"/>
      <c r="E6" s="119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4" t="e">
        <f t="shared" ref="P6:P28" si="7">AVERAGE(F6:J6)</f>
        <v>#DIV/0!</v>
      </c>
      <c r="Q6" s="53">
        <f>'3. Nomination'!W7</f>
        <v>10000</v>
      </c>
      <c r="R6" s="53">
        <f>'3. Nomination'!X7</f>
        <v>2500</v>
      </c>
      <c r="S6" s="53">
        <f>'3. Nomination'!Y7</f>
        <v>5000</v>
      </c>
      <c r="T6" s="53">
        <f>'3. Nomination'!Z7</f>
        <v>5000</v>
      </c>
      <c r="U6" s="53">
        <f>'3. Nomination'!AA7</f>
        <v>0</v>
      </c>
      <c r="V6" s="53">
        <f>'3. Nomination'!AB7</f>
        <v>0</v>
      </c>
      <c r="W6" s="53">
        <f>'3. Nomination'!AC7</f>
        <v>0</v>
      </c>
      <c r="X6" s="53">
        <f>E6-Q6-R6-S6-T6-U6-V6-W6</f>
        <v>-22500</v>
      </c>
      <c r="Y6" s="53">
        <f>'1. Rates'!C$41*'1. Rates'!C$55</f>
        <v>32322.089552238805</v>
      </c>
      <c r="Z6" s="53">
        <f>'1. Rates'!D$41*'1. Rates'!D$55</f>
        <v>8080.5223880597014</v>
      </c>
      <c r="AA6" s="53">
        <f>'1. Rates'!E$41*'1. Rates'!E$55</f>
        <v>16021.334867008814</v>
      </c>
      <c r="AB6" s="53">
        <f>'1. Rates'!F$41*'1. Rates'!F$55</f>
        <v>16463.334867008813</v>
      </c>
      <c r="AC6" s="53">
        <f>'1. Rates'!G$41*'1. Rates'!G$55</f>
        <v>0</v>
      </c>
      <c r="AD6" s="53">
        <f>'1. Rates'!H$41*'1. Rates'!H$55</f>
        <v>23081</v>
      </c>
      <c r="AE6" s="53"/>
      <c r="AF6" s="53"/>
      <c r="AG6" s="53">
        <f t="shared" ref="AG6:AG28" si="8">Y6+Z6+AA6+AB6+AC6+AD6+AE6+AF6</f>
        <v>95968.281674316138</v>
      </c>
      <c r="AH6" s="53">
        <f>Q6*'1. Rates'!C$56</f>
        <v>32827.227958873475</v>
      </c>
      <c r="AI6" s="53">
        <f>R6*'1. Rates'!D$56</f>
        <v>8206.8069897183686</v>
      </c>
      <c r="AJ6" s="53">
        <f>S6*'1. Rates'!E$56</f>
        <v>16529.682127576514</v>
      </c>
      <c r="AK6" s="53">
        <f>T6*'1. Rates'!F$56</f>
        <v>16529.682127576514</v>
      </c>
      <c r="AL6" s="53">
        <f>U6*'1. Rates'!G$56</f>
        <v>0</v>
      </c>
      <c r="AM6" s="53">
        <f>V6*'1. Rates'!H$56</f>
        <v>0</v>
      </c>
      <c r="AN6" s="53">
        <f>W6*'1. Rates'!Q42</f>
        <v>0</v>
      </c>
      <c r="AO6" s="53" t="e">
        <f t="shared" ref="AO6:AO28" si="9">X6*P6</f>
        <v>#DIV/0!</v>
      </c>
      <c r="AP6" s="53" t="e">
        <f t="shared" ref="AP6:AP28" si="10">AH6+AI6+AJ6+AK6+AL6+AM6+AN6+AO6</f>
        <v>#DIV/0!</v>
      </c>
      <c r="AQ6" s="53">
        <f>(Y6+AH6)*'1. Rates'!C$60</f>
        <v>7817.9181013334737</v>
      </c>
      <c r="AR6" s="53">
        <f>(Z6+AI6)*'1. Rates'!D$60</f>
        <v>1954.4795253333684</v>
      </c>
      <c r="AS6" s="53">
        <f>(AA6+AJ6)*'1. Rates'!E$60</f>
        <v>3906.122039350239</v>
      </c>
      <c r="AT6" s="53">
        <f>(AB6+AK6)*'1. Rates'!F$60</f>
        <v>3959.162039350239</v>
      </c>
      <c r="AU6" s="53">
        <f>(AC6+AL6)*'1. Rates'!G$60</f>
        <v>0</v>
      </c>
      <c r="AV6" s="53">
        <f>(AD6+AM6)*'1. Rates'!H$60</f>
        <v>2769.72</v>
      </c>
      <c r="AW6" s="53">
        <f>(AE6+AN6)*'1. Rates'!$I$60</f>
        <v>0</v>
      </c>
      <c r="AX6" s="53" t="e">
        <f>(AF6+AO6)*'1. Rates'!$J$60</f>
        <v>#DIV/0!</v>
      </c>
      <c r="AY6" s="53" t="e">
        <f t="shared" ref="AY6:AY28" si="11">AQ6+AR6+AS6+AT6+AU6+AV6+AW6+AX6</f>
        <v>#DIV/0!</v>
      </c>
      <c r="AZ6" s="53">
        <f t="shared" ref="AZ6:BG28" si="12">Y6+AH6</f>
        <v>65149.317511112284</v>
      </c>
      <c r="BA6" s="53">
        <f t="shared" si="0"/>
        <v>16287.329377778071</v>
      </c>
      <c r="BB6" s="53">
        <f t="shared" si="0"/>
        <v>32551.016994585327</v>
      </c>
      <c r="BC6" s="53">
        <f t="shared" si="0"/>
        <v>32993.016994585327</v>
      </c>
      <c r="BD6" s="53">
        <f t="shared" si="0"/>
        <v>0</v>
      </c>
      <c r="BE6" s="53">
        <f t="shared" si="0"/>
        <v>23081</v>
      </c>
      <c r="BF6" s="53">
        <f t="shared" si="0"/>
        <v>0</v>
      </c>
      <c r="BG6" s="53" t="e">
        <f t="shared" si="0"/>
        <v>#DIV/0!</v>
      </c>
      <c r="BH6" s="53" t="e">
        <f t="shared" ref="BH6:BH28" si="13">AZ6+BA6+BB6+BC6+BD6+BE6+BF6+BG6</f>
        <v>#DIV/0!</v>
      </c>
      <c r="BI6" s="53">
        <f t="shared" ref="BI6:BP28" si="14">Y6+AH6+AQ6</f>
        <v>72967.235612445758</v>
      </c>
      <c r="BJ6" s="53">
        <f t="shared" si="1"/>
        <v>18241.80890311144</v>
      </c>
      <c r="BK6" s="53">
        <f t="shared" si="1"/>
        <v>36457.139033935564</v>
      </c>
      <c r="BL6" s="53">
        <f t="shared" si="1"/>
        <v>36952.179033935565</v>
      </c>
      <c r="BM6" s="53">
        <f t="shared" si="1"/>
        <v>0</v>
      </c>
      <c r="BN6" s="53">
        <f t="shared" si="1"/>
        <v>25850.720000000001</v>
      </c>
      <c r="BO6" s="53">
        <f t="shared" si="1"/>
        <v>0</v>
      </c>
      <c r="BP6" s="53" t="e">
        <f t="shared" si="1"/>
        <v>#DIV/0!</v>
      </c>
      <c r="BQ6" s="53" t="e">
        <f t="shared" ref="BQ6:BQ28" si="15">BI6+BJ6+BK6+BL6+BM6+BN6+BO6+BP6</f>
        <v>#DIV/0!</v>
      </c>
      <c r="BR6" s="54">
        <f t="shared" ref="BR6:BR29" si="16">AZ6/Q6</f>
        <v>6.5149317511112281</v>
      </c>
      <c r="BS6" s="54">
        <f t="shared" si="2"/>
        <v>6.5149317511112281</v>
      </c>
      <c r="BT6" s="54">
        <f t="shared" si="2"/>
        <v>6.5102033989170653</v>
      </c>
      <c r="BU6" s="54">
        <f t="shared" si="2"/>
        <v>6.5986033989170654</v>
      </c>
      <c r="BV6" s="54" t="e">
        <f t="shared" si="2"/>
        <v>#DIV/0!</v>
      </c>
      <c r="BW6" s="54" t="e">
        <f t="shared" si="2"/>
        <v>#DIV/0!</v>
      </c>
      <c r="BX6" s="54"/>
      <c r="BY6" s="54" t="e">
        <f t="shared" si="3"/>
        <v>#DIV/0!</v>
      </c>
      <c r="BZ6" s="54" t="e">
        <f t="shared" si="4"/>
        <v>#DIV/0!</v>
      </c>
      <c r="CA6" s="54">
        <f t="shared" ref="CA6:CA27" si="17">BI6/Q6</f>
        <v>7.2967235612445762</v>
      </c>
      <c r="CB6" s="54">
        <f t="shared" si="5"/>
        <v>7.2967235612445762</v>
      </c>
      <c r="CC6" s="54">
        <f t="shared" si="5"/>
        <v>7.2914278067871132</v>
      </c>
      <c r="CD6" s="54">
        <f t="shared" si="5"/>
        <v>7.3904358067871128</v>
      </c>
      <c r="CE6" s="54" t="e">
        <f t="shared" si="5"/>
        <v>#DIV/0!</v>
      </c>
      <c r="CF6" s="54" t="e">
        <f t="shared" si="5"/>
        <v>#DIV/0!</v>
      </c>
      <c r="CG6" s="54"/>
      <c r="CH6" s="54" t="e">
        <f t="shared" si="6"/>
        <v>#DIV/0!</v>
      </c>
      <c r="CI6" s="54" t="e">
        <f t="shared" ref="CI6:CI28" si="18">BQ6/E6</f>
        <v>#DIV/0!</v>
      </c>
    </row>
    <row r="7" spans="2:87" ht="18" customHeight="1" x14ac:dyDescent="0.3">
      <c r="B7" s="14">
        <v>3</v>
      </c>
      <c r="C7" s="119"/>
      <c r="D7" s="119"/>
      <c r="E7" s="119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54" t="e">
        <f t="shared" si="7"/>
        <v>#DIV/0!</v>
      </c>
      <c r="Q7" s="53">
        <f>'3. Nomination'!W8</f>
        <v>10000</v>
      </c>
      <c r="R7" s="53">
        <f>'3. Nomination'!X8</f>
        <v>2500</v>
      </c>
      <c r="S7" s="53">
        <f>'3. Nomination'!Y8</f>
        <v>5000</v>
      </c>
      <c r="T7" s="53">
        <f>'3. Nomination'!Z8</f>
        <v>5000</v>
      </c>
      <c r="U7" s="53">
        <f>'3. Nomination'!AA8</f>
        <v>0</v>
      </c>
      <c r="V7" s="53">
        <f>'3. Nomination'!AB8</f>
        <v>0</v>
      </c>
      <c r="W7" s="53">
        <f>'3. Nomination'!AC8</f>
        <v>0</v>
      </c>
      <c r="X7" s="53">
        <f t="shared" ref="X7:X28" si="19">E7-Q7-R7-S7-T7-U7-V7-W7</f>
        <v>-22500</v>
      </c>
      <c r="Y7" s="53">
        <f>'1. Rates'!C$41*'1. Rates'!C$55</f>
        <v>32322.089552238805</v>
      </c>
      <c r="Z7" s="53">
        <f>'1. Rates'!D$41*'1. Rates'!D$55</f>
        <v>8080.5223880597014</v>
      </c>
      <c r="AA7" s="53">
        <f>'1. Rates'!E$41*'1. Rates'!E$55</f>
        <v>16021.334867008814</v>
      </c>
      <c r="AB7" s="53">
        <f>'1. Rates'!F$41*'1. Rates'!F$55</f>
        <v>16463.334867008813</v>
      </c>
      <c r="AC7" s="53">
        <f>'1. Rates'!G$41*'1. Rates'!G$55</f>
        <v>0</v>
      </c>
      <c r="AD7" s="53">
        <f>'1. Rates'!H$41*'1. Rates'!H$55</f>
        <v>23081</v>
      </c>
      <c r="AE7" s="53"/>
      <c r="AF7" s="53"/>
      <c r="AG7" s="53">
        <f t="shared" si="8"/>
        <v>95968.281674316138</v>
      </c>
      <c r="AH7" s="53">
        <f>Q7*'1. Rates'!C$56</f>
        <v>32827.227958873475</v>
      </c>
      <c r="AI7" s="53">
        <f>R7*'1. Rates'!D$56</f>
        <v>8206.8069897183686</v>
      </c>
      <c r="AJ7" s="53">
        <f>S7*'1. Rates'!E$56</f>
        <v>16529.682127576514</v>
      </c>
      <c r="AK7" s="53">
        <f>T7*'1. Rates'!F$56</f>
        <v>16529.682127576514</v>
      </c>
      <c r="AL7" s="53">
        <f>U7*'1. Rates'!G$56</f>
        <v>0</v>
      </c>
      <c r="AM7" s="53">
        <f>V7*'1. Rates'!H$56</f>
        <v>0</v>
      </c>
      <c r="AN7" s="53">
        <f>W7*'1. Rates'!Q43</f>
        <v>0</v>
      </c>
      <c r="AO7" s="53" t="e">
        <f t="shared" si="9"/>
        <v>#DIV/0!</v>
      </c>
      <c r="AP7" s="53" t="e">
        <f t="shared" si="10"/>
        <v>#DIV/0!</v>
      </c>
      <c r="AQ7" s="53">
        <f>(Y7+AH7)*'1. Rates'!C$60</f>
        <v>7817.9181013334737</v>
      </c>
      <c r="AR7" s="53">
        <f>(Z7+AI7)*'1. Rates'!D$60</f>
        <v>1954.4795253333684</v>
      </c>
      <c r="AS7" s="53">
        <f>(AA7+AJ7)*'1. Rates'!E$60</f>
        <v>3906.122039350239</v>
      </c>
      <c r="AT7" s="53">
        <f>(AB7+AK7)*'1. Rates'!F$60</f>
        <v>3959.162039350239</v>
      </c>
      <c r="AU7" s="53">
        <f>(AC7+AL7)*'1. Rates'!G$60</f>
        <v>0</v>
      </c>
      <c r="AV7" s="53">
        <f>(AD7+AM7)*'1. Rates'!H$60</f>
        <v>2769.72</v>
      </c>
      <c r="AW7" s="53">
        <f>(AE7+AN7)*'1. Rates'!$I$60</f>
        <v>0</v>
      </c>
      <c r="AX7" s="53" t="e">
        <f>(AF7+AO7)*'1. Rates'!$J$60</f>
        <v>#DIV/0!</v>
      </c>
      <c r="AY7" s="53" t="e">
        <f t="shared" si="11"/>
        <v>#DIV/0!</v>
      </c>
      <c r="AZ7" s="53">
        <f t="shared" si="12"/>
        <v>65149.317511112284</v>
      </c>
      <c r="BA7" s="53">
        <f t="shared" si="0"/>
        <v>16287.329377778071</v>
      </c>
      <c r="BB7" s="53">
        <f t="shared" si="0"/>
        <v>32551.016994585327</v>
      </c>
      <c r="BC7" s="53">
        <f t="shared" si="0"/>
        <v>32993.016994585327</v>
      </c>
      <c r="BD7" s="53">
        <f t="shared" si="0"/>
        <v>0</v>
      </c>
      <c r="BE7" s="53">
        <f t="shared" si="0"/>
        <v>23081</v>
      </c>
      <c r="BF7" s="53">
        <f t="shared" si="0"/>
        <v>0</v>
      </c>
      <c r="BG7" s="53" t="e">
        <f t="shared" si="0"/>
        <v>#DIV/0!</v>
      </c>
      <c r="BH7" s="53" t="e">
        <f t="shared" si="13"/>
        <v>#DIV/0!</v>
      </c>
      <c r="BI7" s="53">
        <f t="shared" si="14"/>
        <v>72967.235612445758</v>
      </c>
      <c r="BJ7" s="53">
        <f t="shared" si="1"/>
        <v>18241.80890311144</v>
      </c>
      <c r="BK7" s="53">
        <f t="shared" si="1"/>
        <v>36457.139033935564</v>
      </c>
      <c r="BL7" s="53">
        <f t="shared" si="1"/>
        <v>36952.179033935565</v>
      </c>
      <c r="BM7" s="53">
        <f t="shared" si="1"/>
        <v>0</v>
      </c>
      <c r="BN7" s="53">
        <f t="shared" si="1"/>
        <v>25850.720000000001</v>
      </c>
      <c r="BO7" s="53">
        <f t="shared" si="1"/>
        <v>0</v>
      </c>
      <c r="BP7" s="53" t="e">
        <f t="shared" si="1"/>
        <v>#DIV/0!</v>
      </c>
      <c r="BQ7" s="53" t="e">
        <f t="shared" si="15"/>
        <v>#DIV/0!</v>
      </c>
      <c r="BR7" s="54">
        <f t="shared" si="16"/>
        <v>6.5149317511112281</v>
      </c>
      <c r="BS7" s="54">
        <f t="shared" si="2"/>
        <v>6.5149317511112281</v>
      </c>
      <c r="BT7" s="54">
        <f t="shared" si="2"/>
        <v>6.5102033989170653</v>
      </c>
      <c r="BU7" s="54">
        <f t="shared" si="2"/>
        <v>6.5986033989170654</v>
      </c>
      <c r="BV7" s="54" t="e">
        <f t="shared" si="2"/>
        <v>#DIV/0!</v>
      </c>
      <c r="BW7" s="54" t="e">
        <f t="shared" si="2"/>
        <v>#DIV/0!</v>
      </c>
      <c r="BX7" s="54"/>
      <c r="BY7" s="54" t="e">
        <f t="shared" si="3"/>
        <v>#DIV/0!</v>
      </c>
      <c r="BZ7" s="54" t="e">
        <f t="shared" si="4"/>
        <v>#DIV/0!</v>
      </c>
      <c r="CA7" s="54">
        <f t="shared" si="17"/>
        <v>7.2967235612445762</v>
      </c>
      <c r="CB7" s="54">
        <f t="shared" si="5"/>
        <v>7.2967235612445762</v>
      </c>
      <c r="CC7" s="54">
        <f t="shared" si="5"/>
        <v>7.2914278067871132</v>
      </c>
      <c r="CD7" s="54">
        <f t="shared" si="5"/>
        <v>7.3904358067871128</v>
      </c>
      <c r="CE7" s="54" t="e">
        <f t="shared" si="5"/>
        <v>#DIV/0!</v>
      </c>
      <c r="CF7" s="54" t="e">
        <f t="shared" si="5"/>
        <v>#DIV/0!</v>
      </c>
      <c r="CG7" s="54"/>
      <c r="CH7" s="54" t="e">
        <f t="shared" si="6"/>
        <v>#DIV/0!</v>
      </c>
      <c r="CI7" s="54" t="e">
        <f t="shared" si="18"/>
        <v>#DIV/0!</v>
      </c>
    </row>
    <row r="8" spans="2:87" ht="18" customHeight="1" x14ac:dyDescent="0.3">
      <c r="B8" s="14">
        <v>4</v>
      </c>
      <c r="C8" s="119"/>
      <c r="D8" s="119"/>
      <c r="E8" s="119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54" t="e">
        <f t="shared" si="7"/>
        <v>#DIV/0!</v>
      </c>
      <c r="Q8" s="53">
        <f>'3. Nomination'!W9</f>
        <v>10000</v>
      </c>
      <c r="R8" s="53">
        <f>'3. Nomination'!X9</f>
        <v>2500</v>
      </c>
      <c r="S8" s="53">
        <f>'3. Nomination'!Y9</f>
        <v>5000</v>
      </c>
      <c r="T8" s="53">
        <f>'3. Nomination'!Z9</f>
        <v>5000</v>
      </c>
      <c r="U8" s="53">
        <f>'3. Nomination'!AA9</f>
        <v>0</v>
      </c>
      <c r="V8" s="53">
        <f>'3. Nomination'!AB9</f>
        <v>0</v>
      </c>
      <c r="W8" s="53">
        <f>'3. Nomination'!AC9</f>
        <v>0</v>
      </c>
      <c r="X8" s="53">
        <f t="shared" si="19"/>
        <v>-22500</v>
      </c>
      <c r="Y8" s="53">
        <f>'1. Rates'!C$41*'1. Rates'!C$55</f>
        <v>32322.089552238805</v>
      </c>
      <c r="Z8" s="53">
        <f>'1. Rates'!D$41*'1. Rates'!D$55</f>
        <v>8080.5223880597014</v>
      </c>
      <c r="AA8" s="53">
        <f>'1. Rates'!E$41*'1. Rates'!E$55</f>
        <v>16021.334867008814</v>
      </c>
      <c r="AB8" s="53">
        <f>'1. Rates'!F$41*'1. Rates'!F$55</f>
        <v>16463.334867008813</v>
      </c>
      <c r="AC8" s="53">
        <f>'1. Rates'!G$41*'1. Rates'!G$55</f>
        <v>0</v>
      </c>
      <c r="AD8" s="53">
        <f>'1. Rates'!H$41*'1. Rates'!H$55</f>
        <v>23081</v>
      </c>
      <c r="AE8" s="53"/>
      <c r="AF8" s="53"/>
      <c r="AG8" s="53">
        <f t="shared" si="8"/>
        <v>95968.281674316138</v>
      </c>
      <c r="AH8" s="53">
        <f>Q8*'1. Rates'!C$56</f>
        <v>32827.227958873475</v>
      </c>
      <c r="AI8" s="53">
        <f>R8*'1. Rates'!D$56</f>
        <v>8206.8069897183686</v>
      </c>
      <c r="AJ8" s="53">
        <f>S8*'1. Rates'!E$56</f>
        <v>16529.682127576514</v>
      </c>
      <c r="AK8" s="53">
        <f>T8*'1. Rates'!F$56</f>
        <v>16529.682127576514</v>
      </c>
      <c r="AL8" s="53">
        <f>U8*'1. Rates'!G$56</f>
        <v>0</v>
      </c>
      <c r="AM8" s="53">
        <f>V8*'1. Rates'!H$56</f>
        <v>0</v>
      </c>
      <c r="AN8" s="53">
        <f>W8*'1. Rates'!Q44</f>
        <v>0</v>
      </c>
      <c r="AO8" s="53" t="e">
        <f t="shared" si="9"/>
        <v>#DIV/0!</v>
      </c>
      <c r="AP8" s="53" t="e">
        <f t="shared" si="10"/>
        <v>#DIV/0!</v>
      </c>
      <c r="AQ8" s="53">
        <f>(Y8+AH8)*'1. Rates'!C$60</f>
        <v>7817.9181013334737</v>
      </c>
      <c r="AR8" s="53">
        <f>(Z8+AI8)*'1. Rates'!D$60</f>
        <v>1954.4795253333684</v>
      </c>
      <c r="AS8" s="53">
        <f>(AA8+AJ8)*'1. Rates'!E$60</f>
        <v>3906.122039350239</v>
      </c>
      <c r="AT8" s="53">
        <f>(AB8+AK8)*'1. Rates'!F$60</f>
        <v>3959.162039350239</v>
      </c>
      <c r="AU8" s="53">
        <f>(AC8+AL8)*'1. Rates'!G$60</f>
        <v>0</v>
      </c>
      <c r="AV8" s="53">
        <f>(AD8+AM8)*'1. Rates'!H$60</f>
        <v>2769.72</v>
      </c>
      <c r="AW8" s="53">
        <f>(AE8+AN8)*'1. Rates'!$I$60</f>
        <v>0</v>
      </c>
      <c r="AX8" s="53" t="e">
        <f>(AF8+AO8)*'1. Rates'!$J$60</f>
        <v>#DIV/0!</v>
      </c>
      <c r="AY8" s="53" t="e">
        <f t="shared" si="11"/>
        <v>#DIV/0!</v>
      </c>
      <c r="AZ8" s="53">
        <f t="shared" si="12"/>
        <v>65149.317511112284</v>
      </c>
      <c r="BA8" s="53">
        <f t="shared" si="0"/>
        <v>16287.329377778071</v>
      </c>
      <c r="BB8" s="53">
        <f t="shared" si="0"/>
        <v>32551.016994585327</v>
      </c>
      <c r="BC8" s="53">
        <f t="shared" si="0"/>
        <v>32993.016994585327</v>
      </c>
      <c r="BD8" s="53">
        <f t="shared" si="0"/>
        <v>0</v>
      </c>
      <c r="BE8" s="53">
        <f t="shared" si="0"/>
        <v>23081</v>
      </c>
      <c r="BF8" s="53">
        <f t="shared" si="0"/>
        <v>0</v>
      </c>
      <c r="BG8" s="53" t="e">
        <f t="shared" si="0"/>
        <v>#DIV/0!</v>
      </c>
      <c r="BH8" s="53" t="e">
        <f t="shared" si="13"/>
        <v>#DIV/0!</v>
      </c>
      <c r="BI8" s="53">
        <f t="shared" si="14"/>
        <v>72967.235612445758</v>
      </c>
      <c r="BJ8" s="53">
        <f t="shared" si="1"/>
        <v>18241.80890311144</v>
      </c>
      <c r="BK8" s="53">
        <f t="shared" si="1"/>
        <v>36457.139033935564</v>
      </c>
      <c r="BL8" s="53">
        <f t="shared" si="1"/>
        <v>36952.179033935565</v>
      </c>
      <c r="BM8" s="53">
        <f t="shared" si="1"/>
        <v>0</v>
      </c>
      <c r="BN8" s="53">
        <f t="shared" si="1"/>
        <v>25850.720000000001</v>
      </c>
      <c r="BO8" s="53">
        <f t="shared" si="1"/>
        <v>0</v>
      </c>
      <c r="BP8" s="53" t="e">
        <f t="shared" si="1"/>
        <v>#DIV/0!</v>
      </c>
      <c r="BQ8" s="53" t="e">
        <f t="shared" si="15"/>
        <v>#DIV/0!</v>
      </c>
      <c r="BR8" s="54">
        <f t="shared" si="16"/>
        <v>6.5149317511112281</v>
      </c>
      <c r="BS8" s="54">
        <f t="shared" si="2"/>
        <v>6.5149317511112281</v>
      </c>
      <c r="BT8" s="54">
        <f t="shared" si="2"/>
        <v>6.5102033989170653</v>
      </c>
      <c r="BU8" s="54">
        <f t="shared" si="2"/>
        <v>6.5986033989170654</v>
      </c>
      <c r="BV8" s="54" t="e">
        <f t="shared" si="2"/>
        <v>#DIV/0!</v>
      </c>
      <c r="BW8" s="54" t="e">
        <f t="shared" si="2"/>
        <v>#DIV/0!</v>
      </c>
      <c r="BX8" s="54"/>
      <c r="BY8" s="54" t="e">
        <f t="shared" si="3"/>
        <v>#DIV/0!</v>
      </c>
      <c r="BZ8" s="54" t="e">
        <f t="shared" si="4"/>
        <v>#DIV/0!</v>
      </c>
      <c r="CA8" s="54">
        <f t="shared" si="17"/>
        <v>7.2967235612445762</v>
      </c>
      <c r="CB8" s="54">
        <f t="shared" si="5"/>
        <v>7.2967235612445762</v>
      </c>
      <c r="CC8" s="54">
        <f t="shared" si="5"/>
        <v>7.2914278067871132</v>
      </c>
      <c r="CD8" s="54">
        <f t="shared" si="5"/>
        <v>7.3904358067871128</v>
      </c>
      <c r="CE8" s="54" t="e">
        <f t="shared" si="5"/>
        <v>#DIV/0!</v>
      </c>
      <c r="CF8" s="54" t="e">
        <f t="shared" si="5"/>
        <v>#DIV/0!</v>
      </c>
      <c r="CG8" s="54"/>
      <c r="CH8" s="54" t="e">
        <f t="shared" si="6"/>
        <v>#DIV/0!</v>
      </c>
      <c r="CI8" s="54" t="e">
        <f t="shared" si="18"/>
        <v>#DIV/0!</v>
      </c>
    </row>
    <row r="9" spans="2:87" ht="18" customHeight="1" x14ac:dyDescent="0.3">
      <c r="B9" s="14">
        <v>5</v>
      </c>
      <c r="C9" s="119"/>
      <c r="D9" s="119"/>
      <c r="E9" s="11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4" t="e">
        <f t="shared" si="7"/>
        <v>#DIV/0!</v>
      </c>
      <c r="Q9" s="53">
        <f>'3. Nomination'!W10</f>
        <v>10000</v>
      </c>
      <c r="R9" s="53">
        <f>'3. Nomination'!X10</f>
        <v>2500</v>
      </c>
      <c r="S9" s="53">
        <f>'3. Nomination'!Y10</f>
        <v>5000</v>
      </c>
      <c r="T9" s="53">
        <f>'3. Nomination'!Z10</f>
        <v>5000</v>
      </c>
      <c r="U9" s="53">
        <f>'3. Nomination'!AA10</f>
        <v>0</v>
      </c>
      <c r="V9" s="53">
        <f>'3. Nomination'!AB10</f>
        <v>0</v>
      </c>
      <c r="W9" s="53">
        <f>'3. Nomination'!AC10</f>
        <v>0</v>
      </c>
      <c r="X9" s="53">
        <f t="shared" si="19"/>
        <v>-22500</v>
      </c>
      <c r="Y9" s="53">
        <f>'1. Rates'!C$41*'1. Rates'!C$55</f>
        <v>32322.089552238805</v>
      </c>
      <c r="Z9" s="53">
        <f>'1. Rates'!D$41*'1. Rates'!D$55</f>
        <v>8080.5223880597014</v>
      </c>
      <c r="AA9" s="53">
        <f>'1. Rates'!E$41*'1. Rates'!E$55</f>
        <v>16021.334867008814</v>
      </c>
      <c r="AB9" s="53">
        <f>'1. Rates'!F$41*'1. Rates'!F$55</f>
        <v>16463.334867008813</v>
      </c>
      <c r="AC9" s="53">
        <f>'1. Rates'!G$41*'1. Rates'!G$55</f>
        <v>0</v>
      </c>
      <c r="AD9" s="53">
        <f>'1. Rates'!H$41*'1. Rates'!H$55</f>
        <v>23081</v>
      </c>
      <c r="AE9" s="53"/>
      <c r="AF9" s="53"/>
      <c r="AG9" s="53">
        <f t="shared" si="8"/>
        <v>95968.281674316138</v>
      </c>
      <c r="AH9" s="53">
        <f>Q9*'1. Rates'!C$56</f>
        <v>32827.227958873475</v>
      </c>
      <c r="AI9" s="53">
        <f>R9*'1. Rates'!D$56</f>
        <v>8206.8069897183686</v>
      </c>
      <c r="AJ9" s="53">
        <f>S9*'1. Rates'!E$56</f>
        <v>16529.682127576514</v>
      </c>
      <c r="AK9" s="53">
        <f>T9*'1. Rates'!F$56</f>
        <v>16529.682127576514</v>
      </c>
      <c r="AL9" s="53">
        <f>U9*'1. Rates'!G$56</f>
        <v>0</v>
      </c>
      <c r="AM9" s="53">
        <f>V9*'1. Rates'!H$56</f>
        <v>0</v>
      </c>
      <c r="AN9" s="53">
        <f>W9*'1. Rates'!Q45</f>
        <v>0</v>
      </c>
      <c r="AO9" s="53" t="e">
        <f t="shared" si="9"/>
        <v>#DIV/0!</v>
      </c>
      <c r="AP9" s="53" t="e">
        <f t="shared" si="10"/>
        <v>#DIV/0!</v>
      </c>
      <c r="AQ9" s="53">
        <f>(Y9+AH9)*'1. Rates'!C$60</f>
        <v>7817.9181013334737</v>
      </c>
      <c r="AR9" s="53">
        <f>(Z9+AI9)*'1. Rates'!D$60</f>
        <v>1954.4795253333684</v>
      </c>
      <c r="AS9" s="53">
        <f>(AA9+AJ9)*'1. Rates'!E$60</f>
        <v>3906.122039350239</v>
      </c>
      <c r="AT9" s="53">
        <f>(AB9+AK9)*'1. Rates'!F$60</f>
        <v>3959.162039350239</v>
      </c>
      <c r="AU9" s="53">
        <f>(AC9+AL9)*'1. Rates'!G$60</f>
        <v>0</v>
      </c>
      <c r="AV9" s="53">
        <f>(AD9+AM9)*'1. Rates'!H$60</f>
        <v>2769.72</v>
      </c>
      <c r="AW9" s="53">
        <f>(AE9+AN9)*'1. Rates'!$I$60</f>
        <v>0</v>
      </c>
      <c r="AX9" s="53" t="e">
        <f>(AF9+AO9)*'1. Rates'!$J$60</f>
        <v>#DIV/0!</v>
      </c>
      <c r="AY9" s="53" t="e">
        <f t="shared" si="11"/>
        <v>#DIV/0!</v>
      </c>
      <c r="AZ9" s="53">
        <f t="shared" si="12"/>
        <v>65149.317511112284</v>
      </c>
      <c r="BA9" s="53">
        <f t="shared" si="0"/>
        <v>16287.329377778071</v>
      </c>
      <c r="BB9" s="53">
        <f t="shared" si="0"/>
        <v>32551.016994585327</v>
      </c>
      <c r="BC9" s="53">
        <f t="shared" si="0"/>
        <v>32993.016994585327</v>
      </c>
      <c r="BD9" s="53">
        <f t="shared" si="0"/>
        <v>0</v>
      </c>
      <c r="BE9" s="53">
        <f t="shared" si="0"/>
        <v>23081</v>
      </c>
      <c r="BF9" s="53">
        <f t="shared" si="0"/>
        <v>0</v>
      </c>
      <c r="BG9" s="53" t="e">
        <f t="shared" si="0"/>
        <v>#DIV/0!</v>
      </c>
      <c r="BH9" s="53" t="e">
        <f t="shared" si="13"/>
        <v>#DIV/0!</v>
      </c>
      <c r="BI9" s="53">
        <f t="shared" si="14"/>
        <v>72967.235612445758</v>
      </c>
      <c r="BJ9" s="53">
        <f t="shared" si="1"/>
        <v>18241.80890311144</v>
      </c>
      <c r="BK9" s="53">
        <f t="shared" si="1"/>
        <v>36457.139033935564</v>
      </c>
      <c r="BL9" s="53">
        <f t="shared" si="1"/>
        <v>36952.179033935565</v>
      </c>
      <c r="BM9" s="53">
        <f t="shared" si="1"/>
        <v>0</v>
      </c>
      <c r="BN9" s="53">
        <f t="shared" si="1"/>
        <v>25850.720000000001</v>
      </c>
      <c r="BO9" s="53">
        <f t="shared" si="1"/>
        <v>0</v>
      </c>
      <c r="BP9" s="53" t="e">
        <f t="shared" si="1"/>
        <v>#DIV/0!</v>
      </c>
      <c r="BQ9" s="53" t="e">
        <f t="shared" si="15"/>
        <v>#DIV/0!</v>
      </c>
      <c r="BR9" s="54">
        <f t="shared" si="16"/>
        <v>6.5149317511112281</v>
      </c>
      <c r="BS9" s="54">
        <f t="shared" si="2"/>
        <v>6.5149317511112281</v>
      </c>
      <c r="BT9" s="54">
        <f t="shared" si="2"/>
        <v>6.5102033989170653</v>
      </c>
      <c r="BU9" s="54">
        <f t="shared" si="2"/>
        <v>6.5986033989170654</v>
      </c>
      <c r="BV9" s="54" t="e">
        <f t="shared" si="2"/>
        <v>#DIV/0!</v>
      </c>
      <c r="BW9" s="54" t="e">
        <f t="shared" si="2"/>
        <v>#DIV/0!</v>
      </c>
      <c r="BX9" s="54"/>
      <c r="BY9" s="54" t="e">
        <f t="shared" si="3"/>
        <v>#DIV/0!</v>
      </c>
      <c r="BZ9" s="54" t="e">
        <f t="shared" si="4"/>
        <v>#DIV/0!</v>
      </c>
      <c r="CA9" s="54">
        <f t="shared" si="17"/>
        <v>7.2967235612445762</v>
      </c>
      <c r="CB9" s="54">
        <f t="shared" si="5"/>
        <v>7.2967235612445762</v>
      </c>
      <c r="CC9" s="54">
        <f t="shared" si="5"/>
        <v>7.2914278067871132</v>
      </c>
      <c r="CD9" s="54">
        <f t="shared" si="5"/>
        <v>7.3904358067871128</v>
      </c>
      <c r="CE9" s="54" t="e">
        <f t="shared" si="5"/>
        <v>#DIV/0!</v>
      </c>
      <c r="CF9" s="54" t="e">
        <f t="shared" si="5"/>
        <v>#DIV/0!</v>
      </c>
      <c r="CG9" s="54"/>
      <c r="CH9" s="54" t="e">
        <f t="shared" si="6"/>
        <v>#DIV/0!</v>
      </c>
      <c r="CI9" s="54" t="e">
        <f t="shared" si="18"/>
        <v>#DIV/0!</v>
      </c>
    </row>
    <row r="10" spans="2:87" ht="18" customHeight="1" x14ac:dyDescent="0.3">
      <c r="B10" s="14">
        <v>6</v>
      </c>
      <c r="C10" s="119"/>
      <c r="D10" s="119"/>
      <c r="E10" s="119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54" t="e">
        <f t="shared" si="7"/>
        <v>#DIV/0!</v>
      </c>
      <c r="Q10" s="53">
        <f>'3. Nomination'!W11</f>
        <v>10000</v>
      </c>
      <c r="R10" s="53">
        <f>'3. Nomination'!X11</f>
        <v>2500</v>
      </c>
      <c r="S10" s="53">
        <f>'3. Nomination'!Y11</f>
        <v>5000</v>
      </c>
      <c r="T10" s="53">
        <f>'3. Nomination'!Z11</f>
        <v>5000</v>
      </c>
      <c r="U10" s="53">
        <f>'3. Nomination'!AA11</f>
        <v>10000</v>
      </c>
      <c r="V10" s="53">
        <f>'3. Nomination'!AB11</f>
        <v>0</v>
      </c>
      <c r="W10" s="53">
        <f>'3. Nomination'!AC11</f>
        <v>0</v>
      </c>
      <c r="X10" s="53">
        <f t="shared" si="19"/>
        <v>-32500</v>
      </c>
      <c r="Y10" s="53">
        <f>'1. Rates'!C$41*'1. Rates'!C$55</f>
        <v>32322.089552238805</v>
      </c>
      <c r="Z10" s="53">
        <f>'1. Rates'!D$41*'1. Rates'!D$55</f>
        <v>8080.5223880597014</v>
      </c>
      <c r="AA10" s="53">
        <f>'1. Rates'!E$41*'1. Rates'!E$55</f>
        <v>16021.334867008814</v>
      </c>
      <c r="AB10" s="53">
        <f>'1. Rates'!F$41*'1. Rates'!F$55</f>
        <v>16463.334867008813</v>
      </c>
      <c r="AC10" s="53">
        <f>'1. Rates'!G$41*'1. Rates'!G$55</f>
        <v>0</v>
      </c>
      <c r="AD10" s="53">
        <f>'1. Rates'!H$41*'1. Rates'!H$55</f>
        <v>23081</v>
      </c>
      <c r="AE10" s="53"/>
      <c r="AF10" s="53"/>
      <c r="AG10" s="53">
        <f t="shared" si="8"/>
        <v>95968.281674316138</v>
      </c>
      <c r="AH10" s="53">
        <f>Q10*'1. Rates'!C$56</f>
        <v>32827.227958873475</v>
      </c>
      <c r="AI10" s="53">
        <f>R10*'1. Rates'!D$56</f>
        <v>8206.8069897183686</v>
      </c>
      <c r="AJ10" s="53">
        <f>S10*'1. Rates'!E$56</f>
        <v>16529.682127576514</v>
      </c>
      <c r="AK10" s="53">
        <f>T10*'1. Rates'!F$56</f>
        <v>16529.682127576514</v>
      </c>
      <c r="AL10" s="53">
        <f>U10*'1. Rates'!G$56</f>
        <v>61814</v>
      </c>
      <c r="AM10" s="53">
        <f>V10*'1. Rates'!H$56</f>
        <v>0</v>
      </c>
      <c r="AN10" s="53">
        <f>W10*'1. Rates'!Q46</f>
        <v>0</v>
      </c>
      <c r="AO10" s="53" t="e">
        <f t="shared" si="9"/>
        <v>#DIV/0!</v>
      </c>
      <c r="AP10" s="53" t="e">
        <f t="shared" si="10"/>
        <v>#DIV/0!</v>
      </c>
      <c r="AQ10" s="53">
        <f>(Y10+AH10)*'1. Rates'!C$60</f>
        <v>7817.9181013334737</v>
      </c>
      <c r="AR10" s="53">
        <f>(Z10+AI10)*'1. Rates'!D$60</f>
        <v>1954.4795253333684</v>
      </c>
      <c r="AS10" s="53">
        <f>(AA10+AJ10)*'1. Rates'!E$60</f>
        <v>3906.122039350239</v>
      </c>
      <c r="AT10" s="53">
        <f>(AB10+AK10)*'1. Rates'!F$60</f>
        <v>3959.162039350239</v>
      </c>
      <c r="AU10" s="53">
        <f>(AC10+AL10)*'1. Rates'!G$60</f>
        <v>0</v>
      </c>
      <c r="AV10" s="53">
        <f>(AD10+AM10)*'1. Rates'!H$60</f>
        <v>2769.72</v>
      </c>
      <c r="AW10" s="53">
        <f>(AE10+AN10)*'1. Rates'!$I$60</f>
        <v>0</v>
      </c>
      <c r="AX10" s="53" t="e">
        <f>(AF10+AO10)*'1. Rates'!$J$60</f>
        <v>#DIV/0!</v>
      </c>
      <c r="AY10" s="53" t="e">
        <f t="shared" si="11"/>
        <v>#DIV/0!</v>
      </c>
      <c r="AZ10" s="53">
        <f t="shared" si="12"/>
        <v>65149.317511112284</v>
      </c>
      <c r="BA10" s="53">
        <f t="shared" si="0"/>
        <v>16287.329377778071</v>
      </c>
      <c r="BB10" s="53">
        <f t="shared" si="0"/>
        <v>32551.016994585327</v>
      </c>
      <c r="BC10" s="53">
        <f t="shared" si="0"/>
        <v>32993.016994585327</v>
      </c>
      <c r="BD10" s="53">
        <f t="shared" si="0"/>
        <v>61814</v>
      </c>
      <c r="BE10" s="53">
        <f t="shared" si="0"/>
        <v>23081</v>
      </c>
      <c r="BF10" s="53">
        <f t="shared" si="0"/>
        <v>0</v>
      </c>
      <c r="BG10" s="53" t="e">
        <f t="shared" si="0"/>
        <v>#DIV/0!</v>
      </c>
      <c r="BH10" s="53" t="e">
        <f t="shared" si="13"/>
        <v>#DIV/0!</v>
      </c>
      <c r="BI10" s="53">
        <f t="shared" si="14"/>
        <v>72967.235612445758</v>
      </c>
      <c r="BJ10" s="53">
        <f t="shared" si="1"/>
        <v>18241.80890311144</v>
      </c>
      <c r="BK10" s="53">
        <f t="shared" si="1"/>
        <v>36457.139033935564</v>
      </c>
      <c r="BL10" s="53">
        <f t="shared" si="1"/>
        <v>36952.179033935565</v>
      </c>
      <c r="BM10" s="53">
        <f t="shared" si="1"/>
        <v>61814</v>
      </c>
      <c r="BN10" s="53">
        <f t="shared" si="1"/>
        <v>25850.720000000001</v>
      </c>
      <c r="BO10" s="53">
        <f t="shared" si="1"/>
        <v>0</v>
      </c>
      <c r="BP10" s="53" t="e">
        <f t="shared" si="1"/>
        <v>#DIV/0!</v>
      </c>
      <c r="BQ10" s="53" t="e">
        <f t="shared" si="15"/>
        <v>#DIV/0!</v>
      </c>
      <c r="BR10" s="54">
        <f t="shared" si="16"/>
        <v>6.5149317511112281</v>
      </c>
      <c r="BS10" s="54">
        <f t="shared" si="2"/>
        <v>6.5149317511112281</v>
      </c>
      <c r="BT10" s="54">
        <f t="shared" si="2"/>
        <v>6.5102033989170653</v>
      </c>
      <c r="BU10" s="54">
        <f t="shared" si="2"/>
        <v>6.5986033989170654</v>
      </c>
      <c r="BV10" s="54">
        <f t="shared" si="2"/>
        <v>6.1814</v>
      </c>
      <c r="BW10" s="54" t="e">
        <f t="shared" si="2"/>
        <v>#DIV/0!</v>
      </c>
      <c r="BX10" s="54"/>
      <c r="BY10" s="54" t="e">
        <f t="shared" si="3"/>
        <v>#DIV/0!</v>
      </c>
      <c r="BZ10" s="54" t="e">
        <f t="shared" si="4"/>
        <v>#DIV/0!</v>
      </c>
      <c r="CA10" s="54">
        <f t="shared" si="17"/>
        <v>7.2967235612445762</v>
      </c>
      <c r="CB10" s="54">
        <f t="shared" si="5"/>
        <v>7.2967235612445762</v>
      </c>
      <c r="CC10" s="54">
        <f t="shared" si="5"/>
        <v>7.2914278067871132</v>
      </c>
      <c r="CD10" s="54">
        <f t="shared" si="5"/>
        <v>7.3904358067871128</v>
      </c>
      <c r="CE10" s="54">
        <f t="shared" si="5"/>
        <v>6.1814</v>
      </c>
      <c r="CF10" s="54" t="e">
        <f t="shared" si="5"/>
        <v>#DIV/0!</v>
      </c>
      <c r="CG10" s="54"/>
      <c r="CH10" s="54" t="e">
        <f t="shared" si="6"/>
        <v>#DIV/0!</v>
      </c>
      <c r="CI10" s="54" t="e">
        <f t="shared" si="18"/>
        <v>#DIV/0!</v>
      </c>
    </row>
    <row r="11" spans="2:87" ht="18" customHeight="1" x14ac:dyDescent="0.3">
      <c r="B11" s="14">
        <v>7</v>
      </c>
      <c r="C11" s="119"/>
      <c r="D11" s="119"/>
      <c r="E11" s="119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4" t="e">
        <f t="shared" si="7"/>
        <v>#DIV/0!</v>
      </c>
      <c r="Q11" s="53">
        <f>'3. Nomination'!W12</f>
        <v>10000</v>
      </c>
      <c r="R11" s="53">
        <f>'3. Nomination'!X12</f>
        <v>2500</v>
      </c>
      <c r="S11" s="53">
        <f>'3. Nomination'!Y12</f>
        <v>5000</v>
      </c>
      <c r="T11" s="53">
        <f>'3. Nomination'!Z12</f>
        <v>5000</v>
      </c>
      <c r="U11" s="53">
        <f>'3. Nomination'!AA12</f>
        <v>10000</v>
      </c>
      <c r="V11" s="53">
        <f>'3. Nomination'!AB12</f>
        <v>0</v>
      </c>
      <c r="W11" s="53">
        <f>'3. Nomination'!AC12</f>
        <v>0</v>
      </c>
      <c r="X11" s="53">
        <f t="shared" si="19"/>
        <v>-32500</v>
      </c>
      <c r="Y11" s="53">
        <f>'1. Rates'!C$41*'1. Rates'!C$55</f>
        <v>32322.089552238805</v>
      </c>
      <c r="Z11" s="53">
        <f>'1. Rates'!D$41*'1. Rates'!D$55</f>
        <v>8080.5223880597014</v>
      </c>
      <c r="AA11" s="53">
        <f>'1. Rates'!E$41*'1. Rates'!E$55</f>
        <v>16021.334867008814</v>
      </c>
      <c r="AB11" s="53">
        <f>'1. Rates'!F$41*'1. Rates'!F$55</f>
        <v>16463.334867008813</v>
      </c>
      <c r="AC11" s="53">
        <f>'1. Rates'!G$41*'1. Rates'!G$55</f>
        <v>0</v>
      </c>
      <c r="AD11" s="53">
        <f>'1. Rates'!H$41*'1. Rates'!H$55</f>
        <v>23081</v>
      </c>
      <c r="AE11" s="53"/>
      <c r="AF11" s="53"/>
      <c r="AG11" s="53">
        <f t="shared" si="8"/>
        <v>95968.281674316138</v>
      </c>
      <c r="AH11" s="53">
        <f>Q11*'1. Rates'!C$56</f>
        <v>32827.227958873475</v>
      </c>
      <c r="AI11" s="53">
        <f>R11*'1. Rates'!D$56</f>
        <v>8206.8069897183686</v>
      </c>
      <c r="AJ11" s="53">
        <f>S11*'1. Rates'!E$56</f>
        <v>16529.682127576514</v>
      </c>
      <c r="AK11" s="53">
        <f>T11*'1. Rates'!F$56</f>
        <v>16529.682127576514</v>
      </c>
      <c r="AL11" s="53">
        <f>U11*'1. Rates'!G$56</f>
        <v>61814</v>
      </c>
      <c r="AM11" s="53">
        <f>V11*'1. Rates'!H$56</f>
        <v>0</v>
      </c>
      <c r="AN11" s="53">
        <f>W11*'1. Rates'!Q47</f>
        <v>0</v>
      </c>
      <c r="AO11" s="53" t="e">
        <f t="shared" si="9"/>
        <v>#DIV/0!</v>
      </c>
      <c r="AP11" s="53" t="e">
        <f t="shared" si="10"/>
        <v>#DIV/0!</v>
      </c>
      <c r="AQ11" s="53">
        <f>(Y11+AH11)*'1. Rates'!C$60</f>
        <v>7817.9181013334737</v>
      </c>
      <c r="AR11" s="53">
        <f>(Z11+AI11)*'1. Rates'!D$60</f>
        <v>1954.4795253333684</v>
      </c>
      <c r="AS11" s="53">
        <f>(AA11+AJ11)*'1. Rates'!E$60</f>
        <v>3906.122039350239</v>
      </c>
      <c r="AT11" s="53">
        <f>(AB11+AK11)*'1. Rates'!F$60</f>
        <v>3959.162039350239</v>
      </c>
      <c r="AU11" s="53">
        <f>(AC11+AL11)*'1. Rates'!G$60</f>
        <v>0</v>
      </c>
      <c r="AV11" s="53">
        <f>(AD11+AM11)*'1. Rates'!H$60</f>
        <v>2769.72</v>
      </c>
      <c r="AW11" s="53">
        <f>(AE11+AN11)*'1. Rates'!$I$60</f>
        <v>0</v>
      </c>
      <c r="AX11" s="53" t="e">
        <f>(AF11+AO11)*'1. Rates'!$J$60</f>
        <v>#DIV/0!</v>
      </c>
      <c r="AY11" s="53" t="e">
        <f t="shared" si="11"/>
        <v>#DIV/0!</v>
      </c>
      <c r="AZ11" s="53">
        <f t="shared" si="12"/>
        <v>65149.317511112284</v>
      </c>
      <c r="BA11" s="53">
        <f t="shared" si="0"/>
        <v>16287.329377778071</v>
      </c>
      <c r="BB11" s="53">
        <f t="shared" si="0"/>
        <v>32551.016994585327</v>
      </c>
      <c r="BC11" s="53">
        <f t="shared" si="0"/>
        <v>32993.016994585327</v>
      </c>
      <c r="BD11" s="53">
        <f t="shared" si="0"/>
        <v>61814</v>
      </c>
      <c r="BE11" s="53">
        <f t="shared" si="0"/>
        <v>23081</v>
      </c>
      <c r="BF11" s="53">
        <f t="shared" si="0"/>
        <v>0</v>
      </c>
      <c r="BG11" s="53" t="e">
        <f t="shared" si="0"/>
        <v>#DIV/0!</v>
      </c>
      <c r="BH11" s="53" t="e">
        <f t="shared" si="13"/>
        <v>#DIV/0!</v>
      </c>
      <c r="BI11" s="53">
        <f t="shared" si="14"/>
        <v>72967.235612445758</v>
      </c>
      <c r="BJ11" s="53">
        <f t="shared" si="1"/>
        <v>18241.80890311144</v>
      </c>
      <c r="BK11" s="53">
        <f t="shared" si="1"/>
        <v>36457.139033935564</v>
      </c>
      <c r="BL11" s="53">
        <f t="shared" si="1"/>
        <v>36952.179033935565</v>
      </c>
      <c r="BM11" s="53">
        <f t="shared" si="1"/>
        <v>61814</v>
      </c>
      <c r="BN11" s="53">
        <f t="shared" si="1"/>
        <v>25850.720000000001</v>
      </c>
      <c r="BO11" s="53">
        <f t="shared" si="1"/>
        <v>0</v>
      </c>
      <c r="BP11" s="53" t="e">
        <f t="shared" si="1"/>
        <v>#DIV/0!</v>
      </c>
      <c r="BQ11" s="53" t="e">
        <f t="shared" si="15"/>
        <v>#DIV/0!</v>
      </c>
      <c r="BR11" s="54">
        <f t="shared" si="16"/>
        <v>6.5149317511112281</v>
      </c>
      <c r="BS11" s="54">
        <f t="shared" si="2"/>
        <v>6.5149317511112281</v>
      </c>
      <c r="BT11" s="54">
        <f t="shared" si="2"/>
        <v>6.5102033989170653</v>
      </c>
      <c r="BU11" s="54">
        <f t="shared" si="2"/>
        <v>6.5986033989170654</v>
      </c>
      <c r="BV11" s="54">
        <f t="shared" si="2"/>
        <v>6.1814</v>
      </c>
      <c r="BW11" s="54" t="e">
        <f t="shared" si="2"/>
        <v>#DIV/0!</v>
      </c>
      <c r="BX11" s="54"/>
      <c r="BY11" s="54" t="e">
        <f t="shared" si="3"/>
        <v>#DIV/0!</v>
      </c>
      <c r="BZ11" s="54" t="e">
        <f t="shared" si="4"/>
        <v>#DIV/0!</v>
      </c>
      <c r="CA11" s="54">
        <f t="shared" si="17"/>
        <v>7.2967235612445762</v>
      </c>
      <c r="CB11" s="54">
        <f t="shared" si="5"/>
        <v>7.2967235612445762</v>
      </c>
      <c r="CC11" s="54">
        <f t="shared" si="5"/>
        <v>7.2914278067871132</v>
      </c>
      <c r="CD11" s="54">
        <f t="shared" si="5"/>
        <v>7.3904358067871128</v>
      </c>
      <c r="CE11" s="54">
        <f t="shared" si="5"/>
        <v>6.1814</v>
      </c>
      <c r="CF11" s="54" t="e">
        <f t="shared" si="5"/>
        <v>#DIV/0!</v>
      </c>
      <c r="CG11" s="54"/>
      <c r="CH11" s="54" t="e">
        <f t="shared" si="6"/>
        <v>#DIV/0!</v>
      </c>
      <c r="CI11" s="54" t="e">
        <f t="shared" si="18"/>
        <v>#DIV/0!</v>
      </c>
    </row>
    <row r="12" spans="2:87" ht="18" customHeight="1" x14ac:dyDescent="0.3">
      <c r="B12" s="14">
        <v>8</v>
      </c>
      <c r="C12" s="119"/>
      <c r="D12" s="119"/>
      <c r="E12" s="119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4" t="e">
        <f t="shared" si="7"/>
        <v>#DIV/0!</v>
      </c>
      <c r="Q12" s="53">
        <f>'3. Nomination'!W13</f>
        <v>10000</v>
      </c>
      <c r="R12" s="53">
        <f>'3. Nomination'!X13</f>
        <v>2500</v>
      </c>
      <c r="S12" s="53">
        <f>'3. Nomination'!Y13</f>
        <v>5000</v>
      </c>
      <c r="T12" s="53">
        <f>'3. Nomination'!Z13</f>
        <v>5000</v>
      </c>
      <c r="U12" s="53">
        <f>'3. Nomination'!AA13</f>
        <v>10000</v>
      </c>
      <c r="V12" s="53">
        <f>'3. Nomination'!AB13</f>
        <v>0</v>
      </c>
      <c r="W12" s="53">
        <f>'3. Nomination'!AC13</f>
        <v>0</v>
      </c>
      <c r="X12" s="53">
        <f t="shared" si="19"/>
        <v>-32500</v>
      </c>
      <c r="Y12" s="53">
        <f>'1. Rates'!C$41*'1. Rates'!C$55</f>
        <v>32322.089552238805</v>
      </c>
      <c r="Z12" s="53">
        <f>'1. Rates'!D$41*'1. Rates'!D$55</f>
        <v>8080.5223880597014</v>
      </c>
      <c r="AA12" s="53">
        <f>'1. Rates'!E$41*'1. Rates'!E$55</f>
        <v>16021.334867008814</v>
      </c>
      <c r="AB12" s="53">
        <f>'1. Rates'!F$41*'1. Rates'!F$55</f>
        <v>16463.334867008813</v>
      </c>
      <c r="AC12" s="53">
        <f>'1. Rates'!G$41*'1. Rates'!G$55</f>
        <v>0</v>
      </c>
      <c r="AD12" s="53">
        <f>'1. Rates'!H$41*'1. Rates'!H$55</f>
        <v>23081</v>
      </c>
      <c r="AE12" s="53"/>
      <c r="AF12" s="53"/>
      <c r="AG12" s="53">
        <f t="shared" si="8"/>
        <v>95968.281674316138</v>
      </c>
      <c r="AH12" s="53">
        <f>Q12*'1. Rates'!C$56</f>
        <v>32827.227958873475</v>
      </c>
      <c r="AI12" s="53">
        <f>R12*'1. Rates'!D$56</f>
        <v>8206.8069897183686</v>
      </c>
      <c r="AJ12" s="53">
        <f>S12*'1. Rates'!E$56</f>
        <v>16529.682127576514</v>
      </c>
      <c r="AK12" s="53">
        <f>T12*'1. Rates'!F$56</f>
        <v>16529.682127576514</v>
      </c>
      <c r="AL12" s="53">
        <f>U12*'1. Rates'!G$56</f>
        <v>61814</v>
      </c>
      <c r="AM12" s="53">
        <f>V12*'1. Rates'!H$56</f>
        <v>0</v>
      </c>
      <c r="AN12" s="53">
        <f>W12*'1. Rates'!Q48</f>
        <v>0</v>
      </c>
      <c r="AO12" s="53" t="e">
        <f t="shared" si="9"/>
        <v>#DIV/0!</v>
      </c>
      <c r="AP12" s="53" t="e">
        <f t="shared" si="10"/>
        <v>#DIV/0!</v>
      </c>
      <c r="AQ12" s="53">
        <f>(Y12+AH12)*'1. Rates'!C$60</f>
        <v>7817.9181013334737</v>
      </c>
      <c r="AR12" s="53">
        <f>(Z12+AI12)*'1. Rates'!D$60</f>
        <v>1954.4795253333684</v>
      </c>
      <c r="AS12" s="53">
        <f>(AA12+AJ12)*'1. Rates'!E$60</f>
        <v>3906.122039350239</v>
      </c>
      <c r="AT12" s="53">
        <f>(AB12+AK12)*'1. Rates'!F$60</f>
        <v>3959.162039350239</v>
      </c>
      <c r="AU12" s="53">
        <f>(AC12+AL12)*'1. Rates'!G$60</f>
        <v>0</v>
      </c>
      <c r="AV12" s="53">
        <f>(AD12+AM12)*'1. Rates'!H$60</f>
        <v>2769.72</v>
      </c>
      <c r="AW12" s="53">
        <f>(AE12+AN12)*'1. Rates'!$I$60</f>
        <v>0</v>
      </c>
      <c r="AX12" s="53" t="e">
        <f>(AF12+AO12)*'1. Rates'!$J$60</f>
        <v>#DIV/0!</v>
      </c>
      <c r="AY12" s="53" t="e">
        <f t="shared" si="11"/>
        <v>#DIV/0!</v>
      </c>
      <c r="AZ12" s="53">
        <f t="shared" si="12"/>
        <v>65149.317511112284</v>
      </c>
      <c r="BA12" s="53">
        <f t="shared" si="0"/>
        <v>16287.329377778071</v>
      </c>
      <c r="BB12" s="53">
        <f t="shared" si="0"/>
        <v>32551.016994585327</v>
      </c>
      <c r="BC12" s="53">
        <f t="shared" si="0"/>
        <v>32993.016994585327</v>
      </c>
      <c r="BD12" s="53">
        <f t="shared" si="0"/>
        <v>61814</v>
      </c>
      <c r="BE12" s="53">
        <f t="shared" si="0"/>
        <v>23081</v>
      </c>
      <c r="BF12" s="53">
        <f t="shared" si="0"/>
        <v>0</v>
      </c>
      <c r="BG12" s="53" t="e">
        <f t="shared" si="0"/>
        <v>#DIV/0!</v>
      </c>
      <c r="BH12" s="53" t="e">
        <f t="shared" si="13"/>
        <v>#DIV/0!</v>
      </c>
      <c r="BI12" s="53">
        <f t="shared" si="14"/>
        <v>72967.235612445758</v>
      </c>
      <c r="BJ12" s="53">
        <f t="shared" si="1"/>
        <v>18241.80890311144</v>
      </c>
      <c r="BK12" s="53">
        <f t="shared" si="1"/>
        <v>36457.139033935564</v>
      </c>
      <c r="BL12" s="53">
        <f t="shared" si="1"/>
        <v>36952.179033935565</v>
      </c>
      <c r="BM12" s="53">
        <f t="shared" si="1"/>
        <v>61814</v>
      </c>
      <c r="BN12" s="53">
        <f t="shared" si="1"/>
        <v>25850.720000000001</v>
      </c>
      <c r="BO12" s="53">
        <f t="shared" si="1"/>
        <v>0</v>
      </c>
      <c r="BP12" s="53" t="e">
        <f t="shared" si="1"/>
        <v>#DIV/0!</v>
      </c>
      <c r="BQ12" s="53" t="e">
        <f t="shared" si="15"/>
        <v>#DIV/0!</v>
      </c>
      <c r="BR12" s="54">
        <f t="shared" si="16"/>
        <v>6.5149317511112281</v>
      </c>
      <c r="BS12" s="54">
        <f t="shared" si="2"/>
        <v>6.5149317511112281</v>
      </c>
      <c r="BT12" s="54">
        <f t="shared" si="2"/>
        <v>6.5102033989170653</v>
      </c>
      <c r="BU12" s="54">
        <f t="shared" si="2"/>
        <v>6.5986033989170654</v>
      </c>
      <c r="BV12" s="54">
        <f t="shared" si="2"/>
        <v>6.1814</v>
      </c>
      <c r="BW12" s="54" t="e">
        <f t="shared" si="2"/>
        <v>#DIV/0!</v>
      </c>
      <c r="BX12" s="54"/>
      <c r="BY12" s="54" t="e">
        <f t="shared" si="3"/>
        <v>#DIV/0!</v>
      </c>
      <c r="BZ12" s="54" t="e">
        <f t="shared" si="4"/>
        <v>#DIV/0!</v>
      </c>
      <c r="CA12" s="54">
        <f t="shared" si="17"/>
        <v>7.2967235612445762</v>
      </c>
      <c r="CB12" s="54">
        <f t="shared" si="5"/>
        <v>7.2967235612445762</v>
      </c>
      <c r="CC12" s="54">
        <f t="shared" si="5"/>
        <v>7.2914278067871132</v>
      </c>
      <c r="CD12" s="54">
        <f t="shared" si="5"/>
        <v>7.3904358067871128</v>
      </c>
      <c r="CE12" s="54">
        <f t="shared" si="5"/>
        <v>6.1814</v>
      </c>
      <c r="CF12" s="54" t="e">
        <f t="shared" si="5"/>
        <v>#DIV/0!</v>
      </c>
      <c r="CG12" s="54"/>
      <c r="CH12" s="54" t="e">
        <f t="shared" si="6"/>
        <v>#DIV/0!</v>
      </c>
      <c r="CI12" s="54" t="e">
        <f t="shared" si="18"/>
        <v>#DIV/0!</v>
      </c>
    </row>
    <row r="13" spans="2:87" ht="18" customHeight="1" x14ac:dyDescent="0.3">
      <c r="B13" s="14">
        <v>9</v>
      </c>
      <c r="C13" s="119"/>
      <c r="D13" s="119"/>
      <c r="E13" s="119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54" t="e">
        <f t="shared" si="7"/>
        <v>#DIV/0!</v>
      </c>
      <c r="Q13" s="53">
        <f>'3. Nomination'!W14</f>
        <v>10000</v>
      </c>
      <c r="R13" s="53">
        <f>'3. Nomination'!X14</f>
        <v>2500</v>
      </c>
      <c r="S13" s="53">
        <f>'3. Nomination'!Y14</f>
        <v>5000</v>
      </c>
      <c r="T13" s="53">
        <f>'3. Nomination'!Z14</f>
        <v>5000</v>
      </c>
      <c r="U13" s="53">
        <f>'3. Nomination'!AA14</f>
        <v>20000</v>
      </c>
      <c r="V13" s="53">
        <f>'3. Nomination'!AB14</f>
        <v>0</v>
      </c>
      <c r="W13" s="53">
        <f>'3. Nomination'!AC14</f>
        <v>0</v>
      </c>
      <c r="X13" s="53">
        <f t="shared" si="19"/>
        <v>-42500</v>
      </c>
      <c r="Y13" s="53">
        <f>'1. Rates'!C$41*'1. Rates'!C$55</f>
        <v>32322.089552238805</v>
      </c>
      <c r="Z13" s="53">
        <f>'1. Rates'!D$41*'1. Rates'!D$55</f>
        <v>8080.5223880597014</v>
      </c>
      <c r="AA13" s="53">
        <f>'1. Rates'!E$41*'1. Rates'!E$55</f>
        <v>16021.334867008814</v>
      </c>
      <c r="AB13" s="53">
        <f>'1. Rates'!F$41*'1. Rates'!F$55</f>
        <v>16463.334867008813</v>
      </c>
      <c r="AC13" s="53">
        <f>'1. Rates'!G$41*'1. Rates'!G$55</f>
        <v>0</v>
      </c>
      <c r="AD13" s="53">
        <f>'1. Rates'!H$41*'1. Rates'!H$55</f>
        <v>23081</v>
      </c>
      <c r="AE13" s="53"/>
      <c r="AF13" s="53"/>
      <c r="AG13" s="53">
        <f t="shared" si="8"/>
        <v>95968.281674316138</v>
      </c>
      <c r="AH13" s="53">
        <f>Q13*'1. Rates'!C$56</f>
        <v>32827.227958873475</v>
      </c>
      <c r="AI13" s="53">
        <f>R13*'1. Rates'!D$56</f>
        <v>8206.8069897183686</v>
      </c>
      <c r="AJ13" s="53">
        <f>S13*'1. Rates'!E$56</f>
        <v>16529.682127576514</v>
      </c>
      <c r="AK13" s="53">
        <f>T13*'1. Rates'!F$56</f>
        <v>16529.682127576514</v>
      </c>
      <c r="AL13" s="53">
        <f>U13*'1. Rates'!G$56</f>
        <v>123628</v>
      </c>
      <c r="AM13" s="53">
        <f>V13*'1. Rates'!H$56</f>
        <v>0</v>
      </c>
      <c r="AN13" s="53">
        <f>W13*'1. Rates'!Q49</f>
        <v>0</v>
      </c>
      <c r="AO13" s="53" t="e">
        <f t="shared" si="9"/>
        <v>#DIV/0!</v>
      </c>
      <c r="AP13" s="53" t="e">
        <f t="shared" si="10"/>
        <v>#DIV/0!</v>
      </c>
      <c r="AQ13" s="53">
        <f>(Y13+AH13)*'1. Rates'!C$60</f>
        <v>7817.9181013334737</v>
      </c>
      <c r="AR13" s="53">
        <f>(Z13+AI13)*'1. Rates'!D$60</f>
        <v>1954.4795253333684</v>
      </c>
      <c r="AS13" s="53">
        <f>(AA13+AJ13)*'1. Rates'!E$60</f>
        <v>3906.122039350239</v>
      </c>
      <c r="AT13" s="53">
        <f>(AB13+AK13)*'1. Rates'!F$60</f>
        <v>3959.162039350239</v>
      </c>
      <c r="AU13" s="53">
        <f>(AC13+AL13)*'1. Rates'!G$60</f>
        <v>0</v>
      </c>
      <c r="AV13" s="53">
        <f>(AD13+AM13)*'1. Rates'!H$60</f>
        <v>2769.72</v>
      </c>
      <c r="AW13" s="53">
        <f>(AE13+AN13)*'1. Rates'!$I$60</f>
        <v>0</v>
      </c>
      <c r="AX13" s="53" t="e">
        <f>(AF13+AO13)*'1. Rates'!$J$60</f>
        <v>#DIV/0!</v>
      </c>
      <c r="AY13" s="53" t="e">
        <f t="shared" si="11"/>
        <v>#DIV/0!</v>
      </c>
      <c r="AZ13" s="53">
        <f t="shared" si="12"/>
        <v>65149.317511112284</v>
      </c>
      <c r="BA13" s="53">
        <f t="shared" si="0"/>
        <v>16287.329377778071</v>
      </c>
      <c r="BB13" s="53">
        <f t="shared" si="0"/>
        <v>32551.016994585327</v>
      </c>
      <c r="BC13" s="53">
        <f t="shared" si="0"/>
        <v>32993.016994585327</v>
      </c>
      <c r="BD13" s="53">
        <f t="shared" si="0"/>
        <v>123628</v>
      </c>
      <c r="BE13" s="53">
        <f t="shared" si="0"/>
        <v>23081</v>
      </c>
      <c r="BF13" s="53">
        <f t="shared" si="0"/>
        <v>0</v>
      </c>
      <c r="BG13" s="53" t="e">
        <f t="shared" si="0"/>
        <v>#DIV/0!</v>
      </c>
      <c r="BH13" s="53" t="e">
        <f t="shared" si="13"/>
        <v>#DIV/0!</v>
      </c>
      <c r="BI13" s="53">
        <f t="shared" si="14"/>
        <v>72967.235612445758</v>
      </c>
      <c r="BJ13" s="53">
        <f t="shared" si="1"/>
        <v>18241.80890311144</v>
      </c>
      <c r="BK13" s="53">
        <f t="shared" si="1"/>
        <v>36457.139033935564</v>
      </c>
      <c r="BL13" s="53">
        <f t="shared" si="1"/>
        <v>36952.179033935565</v>
      </c>
      <c r="BM13" s="53">
        <f t="shared" si="1"/>
        <v>123628</v>
      </c>
      <c r="BN13" s="53">
        <f t="shared" si="1"/>
        <v>25850.720000000001</v>
      </c>
      <c r="BO13" s="53">
        <f t="shared" si="1"/>
        <v>0</v>
      </c>
      <c r="BP13" s="53" t="e">
        <f t="shared" si="1"/>
        <v>#DIV/0!</v>
      </c>
      <c r="BQ13" s="53" t="e">
        <f t="shared" si="15"/>
        <v>#DIV/0!</v>
      </c>
      <c r="BR13" s="54">
        <f t="shared" si="16"/>
        <v>6.5149317511112281</v>
      </c>
      <c r="BS13" s="54">
        <f t="shared" si="2"/>
        <v>6.5149317511112281</v>
      </c>
      <c r="BT13" s="54">
        <f t="shared" si="2"/>
        <v>6.5102033989170653</v>
      </c>
      <c r="BU13" s="54">
        <f t="shared" si="2"/>
        <v>6.5986033989170654</v>
      </c>
      <c r="BV13" s="54">
        <f t="shared" si="2"/>
        <v>6.1814</v>
      </c>
      <c r="BW13" s="54" t="e">
        <f t="shared" si="2"/>
        <v>#DIV/0!</v>
      </c>
      <c r="BX13" s="54"/>
      <c r="BY13" s="54" t="e">
        <f t="shared" si="3"/>
        <v>#DIV/0!</v>
      </c>
      <c r="BZ13" s="54" t="e">
        <f t="shared" si="4"/>
        <v>#DIV/0!</v>
      </c>
      <c r="CA13" s="54">
        <f t="shared" si="17"/>
        <v>7.2967235612445762</v>
      </c>
      <c r="CB13" s="54">
        <f t="shared" si="5"/>
        <v>7.2967235612445762</v>
      </c>
      <c r="CC13" s="54">
        <f t="shared" si="5"/>
        <v>7.2914278067871132</v>
      </c>
      <c r="CD13" s="54">
        <f t="shared" si="5"/>
        <v>7.3904358067871128</v>
      </c>
      <c r="CE13" s="54">
        <f t="shared" si="5"/>
        <v>6.1814</v>
      </c>
      <c r="CF13" s="54" t="e">
        <f t="shared" si="5"/>
        <v>#DIV/0!</v>
      </c>
      <c r="CG13" s="54"/>
      <c r="CH13" s="54" t="e">
        <f t="shared" si="6"/>
        <v>#DIV/0!</v>
      </c>
      <c r="CI13" s="54" t="e">
        <f t="shared" si="18"/>
        <v>#DIV/0!</v>
      </c>
    </row>
    <row r="14" spans="2:87" ht="18" customHeight="1" x14ac:dyDescent="0.3">
      <c r="B14" s="14">
        <v>10</v>
      </c>
      <c r="C14" s="119"/>
      <c r="D14" s="119"/>
      <c r="E14" s="119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54" t="e">
        <f t="shared" si="7"/>
        <v>#DIV/0!</v>
      </c>
      <c r="Q14" s="53">
        <f>'3. Nomination'!W15</f>
        <v>10000</v>
      </c>
      <c r="R14" s="53">
        <f>'3. Nomination'!X15</f>
        <v>2500</v>
      </c>
      <c r="S14" s="53">
        <f>'3. Nomination'!Y15</f>
        <v>5000</v>
      </c>
      <c r="T14" s="53">
        <f>'3. Nomination'!Z15</f>
        <v>5000</v>
      </c>
      <c r="U14" s="53">
        <f>'3. Nomination'!AA15</f>
        <v>20000</v>
      </c>
      <c r="V14" s="53">
        <f>'3. Nomination'!AB15</f>
        <v>0</v>
      </c>
      <c r="W14" s="53">
        <f>'3. Nomination'!AC15</f>
        <v>0</v>
      </c>
      <c r="X14" s="53">
        <f t="shared" si="19"/>
        <v>-42500</v>
      </c>
      <c r="Y14" s="53">
        <f>'1. Rates'!C$41*'1. Rates'!C$55</f>
        <v>32322.089552238805</v>
      </c>
      <c r="Z14" s="53">
        <f>'1. Rates'!D$41*'1. Rates'!D$55</f>
        <v>8080.5223880597014</v>
      </c>
      <c r="AA14" s="53">
        <f>'1. Rates'!E$41*'1. Rates'!E$55</f>
        <v>16021.334867008814</v>
      </c>
      <c r="AB14" s="53">
        <f>'1. Rates'!F$41*'1. Rates'!F$55</f>
        <v>16463.334867008813</v>
      </c>
      <c r="AC14" s="53">
        <f>'1. Rates'!G$41*'1. Rates'!G$55</f>
        <v>0</v>
      </c>
      <c r="AD14" s="53">
        <f>'1. Rates'!H$41*'1. Rates'!H$55</f>
        <v>23081</v>
      </c>
      <c r="AE14" s="53"/>
      <c r="AF14" s="53"/>
      <c r="AG14" s="53">
        <f t="shared" si="8"/>
        <v>95968.281674316138</v>
      </c>
      <c r="AH14" s="53">
        <f>Q14*'1. Rates'!C$56</f>
        <v>32827.227958873475</v>
      </c>
      <c r="AI14" s="53">
        <f>R14*'1. Rates'!D$56</f>
        <v>8206.8069897183686</v>
      </c>
      <c r="AJ14" s="53">
        <f>S14*'1. Rates'!E$56</f>
        <v>16529.682127576514</v>
      </c>
      <c r="AK14" s="53">
        <f>T14*'1. Rates'!F$56</f>
        <v>16529.682127576514</v>
      </c>
      <c r="AL14" s="53">
        <f>U14*'1. Rates'!G$56</f>
        <v>123628</v>
      </c>
      <c r="AM14" s="53">
        <f>V14*'1. Rates'!H$56</f>
        <v>0</v>
      </c>
      <c r="AN14" s="53">
        <f>W14*'1. Rates'!Q50</f>
        <v>0</v>
      </c>
      <c r="AO14" s="53" t="e">
        <f t="shared" si="9"/>
        <v>#DIV/0!</v>
      </c>
      <c r="AP14" s="53" t="e">
        <f t="shared" si="10"/>
        <v>#DIV/0!</v>
      </c>
      <c r="AQ14" s="53">
        <f>(Y14+AH14)*'1. Rates'!C$60</f>
        <v>7817.9181013334737</v>
      </c>
      <c r="AR14" s="53">
        <f>(Z14+AI14)*'1. Rates'!D$60</f>
        <v>1954.4795253333684</v>
      </c>
      <c r="AS14" s="53">
        <f>(AA14+AJ14)*'1. Rates'!E$60</f>
        <v>3906.122039350239</v>
      </c>
      <c r="AT14" s="53">
        <f>(AB14+AK14)*'1. Rates'!F$60</f>
        <v>3959.162039350239</v>
      </c>
      <c r="AU14" s="53">
        <f>(AC14+AL14)*'1. Rates'!G$60</f>
        <v>0</v>
      </c>
      <c r="AV14" s="53">
        <f>(AD14+AM14)*'1. Rates'!H$60</f>
        <v>2769.72</v>
      </c>
      <c r="AW14" s="53">
        <f>(AE14+AN14)*'1. Rates'!$I$60</f>
        <v>0</v>
      </c>
      <c r="AX14" s="53" t="e">
        <f>(AF14+AO14)*'1. Rates'!$J$60</f>
        <v>#DIV/0!</v>
      </c>
      <c r="AY14" s="53" t="e">
        <f t="shared" si="11"/>
        <v>#DIV/0!</v>
      </c>
      <c r="AZ14" s="53">
        <f t="shared" si="12"/>
        <v>65149.317511112284</v>
      </c>
      <c r="BA14" s="53">
        <f t="shared" si="0"/>
        <v>16287.329377778071</v>
      </c>
      <c r="BB14" s="53">
        <f t="shared" si="0"/>
        <v>32551.016994585327</v>
      </c>
      <c r="BC14" s="53">
        <f t="shared" si="0"/>
        <v>32993.016994585327</v>
      </c>
      <c r="BD14" s="53">
        <f t="shared" si="0"/>
        <v>123628</v>
      </c>
      <c r="BE14" s="53">
        <f t="shared" si="0"/>
        <v>23081</v>
      </c>
      <c r="BF14" s="53">
        <f t="shared" si="0"/>
        <v>0</v>
      </c>
      <c r="BG14" s="53" t="e">
        <f t="shared" si="0"/>
        <v>#DIV/0!</v>
      </c>
      <c r="BH14" s="53" t="e">
        <f t="shared" si="13"/>
        <v>#DIV/0!</v>
      </c>
      <c r="BI14" s="53">
        <f t="shared" si="14"/>
        <v>72967.235612445758</v>
      </c>
      <c r="BJ14" s="53">
        <f t="shared" si="1"/>
        <v>18241.80890311144</v>
      </c>
      <c r="BK14" s="53">
        <f t="shared" si="1"/>
        <v>36457.139033935564</v>
      </c>
      <c r="BL14" s="53">
        <f t="shared" si="1"/>
        <v>36952.179033935565</v>
      </c>
      <c r="BM14" s="53">
        <f t="shared" si="1"/>
        <v>123628</v>
      </c>
      <c r="BN14" s="53">
        <f t="shared" si="1"/>
        <v>25850.720000000001</v>
      </c>
      <c r="BO14" s="53">
        <f t="shared" si="1"/>
        <v>0</v>
      </c>
      <c r="BP14" s="53" t="e">
        <f t="shared" si="1"/>
        <v>#DIV/0!</v>
      </c>
      <c r="BQ14" s="53" t="e">
        <f t="shared" si="15"/>
        <v>#DIV/0!</v>
      </c>
      <c r="BR14" s="54">
        <f t="shared" si="16"/>
        <v>6.5149317511112281</v>
      </c>
      <c r="BS14" s="54">
        <f t="shared" si="2"/>
        <v>6.5149317511112281</v>
      </c>
      <c r="BT14" s="54">
        <f t="shared" si="2"/>
        <v>6.5102033989170653</v>
      </c>
      <c r="BU14" s="54">
        <f t="shared" si="2"/>
        <v>6.5986033989170654</v>
      </c>
      <c r="BV14" s="54">
        <f t="shared" si="2"/>
        <v>6.1814</v>
      </c>
      <c r="BW14" s="54" t="e">
        <f t="shared" si="2"/>
        <v>#DIV/0!</v>
      </c>
      <c r="BX14" s="54"/>
      <c r="BY14" s="54" t="e">
        <f t="shared" si="3"/>
        <v>#DIV/0!</v>
      </c>
      <c r="BZ14" s="54" t="e">
        <f t="shared" si="4"/>
        <v>#DIV/0!</v>
      </c>
      <c r="CA14" s="54">
        <f t="shared" si="17"/>
        <v>7.2967235612445762</v>
      </c>
      <c r="CB14" s="54">
        <f t="shared" si="5"/>
        <v>7.2967235612445762</v>
      </c>
      <c r="CC14" s="54">
        <f t="shared" si="5"/>
        <v>7.2914278067871132</v>
      </c>
      <c r="CD14" s="54">
        <f t="shared" si="5"/>
        <v>7.3904358067871128</v>
      </c>
      <c r="CE14" s="54">
        <f t="shared" si="5"/>
        <v>6.1814</v>
      </c>
      <c r="CF14" s="54" t="e">
        <f t="shared" si="5"/>
        <v>#DIV/0!</v>
      </c>
      <c r="CG14" s="54"/>
      <c r="CH14" s="54" t="e">
        <f t="shared" si="6"/>
        <v>#DIV/0!</v>
      </c>
      <c r="CI14" s="54" t="e">
        <f t="shared" si="18"/>
        <v>#DIV/0!</v>
      </c>
    </row>
    <row r="15" spans="2:87" ht="18" customHeight="1" x14ac:dyDescent="0.3">
      <c r="B15" s="14">
        <v>11</v>
      </c>
      <c r="C15" s="119"/>
      <c r="D15" s="119"/>
      <c r="E15" s="119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54" t="e">
        <f t="shared" si="7"/>
        <v>#DIV/0!</v>
      </c>
      <c r="Q15" s="53">
        <f>'3. Nomination'!W16</f>
        <v>10000</v>
      </c>
      <c r="R15" s="53">
        <f>'3. Nomination'!X16</f>
        <v>2500</v>
      </c>
      <c r="S15" s="53">
        <f>'3. Nomination'!Y16</f>
        <v>5000</v>
      </c>
      <c r="T15" s="53">
        <f>'3. Nomination'!Z16</f>
        <v>5000</v>
      </c>
      <c r="U15" s="53">
        <f>'3. Nomination'!AA16</f>
        <v>20000</v>
      </c>
      <c r="V15" s="53">
        <f>'3. Nomination'!AB16</f>
        <v>0</v>
      </c>
      <c r="W15" s="53">
        <f>'3. Nomination'!AC16</f>
        <v>0</v>
      </c>
      <c r="X15" s="53">
        <f t="shared" si="19"/>
        <v>-42500</v>
      </c>
      <c r="Y15" s="53">
        <f>'1. Rates'!C$41*'1. Rates'!C$55</f>
        <v>32322.089552238805</v>
      </c>
      <c r="Z15" s="53">
        <f>'1. Rates'!D$41*'1. Rates'!D$55</f>
        <v>8080.5223880597014</v>
      </c>
      <c r="AA15" s="53">
        <f>'1. Rates'!E$41*'1. Rates'!E$55</f>
        <v>16021.334867008814</v>
      </c>
      <c r="AB15" s="53">
        <f>'1. Rates'!F$41*'1. Rates'!F$55</f>
        <v>16463.334867008813</v>
      </c>
      <c r="AC15" s="53">
        <f>'1. Rates'!G$41*'1. Rates'!G$55</f>
        <v>0</v>
      </c>
      <c r="AD15" s="53">
        <f>'1. Rates'!H$41*'1. Rates'!H$55</f>
        <v>23081</v>
      </c>
      <c r="AE15" s="53"/>
      <c r="AF15" s="53"/>
      <c r="AG15" s="53">
        <f t="shared" si="8"/>
        <v>95968.281674316138</v>
      </c>
      <c r="AH15" s="53">
        <f>Q15*'1. Rates'!C$56</f>
        <v>32827.227958873475</v>
      </c>
      <c r="AI15" s="53">
        <f>R15*'1. Rates'!D$56</f>
        <v>8206.8069897183686</v>
      </c>
      <c r="AJ15" s="53">
        <f>S15*'1. Rates'!E$56</f>
        <v>16529.682127576514</v>
      </c>
      <c r="AK15" s="53">
        <f>T15*'1. Rates'!F$56</f>
        <v>16529.682127576514</v>
      </c>
      <c r="AL15" s="53">
        <f>U15*'1. Rates'!G$56</f>
        <v>123628</v>
      </c>
      <c r="AM15" s="53">
        <f>V15*'1. Rates'!H$56</f>
        <v>0</v>
      </c>
      <c r="AN15" s="53">
        <f>W15*'1. Rates'!Q51</f>
        <v>0</v>
      </c>
      <c r="AO15" s="53" t="e">
        <f t="shared" si="9"/>
        <v>#DIV/0!</v>
      </c>
      <c r="AP15" s="53" t="e">
        <f t="shared" si="10"/>
        <v>#DIV/0!</v>
      </c>
      <c r="AQ15" s="53">
        <f>(Y15+AH15)*'1. Rates'!C$60</f>
        <v>7817.9181013334737</v>
      </c>
      <c r="AR15" s="53">
        <f>(Z15+AI15)*'1. Rates'!D$60</f>
        <v>1954.4795253333684</v>
      </c>
      <c r="AS15" s="53">
        <f>(AA15+AJ15)*'1. Rates'!E$60</f>
        <v>3906.122039350239</v>
      </c>
      <c r="AT15" s="53">
        <f>(AB15+AK15)*'1. Rates'!F$60</f>
        <v>3959.162039350239</v>
      </c>
      <c r="AU15" s="53">
        <f>(AC15+AL15)*'1. Rates'!G$60</f>
        <v>0</v>
      </c>
      <c r="AV15" s="53">
        <f>(AD15+AM15)*'1. Rates'!H$60</f>
        <v>2769.72</v>
      </c>
      <c r="AW15" s="53">
        <f>(AE15+AN15)*'1. Rates'!$I$60</f>
        <v>0</v>
      </c>
      <c r="AX15" s="53" t="e">
        <f>(AF15+AO15)*'1. Rates'!$J$60</f>
        <v>#DIV/0!</v>
      </c>
      <c r="AY15" s="53" t="e">
        <f t="shared" si="11"/>
        <v>#DIV/0!</v>
      </c>
      <c r="AZ15" s="53">
        <f t="shared" si="12"/>
        <v>65149.317511112284</v>
      </c>
      <c r="BA15" s="53">
        <f t="shared" si="0"/>
        <v>16287.329377778071</v>
      </c>
      <c r="BB15" s="53">
        <f t="shared" si="0"/>
        <v>32551.016994585327</v>
      </c>
      <c r="BC15" s="53">
        <f t="shared" si="0"/>
        <v>32993.016994585327</v>
      </c>
      <c r="BD15" s="53">
        <f t="shared" si="0"/>
        <v>123628</v>
      </c>
      <c r="BE15" s="53">
        <f t="shared" si="0"/>
        <v>23081</v>
      </c>
      <c r="BF15" s="53">
        <f t="shared" si="0"/>
        <v>0</v>
      </c>
      <c r="BG15" s="53" t="e">
        <f t="shared" si="0"/>
        <v>#DIV/0!</v>
      </c>
      <c r="BH15" s="53" t="e">
        <f t="shared" si="13"/>
        <v>#DIV/0!</v>
      </c>
      <c r="BI15" s="53">
        <f t="shared" si="14"/>
        <v>72967.235612445758</v>
      </c>
      <c r="BJ15" s="53">
        <f t="shared" si="1"/>
        <v>18241.80890311144</v>
      </c>
      <c r="BK15" s="53">
        <f t="shared" si="1"/>
        <v>36457.139033935564</v>
      </c>
      <c r="BL15" s="53">
        <f t="shared" si="1"/>
        <v>36952.179033935565</v>
      </c>
      <c r="BM15" s="53">
        <f t="shared" si="1"/>
        <v>123628</v>
      </c>
      <c r="BN15" s="53">
        <f t="shared" si="1"/>
        <v>25850.720000000001</v>
      </c>
      <c r="BO15" s="53">
        <f t="shared" si="1"/>
        <v>0</v>
      </c>
      <c r="BP15" s="53" t="e">
        <f t="shared" si="1"/>
        <v>#DIV/0!</v>
      </c>
      <c r="BQ15" s="53" t="e">
        <f t="shared" si="15"/>
        <v>#DIV/0!</v>
      </c>
      <c r="BR15" s="54">
        <f t="shared" si="16"/>
        <v>6.5149317511112281</v>
      </c>
      <c r="BS15" s="54">
        <f t="shared" si="2"/>
        <v>6.5149317511112281</v>
      </c>
      <c r="BT15" s="54">
        <f t="shared" si="2"/>
        <v>6.5102033989170653</v>
      </c>
      <c r="BU15" s="54">
        <f t="shared" si="2"/>
        <v>6.5986033989170654</v>
      </c>
      <c r="BV15" s="54">
        <f t="shared" si="2"/>
        <v>6.1814</v>
      </c>
      <c r="BW15" s="54" t="e">
        <f t="shared" si="2"/>
        <v>#DIV/0!</v>
      </c>
      <c r="BX15" s="54"/>
      <c r="BY15" s="54" t="e">
        <f t="shared" si="3"/>
        <v>#DIV/0!</v>
      </c>
      <c r="BZ15" s="54" t="e">
        <f t="shared" si="4"/>
        <v>#DIV/0!</v>
      </c>
      <c r="CA15" s="54">
        <f t="shared" si="17"/>
        <v>7.2967235612445762</v>
      </c>
      <c r="CB15" s="54">
        <f t="shared" si="5"/>
        <v>7.2967235612445762</v>
      </c>
      <c r="CC15" s="54">
        <f t="shared" si="5"/>
        <v>7.2914278067871132</v>
      </c>
      <c r="CD15" s="54">
        <f t="shared" si="5"/>
        <v>7.3904358067871128</v>
      </c>
      <c r="CE15" s="54">
        <f t="shared" si="5"/>
        <v>6.1814</v>
      </c>
      <c r="CF15" s="54" t="e">
        <f t="shared" si="5"/>
        <v>#DIV/0!</v>
      </c>
      <c r="CG15" s="54"/>
      <c r="CH15" s="54" t="e">
        <f t="shared" si="6"/>
        <v>#DIV/0!</v>
      </c>
      <c r="CI15" s="54" t="e">
        <f t="shared" si="18"/>
        <v>#DIV/0!</v>
      </c>
    </row>
    <row r="16" spans="2:87" ht="18" customHeight="1" x14ac:dyDescent="0.3">
      <c r="B16" s="14">
        <v>12</v>
      </c>
      <c r="C16" s="119"/>
      <c r="D16" s="119"/>
      <c r="E16" s="119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54" t="e">
        <f t="shared" si="7"/>
        <v>#DIV/0!</v>
      </c>
      <c r="Q16" s="53">
        <f>'3. Nomination'!W17</f>
        <v>10000</v>
      </c>
      <c r="R16" s="53">
        <f>'3. Nomination'!X17</f>
        <v>2500</v>
      </c>
      <c r="S16" s="53">
        <f>'3. Nomination'!Y17</f>
        <v>5000</v>
      </c>
      <c r="T16" s="53">
        <f>'3. Nomination'!Z17</f>
        <v>5000</v>
      </c>
      <c r="U16" s="53">
        <f>'3. Nomination'!AA17</f>
        <v>20000</v>
      </c>
      <c r="V16" s="53">
        <f>'3. Nomination'!AB17</f>
        <v>0</v>
      </c>
      <c r="W16" s="53">
        <f>'3. Nomination'!AC17</f>
        <v>0</v>
      </c>
      <c r="X16" s="53">
        <f t="shared" si="19"/>
        <v>-42500</v>
      </c>
      <c r="Y16" s="53">
        <f>'1. Rates'!C$41*'1. Rates'!C$55</f>
        <v>32322.089552238805</v>
      </c>
      <c r="Z16" s="53">
        <f>'1. Rates'!D$41*'1. Rates'!D$55</f>
        <v>8080.5223880597014</v>
      </c>
      <c r="AA16" s="53">
        <f>'1. Rates'!E$41*'1. Rates'!E$55</f>
        <v>16021.334867008814</v>
      </c>
      <c r="AB16" s="53">
        <f>'1. Rates'!F$41*'1. Rates'!F$55</f>
        <v>16463.334867008813</v>
      </c>
      <c r="AC16" s="53">
        <f>'1. Rates'!G$41*'1. Rates'!G$55</f>
        <v>0</v>
      </c>
      <c r="AD16" s="53">
        <f>'1. Rates'!H$41*'1. Rates'!H$55</f>
        <v>23081</v>
      </c>
      <c r="AE16" s="53"/>
      <c r="AF16" s="53"/>
      <c r="AG16" s="53">
        <f t="shared" si="8"/>
        <v>95968.281674316138</v>
      </c>
      <c r="AH16" s="53">
        <f>Q16*'1. Rates'!C$56</f>
        <v>32827.227958873475</v>
      </c>
      <c r="AI16" s="53">
        <f>R16*'1. Rates'!D$56</f>
        <v>8206.8069897183686</v>
      </c>
      <c r="AJ16" s="53">
        <f>S16*'1. Rates'!E$56</f>
        <v>16529.682127576514</v>
      </c>
      <c r="AK16" s="53">
        <f>T16*'1. Rates'!F$56</f>
        <v>16529.682127576514</v>
      </c>
      <c r="AL16" s="53">
        <f>U16*'1. Rates'!G$56</f>
        <v>123628</v>
      </c>
      <c r="AM16" s="53">
        <f>V16*'1. Rates'!H$56</f>
        <v>0</v>
      </c>
      <c r="AN16" s="53">
        <f>W16*'1. Rates'!Q52</f>
        <v>0</v>
      </c>
      <c r="AO16" s="53" t="e">
        <f t="shared" si="9"/>
        <v>#DIV/0!</v>
      </c>
      <c r="AP16" s="53" t="e">
        <f t="shared" si="10"/>
        <v>#DIV/0!</v>
      </c>
      <c r="AQ16" s="53">
        <f>(Y16+AH16)*'1. Rates'!C$60</f>
        <v>7817.9181013334737</v>
      </c>
      <c r="AR16" s="53">
        <f>(Z16+AI16)*'1. Rates'!D$60</f>
        <v>1954.4795253333684</v>
      </c>
      <c r="AS16" s="53">
        <f>(AA16+AJ16)*'1. Rates'!E$60</f>
        <v>3906.122039350239</v>
      </c>
      <c r="AT16" s="53">
        <f>(AB16+AK16)*'1. Rates'!F$60</f>
        <v>3959.162039350239</v>
      </c>
      <c r="AU16" s="53">
        <f>(AC16+AL16)*'1. Rates'!G$60</f>
        <v>0</v>
      </c>
      <c r="AV16" s="53">
        <f>(AD16+AM16)*'1. Rates'!H$60</f>
        <v>2769.72</v>
      </c>
      <c r="AW16" s="53">
        <f>(AE16+AN16)*'1. Rates'!$I$60</f>
        <v>0</v>
      </c>
      <c r="AX16" s="53" t="e">
        <f>(AF16+AO16)*'1. Rates'!$J$60</f>
        <v>#DIV/0!</v>
      </c>
      <c r="AY16" s="53" t="e">
        <f t="shared" si="11"/>
        <v>#DIV/0!</v>
      </c>
      <c r="AZ16" s="53">
        <f t="shared" si="12"/>
        <v>65149.317511112284</v>
      </c>
      <c r="BA16" s="53">
        <f t="shared" si="0"/>
        <v>16287.329377778071</v>
      </c>
      <c r="BB16" s="53">
        <f t="shared" si="0"/>
        <v>32551.016994585327</v>
      </c>
      <c r="BC16" s="53">
        <f t="shared" si="0"/>
        <v>32993.016994585327</v>
      </c>
      <c r="BD16" s="53">
        <f t="shared" si="0"/>
        <v>123628</v>
      </c>
      <c r="BE16" s="53">
        <f t="shared" si="0"/>
        <v>23081</v>
      </c>
      <c r="BF16" s="53">
        <f t="shared" si="0"/>
        <v>0</v>
      </c>
      <c r="BG16" s="53" t="e">
        <f t="shared" si="0"/>
        <v>#DIV/0!</v>
      </c>
      <c r="BH16" s="53" t="e">
        <f t="shared" si="13"/>
        <v>#DIV/0!</v>
      </c>
      <c r="BI16" s="53">
        <f t="shared" si="14"/>
        <v>72967.235612445758</v>
      </c>
      <c r="BJ16" s="53">
        <f t="shared" si="1"/>
        <v>18241.80890311144</v>
      </c>
      <c r="BK16" s="53">
        <f t="shared" si="1"/>
        <v>36457.139033935564</v>
      </c>
      <c r="BL16" s="53">
        <f t="shared" si="1"/>
        <v>36952.179033935565</v>
      </c>
      <c r="BM16" s="53">
        <f t="shared" si="1"/>
        <v>123628</v>
      </c>
      <c r="BN16" s="53">
        <f t="shared" si="1"/>
        <v>25850.720000000001</v>
      </c>
      <c r="BO16" s="53">
        <f t="shared" si="1"/>
        <v>0</v>
      </c>
      <c r="BP16" s="53" t="e">
        <f t="shared" si="1"/>
        <v>#DIV/0!</v>
      </c>
      <c r="BQ16" s="53" t="e">
        <f t="shared" si="15"/>
        <v>#DIV/0!</v>
      </c>
      <c r="BR16" s="54">
        <f t="shared" si="16"/>
        <v>6.5149317511112281</v>
      </c>
      <c r="BS16" s="54">
        <f t="shared" si="2"/>
        <v>6.5149317511112281</v>
      </c>
      <c r="BT16" s="54">
        <f t="shared" si="2"/>
        <v>6.5102033989170653</v>
      </c>
      <c r="BU16" s="54">
        <f t="shared" si="2"/>
        <v>6.5986033989170654</v>
      </c>
      <c r="BV16" s="54">
        <f t="shared" si="2"/>
        <v>6.1814</v>
      </c>
      <c r="BW16" s="54" t="e">
        <f t="shared" si="2"/>
        <v>#DIV/0!</v>
      </c>
      <c r="BX16" s="54"/>
      <c r="BY16" s="54" t="e">
        <f t="shared" si="3"/>
        <v>#DIV/0!</v>
      </c>
      <c r="BZ16" s="54" t="e">
        <f t="shared" si="4"/>
        <v>#DIV/0!</v>
      </c>
      <c r="CA16" s="54">
        <f t="shared" si="17"/>
        <v>7.2967235612445762</v>
      </c>
      <c r="CB16" s="54">
        <f t="shared" si="5"/>
        <v>7.2967235612445762</v>
      </c>
      <c r="CC16" s="54">
        <f t="shared" si="5"/>
        <v>7.2914278067871132</v>
      </c>
      <c r="CD16" s="54">
        <f t="shared" si="5"/>
        <v>7.3904358067871128</v>
      </c>
      <c r="CE16" s="54">
        <f t="shared" si="5"/>
        <v>6.1814</v>
      </c>
      <c r="CF16" s="54" t="e">
        <f t="shared" si="5"/>
        <v>#DIV/0!</v>
      </c>
      <c r="CG16" s="54"/>
      <c r="CH16" s="54" t="e">
        <f t="shared" si="6"/>
        <v>#DIV/0!</v>
      </c>
      <c r="CI16" s="54" t="e">
        <f t="shared" si="18"/>
        <v>#DIV/0!</v>
      </c>
    </row>
    <row r="17" spans="2:87" ht="18" customHeight="1" x14ac:dyDescent="0.3">
      <c r="B17" s="14">
        <v>13</v>
      </c>
      <c r="C17" s="119"/>
      <c r="D17" s="119"/>
      <c r="E17" s="119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54" t="e">
        <f t="shared" si="7"/>
        <v>#DIV/0!</v>
      </c>
      <c r="Q17" s="53">
        <f>'3. Nomination'!W18</f>
        <v>10000</v>
      </c>
      <c r="R17" s="53">
        <f>'3. Nomination'!X18</f>
        <v>2500</v>
      </c>
      <c r="S17" s="53">
        <f>'3. Nomination'!Y18</f>
        <v>5000</v>
      </c>
      <c r="T17" s="53">
        <f>'3. Nomination'!Z18</f>
        <v>5000</v>
      </c>
      <c r="U17" s="53">
        <f>'3. Nomination'!AA18</f>
        <v>20000</v>
      </c>
      <c r="V17" s="53">
        <f>'3. Nomination'!AB18</f>
        <v>0</v>
      </c>
      <c r="W17" s="53">
        <f>'3. Nomination'!AC18</f>
        <v>0</v>
      </c>
      <c r="X17" s="53">
        <f t="shared" si="19"/>
        <v>-42500</v>
      </c>
      <c r="Y17" s="53">
        <f>'1. Rates'!C$41*'1. Rates'!C$55</f>
        <v>32322.089552238805</v>
      </c>
      <c r="Z17" s="53">
        <f>'1. Rates'!D$41*'1. Rates'!D$55</f>
        <v>8080.5223880597014</v>
      </c>
      <c r="AA17" s="53">
        <f>'1. Rates'!E$41*'1. Rates'!E$55</f>
        <v>16021.334867008814</v>
      </c>
      <c r="AB17" s="53">
        <f>'1. Rates'!F$41*'1. Rates'!F$55</f>
        <v>16463.334867008813</v>
      </c>
      <c r="AC17" s="53">
        <f>'1. Rates'!G$41*'1. Rates'!G$55</f>
        <v>0</v>
      </c>
      <c r="AD17" s="53">
        <f>'1. Rates'!H$41*'1. Rates'!H$55</f>
        <v>23081</v>
      </c>
      <c r="AE17" s="53"/>
      <c r="AF17" s="53"/>
      <c r="AG17" s="53">
        <f t="shared" si="8"/>
        <v>95968.281674316138</v>
      </c>
      <c r="AH17" s="53">
        <f>Q17*'1. Rates'!C$56</f>
        <v>32827.227958873475</v>
      </c>
      <c r="AI17" s="53">
        <f>R17*'1. Rates'!D$56</f>
        <v>8206.8069897183686</v>
      </c>
      <c r="AJ17" s="53">
        <f>S17*'1. Rates'!E$56</f>
        <v>16529.682127576514</v>
      </c>
      <c r="AK17" s="53">
        <f>T17*'1. Rates'!F$56</f>
        <v>16529.682127576514</v>
      </c>
      <c r="AL17" s="53">
        <f>U17*'1. Rates'!G$56</f>
        <v>123628</v>
      </c>
      <c r="AM17" s="53">
        <f>V17*'1. Rates'!H$56</f>
        <v>0</v>
      </c>
      <c r="AN17" s="53">
        <f>W17*'1. Rates'!Q53</f>
        <v>0</v>
      </c>
      <c r="AO17" s="53" t="e">
        <f t="shared" si="9"/>
        <v>#DIV/0!</v>
      </c>
      <c r="AP17" s="53" t="e">
        <f t="shared" si="10"/>
        <v>#DIV/0!</v>
      </c>
      <c r="AQ17" s="53">
        <f>(Y17+AH17)*'1. Rates'!C$60</f>
        <v>7817.9181013334737</v>
      </c>
      <c r="AR17" s="53">
        <f>(Z17+AI17)*'1. Rates'!D$60</f>
        <v>1954.4795253333684</v>
      </c>
      <c r="AS17" s="53">
        <f>(AA17+AJ17)*'1. Rates'!E$60</f>
        <v>3906.122039350239</v>
      </c>
      <c r="AT17" s="53">
        <f>(AB17+AK17)*'1. Rates'!F$60</f>
        <v>3959.162039350239</v>
      </c>
      <c r="AU17" s="53">
        <f>(AC17+AL17)*'1. Rates'!G$60</f>
        <v>0</v>
      </c>
      <c r="AV17" s="53">
        <f>(AD17+AM17)*'1. Rates'!H$60</f>
        <v>2769.72</v>
      </c>
      <c r="AW17" s="53">
        <f>(AE17+AN17)*'1. Rates'!$I$60</f>
        <v>0</v>
      </c>
      <c r="AX17" s="53" t="e">
        <f>(AF17+AO17)*'1. Rates'!$J$60</f>
        <v>#DIV/0!</v>
      </c>
      <c r="AY17" s="53" t="e">
        <f t="shared" si="11"/>
        <v>#DIV/0!</v>
      </c>
      <c r="AZ17" s="53">
        <f t="shared" si="12"/>
        <v>65149.317511112284</v>
      </c>
      <c r="BA17" s="53">
        <f t="shared" si="0"/>
        <v>16287.329377778071</v>
      </c>
      <c r="BB17" s="53">
        <f t="shared" si="0"/>
        <v>32551.016994585327</v>
      </c>
      <c r="BC17" s="53">
        <f t="shared" si="0"/>
        <v>32993.016994585327</v>
      </c>
      <c r="BD17" s="53">
        <f t="shared" si="0"/>
        <v>123628</v>
      </c>
      <c r="BE17" s="53">
        <f t="shared" si="0"/>
        <v>23081</v>
      </c>
      <c r="BF17" s="53">
        <f t="shared" si="0"/>
        <v>0</v>
      </c>
      <c r="BG17" s="53" t="e">
        <f t="shared" si="0"/>
        <v>#DIV/0!</v>
      </c>
      <c r="BH17" s="53" t="e">
        <f t="shared" si="13"/>
        <v>#DIV/0!</v>
      </c>
      <c r="BI17" s="53">
        <f t="shared" si="14"/>
        <v>72967.235612445758</v>
      </c>
      <c r="BJ17" s="53">
        <f t="shared" si="1"/>
        <v>18241.80890311144</v>
      </c>
      <c r="BK17" s="53">
        <f t="shared" si="1"/>
        <v>36457.139033935564</v>
      </c>
      <c r="BL17" s="53">
        <f t="shared" si="1"/>
        <v>36952.179033935565</v>
      </c>
      <c r="BM17" s="53">
        <f t="shared" si="1"/>
        <v>123628</v>
      </c>
      <c r="BN17" s="53">
        <f t="shared" si="1"/>
        <v>25850.720000000001</v>
      </c>
      <c r="BO17" s="53">
        <f t="shared" si="1"/>
        <v>0</v>
      </c>
      <c r="BP17" s="53" t="e">
        <f t="shared" si="1"/>
        <v>#DIV/0!</v>
      </c>
      <c r="BQ17" s="53" t="e">
        <f t="shared" si="15"/>
        <v>#DIV/0!</v>
      </c>
      <c r="BR17" s="54">
        <f t="shared" si="16"/>
        <v>6.5149317511112281</v>
      </c>
      <c r="BS17" s="54">
        <f t="shared" si="2"/>
        <v>6.5149317511112281</v>
      </c>
      <c r="BT17" s="54">
        <f t="shared" si="2"/>
        <v>6.5102033989170653</v>
      </c>
      <c r="BU17" s="54">
        <f t="shared" si="2"/>
        <v>6.5986033989170654</v>
      </c>
      <c r="BV17" s="54">
        <f t="shared" si="2"/>
        <v>6.1814</v>
      </c>
      <c r="BW17" s="54" t="e">
        <f t="shared" si="2"/>
        <v>#DIV/0!</v>
      </c>
      <c r="BX17" s="54"/>
      <c r="BY17" s="54" t="e">
        <f t="shared" si="3"/>
        <v>#DIV/0!</v>
      </c>
      <c r="BZ17" s="54" t="e">
        <f t="shared" si="4"/>
        <v>#DIV/0!</v>
      </c>
      <c r="CA17" s="54">
        <f t="shared" si="17"/>
        <v>7.2967235612445762</v>
      </c>
      <c r="CB17" s="54">
        <f t="shared" si="5"/>
        <v>7.2967235612445762</v>
      </c>
      <c r="CC17" s="54">
        <f t="shared" si="5"/>
        <v>7.2914278067871132</v>
      </c>
      <c r="CD17" s="54">
        <f t="shared" si="5"/>
        <v>7.3904358067871128</v>
      </c>
      <c r="CE17" s="54">
        <f t="shared" si="5"/>
        <v>6.1814</v>
      </c>
      <c r="CF17" s="54" t="e">
        <f t="shared" si="5"/>
        <v>#DIV/0!</v>
      </c>
      <c r="CG17" s="54"/>
      <c r="CH17" s="54" t="e">
        <f t="shared" si="6"/>
        <v>#DIV/0!</v>
      </c>
      <c r="CI17" s="54" t="e">
        <f t="shared" si="18"/>
        <v>#DIV/0!</v>
      </c>
    </row>
    <row r="18" spans="2:87" ht="18" customHeight="1" x14ac:dyDescent="0.3">
      <c r="B18" s="14">
        <v>14</v>
      </c>
      <c r="C18" s="119"/>
      <c r="D18" s="119"/>
      <c r="E18" s="11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54" t="e">
        <f t="shared" si="7"/>
        <v>#DIV/0!</v>
      </c>
      <c r="Q18" s="53">
        <f>'3. Nomination'!W19</f>
        <v>10000</v>
      </c>
      <c r="R18" s="53">
        <f>'3. Nomination'!X19</f>
        <v>2500</v>
      </c>
      <c r="S18" s="53">
        <f>'3. Nomination'!Y19</f>
        <v>5000</v>
      </c>
      <c r="T18" s="53">
        <f>'3. Nomination'!Z19</f>
        <v>5000</v>
      </c>
      <c r="U18" s="53">
        <f>'3. Nomination'!AA19</f>
        <v>20000</v>
      </c>
      <c r="V18" s="53">
        <f>'3. Nomination'!AB19</f>
        <v>10000</v>
      </c>
      <c r="W18" s="53">
        <f>'3. Nomination'!AC19</f>
        <v>0</v>
      </c>
      <c r="X18" s="53">
        <f t="shared" si="19"/>
        <v>-52500</v>
      </c>
      <c r="Y18" s="53">
        <f>'1. Rates'!C$41*'1. Rates'!C$55</f>
        <v>32322.089552238805</v>
      </c>
      <c r="Z18" s="53">
        <f>'1. Rates'!D$41*'1. Rates'!D$55</f>
        <v>8080.5223880597014</v>
      </c>
      <c r="AA18" s="53">
        <f>'1. Rates'!E$41*'1. Rates'!E$55</f>
        <v>16021.334867008814</v>
      </c>
      <c r="AB18" s="53">
        <f>'1. Rates'!F$41*'1. Rates'!F$55</f>
        <v>16463.334867008813</v>
      </c>
      <c r="AC18" s="53">
        <f>'1. Rates'!G$41*'1. Rates'!G$55</f>
        <v>0</v>
      </c>
      <c r="AD18" s="53">
        <f>'1. Rates'!H$41*'1. Rates'!H$55</f>
        <v>23081</v>
      </c>
      <c r="AE18" s="53"/>
      <c r="AF18" s="53"/>
      <c r="AG18" s="53">
        <f t="shared" si="8"/>
        <v>95968.281674316138</v>
      </c>
      <c r="AH18" s="53">
        <f>Q18*'1. Rates'!C$56</f>
        <v>32827.227958873475</v>
      </c>
      <c r="AI18" s="53">
        <f>R18*'1. Rates'!D$56</f>
        <v>8206.8069897183686</v>
      </c>
      <c r="AJ18" s="53">
        <f>S18*'1. Rates'!E$56</f>
        <v>16529.682127576514</v>
      </c>
      <c r="AK18" s="53">
        <f>T18*'1. Rates'!F$56</f>
        <v>16529.682127576514</v>
      </c>
      <c r="AL18" s="53">
        <f>U18*'1. Rates'!G$56</f>
        <v>123628</v>
      </c>
      <c r="AM18" s="53">
        <f>V18*'1. Rates'!H$56</f>
        <v>34702.174591513132</v>
      </c>
      <c r="AN18" s="53">
        <f>W18*'1. Rates'!Q54</f>
        <v>0</v>
      </c>
      <c r="AO18" s="53" t="e">
        <f t="shared" si="9"/>
        <v>#DIV/0!</v>
      </c>
      <c r="AP18" s="53" t="e">
        <f t="shared" si="10"/>
        <v>#DIV/0!</v>
      </c>
      <c r="AQ18" s="53">
        <f>(Y18+AH18)*'1. Rates'!C$60</f>
        <v>7817.9181013334737</v>
      </c>
      <c r="AR18" s="53">
        <f>(Z18+AI18)*'1. Rates'!D$60</f>
        <v>1954.4795253333684</v>
      </c>
      <c r="AS18" s="53">
        <f>(AA18+AJ18)*'1. Rates'!E$60</f>
        <v>3906.122039350239</v>
      </c>
      <c r="AT18" s="53">
        <f>(AB18+AK18)*'1. Rates'!F$60</f>
        <v>3959.162039350239</v>
      </c>
      <c r="AU18" s="53">
        <f>(AC18+AL18)*'1. Rates'!G$60</f>
        <v>0</v>
      </c>
      <c r="AV18" s="53">
        <f>(AD18+AM18)*'1. Rates'!H$60</f>
        <v>6933.9809509815759</v>
      </c>
      <c r="AW18" s="53">
        <f>(AE18+AN18)*'1. Rates'!$I$60</f>
        <v>0</v>
      </c>
      <c r="AX18" s="53" t="e">
        <f>(AF18+AO18)*'1. Rates'!$J$60</f>
        <v>#DIV/0!</v>
      </c>
      <c r="AY18" s="53" t="e">
        <f t="shared" si="11"/>
        <v>#DIV/0!</v>
      </c>
      <c r="AZ18" s="53">
        <f t="shared" si="12"/>
        <v>65149.317511112284</v>
      </c>
      <c r="BA18" s="53">
        <f t="shared" si="0"/>
        <v>16287.329377778071</v>
      </c>
      <c r="BB18" s="53">
        <f t="shared" si="0"/>
        <v>32551.016994585327</v>
      </c>
      <c r="BC18" s="53">
        <f t="shared" si="0"/>
        <v>32993.016994585327</v>
      </c>
      <c r="BD18" s="53">
        <f t="shared" si="0"/>
        <v>123628</v>
      </c>
      <c r="BE18" s="53">
        <f t="shared" si="0"/>
        <v>57783.174591513132</v>
      </c>
      <c r="BF18" s="53">
        <f t="shared" si="0"/>
        <v>0</v>
      </c>
      <c r="BG18" s="53" t="e">
        <f t="shared" si="0"/>
        <v>#DIV/0!</v>
      </c>
      <c r="BH18" s="53" t="e">
        <f t="shared" si="13"/>
        <v>#DIV/0!</v>
      </c>
      <c r="BI18" s="53">
        <f t="shared" si="14"/>
        <v>72967.235612445758</v>
      </c>
      <c r="BJ18" s="53">
        <f t="shared" si="1"/>
        <v>18241.80890311144</v>
      </c>
      <c r="BK18" s="53">
        <f t="shared" si="1"/>
        <v>36457.139033935564</v>
      </c>
      <c r="BL18" s="53">
        <f t="shared" si="1"/>
        <v>36952.179033935565</v>
      </c>
      <c r="BM18" s="53">
        <f t="shared" si="1"/>
        <v>123628</v>
      </c>
      <c r="BN18" s="53">
        <f t="shared" si="1"/>
        <v>64717.155542494707</v>
      </c>
      <c r="BO18" s="53">
        <f t="shared" si="1"/>
        <v>0</v>
      </c>
      <c r="BP18" s="53" t="e">
        <f t="shared" si="1"/>
        <v>#DIV/0!</v>
      </c>
      <c r="BQ18" s="53" t="e">
        <f t="shared" si="15"/>
        <v>#DIV/0!</v>
      </c>
      <c r="BR18" s="54">
        <f t="shared" si="16"/>
        <v>6.5149317511112281</v>
      </c>
      <c r="BS18" s="54">
        <f t="shared" si="2"/>
        <v>6.5149317511112281</v>
      </c>
      <c r="BT18" s="54">
        <f t="shared" si="2"/>
        <v>6.5102033989170653</v>
      </c>
      <c r="BU18" s="54">
        <f t="shared" si="2"/>
        <v>6.5986033989170654</v>
      </c>
      <c r="BV18" s="54">
        <f t="shared" si="2"/>
        <v>6.1814</v>
      </c>
      <c r="BW18" s="54">
        <f t="shared" si="2"/>
        <v>5.7783174591513129</v>
      </c>
      <c r="BX18" s="54"/>
      <c r="BY18" s="54" t="e">
        <f t="shared" si="3"/>
        <v>#DIV/0!</v>
      </c>
      <c r="BZ18" s="54" t="e">
        <f t="shared" si="4"/>
        <v>#DIV/0!</v>
      </c>
      <c r="CA18" s="54">
        <f t="shared" si="17"/>
        <v>7.2967235612445762</v>
      </c>
      <c r="CB18" s="54">
        <f t="shared" si="5"/>
        <v>7.2967235612445762</v>
      </c>
      <c r="CC18" s="54">
        <f t="shared" si="5"/>
        <v>7.2914278067871132</v>
      </c>
      <c r="CD18" s="54">
        <f t="shared" si="5"/>
        <v>7.3904358067871128</v>
      </c>
      <c r="CE18" s="54">
        <f t="shared" si="5"/>
        <v>6.1814</v>
      </c>
      <c r="CF18" s="54">
        <f t="shared" si="5"/>
        <v>6.4717155542494709</v>
      </c>
      <c r="CG18" s="54"/>
      <c r="CH18" s="54" t="e">
        <f t="shared" si="6"/>
        <v>#DIV/0!</v>
      </c>
      <c r="CI18" s="54" t="e">
        <f t="shared" si="18"/>
        <v>#DIV/0!</v>
      </c>
    </row>
    <row r="19" spans="2:87" ht="18" customHeight="1" x14ac:dyDescent="0.3">
      <c r="B19" s="14">
        <v>15</v>
      </c>
      <c r="C19" s="119"/>
      <c r="D19" s="119"/>
      <c r="E19" s="119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54" t="e">
        <f t="shared" si="7"/>
        <v>#DIV/0!</v>
      </c>
      <c r="Q19" s="53">
        <f>'3. Nomination'!W20</f>
        <v>10000</v>
      </c>
      <c r="R19" s="53">
        <f>'3. Nomination'!X20</f>
        <v>2500</v>
      </c>
      <c r="S19" s="53">
        <f>'3. Nomination'!Y20</f>
        <v>5000</v>
      </c>
      <c r="T19" s="53">
        <f>'3. Nomination'!Z20</f>
        <v>5000</v>
      </c>
      <c r="U19" s="53">
        <f>'3. Nomination'!AA20</f>
        <v>20000</v>
      </c>
      <c r="V19" s="53">
        <f>'3. Nomination'!AB20</f>
        <v>10000</v>
      </c>
      <c r="W19" s="53">
        <f>'3. Nomination'!AC20</f>
        <v>0</v>
      </c>
      <c r="X19" s="53">
        <f t="shared" si="19"/>
        <v>-52500</v>
      </c>
      <c r="Y19" s="53">
        <f>'1. Rates'!C$41*'1. Rates'!C$55</f>
        <v>32322.089552238805</v>
      </c>
      <c r="Z19" s="53">
        <f>'1. Rates'!D$41*'1. Rates'!D$55</f>
        <v>8080.5223880597014</v>
      </c>
      <c r="AA19" s="53">
        <f>'1. Rates'!E$41*'1. Rates'!E$55</f>
        <v>16021.334867008814</v>
      </c>
      <c r="AB19" s="53">
        <f>'1. Rates'!F$41*'1. Rates'!F$55</f>
        <v>16463.334867008813</v>
      </c>
      <c r="AC19" s="53">
        <f>'1. Rates'!G$41*'1. Rates'!G$55</f>
        <v>0</v>
      </c>
      <c r="AD19" s="53">
        <f>'1. Rates'!H$41*'1. Rates'!H$55</f>
        <v>23081</v>
      </c>
      <c r="AE19" s="53"/>
      <c r="AF19" s="53"/>
      <c r="AG19" s="53">
        <f t="shared" si="8"/>
        <v>95968.281674316138</v>
      </c>
      <c r="AH19" s="53">
        <f>Q19*'1. Rates'!C$56</f>
        <v>32827.227958873475</v>
      </c>
      <c r="AI19" s="53">
        <f>R19*'1. Rates'!D$56</f>
        <v>8206.8069897183686</v>
      </c>
      <c r="AJ19" s="53">
        <f>S19*'1. Rates'!E$56</f>
        <v>16529.682127576514</v>
      </c>
      <c r="AK19" s="53">
        <f>T19*'1. Rates'!F$56</f>
        <v>16529.682127576514</v>
      </c>
      <c r="AL19" s="53">
        <f>U19*'1. Rates'!G$56</f>
        <v>123628</v>
      </c>
      <c r="AM19" s="53">
        <f>V19*'1. Rates'!H$56</f>
        <v>34702.174591513132</v>
      </c>
      <c r="AN19" s="53">
        <f>W19*'1. Rates'!Q55</f>
        <v>0</v>
      </c>
      <c r="AO19" s="53" t="e">
        <f t="shared" si="9"/>
        <v>#DIV/0!</v>
      </c>
      <c r="AP19" s="53" t="e">
        <f t="shared" si="10"/>
        <v>#DIV/0!</v>
      </c>
      <c r="AQ19" s="53">
        <f>(Y19+AH19)*'1. Rates'!C$60</f>
        <v>7817.9181013334737</v>
      </c>
      <c r="AR19" s="53">
        <f>(Z19+AI19)*'1. Rates'!D$60</f>
        <v>1954.4795253333684</v>
      </c>
      <c r="AS19" s="53">
        <f>(AA19+AJ19)*'1. Rates'!E$60</f>
        <v>3906.122039350239</v>
      </c>
      <c r="AT19" s="53">
        <f>(AB19+AK19)*'1. Rates'!F$60</f>
        <v>3959.162039350239</v>
      </c>
      <c r="AU19" s="53">
        <f>(AC19+AL19)*'1. Rates'!G$60</f>
        <v>0</v>
      </c>
      <c r="AV19" s="53">
        <f>(AD19+AM19)*'1. Rates'!H$60</f>
        <v>6933.9809509815759</v>
      </c>
      <c r="AW19" s="53">
        <f>(AE19+AN19)*'1. Rates'!$I$60</f>
        <v>0</v>
      </c>
      <c r="AX19" s="53" t="e">
        <f>(AF19+AO19)*'1. Rates'!$J$60</f>
        <v>#DIV/0!</v>
      </c>
      <c r="AY19" s="53" t="e">
        <f t="shared" si="11"/>
        <v>#DIV/0!</v>
      </c>
      <c r="AZ19" s="53">
        <f t="shared" si="12"/>
        <v>65149.317511112284</v>
      </c>
      <c r="BA19" s="53">
        <f t="shared" si="0"/>
        <v>16287.329377778071</v>
      </c>
      <c r="BB19" s="53">
        <f t="shared" si="0"/>
        <v>32551.016994585327</v>
      </c>
      <c r="BC19" s="53">
        <f t="shared" si="0"/>
        <v>32993.016994585327</v>
      </c>
      <c r="BD19" s="53">
        <f t="shared" si="0"/>
        <v>123628</v>
      </c>
      <c r="BE19" s="53">
        <f t="shared" si="0"/>
        <v>57783.174591513132</v>
      </c>
      <c r="BF19" s="53">
        <f t="shared" si="0"/>
        <v>0</v>
      </c>
      <c r="BG19" s="53" t="e">
        <f t="shared" si="0"/>
        <v>#DIV/0!</v>
      </c>
      <c r="BH19" s="53" t="e">
        <f t="shared" si="13"/>
        <v>#DIV/0!</v>
      </c>
      <c r="BI19" s="53">
        <f t="shared" si="14"/>
        <v>72967.235612445758</v>
      </c>
      <c r="BJ19" s="53">
        <f t="shared" si="1"/>
        <v>18241.80890311144</v>
      </c>
      <c r="BK19" s="53">
        <f t="shared" si="1"/>
        <v>36457.139033935564</v>
      </c>
      <c r="BL19" s="53">
        <f t="shared" si="1"/>
        <v>36952.179033935565</v>
      </c>
      <c r="BM19" s="53">
        <f t="shared" si="1"/>
        <v>123628</v>
      </c>
      <c r="BN19" s="53">
        <f t="shared" si="1"/>
        <v>64717.155542494707</v>
      </c>
      <c r="BO19" s="53">
        <f t="shared" si="1"/>
        <v>0</v>
      </c>
      <c r="BP19" s="53" t="e">
        <f t="shared" si="1"/>
        <v>#DIV/0!</v>
      </c>
      <c r="BQ19" s="53" t="e">
        <f t="shared" si="15"/>
        <v>#DIV/0!</v>
      </c>
      <c r="BR19" s="54">
        <f t="shared" si="16"/>
        <v>6.5149317511112281</v>
      </c>
      <c r="BS19" s="54">
        <f t="shared" si="2"/>
        <v>6.5149317511112281</v>
      </c>
      <c r="BT19" s="54">
        <f t="shared" si="2"/>
        <v>6.5102033989170653</v>
      </c>
      <c r="BU19" s="54">
        <f t="shared" si="2"/>
        <v>6.5986033989170654</v>
      </c>
      <c r="BV19" s="54">
        <f t="shared" si="2"/>
        <v>6.1814</v>
      </c>
      <c r="BW19" s="54">
        <f t="shared" si="2"/>
        <v>5.7783174591513129</v>
      </c>
      <c r="BX19" s="54"/>
      <c r="BY19" s="54" t="e">
        <f t="shared" si="3"/>
        <v>#DIV/0!</v>
      </c>
      <c r="BZ19" s="54" t="e">
        <f t="shared" si="4"/>
        <v>#DIV/0!</v>
      </c>
      <c r="CA19" s="54">
        <f t="shared" si="17"/>
        <v>7.2967235612445762</v>
      </c>
      <c r="CB19" s="54">
        <f t="shared" si="5"/>
        <v>7.2967235612445762</v>
      </c>
      <c r="CC19" s="54">
        <f t="shared" si="5"/>
        <v>7.2914278067871132</v>
      </c>
      <c r="CD19" s="54">
        <f t="shared" si="5"/>
        <v>7.3904358067871128</v>
      </c>
      <c r="CE19" s="54">
        <f t="shared" si="5"/>
        <v>6.1814</v>
      </c>
      <c r="CF19" s="54">
        <f t="shared" si="5"/>
        <v>6.4717155542494709</v>
      </c>
      <c r="CG19" s="54"/>
      <c r="CH19" s="54" t="e">
        <f t="shared" si="6"/>
        <v>#DIV/0!</v>
      </c>
      <c r="CI19" s="54" t="e">
        <f t="shared" si="18"/>
        <v>#DIV/0!</v>
      </c>
    </row>
    <row r="20" spans="2:87" ht="18" customHeight="1" x14ac:dyDescent="0.3">
      <c r="B20" s="14">
        <v>16</v>
      </c>
      <c r="C20" s="119"/>
      <c r="D20" s="119"/>
      <c r="E20" s="119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54" t="e">
        <f t="shared" si="7"/>
        <v>#DIV/0!</v>
      </c>
      <c r="Q20" s="53">
        <f>'3. Nomination'!W21</f>
        <v>10000</v>
      </c>
      <c r="R20" s="53">
        <f>'3. Nomination'!X21</f>
        <v>2500</v>
      </c>
      <c r="S20" s="53">
        <f>'3. Nomination'!Y21</f>
        <v>5000</v>
      </c>
      <c r="T20" s="53">
        <f>'3. Nomination'!Z21</f>
        <v>5000</v>
      </c>
      <c r="U20" s="53">
        <f>'3. Nomination'!AA21</f>
        <v>20000</v>
      </c>
      <c r="V20" s="53">
        <f>'3. Nomination'!AB21</f>
        <v>10000</v>
      </c>
      <c r="W20" s="53">
        <f>'3. Nomination'!AC21</f>
        <v>0</v>
      </c>
      <c r="X20" s="53">
        <f t="shared" si="19"/>
        <v>-52500</v>
      </c>
      <c r="Y20" s="53">
        <f>'1. Rates'!C$41*'1. Rates'!C$55</f>
        <v>32322.089552238805</v>
      </c>
      <c r="Z20" s="53">
        <f>'1. Rates'!D$41*'1. Rates'!D$55</f>
        <v>8080.5223880597014</v>
      </c>
      <c r="AA20" s="53">
        <f>'1. Rates'!E$41*'1. Rates'!E$55</f>
        <v>16021.334867008814</v>
      </c>
      <c r="AB20" s="53">
        <f>'1. Rates'!F$41*'1. Rates'!F$55</f>
        <v>16463.334867008813</v>
      </c>
      <c r="AC20" s="53">
        <f>'1. Rates'!G$41*'1. Rates'!G$55</f>
        <v>0</v>
      </c>
      <c r="AD20" s="53">
        <f>'1. Rates'!H$41*'1. Rates'!H$55</f>
        <v>23081</v>
      </c>
      <c r="AE20" s="53"/>
      <c r="AF20" s="53"/>
      <c r="AG20" s="53">
        <f t="shared" si="8"/>
        <v>95968.281674316138</v>
      </c>
      <c r="AH20" s="53">
        <f>Q20*'1. Rates'!C$56</f>
        <v>32827.227958873475</v>
      </c>
      <c r="AI20" s="53">
        <f>R20*'1. Rates'!D$56</f>
        <v>8206.8069897183686</v>
      </c>
      <c r="AJ20" s="53">
        <f>S20*'1. Rates'!E$56</f>
        <v>16529.682127576514</v>
      </c>
      <c r="AK20" s="53">
        <f>T20*'1. Rates'!F$56</f>
        <v>16529.682127576514</v>
      </c>
      <c r="AL20" s="53">
        <f>U20*'1. Rates'!G$56</f>
        <v>123628</v>
      </c>
      <c r="AM20" s="53">
        <f>V20*'1. Rates'!H$56</f>
        <v>34702.174591513132</v>
      </c>
      <c r="AN20" s="53">
        <f>W20*'1. Rates'!Q56</f>
        <v>0</v>
      </c>
      <c r="AO20" s="53" t="e">
        <f t="shared" si="9"/>
        <v>#DIV/0!</v>
      </c>
      <c r="AP20" s="53" t="e">
        <f t="shared" si="10"/>
        <v>#DIV/0!</v>
      </c>
      <c r="AQ20" s="53">
        <f>(Y20+AH20)*'1. Rates'!C$60</f>
        <v>7817.9181013334737</v>
      </c>
      <c r="AR20" s="53">
        <f>(Z20+AI20)*'1. Rates'!D$60</f>
        <v>1954.4795253333684</v>
      </c>
      <c r="AS20" s="53">
        <f>(AA20+AJ20)*'1. Rates'!E$60</f>
        <v>3906.122039350239</v>
      </c>
      <c r="AT20" s="53">
        <f>(AB20+AK20)*'1. Rates'!F$60</f>
        <v>3959.162039350239</v>
      </c>
      <c r="AU20" s="53">
        <f>(AC20+AL20)*'1. Rates'!G$60</f>
        <v>0</v>
      </c>
      <c r="AV20" s="53">
        <f>(AD20+AM20)*'1. Rates'!H$60</f>
        <v>6933.9809509815759</v>
      </c>
      <c r="AW20" s="53">
        <f>(AE20+AN20)*'1. Rates'!$I$60</f>
        <v>0</v>
      </c>
      <c r="AX20" s="53" t="e">
        <f>(AF20+AO20)*'1. Rates'!$J$60</f>
        <v>#DIV/0!</v>
      </c>
      <c r="AY20" s="53" t="e">
        <f t="shared" si="11"/>
        <v>#DIV/0!</v>
      </c>
      <c r="AZ20" s="53">
        <f t="shared" si="12"/>
        <v>65149.317511112284</v>
      </c>
      <c r="BA20" s="53">
        <f t="shared" si="0"/>
        <v>16287.329377778071</v>
      </c>
      <c r="BB20" s="53">
        <f t="shared" si="0"/>
        <v>32551.016994585327</v>
      </c>
      <c r="BC20" s="53">
        <f t="shared" si="0"/>
        <v>32993.016994585327</v>
      </c>
      <c r="BD20" s="53">
        <f t="shared" si="0"/>
        <v>123628</v>
      </c>
      <c r="BE20" s="53">
        <f t="shared" si="0"/>
        <v>57783.174591513132</v>
      </c>
      <c r="BF20" s="53">
        <f t="shared" si="0"/>
        <v>0</v>
      </c>
      <c r="BG20" s="53" t="e">
        <f t="shared" si="0"/>
        <v>#DIV/0!</v>
      </c>
      <c r="BH20" s="53" t="e">
        <f t="shared" si="13"/>
        <v>#DIV/0!</v>
      </c>
      <c r="BI20" s="53">
        <f t="shared" si="14"/>
        <v>72967.235612445758</v>
      </c>
      <c r="BJ20" s="53">
        <f t="shared" si="1"/>
        <v>18241.80890311144</v>
      </c>
      <c r="BK20" s="53">
        <f t="shared" si="1"/>
        <v>36457.139033935564</v>
      </c>
      <c r="BL20" s="53">
        <f t="shared" si="1"/>
        <v>36952.179033935565</v>
      </c>
      <c r="BM20" s="53">
        <f t="shared" si="1"/>
        <v>123628</v>
      </c>
      <c r="BN20" s="53">
        <f t="shared" si="1"/>
        <v>64717.155542494707</v>
      </c>
      <c r="BO20" s="53">
        <f t="shared" si="1"/>
        <v>0</v>
      </c>
      <c r="BP20" s="53" t="e">
        <f t="shared" si="1"/>
        <v>#DIV/0!</v>
      </c>
      <c r="BQ20" s="53" t="e">
        <f t="shared" si="15"/>
        <v>#DIV/0!</v>
      </c>
      <c r="BR20" s="54">
        <f t="shared" si="16"/>
        <v>6.5149317511112281</v>
      </c>
      <c r="BS20" s="54">
        <f t="shared" si="2"/>
        <v>6.5149317511112281</v>
      </c>
      <c r="BT20" s="54">
        <f t="shared" si="2"/>
        <v>6.5102033989170653</v>
      </c>
      <c r="BU20" s="54">
        <f t="shared" si="2"/>
        <v>6.5986033989170654</v>
      </c>
      <c r="BV20" s="54">
        <f t="shared" si="2"/>
        <v>6.1814</v>
      </c>
      <c r="BW20" s="54">
        <f t="shared" si="2"/>
        <v>5.7783174591513129</v>
      </c>
      <c r="BX20" s="54"/>
      <c r="BY20" s="54" t="e">
        <f t="shared" si="3"/>
        <v>#DIV/0!</v>
      </c>
      <c r="BZ20" s="54" t="e">
        <f t="shared" si="4"/>
        <v>#DIV/0!</v>
      </c>
      <c r="CA20" s="54">
        <f t="shared" si="17"/>
        <v>7.2967235612445762</v>
      </c>
      <c r="CB20" s="54">
        <f t="shared" si="5"/>
        <v>7.2967235612445762</v>
      </c>
      <c r="CC20" s="54">
        <f t="shared" si="5"/>
        <v>7.2914278067871132</v>
      </c>
      <c r="CD20" s="54">
        <f t="shared" si="5"/>
        <v>7.3904358067871128</v>
      </c>
      <c r="CE20" s="54">
        <f t="shared" si="5"/>
        <v>6.1814</v>
      </c>
      <c r="CF20" s="54">
        <f t="shared" si="5"/>
        <v>6.4717155542494709</v>
      </c>
      <c r="CG20" s="54"/>
      <c r="CH20" s="54" t="e">
        <f t="shared" si="6"/>
        <v>#DIV/0!</v>
      </c>
      <c r="CI20" s="54" t="e">
        <f t="shared" si="18"/>
        <v>#DIV/0!</v>
      </c>
    </row>
    <row r="21" spans="2:87" ht="18" customHeight="1" x14ac:dyDescent="0.3">
      <c r="B21" s="14">
        <v>17</v>
      </c>
      <c r="C21" s="119"/>
      <c r="D21" s="119"/>
      <c r="E21" s="119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54" t="e">
        <f t="shared" si="7"/>
        <v>#DIV/0!</v>
      </c>
      <c r="Q21" s="53">
        <f>'3. Nomination'!W22</f>
        <v>20000</v>
      </c>
      <c r="R21" s="53">
        <f>'3. Nomination'!X22</f>
        <v>5000</v>
      </c>
      <c r="S21" s="53">
        <f>'3. Nomination'!Y22</f>
        <v>10000</v>
      </c>
      <c r="T21" s="53">
        <f>'3. Nomination'!Z22</f>
        <v>10000</v>
      </c>
      <c r="U21" s="53">
        <f>'3. Nomination'!AA22</f>
        <v>20000</v>
      </c>
      <c r="V21" s="53">
        <f>'3. Nomination'!AB22</f>
        <v>10000</v>
      </c>
      <c r="W21" s="53">
        <f>'3. Nomination'!AC22</f>
        <v>0</v>
      </c>
      <c r="X21" s="53">
        <f t="shared" si="19"/>
        <v>-75000</v>
      </c>
      <c r="Y21" s="53">
        <f>'1. Rates'!C$41*'1. Rates'!C$55</f>
        <v>32322.089552238805</v>
      </c>
      <c r="Z21" s="53">
        <f>'1. Rates'!D$41*'1. Rates'!D$55</f>
        <v>8080.5223880597014</v>
      </c>
      <c r="AA21" s="53">
        <f>'1. Rates'!E$41*'1. Rates'!E$55</f>
        <v>16021.334867008814</v>
      </c>
      <c r="AB21" s="53">
        <f>'1. Rates'!F$41*'1. Rates'!F$55</f>
        <v>16463.334867008813</v>
      </c>
      <c r="AC21" s="53">
        <f>'1. Rates'!G$41*'1. Rates'!G$55</f>
        <v>0</v>
      </c>
      <c r="AD21" s="53">
        <f>'1. Rates'!H$41*'1. Rates'!H$55</f>
        <v>23081</v>
      </c>
      <c r="AE21" s="53"/>
      <c r="AF21" s="53"/>
      <c r="AG21" s="53">
        <f t="shared" si="8"/>
        <v>95968.281674316138</v>
      </c>
      <c r="AH21" s="53">
        <f>Q21*'1. Rates'!C$56</f>
        <v>65654.455917746949</v>
      </c>
      <c r="AI21" s="53">
        <f>R21*'1. Rates'!D$56</f>
        <v>16413.613979436737</v>
      </c>
      <c r="AJ21" s="53">
        <f>S21*'1. Rates'!E$56</f>
        <v>33059.364255153028</v>
      </c>
      <c r="AK21" s="53">
        <f>T21*'1. Rates'!F$56</f>
        <v>33059.364255153028</v>
      </c>
      <c r="AL21" s="53">
        <f>U21*'1. Rates'!G$56</f>
        <v>123628</v>
      </c>
      <c r="AM21" s="53">
        <f>V21*'1. Rates'!H$56</f>
        <v>34702.174591513132</v>
      </c>
      <c r="AN21" s="53">
        <f>W21*'1. Rates'!Q57</f>
        <v>0</v>
      </c>
      <c r="AO21" s="53" t="e">
        <f t="shared" si="9"/>
        <v>#DIV/0!</v>
      </c>
      <c r="AP21" s="53" t="e">
        <f t="shared" si="10"/>
        <v>#DIV/0!</v>
      </c>
      <c r="AQ21" s="53">
        <f>(Y21+AH21)*'1. Rates'!C$60</f>
        <v>11757.185456398289</v>
      </c>
      <c r="AR21" s="53">
        <f>(Z21+AI21)*'1. Rates'!D$60</f>
        <v>2939.2963640995722</v>
      </c>
      <c r="AS21" s="53">
        <f>(AA21+AJ21)*'1. Rates'!E$60</f>
        <v>5889.6838946594207</v>
      </c>
      <c r="AT21" s="53">
        <f>(AB21+AK21)*'1. Rates'!F$60</f>
        <v>5942.7238946594207</v>
      </c>
      <c r="AU21" s="53">
        <f>(AC21+AL21)*'1. Rates'!G$60</f>
        <v>0</v>
      </c>
      <c r="AV21" s="53">
        <f>(AD21+AM21)*'1. Rates'!H$60</f>
        <v>6933.9809509815759</v>
      </c>
      <c r="AW21" s="53">
        <f>(AE21+AN21)*'1. Rates'!$I$60</f>
        <v>0</v>
      </c>
      <c r="AX21" s="53" t="e">
        <f>(AF21+AO21)*'1. Rates'!$J$60</f>
        <v>#DIV/0!</v>
      </c>
      <c r="AY21" s="53" t="e">
        <f t="shared" si="11"/>
        <v>#DIV/0!</v>
      </c>
      <c r="AZ21" s="53">
        <f t="shared" si="12"/>
        <v>97976.545469985751</v>
      </c>
      <c r="BA21" s="53">
        <f t="shared" si="12"/>
        <v>24494.136367496438</v>
      </c>
      <c r="BB21" s="53">
        <f t="shared" si="12"/>
        <v>49080.699122161845</v>
      </c>
      <c r="BC21" s="53">
        <f t="shared" si="12"/>
        <v>49522.699122161837</v>
      </c>
      <c r="BD21" s="53">
        <f t="shared" si="12"/>
        <v>123628</v>
      </c>
      <c r="BE21" s="53">
        <f t="shared" si="12"/>
        <v>57783.174591513132</v>
      </c>
      <c r="BF21" s="53">
        <f t="shared" si="12"/>
        <v>0</v>
      </c>
      <c r="BG21" s="53" t="e">
        <f t="shared" si="12"/>
        <v>#DIV/0!</v>
      </c>
      <c r="BH21" s="53" t="e">
        <f t="shared" si="13"/>
        <v>#DIV/0!</v>
      </c>
      <c r="BI21" s="53">
        <f t="shared" si="14"/>
        <v>109733.73092638404</v>
      </c>
      <c r="BJ21" s="53">
        <f t="shared" si="14"/>
        <v>27433.432731596011</v>
      </c>
      <c r="BK21" s="53">
        <f t="shared" si="14"/>
        <v>54970.383016821266</v>
      </c>
      <c r="BL21" s="53">
        <f t="shared" si="14"/>
        <v>55465.42301682126</v>
      </c>
      <c r="BM21" s="53">
        <f t="shared" si="14"/>
        <v>123628</v>
      </c>
      <c r="BN21" s="53">
        <f t="shared" si="14"/>
        <v>64717.155542494707</v>
      </c>
      <c r="BO21" s="53">
        <f t="shared" si="14"/>
        <v>0</v>
      </c>
      <c r="BP21" s="53" t="e">
        <f t="shared" si="14"/>
        <v>#DIV/0!</v>
      </c>
      <c r="BQ21" s="53" t="e">
        <f t="shared" si="15"/>
        <v>#DIV/0!</v>
      </c>
      <c r="BR21" s="54">
        <f t="shared" si="16"/>
        <v>4.8988272734992879</v>
      </c>
      <c r="BS21" s="54">
        <f t="shared" ref="BS21:BS29" si="20">BA21/R21</f>
        <v>4.8988272734992879</v>
      </c>
      <c r="BT21" s="54">
        <f t="shared" ref="BT21:BT29" si="21">BB21/S21</f>
        <v>4.9080699122161846</v>
      </c>
      <c r="BU21" s="54">
        <f t="shared" ref="BU21:BW29" si="22">BC21/T21</f>
        <v>4.9522699122161837</v>
      </c>
      <c r="BV21" s="54">
        <f t="shared" si="22"/>
        <v>6.1814</v>
      </c>
      <c r="BW21" s="54">
        <f t="shared" si="22"/>
        <v>5.7783174591513129</v>
      </c>
      <c r="BX21" s="54"/>
      <c r="BY21" s="54" t="e">
        <f t="shared" si="3"/>
        <v>#DIV/0!</v>
      </c>
      <c r="BZ21" s="54" t="e">
        <f t="shared" si="4"/>
        <v>#DIV/0!</v>
      </c>
      <c r="CA21" s="54">
        <f t="shared" si="17"/>
        <v>5.4866865463192021</v>
      </c>
      <c r="CB21" s="54">
        <f t="shared" ref="CB21:CB28" si="23">BJ21/R21</f>
        <v>5.4866865463192021</v>
      </c>
      <c r="CC21" s="54">
        <f t="shared" ref="CC21:CC28" si="24">BK21/S21</f>
        <v>5.4970383016821263</v>
      </c>
      <c r="CD21" s="54">
        <f t="shared" ref="CD21:CF28" si="25">BL21/T21</f>
        <v>5.546542301682126</v>
      </c>
      <c r="CE21" s="54">
        <f t="shared" si="25"/>
        <v>6.1814</v>
      </c>
      <c r="CF21" s="54">
        <f t="shared" si="25"/>
        <v>6.4717155542494709</v>
      </c>
      <c r="CG21" s="54"/>
      <c r="CH21" s="54" t="e">
        <f t="shared" si="6"/>
        <v>#DIV/0!</v>
      </c>
      <c r="CI21" s="54" t="e">
        <f t="shared" si="18"/>
        <v>#DIV/0!</v>
      </c>
    </row>
    <row r="22" spans="2:87" ht="18" customHeight="1" x14ac:dyDescent="0.3">
      <c r="B22" s="14">
        <v>18</v>
      </c>
      <c r="C22" s="119"/>
      <c r="D22" s="119"/>
      <c r="E22" s="119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54" t="e">
        <f t="shared" si="7"/>
        <v>#DIV/0!</v>
      </c>
      <c r="Q22" s="53">
        <f>'3. Nomination'!W23</f>
        <v>20000</v>
      </c>
      <c r="R22" s="53">
        <f>'3. Nomination'!X23</f>
        <v>5000</v>
      </c>
      <c r="S22" s="53">
        <f>'3. Nomination'!Y23</f>
        <v>10000</v>
      </c>
      <c r="T22" s="53">
        <f>'3. Nomination'!Z23</f>
        <v>10000</v>
      </c>
      <c r="U22" s="53">
        <f>'3. Nomination'!AA23</f>
        <v>20000</v>
      </c>
      <c r="V22" s="53">
        <f>'3. Nomination'!AB23</f>
        <v>10000</v>
      </c>
      <c r="W22" s="53">
        <f>'3. Nomination'!AC23</f>
        <v>0</v>
      </c>
      <c r="X22" s="53">
        <f t="shared" si="19"/>
        <v>-75000</v>
      </c>
      <c r="Y22" s="53">
        <f>'1. Rates'!C$41*'1. Rates'!C$55</f>
        <v>32322.089552238805</v>
      </c>
      <c r="Z22" s="53">
        <f>'1. Rates'!D$41*'1. Rates'!D$55</f>
        <v>8080.5223880597014</v>
      </c>
      <c r="AA22" s="53">
        <f>'1. Rates'!E$41*'1. Rates'!E$55</f>
        <v>16021.334867008814</v>
      </c>
      <c r="AB22" s="53">
        <f>'1. Rates'!F$41*'1. Rates'!F$55</f>
        <v>16463.334867008813</v>
      </c>
      <c r="AC22" s="53">
        <f>'1. Rates'!G$41*'1. Rates'!G$55</f>
        <v>0</v>
      </c>
      <c r="AD22" s="53">
        <f>'1. Rates'!H$41*'1. Rates'!H$55</f>
        <v>23081</v>
      </c>
      <c r="AE22" s="53"/>
      <c r="AF22" s="53"/>
      <c r="AG22" s="53">
        <f t="shared" si="8"/>
        <v>95968.281674316138</v>
      </c>
      <c r="AH22" s="53">
        <f>Q22*'1. Rates'!C$56</f>
        <v>65654.455917746949</v>
      </c>
      <c r="AI22" s="53">
        <f>R22*'1. Rates'!D$56</f>
        <v>16413.613979436737</v>
      </c>
      <c r="AJ22" s="53">
        <f>S22*'1. Rates'!E$56</f>
        <v>33059.364255153028</v>
      </c>
      <c r="AK22" s="53">
        <f>T22*'1. Rates'!F$56</f>
        <v>33059.364255153028</v>
      </c>
      <c r="AL22" s="53">
        <f>U22*'1. Rates'!G$56</f>
        <v>123628</v>
      </c>
      <c r="AM22" s="53">
        <f>V22*'1. Rates'!H$56</f>
        <v>34702.174591513132</v>
      </c>
      <c r="AN22" s="53">
        <f>W22*'1. Rates'!Q58</f>
        <v>0</v>
      </c>
      <c r="AO22" s="53" t="e">
        <f t="shared" si="9"/>
        <v>#DIV/0!</v>
      </c>
      <c r="AP22" s="53" t="e">
        <f t="shared" si="10"/>
        <v>#DIV/0!</v>
      </c>
      <c r="AQ22" s="53">
        <f>(Y22+AH22)*'1. Rates'!C$60</f>
        <v>11757.185456398289</v>
      </c>
      <c r="AR22" s="53">
        <f>(Z22+AI22)*'1. Rates'!D$60</f>
        <v>2939.2963640995722</v>
      </c>
      <c r="AS22" s="53">
        <f>(AA22+AJ22)*'1. Rates'!E$60</f>
        <v>5889.6838946594207</v>
      </c>
      <c r="AT22" s="53">
        <f>(AB22+AK22)*'1. Rates'!F$60</f>
        <v>5942.7238946594207</v>
      </c>
      <c r="AU22" s="53">
        <f>(AC22+AL22)*'1. Rates'!G$60</f>
        <v>0</v>
      </c>
      <c r="AV22" s="53">
        <f>(AD22+AM22)*'1. Rates'!H$60</f>
        <v>6933.9809509815759</v>
      </c>
      <c r="AW22" s="53">
        <f>(AE22+AN22)*'1. Rates'!$I$60</f>
        <v>0</v>
      </c>
      <c r="AX22" s="53" t="e">
        <f>(AF22+AO22)*'1. Rates'!$J$60</f>
        <v>#DIV/0!</v>
      </c>
      <c r="AY22" s="53" t="e">
        <f t="shared" si="11"/>
        <v>#DIV/0!</v>
      </c>
      <c r="AZ22" s="53">
        <f t="shared" si="12"/>
        <v>97976.545469985751</v>
      </c>
      <c r="BA22" s="53">
        <f t="shared" si="12"/>
        <v>24494.136367496438</v>
      </c>
      <c r="BB22" s="53">
        <f t="shared" si="12"/>
        <v>49080.699122161845</v>
      </c>
      <c r="BC22" s="53">
        <f t="shared" si="12"/>
        <v>49522.699122161837</v>
      </c>
      <c r="BD22" s="53">
        <f t="shared" si="12"/>
        <v>123628</v>
      </c>
      <c r="BE22" s="53">
        <f t="shared" si="12"/>
        <v>57783.174591513132</v>
      </c>
      <c r="BF22" s="53">
        <f t="shared" si="12"/>
        <v>0</v>
      </c>
      <c r="BG22" s="53" t="e">
        <f t="shared" si="12"/>
        <v>#DIV/0!</v>
      </c>
      <c r="BH22" s="53" t="e">
        <f t="shared" si="13"/>
        <v>#DIV/0!</v>
      </c>
      <c r="BI22" s="53">
        <f t="shared" si="14"/>
        <v>109733.73092638404</v>
      </c>
      <c r="BJ22" s="53">
        <f t="shared" si="14"/>
        <v>27433.432731596011</v>
      </c>
      <c r="BK22" s="53">
        <f t="shared" si="14"/>
        <v>54970.383016821266</v>
      </c>
      <c r="BL22" s="53">
        <f t="shared" si="14"/>
        <v>55465.42301682126</v>
      </c>
      <c r="BM22" s="53">
        <f t="shared" si="14"/>
        <v>123628</v>
      </c>
      <c r="BN22" s="53">
        <f t="shared" si="14"/>
        <v>64717.155542494707</v>
      </c>
      <c r="BO22" s="53">
        <f t="shared" si="14"/>
        <v>0</v>
      </c>
      <c r="BP22" s="53" t="e">
        <f t="shared" si="14"/>
        <v>#DIV/0!</v>
      </c>
      <c r="BQ22" s="53" t="e">
        <f t="shared" si="15"/>
        <v>#DIV/0!</v>
      </c>
      <c r="BR22" s="54">
        <f t="shared" si="16"/>
        <v>4.8988272734992879</v>
      </c>
      <c r="BS22" s="54">
        <f t="shared" si="20"/>
        <v>4.8988272734992879</v>
      </c>
      <c r="BT22" s="54">
        <f t="shared" si="21"/>
        <v>4.9080699122161846</v>
      </c>
      <c r="BU22" s="54">
        <f t="shared" si="22"/>
        <v>4.9522699122161837</v>
      </c>
      <c r="BV22" s="54">
        <f t="shared" si="22"/>
        <v>6.1814</v>
      </c>
      <c r="BW22" s="54">
        <f t="shared" si="22"/>
        <v>5.7783174591513129</v>
      </c>
      <c r="BX22" s="54"/>
      <c r="BY22" s="54" t="e">
        <f t="shared" si="3"/>
        <v>#DIV/0!</v>
      </c>
      <c r="BZ22" s="54" t="e">
        <f t="shared" si="4"/>
        <v>#DIV/0!</v>
      </c>
      <c r="CA22" s="54">
        <f t="shared" si="17"/>
        <v>5.4866865463192021</v>
      </c>
      <c r="CB22" s="54">
        <f t="shared" si="23"/>
        <v>5.4866865463192021</v>
      </c>
      <c r="CC22" s="54">
        <f t="shared" si="24"/>
        <v>5.4970383016821263</v>
      </c>
      <c r="CD22" s="54">
        <f t="shared" si="25"/>
        <v>5.546542301682126</v>
      </c>
      <c r="CE22" s="54">
        <f t="shared" si="25"/>
        <v>6.1814</v>
      </c>
      <c r="CF22" s="54">
        <f t="shared" si="25"/>
        <v>6.4717155542494709</v>
      </c>
      <c r="CG22" s="54"/>
      <c r="CH22" s="54" t="e">
        <f t="shared" si="6"/>
        <v>#DIV/0!</v>
      </c>
      <c r="CI22" s="54" t="e">
        <f t="shared" si="18"/>
        <v>#DIV/0!</v>
      </c>
    </row>
    <row r="23" spans="2:87" ht="18" customHeight="1" x14ac:dyDescent="0.3">
      <c r="B23" s="14">
        <v>19</v>
      </c>
      <c r="C23" s="119"/>
      <c r="D23" s="119"/>
      <c r="E23" s="119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54" t="e">
        <f t="shared" si="7"/>
        <v>#DIV/0!</v>
      </c>
      <c r="Q23" s="53">
        <f>'3. Nomination'!W24</f>
        <v>20000</v>
      </c>
      <c r="R23" s="53">
        <f>'3. Nomination'!X24</f>
        <v>5000</v>
      </c>
      <c r="S23" s="53">
        <f>'3. Nomination'!Y24</f>
        <v>10000</v>
      </c>
      <c r="T23" s="53">
        <f>'3. Nomination'!Z24</f>
        <v>10000</v>
      </c>
      <c r="U23" s="53">
        <f>'3. Nomination'!AA24</f>
        <v>20000</v>
      </c>
      <c r="V23" s="53">
        <f>'3. Nomination'!AB24</f>
        <v>10000</v>
      </c>
      <c r="W23" s="53">
        <f>'3. Nomination'!AC24</f>
        <v>0</v>
      </c>
      <c r="X23" s="53">
        <f t="shared" si="19"/>
        <v>-75000</v>
      </c>
      <c r="Y23" s="53">
        <f>'1. Rates'!C$41*'1. Rates'!C$55</f>
        <v>32322.089552238805</v>
      </c>
      <c r="Z23" s="53">
        <f>'1. Rates'!D$41*'1. Rates'!D$55</f>
        <v>8080.5223880597014</v>
      </c>
      <c r="AA23" s="53">
        <f>'1. Rates'!E$41*'1. Rates'!E$55</f>
        <v>16021.334867008814</v>
      </c>
      <c r="AB23" s="53">
        <f>'1. Rates'!F$41*'1. Rates'!F$55</f>
        <v>16463.334867008813</v>
      </c>
      <c r="AC23" s="53">
        <f>'1. Rates'!G$41*'1. Rates'!G$55</f>
        <v>0</v>
      </c>
      <c r="AD23" s="53">
        <f>'1. Rates'!H$41*'1. Rates'!H$55</f>
        <v>23081</v>
      </c>
      <c r="AE23" s="53"/>
      <c r="AF23" s="53"/>
      <c r="AG23" s="53">
        <f t="shared" si="8"/>
        <v>95968.281674316138</v>
      </c>
      <c r="AH23" s="53">
        <f>Q23*'1. Rates'!C$56</f>
        <v>65654.455917746949</v>
      </c>
      <c r="AI23" s="53">
        <f>R23*'1. Rates'!D$56</f>
        <v>16413.613979436737</v>
      </c>
      <c r="AJ23" s="53">
        <f>S23*'1. Rates'!E$56</f>
        <v>33059.364255153028</v>
      </c>
      <c r="AK23" s="53">
        <f>T23*'1. Rates'!F$56</f>
        <v>33059.364255153028</v>
      </c>
      <c r="AL23" s="53">
        <f>U23*'1. Rates'!G$56</f>
        <v>123628</v>
      </c>
      <c r="AM23" s="53">
        <f>V23*'1. Rates'!H$56</f>
        <v>34702.174591513132</v>
      </c>
      <c r="AN23" s="53">
        <f>W23*'1. Rates'!Q59</f>
        <v>0</v>
      </c>
      <c r="AO23" s="53" t="e">
        <f t="shared" si="9"/>
        <v>#DIV/0!</v>
      </c>
      <c r="AP23" s="53" t="e">
        <f t="shared" si="10"/>
        <v>#DIV/0!</v>
      </c>
      <c r="AQ23" s="53">
        <f>(Y23+AH23)*'1. Rates'!C$60</f>
        <v>11757.185456398289</v>
      </c>
      <c r="AR23" s="53">
        <f>(Z23+AI23)*'1. Rates'!D$60</f>
        <v>2939.2963640995722</v>
      </c>
      <c r="AS23" s="53">
        <f>(AA23+AJ23)*'1. Rates'!E$60</f>
        <v>5889.6838946594207</v>
      </c>
      <c r="AT23" s="53">
        <f>(AB23+AK23)*'1. Rates'!F$60</f>
        <v>5942.7238946594207</v>
      </c>
      <c r="AU23" s="53">
        <f>(AC23+AL23)*'1. Rates'!G$60</f>
        <v>0</v>
      </c>
      <c r="AV23" s="53">
        <f>(AD23+AM23)*'1. Rates'!H$60</f>
        <v>6933.9809509815759</v>
      </c>
      <c r="AW23" s="53">
        <f>(AE23+AN23)*'1. Rates'!$I$60</f>
        <v>0</v>
      </c>
      <c r="AX23" s="53" t="e">
        <f>(AF23+AO23)*'1. Rates'!$J$60</f>
        <v>#DIV/0!</v>
      </c>
      <c r="AY23" s="53" t="e">
        <f t="shared" si="11"/>
        <v>#DIV/0!</v>
      </c>
      <c r="AZ23" s="53">
        <f t="shared" si="12"/>
        <v>97976.545469985751</v>
      </c>
      <c r="BA23" s="53">
        <f t="shared" si="12"/>
        <v>24494.136367496438</v>
      </c>
      <c r="BB23" s="53">
        <f t="shared" si="12"/>
        <v>49080.699122161845</v>
      </c>
      <c r="BC23" s="53">
        <f t="shared" si="12"/>
        <v>49522.699122161837</v>
      </c>
      <c r="BD23" s="53">
        <f t="shared" si="12"/>
        <v>123628</v>
      </c>
      <c r="BE23" s="53">
        <f t="shared" si="12"/>
        <v>57783.174591513132</v>
      </c>
      <c r="BF23" s="53">
        <f t="shared" si="12"/>
        <v>0</v>
      </c>
      <c r="BG23" s="53" t="e">
        <f t="shared" si="12"/>
        <v>#DIV/0!</v>
      </c>
      <c r="BH23" s="53" t="e">
        <f t="shared" si="13"/>
        <v>#DIV/0!</v>
      </c>
      <c r="BI23" s="53">
        <f t="shared" si="14"/>
        <v>109733.73092638404</v>
      </c>
      <c r="BJ23" s="53">
        <f t="shared" si="14"/>
        <v>27433.432731596011</v>
      </c>
      <c r="BK23" s="53">
        <f t="shared" si="14"/>
        <v>54970.383016821266</v>
      </c>
      <c r="BL23" s="53">
        <f t="shared" si="14"/>
        <v>55465.42301682126</v>
      </c>
      <c r="BM23" s="53">
        <f t="shared" si="14"/>
        <v>123628</v>
      </c>
      <c r="BN23" s="53">
        <f t="shared" si="14"/>
        <v>64717.155542494707</v>
      </c>
      <c r="BO23" s="53">
        <f t="shared" si="14"/>
        <v>0</v>
      </c>
      <c r="BP23" s="53" t="e">
        <f t="shared" si="14"/>
        <v>#DIV/0!</v>
      </c>
      <c r="BQ23" s="53" t="e">
        <f t="shared" si="15"/>
        <v>#DIV/0!</v>
      </c>
      <c r="BR23" s="54">
        <f t="shared" si="16"/>
        <v>4.8988272734992879</v>
      </c>
      <c r="BS23" s="54">
        <f t="shared" si="20"/>
        <v>4.8988272734992879</v>
      </c>
      <c r="BT23" s="54">
        <f t="shared" si="21"/>
        <v>4.9080699122161846</v>
      </c>
      <c r="BU23" s="54">
        <f t="shared" si="22"/>
        <v>4.9522699122161837</v>
      </c>
      <c r="BV23" s="54">
        <f t="shared" si="22"/>
        <v>6.1814</v>
      </c>
      <c r="BW23" s="54">
        <f t="shared" si="22"/>
        <v>5.7783174591513129</v>
      </c>
      <c r="BX23" s="54"/>
      <c r="BY23" s="54" t="e">
        <f t="shared" si="3"/>
        <v>#DIV/0!</v>
      </c>
      <c r="BZ23" s="54" t="e">
        <f t="shared" si="4"/>
        <v>#DIV/0!</v>
      </c>
      <c r="CA23" s="54">
        <f t="shared" si="17"/>
        <v>5.4866865463192021</v>
      </c>
      <c r="CB23" s="54">
        <f t="shared" si="23"/>
        <v>5.4866865463192021</v>
      </c>
      <c r="CC23" s="54">
        <f t="shared" si="24"/>
        <v>5.4970383016821263</v>
      </c>
      <c r="CD23" s="54">
        <f t="shared" si="25"/>
        <v>5.546542301682126</v>
      </c>
      <c r="CE23" s="54">
        <f t="shared" si="25"/>
        <v>6.1814</v>
      </c>
      <c r="CF23" s="54">
        <f t="shared" si="25"/>
        <v>6.4717155542494709</v>
      </c>
      <c r="CG23" s="54"/>
      <c r="CH23" s="54" t="e">
        <f t="shared" si="6"/>
        <v>#DIV/0!</v>
      </c>
      <c r="CI23" s="54" t="e">
        <f t="shared" si="18"/>
        <v>#DIV/0!</v>
      </c>
    </row>
    <row r="24" spans="2:87" ht="18" customHeight="1" x14ac:dyDescent="0.3">
      <c r="B24" s="14">
        <v>20</v>
      </c>
      <c r="C24" s="119"/>
      <c r="D24" s="119"/>
      <c r="E24" s="119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54" t="e">
        <f t="shared" si="7"/>
        <v>#DIV/0!</v>
      </c>
      <c r="Q24" s="53">
        <f>'3. Nomination'!W25</f>
        <v>20000</v>
      </c>
      <c r="R24" s="53">
        <f>'3. Nomination'!X25</f>
        <v>5000</v>
      </c>
      <c r="S24" s="53">
        <f>'3. Nomination'!Y25</f>
        <v>10000</v>
      </c>
      <c r="T24" s="53">
        <f>'3. Nomination'!Z25</f>
        <v>10000</v>
      </c>
      <c r="U24" s="53">
        <f>'3. Nomination'!AA25</f>
        <v>20000</v>
      </c>
      <c r="V24" s="53">
        <f>'3. Nomination'!AB25</f>
        <v>10000</v>
      </c>
      <c r="W24" s="53">
        <f>'3. Nomination'!AC25</f>
        <v>0</v>
      </c>
      <c r="X24" s="53">
        <f t="shared" si="19"/>
        <v>-75000</v>
      </c>
      <c r="Y24" s="53">
        <f>'1. Rates'!C$41*'1. Rates'!C$55</f>
        <v>32322.089552238805</v>
      </c>
      <c r="Z24" s="53">
        <f>'1. Rates'!D$41*'1. Rates'!D$55</f>
        <v>8080.5223880597014</v>
      </c>
      <c r="AA24" s="53">
        <f>'1. Rates'!E$41*'1. Rates'!E$55</f>
        <v>16021.334867008814</v>
      </c>
      <c r="AB24" s="53">
        <f>'1. Rates'!F$41*'1. Rates'!F$55</f>
        <v>16463.334867008813</v>
      </c>
      <c r="AC24" s="53">
        <f>'1. Rates'!G$41*'1. Rates'!G$55</f>
        <v>0</v>
      </c>
      <c r="AD24" s="53">
        <f>'1. Rates'!H$41*'1. Rates'!H$55</f>
        <v>23081</v>
      </c>
      <c r="AE24" s="53"/>
      <c r="AF24" s="53"/>
      <c r="AG24" s="53">
        <f t="shared" si="8"/>
        <v>95968.281674316138</v>
      </c>
      <c r="AH24" s="53">
        <f>Q24*'1. Rates'!C$56</f>
        <v>65654.455917746949</v>
      </c>
      <c r="AI24" s="53">
        <f>R24*'1. Rates'!D$56</f>
        <v>16413.613979436737</v>
      </c>
      <c r="AJ24" s="53">
        <f>S24*'1. Rates'!E$56</f>
        <v>33059.364255153028</v>
      </c>
      <c r="AK24" s="53">
        <f>T24*'1. Rates'!F$56</f>
        <v>33059.364255153028</v>
      </c>
      <c r="AL24" s="53">
        <f>U24*'1. Rates'!G$56</f>
        <v>123628</v>
      </c>
      <c r="AM24" s="53">
        <f>V24*'1. Rates'!H$56</f>
        <v>34702.174591513132</v>
      </c>
      <c r="AN24" s="53">
        <f>W24*'1. Rates'!Q60</f>
        <v>0</v>
      </c>
      <c r="AO24" s="53" t="e">
        <f t="shared" si="9"/>
        <v>#DIV/0!</v>
      </c>
      <c r="AP24" s="53" t="e">
        <f t="shared" si="10"/>
        <v>#DIV/0!</v>
      </c>
      <c r="AQ24" s="53">
        <f>(Y24+AH24)*'1. Rates'!C$60</f>
        <v>11757.185456398289</v>
      </c>
      <c r="AR24" s="53">
        <f>(Z24+AI24)*'1. Rates'!D$60</f>
        <v>2939.2963640995722</v>
      </c>
      <c r="AS24" s="53">
        <f>(AA24+AJ24)*'1. Rates'!E$60</f>
        <v>5889.6838946594207</v>
      </c>
      <c r="AT24" s="53">
        <f>(AB24+AK24)*'1. Rates'!F$60</f>
        <v>5942.7238946594207</v>
      </c>
      <c r="AU24" s="53">
        <f>(AC24+AL24)*'1. Rates'!G$60</f>
        <v>0</v>
      </c>
      <c r="AV24" s="53">
        <f>(AD24+AM24)*'1. Rates'!H$60</f>
        <v>6933.9809509815759</v>
      </c>
      <c r="AW24" s="53">
        <f>(AE24+AN24)*'1. Rates'!$I$60</f>
        <v>0</v>
      </c>
      <c r="AX24" s="53" t="e">
        <f>(AF24+AO24)*'1. Rates'!$J$60</f>
        <v>#DIV/0!</v>
      </c>
      <c r="AY24" s="53" t="e">
        <f t="shared" si="11"/>
        <v>#DIV/0!</v>
      </c>
      <c r="AZ24" s="53">
        <f t="shared" si="12"/>
        <v>97976.545469985751</v>
      </c>
      <c r="BA24" s="53">
        <f t="shared" si="12"/>
        <v>24494.136367496438</v>
      </c>
      <c r="BB24" s="53">
        <f t="shared" si="12"/>
        <v>49080.699122161845</v>
      </c>
      <c r="BC24" s="53">
        <f t="shared" si="12"/>
        <v>49522.699122161837</v>
      </c>
      <c r="BD24" s="53">
        <f t="shared" si="12"/>
        <v>123628</v>
      </c>
      <c r="BE24" s="53">
        <f t="shared" si="12"/>
        <v>57783.174591513132</v>
      </c>
      <c r="BF24" s="53">
        <f t="shared" si="12"/>
        <v>0</v>
      </c>
      <c r="BG24" s="53" t="e">
        <f t="shared" si="12"/>
        <v>#DIV/0!</v>
      </c>
      <c r="BH24" s="53" t="e">
        <f t="shared" si="13"/>
        <v>#DIV/0!</v>
      </c>
      <c r="BI24" s="53">
        <f t="shared" si="14"/>
        <v>109733.73092638404</v>
      </c>
      <c r="BJ24" s="53">
        <f t="shared" si="14"/>
        <v>27433.432731596011</v>
      </c>
      <c r="BK24" s="53">
        <f t="shared" si="14"/>
        <v>54970.383016821266</v>
      </c>
      <c r="BL24" s="53">
        <f t="shared" si="14"/>
        <v>55465.42301682126</v>
      </c>
      <c r="BM24" s="53">
        <f t="shared" si="14"/>
        <v>123628</v>
      </c>
      <c r="BN24" s="53">
        <f t="shared" si="14"/>
        <v>64717.155542494707</v>
      </c>
      <c r="BO24" s="53">
        <f t="shared" si="14"/>
        <v>0</v>
      </c>
      <c r="BP24" s="53" t="e">
        <f t="shared" si="14"/>
        <v>#DIV/0!</v>
      </c>
      <c r="BQ24" s="53" t="e">
        <f t="shared" si="15"/>
        <v>#DIV/0!</v>
      </c>
      <c r="BR24" s="54">
        <f t="shared" si="16"/>
        <v>4.8988272734992879</v>
      </c>
      <c r="BS24" s="54">
        <f t="shared" si="20"/>
        <v>4.8988272734992879</v>
      </c>
      <c r="BT24" s="54">
        <f t="shared" si="21"/>
        <v>4.9080699122161846</v>
      </c>
      <c r="BU24" s="54">
        <f t="shared" si="22"/>
        <v>4.9522699122161837</v>
      </c>
      <c r="BV24" s="54">
        <f t="shared" si="22"/>
        <v>6.1814</v>
      </c>
      <c r="BW24" s="54">
        <f t="shared" si="22"/>
        <v>5.7783174591513129</v>
      </c>
      <c r="BX24" s="54"/>
      <c r="BY24" s="54" t="e">
        <f t="shared" si="3"/>
        <v>#DIV/0!</v>
      </c>
      <c r="BZ24" s="54" t="e">
        <f t="shared" si="4"/>
        <v>#DIV/0!</v>
      </c>
      <c r="CA24" s="54">
        <f t="shared" si="17"/>
        <v>5.4866865463192021</v>
      </c>
      <c r="CB24" s="54">
        <f t="shared" si="23"/>
        <v>5.4866865463192021</v>
      </c>
      <c r="CC24" s="54">
        <f t="shared" si="24"/>
        <v>5.4970383016821263</v>
      </c>
      <c r="CD24" s="54">
        <f t="shared" si="25"/>
        <v>5.546542301682126</v>
      </c>
      <c r="CE24" s="54">
        <f t="shared" si="25"/>
        <v>6.1814</v>
      </c>
      <c r="CF24" s="54">
        <f t="shared" si="25"/>
        <v>6.4717155542494709</v>
      </c>
      <c r="CG24" s="54"/>
      <c r="CH24" s="54" t="e">
        <f t="shared" si="6"/>
        <v>#DIV/0!</v>
      </c>
      <c r="CI24" s="54" t="e">
        <f t="shared" si="18"/>
        <v>#DIV/0!</v>
      </c>
    </row>
    <row r="25" spans="2:87" ht="18" customHeight="1" x14ac:dyDescent="0.3">
      <c r="B25" s="14">
        <v>21</v>
      </c>
      <c r="C25" s="119"/>
      <c r="D25" s="119"/>
      <c r="E25" s="119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54" t="e">
        <f t="shared" si="7"/>
        <v>#DIV/0!</v>
      </c>
      <c r="Q25" s="53">
        <f>'3. Nomination'!W26</f>
        <v>20000</v>
      </c>
      <c r="R25" s="53">
        <f>'3. Nomination'!X26</f>
        <v>5000</v>
      </c>
      <c r="S25" s="53">
        <f>'3. Nomination'!Y26</f>
        <v>10000</v>
      </c>
      <c r="T25" s="53">
        <f>'3. Nomination'!Z26</f>
        <v>10000</v>
      </c>
      <c r="U25" s="53">
        <f>'3. Nomination'!AA26</f>
        <v>20000</v>
      </c>
      <c r="V25" s="53">
        <f>'3. Nomination'!AB26</f>
        <v>10000</v>
      </c>
      <c r="W25" s="53">
        <f>'3. Nomination'!AC26</f>
        <v>0</v>
      </c>
      <c r="X25" s="53">
        <f t="shared" si="19"/>
        <v>-75000</v>
      </c>
      <c r="Y25" s="53">
        <f>'1. Rates'!C$41*'1. Rates'!C$55</f>
        <v>32322.089552238805</v>
      </c>
      <c r="Z25" s="53">
        <f>'1. Rates'!D$41*'1. Rates'!D$55</f>
        <v>8080.5223880597014</v>
      </c>
      <c r="AA25" s="53">
        <f>'1. Rates'!E$41*'1. Rates'!E$55</f>
        <v>16021.334867008814</v>
      </c>
      <c r="AB25" s="53">
        <f>'1. Rates'!F$41*'1. Rates'!F$55</f>
        <v>16463.334867008813</v>
      </c>
      <c r="AC25" s="53">
        <f>'1. Rates'!G$41*'1. Rates'!G$55</f>
        <v>0</v>
      </c>
      <c r="AD25" s="53">
        <f>'1. Rates'!H$41*'1. Rates'!H$55</f>
        <v>23081</v>
      </c>
      <c r="AE25" s="53"/>
      <c r="AF25" s="53"/>
      <c r="AG25" s="53">
        <f t="shared" si="8"/>
        <v>95968.281674316138</v>
      </c>
      <c r="AH25" s="53">
        <f>Q25*'1. Rates'!C$56</f>
        <v>65654.455917746949</v>
      </c>
      <c r="AI25" s="53">
        <f>R25*'1. Rates'!D$56</f>
        <v>16413.613979436737</v>
      </c>
      <c r="AJ25" s="53">
        <f>S25*'1. Rates'!E$56</f>
        <v>33059.364255153028</v>
      </c>
      <c r="AK25" s="53">
        <f>T25*'1. Rates'!F$56</f>
        <v>33059.364255153028</v>
      </c>
      <c r="AL25" s="53">
        <f>U25*'1. Rates'!G$56</f>
        <v>123628</v>
      </c>
      <c r="AM25" s="53">
        <f>V25*'1. Rates'!H$56</f>
        <v>34702.174591513132</v>
      </c>
      <c r="AN25" s="53">
        <f>W25*'1. Rates'!Q61</f>
        <v>0</v>
      </c>
      <c r="AO25" s="53" t="e">
        <f t="shared" si="9"/>
        <v>#DIV/0!</v>
      </c>
      <c r="AP25" s="53" t="e">
        <f t="shared" si="10"/>
        <v>#DIV/0!</v>
      </c>
      <c r="AQ25" s="53">
        <f>(Y25+AH25)*'1. Rates'!C$60</f>
        <v>11757.185456398289</v>
      </c>
      <c r="AR25" s="53">
        <f>(Z25+AI25)*'1. Rates'!D$60</f>
        <v>2939.2963640995722</v>
      </c>
      <c r="AS25" s="53">
        <f>(AA25+AJ25)*'1. Rates'!E$60</f>
        <v>5889.6838946594207</v>
      </c>
      <c r="AT25" s="53">
        <f>(AB25+AK25)*'1. Rates'!F$60</f>
        <v>5942.7238946594207</v>
      </c>
      <c r="AU25" s="53">
        <f>(AC25+AL25)*'1. Rates'!G$60</f>
        <v>0</v>
      </c>
      <c r="AV25" s="53">
        <f>(AD25+AM25)*'1. Rates'!H$60</f>
        <v>6933.9809509815759</v>
      </c>
      <c r="AW25" s="53">
        <f>(AE25+AN25)*'1. Rates'!$I$60</f>
        <v>0</v>
      </c>
      <c r="AX25" s="53" t="e">
        <f>(AF25+AO25)*'1. Rates'!$J$60</f>
        <v>#DIV/0!</v>
      </c>
      <c r="AY25" s="53" t="e">
        <f t="shared" si="11"/>
        <v>#DIV/0!</v>
      </c>
      <c r="AZ25" s="53">
        <f t="shared" si="12"/>
        <v>97976.545469985751</v>
      </c>
      <c r="BA25" s="53">
        <f t="shared" si="12"/>
        <v>24494.136367496438</v>
      </c>
      <c r="BB25" s="53">
        <f t="shared" si="12"/>
        <v>49080.699122161845</v>
      </c>
      <c r="BC25" s="53">
        <f t="shared" si="12"/>
        <v>49522.699122161837</v>
      </c>
      <c r="BD25" s="53">
        <f t="shared" si="12"/>
        <v>123628</v>
      </c>
      <c r="BE25" s="53">
        <f t="shared" si="12"/>
        <v>57783.174591513132</v>
      </c>
      <c r="BF25" s="53">
        <f t="shared" si="12"/>
        <v>0</v>
      </c>
      <c r="BG25" s="53" t="e">
        <f t="shared" si="12"/>
        <v>#DIV/0!</v>
      </c>
      <c r="BH25" s="53" t="e">
        <f t="shared" si="13"/>
        <v>#DIV/0!</v>
      </c>
      <c r="BI25" s="53">
        <f t="shared" si="14"/>
        <v>109733.73092638404</v>
      </c>
      <c r="BJ25" s="53">
        <f t="shared" si="14"/>
        <v>27433.432731596011</v>
      </c>
      <c r="BK25" s="53">
        <f t="shared" si="14"/>
        <v>54970.383016821266</v>
      </c>
      <c r="BL25" s="53">
        <f t="shared" si="14"/>
        <v>55465.42301682126</v>
      </c>
      <c r="BM25" s="53">
        <f t="shared" si="14"/>
        <v>123628</v>
      </c>
      <c r="BN25" s="53">
        <f t="shared" si="14"/>
        <v>64717.155542494707</v>
      </c>
      <c r="BO25" s="53">
        <f t="shared" si="14"/>
        <v>0</v>
      </c>
      <c r="BP25" s="53" t="e">
        <f t="shared" si="14"/>
        <v>#DIV/0!</v>
      </c>
      <c r="BQ25" s="53" t="e">
        <f t="shared" si="15"/>
        <v>#DIV/0!</v>
      </c>
      <c r="BR25" s="54">
        <f t="shared" si="16"/>
        <v>4.8988272734992879</v>
      </c>
      <c r="BS25" s="54">
        <f t="shared" si="20"/>
        <v>4.8988272734992879</v>
      </c>
      <c r="BT25" s="54">
        <f t="shared" si="21"/>
        <v>4.9080699122161846</v>
      </c>
      <c r="BU25" s="54">
        <f t="shared" si="22"/>
        <v>4.9522699122161837</v>
      </c>
      <c r="BV25" s="54">
        <f t="shared" si="22"/>
        <v>6.1814</v>
      </c>
      <c r="BW25" s="54">
        <f t="shared" si="22"/>
        <v>5.7783174591513129</v>
      </c>
      <c r="BX25" s="54"/>
      <c r="BY25" s="54" t="e">
        <f t="shared" si="3"/>
        <v>#DIV/0!</v>
      </c>
      <c r="BZ25" s="54" t="e">
        <f t="shared" si="4"/>
        <v>#DIV/0!</v>
      </c>
      <c r="CA25" s="54">
        <f t="shared" si="17"/>
        <v>5.4866865463192021</v>
      </c>
      <c r="CB25" s="54">
        <f t="shared" si="23"/>
        <v>5.4866865463192021</v>
      </c>
      <c r="CC25" s="54">
        <f t="shared" si="24"/>
        <v>5.4970383016821263</v>
      </c>
      <c r="CD25" s="54">
        <f t="shared" si="25"/>
        <v>5.546542301682126</v>
      </c>
      <c r="CE25" s="54">
        <f t="shared" si="25"/>
        <v>6.1814</v>
      </c>
      <c r="CF25" s="54">
        <f t="shared" si="25"/>
        <v>6.4717155542494709</v>
      </c>
      <c r="CG25" s="54"/>
      <c r="CH25" s="54" t="e">
        <f t="shared" si="6"/>
        <v>#DIV/0!</v>
      </c>
      <c r="CI25" s="54" t="e">
        <f t="shared" si="18"/>
        <v>#DIV/0!</v>
      </c>
    </row>
    <row r="26" spans="2:87" ht="18" customHeight="1" x14ac:dyDescent="0.3">
      <c r="B26" s="14">
        <v>22</v>
      </c>
      <c r="C26" s="119"/>
      <c r="D26" s="119"/>
      <c r="E26" s="119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54" t="e">
        <f t="shared" si="7"/>
        <v>#DIV/0!</v>
      </c>
      <c r="Q26" s="53">
        <f>'3. Nomination'!W27</f>
        <v>20000</v>
      </c>
      <c r="R26" s="53">
        <f>'3. Nomination'!X27</f>
        <v>5000</v>
      </c>
      <c r="S26" s="53">
        <f>'3. Nomination'!Y27</f>
        <v>10000</v>
      </c>
      <c r="T26" s="53">
        <f>'3. Nomination'!Z27</f>
        <v>10000</v>
      </c>
      <c r="U26" s="53">
        <f>'3. Nomination'!AA27</f>
        <v>20000</v>
      </c>
      <c r="V26" s="53">
        <f>'3. Nomination'!AB27</f>
        <v>10000</v>
      </c>
      <c r="W26" s="53">
        <f>'3. Nomination'!AC27</f>
        <v>0</v>
      </c>
      <c r="X26" s="53">
        <f t="shared" si="19"/>
        <v>-75000</v>
      </c>
      <c r="Y26" s="53">
        <f>'1. Rates'!C$41*'1. Rates'!C$55</f>
        <v>32322.089552238805</v>
      </c>
      <c r="Z26" s="53">
        <f>'1. Rates'!D$41*'1. Rates'!D$55</f>
        <v>8080.5223880597014</v>
      </c>
      <c r="AA26" s="53">
        <f>'1. Rates'!E$41*'1. Rates'!E$55</f>
        <v>16021.334867008814</v>
      </c>
      <c r="AB26" s="53">
        <f>'1. Rates'!F$41*'1. Rates'!F$55</f>
        <v>16463.334867008813</v>
      </c>
      <c r="AC26" s="53">
        <f>'1. Rates'!G$41*'1. Rates'!G$55</f>
        <v>0</v>
      </c>
      <c r="AD26" s="53">
        <f>'1. Rates'!H$41*'1. Rates'!H$55</f>
        <v>23081</v>
      </c>
      <c r="AE26" s="53"/>
      <c r="AF26" s="53"/>
      <c r="AG26" s="53">
        <f t="shared" si="8"/>
        <v>95968.281674316138</v>
      </c>
      <c r="AH26" s="53">
        <f>Q26*'1. Rates'!C$56</f>
        <v>65654.455917746949</v>
      </c>
      <c r="AI26" s="53">
        <f>R26*'1. Rates'!D$56</f>
        <v>16413.613979436737</v>
      </c>
      <c r="AJ26" s="53">
        <f>S26*'1. Rates'!E$56</f>
        <v>33059.364255153028</v>
      </c>
      <c r="AK26" s="53">
        <f>T26*'1. Rates'!F$56</f>
        <v>33059.364255153028</v>
      </c>
      <c r="AL26" s="53">
        <f>U26*'1. Rates'!G$56</f>
        <v>123628</v>
      </c>
      <c r="AM26" s="53">
        <f>V26*'1. Rates'!H$56</f>
        <v>34702.174591513132</v>
      </c>
      <c r="AN26" s="53">
        <f>W26*'1. Rates'!Q62</f>
        <v>0</v>
      </c>
      <c r="AO26" s="53" t="e">
        <f t="shared" si="9"/>
        <v>#DIV/0!</v>
      </c>
      <c r="AP26" s="53" t="e">
        <f t="shared" si="10"/>
        <v>#DIV/0!</v>
      </c>
      <c r="AQ26" s="53">
        <f>(Y26+AH26)*'1. Rates'!C$60</f>
        <v>11757.185456398289</v>
      </c>
      <c r="AR26" s="53">
        <f>(Z26+AI26)*'1. Rates'!D$60</f>
        <v>2939.2963640995722</v>
      </c>
      <c r="AS26" s="53">
        <f>(AA26+AJ26)*'1. Rates'!E$60</f>
        <v>5889.6838946594207</v>
      </c>
      <c r="AT26" s="53">
        <f>(AB26+AK26)*'1. Rates'!F$60</f>
        <v>5942.7238946594207</v>
      </c>
      <c r="AU26" s="53">
        <f>(AC26+AL26)*'1. Rates'!G$60</f>
        <v>0</v>
      </c>
      <c r="AV26" s="53">
        <f>(AD26+AM26)*'1. Rates'!H$60</f>
        <v>6933.9809509815759</v>
      </c>
      <c r="AW26" s="53">
        <f>(AE26+AN26)*'1. Rates'!$I$60</f>
        <v>0</v>
      </c>
      <c r="AX26" s="53" t="e">
        <f>(AF26+AO26)*'1. Rates'!$J$60</f>
        <v>#DIV/0!</v>
      </c>
      <c r="AY26" s="53" t="e">
        <f t="shared" si="11"/>
        <v>#DIV/0!</v>
      </c>
      <c r="AZ26" s="53">
        <f t="shared" si="12"/>
        <v>97976.545469985751</v>
      </c>
      <c r="BA26" s="53">
        <f t="shared" si="12"/>
        <v>24494.136367496438</v>
      </c>
      <c r="BB26" s="53">
        <f t="shared" si="12"/>
        <v>49080.699122161845</v>
      </c>
      <c r="BC26" s="53">
        <f t="shared" si="12"/>
        <v>49522.699122161837</v>
      </c>
      <c r="BD26" s="53">
        <f t="shared" si="12"/>
        <v>123628</v>
      </c>
      <c r="BE26" s="53">
        <f t="shared" si="12"/>
        <v>57783.174591513132</v>
      </c>
      <c r="BF26" s="53">
        <f t="shared" si="12"/>
        <v>0</v>
      </c>
      <c r="BG26" s="53" t="e">
        <f t="shared" si="12"/>
        <v>#DIV/0!</v>
      </c>
      <c r="BH26" s="53" t="e">
        <f t="shared" si="13"/>
        <v>#DIV/0!</v>
      </c>
      <c r="BI26" s="53">
        <f t="shared" si="14"/>
        <v>109733.73092638404</v>
      </c>
      <c r="BJ26" s="53">
        <f t="shared" si="14"/>
        <v>27433.432731596011</v>
      </c>
      <c r="BK26" s="53">
        <f t="shared" si="14"/>
        <v>54970.383016821266</v>
      </c>
      <c r="BL26" s="53">
        <f t="shared" si="14"/>
        <v>55465.42301682126</v>
      </c>
      <c r="BM26" s="53">
        <f t="shared" si="14"/>
        <v>123628</v>
      </c>
      <c r="BN26" s="53">
        <f t="shared" si="14"/>
        <v>64717.155542494707</v>
      </c>
      <c r="BO26" s="53">
        <f t="shared" si="14"/>
        <v>0</v>
      </c>
      <c r="BP26" s="53" t="e">
        <f t="shared" si="14"/>
        <v>#DIV/0!</v>
      </c>
      <c r="BQ26" s="53" t="e">
        <f t="shared" si="15"/>
        <v>#DIV/0!</v>
      </c>
      <c r="BR26" s="54">
        <f t="shared" si="16"/>
        <v>4.8988272734992879</v>
      </c>
      <c r="BS26" s="54">
        <f t="shared" si="20"/>
        <v>4.8988272734992879</v>
      </c>
      <c r="BT26" s="54">
        <f t="shared" si="21"/>
        <v>4.9080699122161846</v>
      </c>
      <c r="BU26" s="54">
        <f t="shared" si="22"/>
        <v>4.9522699122161837</v>
      </c>
      <c r="BV26" s="54">
        <f t="shared" si="22"/>
        <v>6.1814</v>
      </c>
      <c r="BW26" s="54">
        <f t="shared" si="22"/>
        <v>5.7783174591513129</v>
      </c>
      <c r="BX26" s="54"/>
      <c r="BY26" s="54" t="e">
        <f t="shared" si="3"/>
        <v>#DIV/0!</v>
      </c>
      <c r="BZ26" s="54" t="e">
        <f t="shared" si="4"/>
        <v>#DIV/0!</v>
      </c>
      <c r="CA26" s="54">
        <f t="shared" si="17"/>
        <v>5.4866865463192021</v>
      </c>
      <c r="CB26" s="54">
        <f t="shared" si="23"/>
        <v>5.4866865463192021</v>
      </c>
      <c r="CC26" s="54">
        <f t="shared" si="24"/>
        <v>5.4970383016821263</v>
      </c>
      <c r="CD26" s="54">
        <f t="shared" si="25"/>
        <v>5.546542301682126</v>
      </c>
      <c r="CE26" s="54">
        <f t="shared" si="25"/>
        <v>6.1814</v>
      </c>
      <c r="CF26" s="54">
        <f t="shared" si="25"/>
        <v>6.4717155542494709</v>
      </c>
      <c r="CG26" s="54"/>
      <c r="CH26" s="54" t="e">
        <f t="shared" si="6"/>
        <v>#DIV/0!</v>
      </c>
      <c r="CI26" s="54" t="e">
        <f t="shared" si="18"/>
        <v>#DIV/0!</v>
      </c>
    </row>
    <row r="27" spans="2:87" ht="18" customHeight="1" x14ac:dyDescent="0.3">
      <c r="B27" s="14">
        <v>23</v>
      </c>
      <c r="C27" s="119"/>
      <c r="D27" s="119"/>
      <c r="E27" s="1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54" t="e">
        <f t="shared" si="7"/>
        <v>#DIV/0!</v>
      </c>
      <c r="Q27" s="53">
        <f>'3. Nomination'!W28</f>
        <v>10000</v>
      </c>
      <c r="R27" s="53">
        <f>'3. Nomination'!X28</f>
        <v>2500</v>
      </c>
      <c r="S27" s="53">
        <f>'3. Nomination'!Y28</f>
        <v>5000</v>
      </c>
      <c r="T27" s="53">
        <f>'3. Nomination'!Z28</f>
        <v>5000</v>
      </c>
      <c r="U27" s="53">
        <f>'3. Nomination'!AA28</f>
        <v>20000</v>
      </c>
      <c r="V27" s="53">
        <f>'3. Nomination'!AB28</f>
        <v>10000</v>
      </c>
      <c r="W27" s="53">
        <f>'3. Nomination'!AC28</f>
        <v>0</v>
      </c>
      <c r="X27" s="53">
        <f t="shared" si="19"/>
        <v>-52500</v>
      </c>
      <c r="Y27" s="53">
        <f>'1. Rates'!C$41*'1. Rates'!C$55</f>
        <v>32322.089552238805</v>
      </c>
      <c r="Z27" s="53">
        <f>'1. Rates'!D$41*'1. Rates'!D$55</f>
        <v>8080.5223880597014</v>
      </c>
      <c r="AA27" s="53">
        <f>'1. Rates'!E$41*'1. Rates'!E$55</f>
        <v>16021.334867008814</v>
      </c>
      <c r="AB27" s="53">
        <f>'1. Rates'!F$41*'1. Rates'!F$55</f>
        <v>16463.334867008813</v>
      </c>
      <c r="AC27" s="53">
        <f>'1. Rates'!G$41*'1. Rates'!G$55</f>
        <v>0</v>
      </c>
      <c r="AD27" s="53">
        <f>'1. Rates'!H$41*'1. Rates'!H$55</f>
        <v>23081</v>
      </c>
      <c r="AE27" s="53"/>
      <c r="AF27" s="53"/>
      <c r="AG27" s="53">
        <f t="shared" si="8"/>
        <v>95968.281674316138</v>
      </c>
      <c r="AH27" s="53">
        <f>Q27*'1. Rates'!C$56</f>
        <v>32827.227958873475</v>
      </c>
      <c r="AI27" s="53">
        <f>R27*'1. Rates'!D$56</f>
        <v>8206.8069897183686</v>
      </c>
      <c r="AJ27" s="53">
        <f>S27*'1. Rates'!E$56</f>
        <v>16529.682127576514</v>
      </c>
      <c r="AK27" s="53">
        <f>T27*'1. Rates'!F$56</f>
        <v>16529.682127576514</v>
      </c>
      <c r="AL27" s="53">
        <f>U27*'1. Rates'!G$56</f>
        <v>123628</v>
      </c>
      <c r="AM27" s="53">
        <f>V27*'1. Rates'!H$56</f>
        <v>34702.174591513132</v>
      </c>
      <c r="AN27" s="53">
        <f>W27*'1. Rates'!Q63</f>
        <v>0</v>
      </c>
      <c r="AO27" s="53" t="e">
        <f t="shared" si="9"/>
        <v>#DIV/0!</v>
      </c>
      <c r="AP27" s="53" t="e">
        <f t="shared" si="10"/>
        <v>#DIV/0!</v>
      </c>
      <c r="AQ27" s="53">
        <f>(Y27+AH27)*'1. Rates'!C$60</f>
        <v>7817.9181013334737</v>
      </c>
      <c r="AR27" s="53">
        <f>(Z27+AI27)*'1. Rates'!D$60</f>
        <v>1954.4795253333684</v>
      </c>
      <c r="AS27" s="53">
        <f>(AA27+AJ27)*'1. Rates'!E$60</f>
        <v>3906.122039350239</v>
      </c>
      <c r="AT27" s="53">
        <f>(AB27+AK27)*'1. Rates'!F$60</f>
        <v>3959.162039350239</v>
      </c>
      <c r="AU27" s="53">
        <f>(AC27+AL27)*'1. Rates'!G$60</f>
        <v>0</v>
      </c>
      <c r="AV27" s="53">
        <f>(AD27+AM27)*'1. Rates'!H$60</f>
        <v>6933.9809509815759</v>
      </c>
      <c r="AW27" s="53">
        <f>(AE27+AN27)*'1. Rates'!$I$60</f>
        <v>0</v>
      </c>
      <c r="AX27" s="53" t="e">
        <f>(AF27+AO27)*'1. Rates'!$J$60</f>
        <v>#DIV/0!</v>
      </c>
      <c r="AY27" s="53" t="e">
        <f t="shared" si="11"/>
        <v>#DIV/0!</v>
      </c>
      <c r="AZ27" s="53">
        <f t="shared" si="12"/>
        <v>65149.317511112284</v>
      </c>
      <c r="BA27" s="53">
        <f t="shared" si="12"/>
        <v>16287.329377778071</v>
      </c>
      <c r="BB27" s="53">
        <f t="shared" si="12"/>
        <v>32551.016994585327</v>
      </c>
      <c r="BC27" s="53">
        <f t="shared" si="12"/>
        <v>32993.016994585327</v>
      </c>
      <c r="BD27" s="53">
        <f t="shared" si="12"/>
        <v>123628</v>
      </c>
      <c r="BE27" s="53">
        <f t="shared" si="12"/>
        <v>57783.174591513132</v>
      </c>
      <c r="BF27" s="53">
        <f t="shared" si="12"/>
        <v>0</v>
      </c>
      <c r="BG27" s="53" t="e">
        <f t="shared" si="12"/>
        <v>#DIV/0!</v>
      </c>
      <c r="BH27" s="53" t="e">
        <f t="shared" si="13"/>
        <v>#DIV/0!</v>
      </c>
      <c r="BI27" s="53">
        <f t="shared" si="14"/>
        <v>72967.235612445758</v>
      </c>
      <c r="BJ27" s="53">
        <f t="shared" si="14"/>
        <v>18241.80890311144</v>
      </c>
      <c r="BK27" s="53">
        <f t="shared" si="14"/>
        <v>36457.139033935564</v>
      </c>
      <c r="BL27" s="53">
        <f t="shared" si="14"/>
        <v>36952.179033935565</v>
      </c>
      <c r="BM27" s="53">
        <f t="shared" si="14"/>
        <v>123628</v>
      </c>
      <c r="BN27" s="53">
        <f t="shared" si="14"/>
        <v>64717.155542494707</v>
      </c>
      <c r="BO27" s="53">
        <f t="shared" si="14"/>
        <v>0</v>
      </c>
      <c r="BP27" s="53" t="e">
        <f t="shared" si="14"/>
        <v>#DIV/0!</v>
      </c>
      <c r="BQ27" s="53" t="e">
        <f t="shared" si="15"/>
        <v>#DIV/0!</v>
      </c>
      <c r="BR27" s="54">
        <f t="shared" si="16"/>
        <v>6.5149317511112281</v>
      </c>
      <c r="BS27" s="54">
        <f t="shared" si="20"/>
        <v>6.5149317511112281</v>
      </c>
      <c r="BT27" s="54">
        <f t="shared" si="21"/>
        <v>6.5102033989170653</v>
      </c>
      <c r="BU27" s="54">
        <f t="shared" si="22"/>
        <v>6.5986033989170654</v>
      </c>
      <c r="BV27" s="54">
        <f t="shared" si="22"/>
        <v>6.1814</v>
      </c>
      <c r="BW27" s="54">
        <f t="shared" si="22"/>
        <v>5.7783174591513129</v>
      </c>
      <c r="BX27" s="54"/>
      <c r="BY27" s="54" t="e">
        <f t="shared" si="3"/>
        <v>#DIV/0!</v>
      </c>
      <c r="BZ27" s="54" t="e">
        <f t="shared" si="4"/>
        <v>#DIV/0!</v>
      </c>
      <c r="CA27" s="54">
        <f t="shared" si="17"/>
        <v>7.2967235612445762</v>
      </c>
      <c r="CB27" s="54">
        <f t="shared" si="23"/>
        <v>7.2967235612445762</v>
      </c>
      <c r="CC27" s="54">
        <f t="shared" si="24"/>
        <v>7.2914278067871132</v>
      </c>
      <c r="CD27" s="54">
        <f t="shared" si="25"/>
        <v>7.3904358067871128</v>
      </c>
      <c r="CE27" s="54">
        <f t="shared" si="25"/>
        <v>6.1814</v>
      </c>
      <c r="CF27" s="54">
        <f t="shared" si="25"/>
        <v>6.4717155542494709</v>
      </c>
      <c r="CG27" s="54"/>
      <c r="CH27" s="54" t="e">
        <f t="shared" si="6"/>
        <v>#DIV/0!</v>
      </c>
      <c r="CI27" s="54" t="e">
        <f t="shared" si="18"/>
        <v>#DIV/0!</v>
      </c>
    </row>
    <row r="28" spans="2:87" ht="18" customHeight="1" x14ac:dyDescent="0.3">
      <c r="B28" s="14">
        <v>24</v>
      </c>
      <c r="C28" s="119"/>
      <c r="D28" s="119"/>
      <c r="E28" s="119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54" t="e">
        <f t="shared" si="7"/>
        <v>#DIV/0!</v>
      </c>
      <c r="Q28" s="53">
        <f>'3. Nomination'!W29</f>
        <v>10000</v>
      </c>
      <c r="R28" s="53">
        <f>'3. Nomination'!X29</f>
        <v>2500</v>
      </c>
      <c r="S28" s="53">
        <f>'3. Nomination'!Y29</f>
        <v>5000</v>
      </c>
      <c r="T28" s="53">
        <f>'3. Nomination'!Z29</f>
        <v>5000</v>
      </c>
      <c r="U28" s="53">
        <f>'3. Nomination'!AA29</f>
        <v>20000</v>
      </c>
      <c r="V28" s="53">
        <f>'3. Nomination'!AB29</f>
        <v>0</v>
      </c>
      <c r="W28" s="53">
        <f>'3. Nomination'!AC29</f>
        <v>0</v>
      </c>
      <c r="X28" s="53">
        <f t="shared" si="19"/>
        <v>-42500</v>
      </c>
      <c r="Y28" s="53">
        <f>'1. Rates'!C$41*'1. Rates'!C$55</f>
        <v>32322.089552238805</v>
      </c>
      <c r="Z28" s="53">
        <f>'1. Rates'!D$41*'1. Rates'!D$55</f>
        <v>8080.5223880597014</v>
      </c>
      <c r="AA28" s="53">
        <f>'1. Rates'!E$41*'1. Rates'!E$55</f>
        <v>16021.334867008814</v>
      </c>
      <c r="AB28" s="53">
        <f>'1. Rates'!F$41*'1. Rates'!F$55</f>
        <v>16463.334867008813</v>
      </c>
      <c r="AC28" s="53">
        <f>'1. Rates'!G$41*'1. Rates'!G$55</f>
        <v>0</v>
      </c>
      <c r="AD28" s="53">
        <f>'1. Rates'!H$41*'1. Rates'!H$55</f>
        <v>23081</v>
      </c>
      <c r="AE28" s="53"/>
      <c r="AF28" s="53"/>
      <c r="AG28" s="53">
        <f t="shared" si="8"/>
        <v>95968.281674316138</v>
      </c>
      <c r="AH28" s="53">
        <f>Q28*'1. Rates'!C$56</f>
        <v>32827.227958873475</v>
      </c>
      <c r="AI28" s="53">
        <f>R28*'1. Rates'!D$56</f>
        <v>8206.8069897183686</v>
      </c>
      <c r="AJ28" s="53">
        <f>S28*'1. Rates'!E$56</f>
        <v>16529.682127576514</v>
      </c>
      <c r="AK28" s="53">
        <f>T28*'1. Rates'!F$56</f>
        <v>16529.682127576514</v>
      </c>
      <c r="AL28" s="53">
        <f>U28*'1. Rates'!G$56</f>
        <v>123628</v>
      </c>
      <c r="AM28" s="53">
        <f>V28*'1. Rates'!H$56</f>
        <v>0</v>
      </c>
      <c r="AN28" s="53">
        <f>W28*'1. Rates'!Q64</f>
        <v>0</v>
      </c>
      <c r="AO28" s="53" t="e">
        <f t="shared" si="9"/>
        <v>#DIV/0!</v>
      </c>
      <c r="AP28" s="53" t="e">
        <f t="shared" si="10"/>
        <v>#DIV/0!</v>
      </c>
      <c r="AQ28" s="53">
        <f>(Y28+AH28)*'1. Rates'!C$60</f>
        <v>7817.9181013334737</v>
      </c>
      <c r="AR28" s="53">
        <f>(Z28+AI28)*'1. Rates'!D$60</f>
        <v>1954.4795253333684</v>
      </c>
      <c r="AS28" s="53">
        <f>(AA28+AJ28)*'1. Rates'!E$60</f>
        <v>3906.122039350239</v>
      </c>
      <c r="AT28" s="53">
        <f>(AB28+AK28)*'1. Rates'!F$60</f>
        <v>3959.162039350239</v>
      </c>
      <c r="AU28" s="53">
        <f>(AC28+AL28)*'1. Rates'!G$60</f>
        <v>0</v>
      </c>
      <c r="AV28" s="53">
        <f>(AD28+AM28)*'1. Rates'!H$60</f>
        <v>2769.72</v>
      </c>
      <c r="AW28" s="53">
        <f>(AE28+AN28)*'1. Rates'!$I$60</f>
        <v>0</v>
      </c>
      <c r="AX28" s="53" t="e">
        <f>(AF28+AO28)*'1. Rates'!$J$60</f>
        <v>#DIV/0!</v>
      </c>
      <c r="AY28" s="53" t="e">
        <f t="shared" si="11"/>
        <v>#DIV/0!</v>
      </c>
      <c r="AZ28" s="53">
        <f t="shared" si="12"/>
        <v>65149.317511112284</v>
      </c>
      <c r="BA28" s="53">
        <f t="shared" si="12"/>
        <v>16287.329377778071</v>
      </c>
      <c r="BB28" s="53">
        <f t="shared" si="12"/>
        <v>32551.016994585327</v>
      </c>
      <c r="BC28" s="53">
        <f t="shared" si="12"/>
        <v>32993.016994585327</v>
      </c>
      <c r="BD28" s="53">
        <f t="shared" si="12"/>
        <v>123628</v>
      </c>
      <c r="BE28" s="53">
        <f t="shared" si="12"/>
        <v>23081</v>
      </c>
      <c r="BF28" s="53">
        <f t="shared" si="12"/>
        <v>0</v>
      </c>
      <c r="BG28" s="53" t="e">
        <f t="shared" si="12"/>
        <v>#DIV/0!</v>
      </c>
      <c r="BH28" s="53" t="e">
        <f t="shared" si="13"/>
        <v>#DIV/0!</v>
      </c>
      <c r="BI28" s="53">
        <f t="shared" si="14"/>
        <v>72967.235612445758</v>
      </c>
      <c r="BJ28" s="53">
        <f t="shared" si="14"/>
        <v>18241.80890311144</v>
      </c>
      <c r="BK28" s="53">
        <f t="shared" si="14"/>
        <v>36457.139033935564</v>
      </c>
      <c r="BL28" s="53">
        <f t="shared" si="14"/>
        <v>36952.179033935565</v>
      </c>
      <c r="BM28" s="53">
        <f t="shared" si="14"/>
        <v>123628</v>
      </c>
      <c r="BN28" s="53">
        <f t="shared" si="14"/>
        <v>25850.720000000001</v>
      </c>
      <c r="BO28" s="53">
        <f t="shared" si="14"/>
        <v>0</v>
      </c>
      <c r="BP28" s="53" t="e">
        <f t="shared" si="14"/>
        <v>#DIV/0!</v>
      </c>
      <c r="BQ28" s="53" t="e">
        <f t="shared" si="15"/>
        <v>#DIV/0!</v>
      </c>
      <c r="BR28" s="54">
        <f t="shared" si="16"/>
        <v>6.5149317511112281</v>
      </c>
      <c r="BS28" s="54">
        <f t="shared" si="20"/>
        <v>6.5149317511112281</v>
      </c>
      <c r="BT28" s="54">
        <f t="shared" si="21"/>
        <v>6.5102033989170653</v>
      </c>
      <c r="BU28" s="54">
        <f t="shared" si="22"/>
        <v>6.5986033989170654</v>
      </c>
      <c r="BV28" s="54">
        <f t="shared" si="22"/>
        <v>6.1814</v>
      </c>
      <c r="BW28" s="54" t="e">
        <f t="shared" si="22"/>
        <v>#DIV/0!</v>
      </c>
      <c r="BX28" s="54"/>
      <c r="BY28" s="54" t="e">
        <f t="shared" si="3"/>
        <v>#DIV/0!</v>
      </c>
      <c r="BZ28" s="54" t="e">
        <f t="shared" si="4"/>
        <v>#DIV/0!</v>
      </c>
      <c r="CA28" s="54">
        <f>BI28/Q28</f>
        <v>7.2967235612445762</v>
      </c>
      <c r="CB28" s="54">
        <f t="shared" si="23"/>
        <v>7.2967235612445762</v>
      </c>
      <c r="CC28" s="54">
        <f t="shared" si="24"/>
        <v>7.2914278067871132</v>
      </c>
      <c r="CD28" s="54">
        <f t="shared" si="25"/>
        <v>7.3904358067871128</v>
      </c>
      <c r="CE28" s="54">
        <f t="shared" si="25"/>
        <v>6.1814</v>
      </c>
      <c r="CF28" s="54" t="e">
        <f t="shared" si="25"/>
        <v>#DIV/0!</v>
      </c>
      <c r="CG28" s="54"/>
      <c r="CH28" s="54" t="e">
        <f t="shared" si="6"/>
        <v>#DIV/0!</v>
      </c>
      <c r="CI28" s="54" t="e">
        <f t="shared" si="18"/>
        <v>#DIV/0!</v>
      </c>
    </row>
    <row r="29" spans="2:87" ht="21" customHeight="1" x14ac:dyDescent="0.3">
      <c r="B29" s="55" t="s">
        <v>137</v>
      </c>
      <c r="C29" s="56">
        <f t="shared" ref="C29:D29" si="26">SUM(C5:C28)</f>
        <v>0</v>
      </c>
      <c r="D29" s="56">
        <f t="shared" si="26"/>
        <v>0</v>
      </c>
      <c r="E29" s="56">
        <f>SUM(E5:E28)</f>
        <v>0</v>
      </c>
      <c r="F29" s="58">
        <f>IFERROR(AVERAGE(F5:F28),0)</f>
        <v>0</v>
      </c>
      <c r="G29" s="58">
        <f t="shared" ref="G29:O29" si="27">IFERROR(AVERAGE(G5:G28),0)</f>
        <v>0</v>
      </c>
      <c r="H29" s="58">
        <f t="shared" si="27"/>
        <v>0</v>
      </c>
      <c r="I29" s="58">
        <f t="shared" si="27"/>
        <v>0</v>
      </c>
      <c r="J29" s="58">
        <f t="shared" si="27"/>
        <v>0</v>
      </c>
      <c r="K29" s="58">
        <f t="shared" si="27"/>
        <v>0</v>
      </c>
      <c r="L29" s="58">
        <f t="shared" si="27"/>
        <v>0</v>
      </c>
      <c r="M29" s="58">
        <f t="shared" si="27"/>
        <v>0</v>
      </c>
      <c r="N29" s="58">
        <f t="shared" si="27"/>
        <v>0</v>
      </c>
      <c r="O29" s="58">
        <f t="shared" si="27"/>
        <v>0</v>
      </c>
      <c r="P29" s="58">
        <f>IFERROR(AVERAGE(P5:P28),0)</f>
        <v>0</v>
      </c>
      <c r="Q29" s="56">
        <f t="shared" ref="Q29:W29" si="28">SUM(Q5:Q28)</f>
        <v>300000</v>
      </c>
      <c r="R29" s="56">
        <f t="shared" si="28"/>
        <v>75000</v>
      </c>
      <c r="S29" s="56">
        <f t="shared" si="28"/>
        <v>150000</v>
      </c>
      <c r="T29" s="56">
        <f t="shared" si="28"/>
        <v>150000</v>
      </c>
      <c r="U29" s="56">
        <f t="shared" si="28"/>
        <v>350000</v>
      </c>
      <c r="V29" s="56">
        <f t="shared" si="28"/>
        <v>100000</v>
      </c>
      <c r="W29" s="56">
        <f t="shared" si="28"/>
        <v>0</v>
      </c>
      <c r="X29" s="56">
        <f>SUM(X5:X28)</f>
        <v>-1125000</v>
      </c>
      <c r="Y29" s="56">
        <f t="shared" ref="Y29:BQ29" si="29">SUM(Y5:Y28)</f>
        <v>775730.14925373148</v>
      </c>
      <c r="Z29" s="56">
        <f t="shared" si="29"/>
        <v>193932.53731343287</v>
      </c>
      <c r="AA29" s="56">
        <f t="shared" si="29"/>
        <v>384512.03680821136</v>
      </c>
      <c r="AB29" s="56">
        <f t="shared" si="29"/>
        <v>395120.0368082113</v>
      </c>
      <c r="AC29" s="56">
        <f t="shared" si="29"/>
        <v>0</v>
      </c>
      <c r="AD29" s="56">
        <f t="shared" si="29"/>
        <v>553944</v>
      </c>
      <c r="AE29" s="56">
        <f t="shared" si="29"/>
        <v>0</v>
      </c>
      <c r="AF29" s="56">
        <f t="shared" si="29"/>
        <v>0</v>
      </c>
      <c r="AG29" s="56">
        <f t="shared" si="29"/>
        <v>2303238.7601835872</v>
      </c>
      <c r="AH29" s="56">
        <f t="shared" si="29"/>
        <v>984816.83876620466</v>
      </c>
      <c r="AI29" s="56">
        <f t="shared" si="29"/>
        <v>246204.20969155116</v>
      </c>
      <c r="AJ29" s="56">
        <f t="shared" si="29"/>
        <v>495890.46382729558</v>
      </c>
      <c r="AK29" s="56">
        <f t="shared" si="29"/>
        <v>495890.46382729558</v>
      </c>
      <c r="AL29" s="56">
        <f t="shared" si="29"/>
        <v>2163490</v>
      </c>
      <c r="AM29" s="56">
        <f t="shared" si="29"/>
        <v>347021.74591513124</v>
      </c>
      <c r="AN29" s="56">
        <f t="shared" si="29"/>
        <v>0</v>
      </c>
      <c r="AO29" s="56" t="e">
        <f t="shared" si="29"/>
        <v>#DIV/0!</v>
      </c>
      <c r="AP29" s="56" t="e">
        <f t="shared" si="29"/>
        <v>#DIV/0!</v>
      </c>
      <c r="AQ29" s="56">
        <f t="shared" si="29"/>
        <v>211265.63856239224</v>
      </c>
      <c r="AR29" s="56">
        <f t="shared" si="29"/>
        <v>52816.40964059806</v>
      </c>
      <c r="AS29" s="56">
        <f t="shared" si="29"/>
        <v>105648.30007626081</v>
      </c>
      <c r="AT29" s="56">
        <f t="shared" si="29"/>
        <v>106921.26007626079</v>
      </c>
      <c r="AU29" s="56">
        <f t="shared" si="29"/>
        <v>0</v>
      </c>
      <c r="AV29" s="56">
        <f t="shared" si="29"/>
        <v>108115.8895098158</v>
      </c>
      <c r="AW29" s="56">
        <f t="shared" si="29"/>
        <v>0</v>
      </c>
      <c r="AX29" s="56" t="e">
        <f t="shared" si="29"/>
        <v>#DIV/0!</v>
      </c>
      <c r="AY29" s="56" t="e">
        <f t="shared" si="29"/>
        <v>#DIV/0!</v>
      </c>
      <c r="AZ29" s="56">
        <f t="shared" si="29"/>
        <v>1760546.988019936</v>
      </c>
      <c r="BA29" s="56">
        <f t="shared" si="29"/>
        <v>440136.747004984</v>
      </c>
      <c r="BB29" s="56">
        <f t="shared" si="29"/>
        <v>880402.50063550705</v>
      </c>
      <c r="BC29" s="56">
        <f t="shared" si="29"/>
        <v>891010.50063550693</v>
      </c>
      <c r="BD29" s="56">
        <f t="shared" si="29"/>
        <v>2163490</v>
      </c>
      <c r="BE29" s="56">
        <f t="shared" si="29"/>
        <v>900965.74591513118</v>
      </c>
      <c r="BF29" s="56">
        <f t="shared" si="29"/>
        <v>0</v>
      </c>
      <c r="BG29" s="56" t="e">
        <f t="shared" si="29"/>
        <v>#DIV/0!</v>
      </c>
      <c r="BH29" s="56" t="e">
        <f t="shared" si="29"/>
        <v>#DIV/0!</v>
      </c>
      <c r="BI29" s="56">
        <f t="shared" si="29"/>
        <v>1971812.6265823275</v>
      </c>
      <c r="BJ29" s="56">
        <f t="shared" si="29"/>
        <v>492953.15664558188</v>
      </c>
      <c r="BK29" s="56">
        <f t="shared" si="29"/>
        <v>986050.80071176763</v>
      </c>
      <c r="BL29" s="56">
        <f t="shared" si="29"/>
        <v>997931.76071176748</v>
      </c>
      <c r="BM29" s="56">
        <f t="shared" si="29"/>
        <v>2163490</v>
      </c>
      <c r="BN29" s="56">
        <f t="shared" si="29"/>
        <v>1009081.6354249472</v>
      </c>
      <c r="BO29" s="56">
        <f t="shared" si="29"/>
        <v>0</v>
      </c>
      <c r="BP29" s="56" t="e">
        <f t="shared" si="29"/>
        <v>#DIV/0!</v>
      </c>
      <c r="BQ29" s="56" t="e">
        <f t="shared" si="29"/>
        <v>#DIV/0!</v>
      </c>
      <c r="BR29" s="58">
        <f t="shared" si="16"/>
        <v>5.8684899600664533</v>
      </c>
      <c r="BS29" s="58">
        <f t="shared" si="20"/>
        <v>5.8684899600664533</v>
      </c>
      <c r="BT29" s="58">
        <f t="shared" si="21"/>
        <v>5.8693500042367139</v>
      </c>
      <c r="BU29" s="58">
        <f t="shared" si="22"/>
        <v>5.9400700042367127</v>
      </c>
      <c r="BV29" s="58">
        <f t="shared" si="22"/>
        <v>6.1814</v>
      </c>
      <c r="BW29" s="58">
        <f t="shared" si="22"/>
        <v>9.0096574591513114</v>
      </c>
      <c r="BX29" s="58"/>
      <c r="BY29" s="58" t="e">
        <f t="shared" si="3"/>
        <v>#DIV/0!</v>
      </c>
      <c r="BZ29" s="59" t="e">
        <f t="shared" ref="BZ29" si="30">BH29/E29</f>
        <v>#DIV/0!</v>
      </c>
      <c r="CA29" s="58">
        <f>BI29/Q29</f>
        <v>6.5727087552744248</v>
      </c>
      <c r="CB29" s="58">
        <f>BJ29/R29</f>
        <v>6.5727087552744248</v>
      </c>
      <c r="CC29" s="58">
        <f t="shared" ref="CC29:CG29" si="31">BK29/S29</f>
        <v>6.5736720047451174</v>
      </c>
      <c r="CD29" s="58">
        <f>BL29/T29</f>
        <v>6.6528784047451168</v>
      </c>
      <c r="CE29" s="58">
        <f>BM29/U29</f>
        <v>6.1814</v>
      </c>
      <c r="CF29" s="58">
        <f t="shared" si="31"/>
        <v>10.090816354249473</v>
      </c>
      <c r="CG29" s="58" t="e">
        <f t="shared" si="31"/>
        <v>#DIV/0!</v>
      </c>
      <c r="CH29" s="58" t="e">
        <f t="shared" si="6"/>
        <v>#DIV/0!</v>
      </c>
      <c r="CI29" s="59" t="e">
        <f>BQ29/E29</f>
        <v>#DIV/0!</v>
      </c>
    </row>
  </sheetData>
  <mergeCells count="21">
    <mergeCell ref="AG3:AG4"/>
    <mergeCell ref="F3:J3"/>
    <mergeCell ref="K3:O3"/>
    <mergeCell ref="P3:P4"/>
    <mergeCell ref="B3:B4"/>
    <mergeCell ref="C3:E3"/>
    <mergeCell ref="Q3:W3"/>
    <mergeCell ref="X3:X4"/>
    <mergeCell ref="Y3:AF3"/>
    <mergeCell ref="CI3:CI4"/>
    <mergeCell ref="AH3:AO3"/>
    <mergeCell ref="AP3:AP4"/>
    <mergeCell ref="AQ3:AX3"/>
    <mergeCell ref="AY3:AY4"/>
    <mergeCell ref="AZ3:BG3"/>
    <mergeCell ref="BH3:BH4"/>
    <mergeCell ref="BI3:BP3"/>
    <mergeCell ref="BQ3:BQ4"/>
    <mergeCell ref="BR3:BY3"/>
    <mergeCell ref="BZ3:BZ4"/>
    <mergeCell ref="CA3:CH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89EB-E691-4955-8D04-38F6E954DA14}">
  <sheetPr>
    <pageSetUpPr fitToPage="1"/>
  </sheetPr>
  <dimension ref="C1:AJ50"/>
  <sheetViews>
    <sheetView showGridLines="0" topLeftCell="A14" zoomScale="80" zoomScaleNormal="80" zoomScaleSheetLayoutView="70" workbookViewId="0">
      <selection activeCell="AM30" sqref="AM3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1.5546875" customWidth="1"/>
    <col min="19" max="19" width="13.5546875" customWidth="1"/>
    <col min="20" max="20" width="15.44140625" customWidth="1"/>
    <col min="21" max="23" width="14.44140625" customWidth="1"/>
    <col min="24" max="24" width="0.5546875" customWidth="1"/>
  </cols>
  <sheetData>
    <row r="1" spans="3:36" ht="10.5" customHeight="1" x14ac:dyDescent="0.3"/>
    <row r="2" spans="3:36" ht="21.6" customHeight="1" x14ac:dyDescent="0.3">
      <c r="W2" s="74" t="s">
        <v>158</v>
      </c>
    </row>
    <row r="3" spans="3:36" ht="20.85" customHeight="1" x14ac:dyDescent="0.3">
      <c r="W3" s="73" t="s">
        <v>159</v>
      </c>
    </row>
    <row r="4" spans="3:36" ht="27" customHeight="1" x14ac:dyDescent="0.35">
      <c r="V4" s="61"/>
      <c r="W4" s="61"/>
    </row>
    <row r="5" spans="3:36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36" ht="21" customHeight="1" x14ac:dyDescent="0.3">
      <c r="C6" s="202">
        <f>'1. Rates'!$C$4</f>
        <v>45677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Z6" s="193" t="s">
        <v>190</v>
      </c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3:36" ht="21" x14ac:dyDescent="0.35">
      <c r="C7" s="61"/>
      <c r="E7" s="194"/>
      <c r="F7" s="194"/>
      <c r="G7" s="194"/>
      <c r="Z7" s="202">
        <f>'1. Rates'!$C$4</f>
        <v>45677</v>
      </c>
      <c r="AA7" s="202"/>
      <c r="AB7" s="202"/>
      <c r="AC7" s="202"/>
      <c r="AD7" s="202"/>
      <c r="AE7" s="202"/>
      <c r="AF7" s="202"/>
      <c r="AG7" s="202"/>
      <c r="AH7" s="202"/>
      <c r="AI7" s="202"/>
      <c r="AJ7" s="202"/>
    </row>
    <row r="8" spans="3:36" ht="4.3499999999999996" customHeight="1" x14ac:dyDescent="0.3"/>
    <row r="9" spans="3:36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191</v>
      </c>
      <c r="T9" s="197" t="s">
        <v>167</v>
      </c>
      <c r="U9" s="199"/>
      <c r="V9" s="197" t="s">
        <v>168</v>
      </c>
      <c r="W9" s="199"/>
    </row>
    <row r="10" spans="3:36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 t="s">
        <v>192</v>
      </c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36" ht="20.85" customHeight="1" x14ac:dyDescent="0.3">
      <c r="C11" s="64">
        <v>1</v>
      </c>
      <c r="D11" s="65">
        <f>'5. Actual'!C5</f>
        <v>0</v>
      </c>
      <c r="E11" s="65">
        <f>'5. Actual'!D5</f>
        <v>0</v>
      </c>
      <c r="F11" s="65">
        <f>'5. Actual'!E5</f>
        <v>0</v>
      </c>
      <c r="G11" s="80">
        <f>'5. Actual'!Q5+'5. Actual'!R5</f>
        <v>12500</v>
      </c>
      <c r="H11" s="80">
        <f>'5. Actual'!S5+'5. Actual'!T5</f>
        <v>10000</v>
      </c>
      <c r="I11" s="80">
        <f>'5. Actual'!U5</f>
        <v>0</v>
      </c>
      <c r="J11" s="80">
        <f>'5. Actual'!V5</f>
        <v>0</v>
      </c>
      <c r="K11" s="81">
        <f>'5. Actual'!W5</f>
        <v>0</v>
      </c>
      <c r="L11" s="65">
        <f>'5. Actual'!X5</f>
        <v>-22500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 t="e">
        <f>'5. Actual'!P5</f>
        <v>#DIV/0!</v>
      </c>
      <c r="S11" s="77">
        <f>SUM('5. Actual'!AH5:AN5)/SUM('5. Actual'!Q5:V5)</f>
        <v>3.293039964610883</v>
      </c>
      <c r="T11" s="66" t="e">
        <f>'5. Actual'!BH5</f>
        <v>#DIV/0!</v>
      </c>
      <c r="U11" s="66" t="e">
        <f>'5. Actual'!BQ5</f>
        <v>#DIV/0!</v>
      </c>
      <c r="V11" s="77" t="e">
        <f t="shared" ref="V11:V35" si="0">T11/F11</f>
        <v>#DIV/0!</v>
      </c>
      <c r="W11" s="77" t="e">
        <f t="shared" ref="W11:W35" si="1">U11/F11</f>
        <v>#DIV/0!</v>
      </c>
    </row>
    <row r="12" spans="3:36" ht="19.350000000000001" customHeight="1" x14ac:dyDescent="0.3">
      <c r="C12" s="64">
        <v>2</v>
      </c>
      <c r="D12" s="65">
        <f>'5. Actual'!C6</f>
        <v>0</v>
      </c>
      <c r="E12" s="65">
        <f>'5. Actual'!D6</f>
        <v>0</v>
      </c>
      <c r="F12" s="65">
        <f>'5. Actual'!E6</f>
        <v>0</v>
      </c>
      <c r="G12" s="80">
        <f>'5. Actual'!Q6+'5. Actual'!R6</f>
        <v>12500</v>
      </c>
      <c r="H12" s="80">
        <f>'5. Actual'!S6+'5. Actual'!T6</f>
        <v>10000</v>
      </c>
      <c r="I12" s="80">
        <f>'5. Actual'!U6</f>
        <v>0</v>
      </c>
      <c r="J12" s="80">
        <f>'5. Actual'!V6</f>
        <v>0</v>
      </c>
      <c r="K12" s="81">
        <f>'5. Actual'!W6</f>
        <v>0</v>
      </c>
      <c r="L12" s="65">
        <f>'5. Actual'!X6</f>
        <v>-22500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 t="e">
        <f>'5. Actual'!P6</f>
        <v>#DIV/0!</v>
      </c>
      <c r="S12" s="77">
        <f>SUM('5. Actual'!AH6:AN6)/SUM('5. Actual'!Q6:V6)</f>
        <v>3.293039964610883</v>
      </c>
      <c r="T12" s="66" t="e">
        <f>'5. Actual'!BH6</f>
        <v>#DIV/0!</v>
      </c>
      <c r="U12" s="66" t="e">
        <f>'5. Actual'!BQ6</f>
        <v>#DIV/0!</v>
      </c>
      <c r="V12" s="77" t="e">
        <f t="shared" si="0"/>
        <v>#DIV/0!</v>
      </c>
      <c r="W12" s="77" t="e">
        <f t="shared" si="1"/>
        <v>#DIV/0!</v>
      </c>
    </row>
    <row r="13" spans="3:36" ht="19.350000000000001" customHeight="1" x14ac:dyDescent="0.3">
      <c r="C13" s="64">
        <v>3</v>
      </c>
      <c r="D13" s="65">
        <f>'5. Actual'!C7</f>
        <v>0</v>
      </c>
      <c r="E13" s="65">
        <f>'5. Actual'!D7</f>
        <v>0</v>
      </c>
      <c r="F13" s="65">
        <f>'5. Actual'!E7</f>
        <v>0</v>
      </c>
      <c r="G13" s="80">
        <f>'5. Actual'!Q7+'5. Actual'!R7</f>
        <v>12500</v>
      </c>
      <c r="H13" s="80">
        <f>'5. Actual'!S7+'5. Actual'!T7</f>
        <v>10000</v>
      </c>
      <c r="I13" s="80">
        <f>'5. Actual'!U7</f>
        <v>0</v>
      </c>
      <c r="J13" s="80">
        <f>'5. Actual'!V7</f>
        <v>0</v>
      </c>
      <c r="K13" s="81">
        <f>'5. Actual'!W7</f>
        <v>0</v>
      </c>
      <c r="L13" s="65">
        <f>'5. Actual'!X7</f>
        <v>-22500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 t="e">
        <f>'5. Actual'!P7</f>
        <v>#DIV/0!</v>
      </c>
      <c r="S13" s="77">
        <f>SUM('5. Actual'!AH7:AN7)/SUM('5. Actual'!Q7:V7)</f>
        <v>3.293039964610883</v>
      </c>
      <c r="T13" s="66" t="e">
        <f>'5. Actual'!BH7</f>
        <v>#DIV/0!</v>
      </c>
      <c r="U13" s="66" t="e">
        <f>'5. Actual'!BQ7</f>
        <v>#DIV/0!</v>
      </c>
      <c r="V13" s="77" t="e">
        <f t="shared" si="0"/>
        <v>#DIV/0!</v>
      </c>
      <c r="W13" s="77" t="e">
        <f t="shared" si="1"/>
        <v>#DIV/0!</v>
      </c>
    </row>
    <row r="14" spans="3:36" ht="19.350000000000001" customHeight="1" x14ac:dyDescent="0.3">
      <c r="C14" s="64">
        <v>4</v>
      </c>
      <c r="D14" s="65">
        <f>'5. Actual'!C8</f>
        <v>0</v>
      </c>
      <c r="E14" s="65">
        <f>'5. Actual'!D8</f>
        <v>0</v>
      </c>
      <c r="F14" s="65">
        <f>'5. Actual'!E8</f>
        <v>0</v>
      </c>
      <c r="G14" s="80">
        <f>'5. Actual'!Q8+'5. Actual'!R8</f>
        <v>12500</v>
      </c>
      <c r="H14" s="80">
        <f>'5. Actual'!S8+'5. Actual'!T8</f>
        <v>10000</v>
      </c>
      <c r="I14" s="80">
        <f>'5. Actual'!U8</f>
        <v>0</v>
      </c>
      <c r="J14" s="80">
        <f>'5. Actual'!V8</f>
        <v>0</v>
      </c>
      <c r="K14" s="81">
        <f>'5. Actual'!W8</f>
        <v>0</v>
      </c>
      <c r="L14" s="65">
        <f>'5. Actual'!X8</f>
        <v>-22500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 t="e">
        <f>'5. Actual'!P8</f>
        <v>#DIV/0!</v>
      </c>
      <c r="S14" s="77">
        <f>SUM('5. Actual'!AH8:AN8)/SUM('5. Actual'!Q8:V8)</f>
        <v>3.293039964610883</v>
      </c>
      <c r="T14" s="66" t="e">
        <f>'5. Actual'!BH8</f>
        <v>#DIV/0!</v>
      </c>
      <c r="U14" s="66" t="e">
        <f>'5. Actual'!BQ8</f>
        <v>#DIV/0!</v>
      </c>
      <c r="V14" s="77" t="e">
        <f t="shared" si="0"/>
        <v>#DIV/0!</v>
      </c>
      <c r="W14" s="77" t="e">
        <f t="shared" si="1"/>
        <v>#DIV/0!</v>
      </c>
    </row>
    <row r="15" spans="3:36" ht="19.350000000000001" customHeight="1" x14ac:dyDescent="0.3">
      <c r="C15" s="64">
        <v>5</v>
      </c>
      <c r="D15" s="65">
        <f>'5. Actual'!C9</f>
        <v>0</v>
      </c>
      <c r="E15" s="65">
        <f>'5. Actual'!D9</f>
        <v>0</v>
      </c>
      <c r="F15" s="65">
        <f>'5. Actual'!E9</f>
        <v>0</v>
      </c>
      <c r="G15" s="80">
        <f>'5. Actual'!Q9+'5. Actual'!R9</f>
        <v>12500</v>
      </c>
      <c r="H15" s="80">
        <f>'5. Actual'!S9+'5. Actual'!T9</f>
        <v>10000</v>
      </c>
      <c r="I15" s="80">
        <f>'5. Actual'!U9</f>
        <v>0</v>
      </c>
      <c r="J15" s="80">
        <f>'5. Actual'!V9</f>
        <v>0</v>
      </c>
      <c r="K15" s="81">
        <f>'5. Actual'!W9</f>
        <v>0</v>
      </c>
      <c r="L15" s="65">
        <f>'5. Actual'!X9</f>
        <v>-22500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 t="e">
        <f>'5. Actual'!P9</f>
        <v>#DIV/0!</v>
      </c>
      <c r="S15" s="77">
        <f>SUM('5. Actual'!AH9:AN9)/SUM('5. Actual'!Q9:V9)</f>
        <v>3.293039964610883</v>
      </c>
      <c r="T15" s="66" t="e">
        <f>'5. Actual'!BH9</f>
        <v>#DIV/0!</v>
      </c>
      <c r="U15" s="66" t="e">
        <f>'5. Actual'!BQ9</f>
        <v>#DIV/0!</v>
      </c>
      <c r="V15" s="77" t="e">
        <f t="shared" si="0"/>
        <v>#DIV/0!</v>
      </c>
      <c r="W15" s="77" t="e">
        <f t="shared" si="1"/>
        <v>#DIV/0!</v>
      </c>
    </row>
    <row r="16" spans="3:36" ht="19.350000000000001" customHeight="1" x14ac:dyDescent="0.3">
      <c r="C16" s="64">
        <v>6</v>
      </c>
      <c r="D16" s="65">
        <f>'5. Actual'!C10</f>
        <v>0</v>
      </c>
      <c r="E16" s="65">
        <f>'5. Actual'!D10</f>
        <v>0</v>
      </c>
      <c r="F16" s="65">
        <f>'5. Actual'!E10</f>
        <v>0</v>
      </c>
      <c r="G16" s="80">
        <f>'5. Actual'!Q10+'5. Actual'!R10</f>
        <v>12500</v>
      </c>
      <c r="H16" s="80">
        <f>'5. Actual'!S10+'5. Actual'!T10</f>
        <v>10000</v>
      </c>
      <c r="I16" s="80">
        <f>'5. Actual'!U10</f>
        <v>10000</v>
      </c>
      <c r="J16" s="80">
        <f>'5. Actual'!V10</f>
        <v>0</v>
      </c>
      <c r="K16" s="81">
        <f>'5. Actual'!W10</f>
        <v>0</v>
      </c>
      <c r="L16" s="65">
        <f>'5. Actual'!X10</f>
        <v>-32500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 t="e">
        <f>'5. Actual'!P10</f>
        <v>#DIV/0!</v>
      </c>
      <c r="S16" s="77">
        <f>SUM('5. Actual'!AH10:AN10)/SUM('5. Actual'!Q10:V10)</f>
        <v>4.1817661293459958</v>
      </c>
      <c r="T16" s="66" t="e">
        <f>'5. Actual'!BH10</f>
        <v>#DIV/0!</v>
      </c>
      <c r="U16" s="66" t="e">
        <f>'5. Actual'!BQ10</f>
        <v>#DIV/0!</v>
      </c>
      <c r="V16" s="77" t="e">
        <f t="shared" si="0"/>
        <v>#DIV/0!</v>
      </c>
      <c r="W16" s="77" t="e">
        <f t="shared" si="1"/>
        <v>#DIV/0!</v>
      </c>
    </row>
    <row r="17" spans="3:27" ht="19.350000000000001" customHeight="1" x14ac:dyDescent="0.3">
      <c r="C17" s="64">
        <v>7</v>
      </c>
      <c r="D17" s="65">
        <f>'5. Actual'!C11</f>
        <v>0</v>
      </c>
      <c r="E17" s="65">
        <f>'5. Actual'!D11</f>
        <v>0</v>
      </c>
      <c r="F17" s="65">
        <f>'5. Actual'!E11</f>
        <v>0</v>
      </c>
      <c r="G17" s="80">
        <f>'5. Actual'!Q11+'5. Actual'!R11</f>
        <v>12500</v>
      </c>
      <c r="H17" s="80">
        <f>'5. Actual'!S11+'5. Actual'!T11</f>
        <v>10000</v>
      </c>
      <c r="I17" s="80">
        <f>'5. Actual'!U11</f>
        <v>10000</v>
      </c>
      <c r="J17" s="80">
        <f>'5. Actual'!V11</f>
        <v>0</v>
      </c>
      <c r="K17" s="81">
        <f>'5. Actual'!W11</f>
        <v>0</v>
      </c>
      <c r="L17" s="65">
        <f>'5. Actual'!X11</f>
        <v>-32500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 t="e">
        <f>'5. Actual'!P11</f>
        <v>#DIV/0!</v>
      </c>
      <c r="S17" s="77">
        <f>SUM('5. Actual'!AH11:AN11)/SUM('5. Actual'!Q11:V11)</f>
        <v>4.1817661293459958</v>
      </c>
      <c r="T17" s="66" t="e">
        <f>'5. Actual'!BH11</f>
        <v>#DIV/0!</v>
      </c>
      <c r="U17" s="66" t="e">
        <f>'5. Actual'!BQ11</f>
        <v>#DIV/0!</v>
      </c>
      <c r="V17" s="77" t="e">
        <f t="shared" si="0"/>
        <v>#DIV/0!</v>
      </c>
      <c r="W17" s="77" t="e">
        <f t="shared" si="1"/>
        <v>#DIV/0!</v>
      </c>
    </row>
    <row r="18" spans="3:27" ht="19.350000000000001" customHeight="1" x14ac:dyDescent="0.3">
      <c r="C18" s="64">
        <v>8</v>
      </c>
      <c r="D18" s="65">
        <f>'5. Actual'!C12</f>
        <v>0</v>
      </c>
      <c r="E18" s="65">
        <f>'5. Actual'!D12</f>
        <v>0</v>
      </c>
      <c r="F18" s="65">
        <f>'5. Actual'!E12</f>
        <v>0</v>
      </c>
      <c r="G18" s="80">
        <f>'5. Actual'!Q12+'5. Actual'!R12</f>
        <v>12500</v>
      </c>
      <c r="H18" s="80">
        <f>'5. Actual'!S12+'5. Actual'!T12</f>
        <v>10000</v>
      </c>
      <c r="I18" s="80">
        <f>'5. Actual'!U12</f>
        <v>10000</v>
      </c>
      <c r="J18" s="80">
        <f>'5. Actual'!V12</f>
        <v>0</v>
      </c>
      <c r="K18" s="81">
        <f>'5. Actual'!W12</f>
        <v>0</v>
      </c>
      <c r="L18" s="65">
        <f>'5. Actual'!X12</f>
        <v>-32500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 t="e">
        <f>'5. Actual'!P12</f>
        <v>#DIV/0!</v>
      </c>
      <c r="S18" s="77">
        <f>SUM('5. Actual'!AH12:AN12)/SUM('5. Actual'!Q12:V12)</f>
        <v>4.1817661293459958</v>
      </c>
      <c r="T18" s="66" t="e">
        <f>'5. Actual'!BH12</f>
        <v>#DIV/0!</v>
      </c>
      <c r="U18" s="66" t="e">
        <f>'5. Actual'!BQ12</f>
        <v>#DIV/0!</v>
      </c>
      <c r="V18" s="77" t="e">
        <f t="shared" si="0"/>
        <v>#DIV/0!</v>
      </c>
      <c r="W18" s="77" t="e">
        <f t="shared" si="1"/>
        <v>#DIV/0!</v>
      </c>
    </row>
    <row r="19" spans="3:27" ht="19.350000000000001" customHeight="1" x14ac:dyDescent="0.3">
      <c r="C19" s="64">
        <v>9</v>
      </c>
      <c r="D19" s="65">
        <f>'5. Actual'!C13</f>
        <v>0</v>
      </c>
      <c r="E19" s="65">
        <f>'5. Actual'!D13</f>
        <v>0</v>
      </c>
      <c r="F19" s="65">
        <f>'5. Actual'!E13</f>
        <v>0</v>
      </c>
      <c r="G19" s="80">
        <f>'5. Actual'!Q13+'5. Actual'!R13</f>
        <v>12500</v>
      </c>
      <c r="H19" s="80">
        <f>'5. Actual'!S13+'5. Actual'!T13</f>
        <v>10000</v>
      </c>
      <c r="I19" s="80">
        <f>'5. Actual'!U13</f>
        <v>20000</v>
      </c>
      <c r="J19" s="80">
        <f>'5. Actual'!V13</f>
        <v>0</v>
      </c>
      <c r="K19" s="81">
        <f>'5. Actual'!W13</f>
        <v>0</v>
      </c>
      <c r="L19" s="65">
        <f>'5. Actual'!X13</f>
        <v>-42500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 t="e">
        <f>'5. Actual'!P13</f>
        <v>#DIV/0!</v>
      </c>
      <c r="S19" s="77">
        <f>SUM('5. Actual'!AH13:AN13)/SUM('5. Actual'!Q13:V13)</f>
        <v>4.6522682165587028</v>
      </c>
      <c r="T19" s="66" t="e">
        <f>'5. Actual'!BH13</f>
        <v>#DIV/0!</v>
      </c>
      <c r="U19" s="66" t="e">
        <f>'5. Actual'!BQ13</f>
        <v>#DIV/0!</v>
      </c>
      <c r="V19" s="77" t="e">
        <f t="shared" si="0"/>
        <v>#DIV/0!</v>
      </c>
      <c r="W19" s="77" t="e">
        <f t="shared" si="1"/>
        <v>#DIV/0!</v>
      </c>
    </row>
    <row r="20" spans="3:27" ht="19.350000000000001" customHeight="1" x14ac:dyDescent="0.3">
      <c r="C20" s="64">
        <v>10</v>
      </c>
      <c r="D20" s="65">
        <f>'5. Actual'!C14</f>
        <v>0</v>
      </c>
      <c r="E20" s="65">
        <f>'5. Actual'!D14</f>
        <v>0</v>
      </c>
      <c r="F20" s="65">
        <f>'5. Actual'!E14</f>
        <v>0</v>
      </c>
      <c r="G20" s="80">
        <f>'5. Actual'!Q14+'5. Actual'!R14</f>
        <v>12500</v>
      </c>
      <c r="H20" s="80">
        <f>'5. Actual'!S14+'5. Actual'!T14</f>
        <v>10000</v>
      </c>
      <c r="I20" s="80">
        <f>'5. Actual'!U14</f>
        <v>20000</v>
      </c>
      <c r="J20" s="80">
        <f>'5. Actual'!V14</f>
        <v>0</v>
      </c>
      <c r="K20" s="81">
        <f>'5. Actual'!W14</f>
        <v>0</v>
      </c>
      <c r="L20" s="65">
        <f>'5. Actual'!X14</f>
        <v>-42500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 t="e">
        <f>'5. Actual'!P14</f>
        <v>#DIV/0!</v>
      </c>
      <c r="S20" s="77">
        <f>SUM('5. Actual'!AH14:AN14)/SUM('5. Actual'!Q14:V14)</f>
        <v>4.6522682165587028</v>
      </c>
      <c r="T20" s="66" t="e">
        <f>'5. Actual'!BH14</f>
        <v>#DIV/0!</v>
      </c>
      <c r="U20" s="66" t="e">
        <f>'5. Actual'!BQ14</f>
        <v>#DIV/0!</v>
      </c>
      <c r="V20" s="77" t="e">
        <f t="shared" si="0"/>
        <v>#DIV/0!</v>
      </c>
      <c r="W20" s="77" t="e">
        <f t="shared" si="1"/>
        <v>#DIV/0!</v>
      </c>
    </row>
    <row r="21" spans="3:27" ht="19.350000000000001" customHeight="1" x14ac:dyDescent="0.3">
      <c r="C21" s="64">
        <v>11</v>
      </c>
      <c r="D21" s="65">
        <f>'5. Actual'!C15</f>
        <v>0</v>
      </c>
      <c r="E21" s="65">
        <f>'5. Actual'!D15</f>
        <v>0</v>
      </c>
      <c r="F21" s="65">
        <f>'5. Actual'!E15</f>
        <v>0</v>
      </c>
      <c r="G21" s="80">
        <f>'5. Actual'!Q15+'5. Actual'!R15</f>
        <v>12500</v>
      </c>
      <c r="H21" s="80">
        <f>'5. Actual'!S15+'5. Actual'!T15</f>
        <v>10000</v>
      </c>
      <c r="I21" s="80">
        <f>'5. Actual'!U15</f>
        <v>20000</v>
      </c>
      <c r="J21" s="80">
        <f>'5. Actual'!V15</f>
        <v>0</v>
      </c>
      <c r="K21" s="81">
        <f>'5. Actual'!W15</f>
        <v>0</v>
      </c>
      <c r="L21" s="65">
        <f>'5. Actual'!X15</f>
        <v>-42500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 t="e">
        <f>'5. Actual'!P15</f>
        <v>#DIV/0!</v>
      </c>
      <c r="S21" s="77">
        <f>SUM('5. Actual'!AH15:AN15)/SUM('5. Actual'!Q15:V15)</f>
        <v>4.6522682165587028</v>
      </c>
      <c r="T21" s="66" t="e">
        <f>'5. Actual'!BH15</f>
        <v>#DIV/0!</v>
      </c>
      <c r="U21" s="66" t="e">
        <f>'5. Actual'!BQ15</f>
        <v>#DIV/0!</v>
      </c>
      <c r="V21" s="77" t="e">
        <f t="shared" si="0"/>
        <v>#DIV/0!</v>
      </c>
      <c r="W21" s="77" t="e">
        <f t="shared" si="1"/>
        <v>#DIV/0!</v>
      </c>
    </row>
    <row r="22" spans="3:27" ht="19.350000000000001" customHeight="1" x14ac:dyDescent="0.3">
      <c r="C22" s="64">
        <v>12</v>
      </c>
      <c r="D22" s="65">
        <f>'5. Actual'!C16</f>
        <v>0</v>
      </c>
      <c r="E22" s="65">
        <f>'5. Actual'!D16</f>
        <v>0</v>
      </c>
      <c r="F22" s="65">
        <f>'5. Actual'!E16</f>
        <v>0</v>
      </c>
      <c r="G22" s="80">
        <f>'5. Actual'!Q16+'5. Actual'!R16</f>
        <v>12500</v>
      </c>
      <c r="H22" s="80">
        <f>'5. Actual'!S16+'5. Actual'!T16</f>
        <v>10000</v>
      </c>
      <c r="I22" s="80">
        <f>'5. Actual'!U16</f>
        <v>20000</v>
      </c>
      <c r="J22" s="80">
        <f>'5. Actual'!V16</f>
        <v>0</v>
      </c>
      <c r="K22" s="81">
        <f>'5. Actual'!W16</f>
        <v>0</v>
      </c>
      <c r="L22" s="65">
        <f>'5. Actual'!X16</f>
        <v>-42500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 t="e">
        <f>'5. Actual'!P16</f>
        <v>#DIV/0!</v>
      </c>
      <c r="S22" s="77">
        <f>SUM('5. Actual'!AH16:AN16)/SUM('5. Actual'!Q16:V16)</f>
        <v>4.6522682165587028</v>
      </c>
      <c r="T22" s="66" t="e">
        <f>'5. Actual'!BH16</f>
        <v>#DIV/0!</v>
      </c>
      <c r="U22" s="66" t="e">
        <f>'5. Actual'!BQ16</f>
        <v>#DIV/0!</v>
      </c>
      <c r="V22" s="77" t="e">
        <f t="shared" si="0"/>
        <v>#DIV/0!</v>
      </c>
      <c r="W22" s="77" t="e">
        <f t="shared" si="1"/>
        <v>#DIV/0!</v>
      </c>
    </row>
    <row r="23" spans="3:27" ht="19.350000000000001" customHeight="1" x14ac:dyDescent="0.3">
      <c r="C23" s="64">
        <v>13</v>
      </c>
      <c r="D23" s="65">
        <f>'5. Actual'!C17</f>
        <v>0</v>
      </c>
      <c r="E23" s="65">
        <f>'5. Actual'!D17</f>
        <v>0</v>
      </c>
      <c r="F23" s="65">
        <f>'5. Actual'!E17</f>
        <v>0</v>
      </c>
      <c r="G23" s="80">
        <f>'5. Actual'!Q17+'5. Actual'!R17</f>
        <v>12500</v>
      </c>
      <c r="H23" s="80">
        <f>'5. Actual'!S17+'5. Actual'!T17</f>
        <v>10000</v>
      </c>
      <c r="I23" s="80">
        <f>'5. Actual'!U17</f>
        <v>20000</v>
      </c>
      <c r="J23" s="80">
        <f>'5. Actual'!V17</f>
        <v>0</v>
      </c>
      <c r="K23" s="81">
        <f>'5. Actual'!W17</f>
        <v>0</v>
      </c>
      <c r="L23" s="65">
        <f>'5. Actual'!X17</f>
        <v>-42500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 t="e">
        <f>'5. Actual'!P17</f>
        <v>#DIV/0!</v>
      </c>
      <c r="S23" s="77">
        <f>SUM('5. Actual'!AH17:AN17)/SUM('5. Actual'!Q17:V17)</f>
        <v>4.6522682165587028</v>
      </c>
      <c r="T23" s="66" t="e">
        <f>'5. Actual'!BH17</f>
        <v>#DIV/0!</v>
      </c>
      <c r="U23" s="66" t="e">
        <f>'5. Actual'!BQ17</f>
        <v>#DIV/0!</v>
      </c>
      <c r="V23" s="77" t="e">
        <f t="shared" si="0"/>
        <v>#DIV/0!</v>
      </c>
      <c r="W23" s="77" t="e">
        <f t="shared" si="1"/>
        <v>#DIV/0!</v>
      </c>
    </row>
    <row r="24" spans="3:27" ht="19.350000000000001" customHeight="1" x14ac:dyDescent="0.3">
      <c r="C24" s="64">
        <v>14</v>
      </c>
      <c r="D24" s="65">
        <f>'5. Actual'!C18</f>
        <v>0</v>
      </c>
      <c r="E24" s="65">
        <f>'5. Actual'!D18</f>
        <v>0</v>
      </c>
      <c r="F24" s="65">
        <f>'5. Actual'!E18</f>
        <v>0</v>
      </c>
      <c r="G24" s="80">
        <f>'5. Actual'!Q18+'5. Actual'!R18</f>
        <v>12500</v>
      </c>
      <c r="H24" s="80">
        <f>'5. Actual'!S18+'5. Actual'!T18</f>
        <v>10000</v>
      </c>
      <c r="I24" s="80">
        <f>'5. Actual'!U18</f>
        <v>20000</v>
      </c>
      <c r="J24" s="80">
        <f>'5. Actual'!V18</f>
        <v>10000</v>
      </c>
      <c r="K24" s="81">
        <f>'5. Actual'!W18</f>
        <v>0</v>
      </c>
      <c r="L24" s="65">
        <f>'5. Actual'!X18</f>
        <v>-52500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 t="e">
        <f>'5. Actual'!P18</f>
        <v>#DIV/0!</v>
      </c>
      <c r="S24" s="77">
        <f>SUM('5. Actual'!AH18:AN18)/SUM('5. Actual'!Q18:V18)</f>
        <v>4.4271156913382477</v>
      </c>
      <c r="T24" s="66" t="e">
        <f>'5. Actual'!BH18</f>
        <v>#DIV/0!</v>
      </c>
      <c r="U24" s="66" t="e">
        <f>'5. Actual'!BQ18</f>
        <v>#DIV/0!</v>
      </c>
      <c r="V24" s="77" t="e">
        <f t="shared" si="0"/>
        <v>#DIV/0!</v>
      </c>
      <c r="W24" s="77" t="e">
        <f t="shared" si="1"/>
        <v>#DIV/0!</v>
      </c>
    </row>
    <row r="25" spans="3:27" ht="19.350000000000001" customHeight="1" x14ac:dyDescent="0.3">
      <c r="C25" s="64">
        <v>15</v>
      </c>
      <c r="D25" s="65">
        <f>'5. Actual'!C19</f>
        <v>0</v>
      </c>
      <c r="E25" s="65">
        <f>'5. Actual'!D19</f>
        <v>0</v>
      </c>
      <c r="F25" s="65">
        <f>'5. Actual'!E19</f>
        <v>0</v>
      </c>
      <c r="G25" s="80">
        <f>'5. Actual'!Q19+'5. Actual'!R19</f>
        <v>12500</v>
      </c>
      <c r="H25" s="80">
        <f>'5. Actual'!S19+'5. Actual'!T19</f>
        <v>10000</v>
      </c>
      <c r="I25" s="80">
        <f>'5. Actual'!U19</f>
        <v>20000</v>
      </c>
      <c r="J25" s="80">
        <f>'5. Actual'!V19</f>
        <v>10000</v>
      </c>
      <c r="K25" s="81">
        <f>'5. Actual'!W19</f>
        <v>0</v>
      </c>
      <c r="L25" s="65">
        <f>'5. Actual'!X19</f>
        <v>-52500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 t="e">
        <f>'5. Actual'!P19</f>
        <v>#DIV/0!</v>
      </c>
      <c r="S25" s="77">
        <f>SUM('5. Actual'!AH19:AN19)/SUM('5. Actual'!Q19:V19)</f>
        <v>4.4271156913382477</v>
      </c>
      <c r="T25" s="66" t="e">
        <f>'5. Actual'!BH19</f>
        <v>#DIV/0!</v>
      </c>
      <c r="U25" s="66" t="e">
        <f>'5. Actual'!BQ19</f>
        <v>#DIV/0!</v>
      </c>
      <c r="V25" s="77" t="e">
        <f t="shared" si="0"/>
        <v>#DIV/0!</v>
      </c>
      <c r="W25" s="77" t="e">
        <f t="shared" si="1"/>
        <v>#DIV/0!</v>
      </c>
    </row>
    <row r="26" spans="3:27" ht="19.350000000000001" customHeight="1" x14ac:dyDescent="0.3">
      <c r="C26" s="64">
        <v>16</v>
      </c>
      <c r="D26" s="65">
        <f>'5. Actual'!C20</f>
        <v>0</v>
      </c>
      <c r="E26" s="65">
        <f>'5. Actual'!D20</f>
        <v>0</v>
      </c>
      <c r="F26" s="65">
        <f>'5. Actual'!E20</f>
        <v>0</v>
      </c>
      <c r="G26" s="80">
        <f>'5. Actual'!Q20+'5. Actual'!R20</f>
        <v>12500</v>
      </c>
      <c r="H26" s="80">
        <f>'5. Actual'!S20+'5. Actual'!T20</f>
        <v>10000</v>
      </c>
      <c r="I26" s="80">
        <f>'5. Actual'!U20</f>
        <v>20000</v>
      </c>
      <c r="J26" s="80">
        <f>'5. Actual'!V20</f>
        <v>10000</v>
      </c>
      <c r="K26" s="81">
        <f>'5. Actual'!W20</f>
        <v>0</v>
      </c>
      <c r="L26" s="65">
        <f>'5. Actual'!X20</f>
        <v>-52500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 t="e">
        <f>'5. Actual'!P20</f>
        <v>#DIV/0!</v>
      </c>
      <c r="S26" s="77">
        <f>SUM('5. Actual'!AH20:AN20)/SUM('5. Actual'!Q20:V20)</f>
        <v>4.4271156913382477</v>
      </c>
      <c r="T26" s="66" t="e">
        <f>'5. Actual'!BH20</f>
        <v>#DIV/0!</v>
      </c>
      <c r="U26" s="66" t="e">
        <f>'5. Actual'!BQ20</f>
        <v>#DIV/0!</v>
      </c>
      <c r="V26" s="77" t="e">
        <f t="shared" si="0"/>
        <v>#DIV/0!</v>
      </c>
      <c r="W26" s="77" t="e">
        <f t="shared" si="1"/>
        <v>#DIV/0!</v>
      </c>
    </row>
    <row r="27" spans="3:27" ht="19.350000000000001" customHeight="1" x14ac:dyDescent="0.3">
      <c r="C27" s="64">
        <v>17</v>
      </c>
      <c r="D27" s="65">
        <f>'5. Actual'!C21</f>
        <v>0</v>
      </c>
      <c r="E27" s="65">
        <f>'5. Actual'!D21</f>
        <v>0</v>
      </c>
      <c r="F27" s="65">
        <f>'5. Actual'!E21</f>
        <v>0</v>
      </c>
      <c r="G27" s="80">
        <f>'5. Actual'!Q21+'5. Actual'!R21</f>
        <v>25000</v>
      </c>
      <c r="H27" s="80">
        <f>'5. Actual'!S21+'5. Actual'!T21</f>
        <v>20000</v>
      </c>
      <c r="I27" s="80">
        <f>'5. Actual'!U21</f>
        <v>20000</v>
      </c>
      <c r="J27" s="80">
        <f>'5. Actual'!V21</f>
        <v>10000</v>
      </c>
      <c r="K27" s="81">
        <f>'5. Actual'!W21</f>
        <v>0</v>
      </c>
      <c r="L27" s="65">
        <f>'5. Actual'!X21</f>
        <v>-75000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 t="e">
        <f>'5. Actual'!P21</f>
        <v>#DIV/0!</v>
      </c>
      <c r="S27" s="77">
        <f>SUM('5. Actual'!AH21:AN21)/SUM('5. Actual'!Q21:V21)</f>
        <v>4.0868929733200376</v>
      </c>
      <c r="T27" s="66" t="e">
        <f>'5. Actual'!BH21</f>
        <v>#DIV/0!</v>
      </c>
      <c r="U27" s="66" t="e">
        <f>'5. Actual'!BQ21</f>
        <v>#DIV/0!</v>
      </c>
      <c r="V27" s="77" t="e">
        <f t="shared" si="0"/>
        <v>#DIV/0!</v>
      </c>
      <c r="W27" s="77" t="e">
        <f t="shared" si="1"/>
        <v>#DIV/0!</v>
      </c>
    </row>
    <row r="28" spans="3:27" ht="19.350000000000001" customHeight="1" x14ac:dyDescent="0.3">
      <c r="C28" s="64">
        <v>18</v>
      </c>
      <c r="D28" s="65">
        <f>'5. Actual'!C22</f>
        <v>0</v>
      </c>
      <c r="E28" s="65">
        <f>'5. Actual'!D22</f>
        <v>0</v>
      </c>
      <c r="F28" s="65">
        <f>'5. Actual'!E22</f>
        <v>0</v>
      </c>
      <c r="G28" s="80">
        <f>'5. Actual'!Q22+'5. Actual'!R22</f>
        <v>25000</v>
      </c>
      <c r="H28" s="80">
        <f>'5. Actual'!S22+'5. Actual'!T22</f>
        <v>20000</v>
      </c>
      <c r="I28" s="80">
        <f>'5. Actual'!U22</f>
        <v>20000</v>
      </c>
      <c r="J28" s="80">
        <f>'5. Actual'!V22</f>
        <v>10000</v>
      </c>
      <c r="K28" s="81">
        <f>'5. Actual'!W22</f>
        <v>0</v>
      </c>
      <c r="L28" s="65">
        <f>'5. Actual'!X22</f>
        <v>-75000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 t="e">
        <f>'5. Actual'!P22</f>
        <v>#DIV/0!</v>
      </c>
      <c r="S28" s="77">
        <f>SUM('5. Actual'!AH22:AN22)/SUM('5. Actual'!Q22:V22)</f>
        <v>4.0868929733200376</v>
      </c>
      <c r="T28" s="66" t="e">
        <f>'5. Actual'!BH22</f>
        <v>#DIV/0!</v>
      </c>
      <c r="U28" s="66" t="e">
        <f>'5. Actual'!BQ22</f>
        <v>#DIV/0!</v>
      </c>
      <c r="V28" s="77" t="e">
        <f t="shared" si="0"/>
        <v>#DIV/0!</v>
      </c>
      <c r="W28" s="77" t="e">
        <f t="shared" si="1"/>
        <v>#DIV/0!</v>
      </c>
    </row>
    <row r="29" spans="3:27" ht="19.350000000000001" customHeight="1" x14ac:dyDescent="0.3">
      <c r="C29" s="64">
        <v>19</v>
      </c>
      <c r="D29" s="65">
        <f>'5. Actual'!C23</f>
        <v>0</v>
      </c>
      <c r="E29" s="65">
        <f>'5. Actual'!D23</f>
        <v>0</v>
      </c>
      <c r="F29" s="65">
        <f>'5. Actual'!E23</f>
        <v>0</v>
      </c>
      <c r="G29" s="80">
        <f>'5. Actual'!Q23+'5. Actual'!R23</f>
        <v>25000</v>
      </c>
      <c r="H29" s="80">
        <f>'5. Actual'!S23+'5. Actual'!T23</f>
        <v>20000</v>
      </c>
      <c r="I29" s="80">
        <f>'5. Actual'!U23</f>
        <v>20000</v>
      </c>
      <c r="J29" s="80">
        <f>'5. Actual'!V23</f>
        <v>10000</v>
      </c>
      <c r="K29" s="81">
        <f>'5. Actual'!W23</f>
        <v>0</v>
      </c>
      <c r="L29" s="65">
        <f>'5. Actual'!X23</f>
        <v>-75000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 t="e">
        <f>'5. Actual'!P23</f>
        <v>#DIV/0!</v>
      </c>
      <c r="S29" s="77">
        <f>SUM('5. Actual'!AH23:AN23)/SUM('5. Actual'!Q23:V23)</f>
        <v>4.0868929733200376</v>
      </c>
      <c r="T29" s="66" t="e">
        <f>'5. Actual'!BH23</f>
        <v>#DIV/0!</v>
      </c>
      <c r="U29" s="66" t="e">
        <f>'5. Actual'!BQ23</f>
        <v>#DIV/0!</v>
      </c>
      <c r="V29" s="77" t="e">
        <f t="shared" si="0"/>
        <v>#DIV/0!</v>
      </c>
      <c r="W29" s="77" t="e">
        <f t="shared" si="1"/>
        <v>#DIV/0!</v>
      </c>
    </row>
    <row r="30" spans="3:27" ht="19.350000000000001" customHeight="1" x14ac:dyDescent="0.3">
      <c r="C30" s="64">
        <v>20</v>
      </c>
      <c r="D30" s="65">
        <f>'5. Actual'!C24</f>
        <v>0</v>
      </c>
      <c r="E30" s="65">
        <f>'5. Actual'!D24</f>
        <v>0</v>
      </c>
      <c r="F30" s="65">
        <f>'5. Actual'!E24</f>
        <v>0</v>
      </c>
      <c r="G30" s="80">
        <f>'5. Actual'!Q24+'5. Actual'!R24</f>
        <v>25000</v>
      </c>
      <c r="H30" s="80">
        <f>'5. Actual'!S24+'5. Actual'!T24</f>
        <v>20000</v>
      </c>
      <c r="I30" s="80">
        <f>'5. Actual'!U24</f>
        <v>20000</v>
      </c>
      <c r="J30" s="80">
        <f>'5. Actual'!V24</f>
        <v>10000</v>
      </c>
      <c r="K30" s="81">
        <f>'5. Actual'!W24</f>
        <v>0</v>
      </c>
      <c r="L30" s="65">
        <f>'5. Actual'!X24</f>
        <v>-75000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 t="e">
        <f>'5. Actual'!P24</f>
        <v>#DIV/0!</v>
      </c>
      <c r="S30" s="77">
        <f>SUM('5. Actual'!AH24:AN24)/SUM('5. Actual'!Q24:V24)</f>
        <v>4.0868929733200376</v>
      </c>
      <c r="T30" s="66" t="e">
        <f>'5. Actual'!BH24</f>
        <v>#DIV/0!</v>
      </c>
      <c r="U30" s="66" t="e">
        <f>'5. Actual'!BQ24</f>
        <v>#DIV/0!</v>
      </c>
      <c r="V30" s="77" t="e">
        <f t="shared" si="0"/>
        <v>#DIV/0!</v>
      </c>
      <c r="W30" s="77" t="e">
        <f t="shared" si="1"/>
        <v>#DIV/0!</v>
      </c>
    </row>
    <row r="31" spans="3:27" ht="19.350000000000001" customHeight="1" x14ac:dyDescent="0.3">
      <c r="C31" s="64">
        <v>21</v>
      </c>
      <c r="D31" s="65">
        <f>'5. Actual'!C25</f>
        <v>0</v>
      </c>
      <c r="E31" s="65">
        <f>'5. Actual'!D25</f>
        <v>0</v>
      </c>
      <c r="F31" s="65">
        <f>'5. Actual'!E25</f>
        <v>0</v>
      </c>
      <c r="G31" s="80">
        <f>'5. Actual'!Q25+'5. Actual'!R25</f>
        <v>25000</v>
      </c>
      <c r="H31" s="80">
        <f>'5. Actual'!S25+'5. Actual'!T25</f>
        <v>20000</v>
      </c>
      <c r="I31" s="80">
        <f>'5. Actual'!U25</f>
        <v>20000</v>
      </c>
      <c r="J31" s="80">
        <f>'5. Actual'!V25</f>
        <v>10000</v>
      </c>
      <c r="K31" s="81">
        <f>'5. Actual'!W25</f>
        <v>0</v>
      </c>
      <c r="L31" s="65">
        <f>'5. Actual'!X25</f>
        <v>-75000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 t="e">
        <f>'5. Actual'!P25</f>
        <v>#DIV/0!</v>
      </c>
      <c r="S31" s="77">
        <f>SUM('5. Actual'!AH25:AN25)/SUM('5. Actual'!Q25:V25)</f>
        <v>4.0868929733200376</v>
      </c>
      <c r="T31" s="66" t="e">
        <f>'5. Actual'!BH25</f>
        <v>#DIV/0!</v>
      </c>
      <c r="U31" s="66" t="e">
        <f>'5. Actual'!BQ25</f>
        <v>#DIV/0!</v>
      </c>
      <c r="V31" s="77" t="e">
        <f t="shared" si="0"/>
        <v>#DIV/0!</v>
      </c>
      <c r="W31" s="77" t="e">
        <f t="shared" si="1"/>
        <v>#DIV/0!</v>
      </c>
      <c r="AA31" t="str">
        <f>"EOD = "&amp;FIXED(IFERROR(V35,0),4)&amp;" P/kWh"&amp;" "&amp;"DAP = "&amp;FIXED(IFERROR('6. DAP Report'!V35,0),4)&amp;" P/kWh"</f>
        <v>EOD = 0.0000 P/kWh DAP = 4.9349 P/kWh</v>
      </c>
    </row>
    <row r="32" spans="3:27" ht="19.350000000000001" customHeight="1" x14ac:dyDescent="0.3">
      <c r="C32" s="64">
        <v>22</v>
      </c>
      <c r="D32" s="65">
        <f>'5. Actual'!C26</f>
        <v>0</v>
      </c>
      <c r="E32" s="65">
        <f>'5. Actual'!D26</f>
        <v>0</v>
      </c>
      <c r="F32" s="65">
        <f>'5. Actual'!E26</f>
        <v>0</v>
      </c>
      <c r="G32" s="80">
        <f>'5. Actual'!Q26+'5. Actual'!R26</f>
        <v>25000</v>
      </c>
      <c r="H32" s="80">
        <f>'5. Actual'!S26+'5. Actual'!T26</f>
        <v>20000</v>
      </c>
      <c r="I32" s="80">
        <f>'5. Actual'!U26</f>
        <v>20000</v>
      </c>
      <c r="J32" s="80">
        <f>'5. Actual'!V26</f>
        <v>10000</v>
      </c>
      <c r="K32" s="81">
        <f>'5. Actual'!W26</f>
        <v>0</v>
      </c>
      <c r="L32" s="65">
        <f>'5. Actual'!X26</f>
        <v>-75000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 t="e">
        <f>'5. Actual'!P26</f>
        <v>#DIV/0!</v>
      </c>
      <c r="S32" s="77">
        <f>SUM('5. Actual'!AH26:AN26)/SUM('5. Actual'!Q26:V26)</f>
        <v>4.0868929733200376</v>
      </c>
      <c r="T32" s="66" t="e">
        <f>'5. Actual'!BH26</f>
        <v>#DIV/0!</v>
      </c>
      <c r="U32" s="66" t="e">
        <f>'5. Actual'!BQ26</f>
        <v>#DIV/0!</v>
      </c>
      <c r="V32" s="77" t="e">
        <f t="shared" si="0"/>
        <v>#DIV/0!</v>
      </c>
      <c r="W32" s="77" t="e">
        <f t="shared" si="1"/>
        <v>#DIV/0!</v>
      </c>
    </row>
    <row r="33" spans="3:36" ht="19.350000000000001" customHeight="1" x14ac:dyDescent="0.3">
      <c r="C33" s="64">
        <v>23</v>
      </c>
      <c r="D33" s="65">
        <f>'5. Actual'!C27</f>
        <v>0</v>
      </c>
      <c r="E33" s="65">
        <f>'5. Actual'!D27</f>
        <v>0</v>
      </c>
      <c r="F33" s="65">
        <f>'5. Actual'!E27</f>
        <v>0</v>
      </c>
      <c r="G33" s="80">
        <f>'5. Actual'!Q27+'5. Actual'!R27</f>
        <v>12500</v>
      </c>
      <c r="H33" s="80">
        <f>'5. Actual'!S27+'5. Actual'!T27</f>
        <v>10000</v>
      </c>
      <c r="I33" s="80">
        <f>'5. Actual'!U27</f>
        <v>20000</v>
      </c>
      <c r="J33" s="80">
        <f>'5. Actual'!V27</f>
        <v>10000</v>
      </c>
      <c r="K33" s="81">
        <f>'5. Actual'!W27</f>
        <v>0</v>
      </c>
      <c r="L33" s="65">
        <f>'5. Actual'!X27</f>
        <v>-52500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 t="e">
        <f>'5. Actual'!P27</f>
        <v>#DIV/0!</v>
      </c>
      <c r="S33" s="77">
        <f>SUM('5. Actual'!AH27:AN27)/SUM('5. Actual'!Q27:V27)</f>
        <v>4.4271156913382477</v>
      </c>
      <c r="T33" s="66" t="e">
        <f>'5. Actual'!BH27</f>
        <v>#DIV/0!</v>
      </c>
      <c r="U33" s="66" t="e">
        <f>'5. Actual'!BQ27</f>
        <v>#DIV/0!</v>
      </c>
      <c r="V33" s="77" t="e">
        <f t="shared" si="0"/>
        <v>#DIV/0!</v>
      </c>
      <c r="W33" s="77" t="e">
        <f t="shared" si="1"/>
        <v>#DIV/0!</v>
      </c>
    </row>
    <row r="34" spans="3:36" ht="20.85" customHeight="1" x14ac:dyDescent="0.3">
      <c r="C34" s="64">
        <v>24</v>
      </c>
      <c r="D34" s="65">
        <f>'5. Actual'!C28</f>
        <v>0</v>
      </c>
      <c r="E34" s="65">
        <f>'5. Actual'!D28</f>
        <v>0</v>
      </c>
      <c r="F34" s="65">
        <f>'5. Actual'!E28</f>
        <v>0</v>
      </c>
      <c r="G34" s="80">
        <f>'5. Actual'!Q28+'5. Actual'!R28</f>
        <v>12500</v>
      </c>
      <c r="H34" s="80">
        <f>'5. Actual'!S28+'5. Actual'!T28</f>
        <v>10000</v>
      </c>
      <c r="I34" s="80">
        <f>'5. Actual'!U28</f>
        <v>20000</v>
      </c>
      <c r="J34" s="80">
        <f>'5. Actual'!V28</f>
        <v>0</v>
      </c>
      <c r="K34" s="81">
        <f>'5. Actual'!W28</f>
        <v>0</v>
      </c>
      <c r="L34" s="65">
        <f>'5. Actual'!X28</f>
        <v>-42500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 t="e">
        <f>'5. Actual'!P28</f>
        <v>#DIV/0!</v>
      </c>
      <c r="S34" s="77">
        <f>SUM('5. Actual'!AH28:AN28)/SUM('5. Actual'!Q28:V28)</f>
        <v>4.6522682165587028</v>
      </c>
      <c r="T34" s="66" t="e">
        <f>'5. Actual'!BH28</f>
        <v>#DIV/0!</v>
      </c>
      <c r="U34" s="66" t="e">
        <f>'5. Actual'!BQ28</f>
        <v>#DIV/0!</v>
      </c>
      <c r="V34" s="77" t="e">
        <f t="shared" si="0"/>
        <v>#DIV/0!</v>
      </c>
      <c r="W34" s="77" t="e">
        <f t="shared" si="1"/>
        <v>#DIV/0!</v>
      </c>
    </row>
    <row r="35" spans="3:36" ht="23.85" customHeight="1" x14ac:dyDescent="0.3">
      <c r="C35" s="67" t="s">
        <v>92</v>
      </c>
      <c r="D35" s="68">
        <f>SUM(D11:D34)</f>
        <v>0</v>
      </c>
      <c r="E35" s="68">
        <f>SUM(E11:E34)</f>
        <v>0</v>
      </c>
      <c r="F35" s="68">
        <f>SUM(F11:F34)</f>
        <v>0</v>
      </c>
      <c r="G35" s="82">
        <f t="shared" ref="G35:L35" si="2">SUM(G11:G34)</f>
        <v>375000</v>
      </c>
      <c r="H35" s="82">
        <f t="shared" si="2"/>
        <v>300000</v>
      </c>
      <c r="I35" s="82">
        <f t="shared" si="2"/>
        <v>350000</v>
      </c>
      <c r="J35" s="82">
        <f t="shared" ref="J35" si="3">SUM(J11:J34)</f>
        <v>100000</v>
      </c>
      <c r="K35" s="82">
        <f t="shared" si="2"/>
        <v>0</v>
      </c>
      <c r="L35" s="68">
        <f t="shared" si="2"/>
        <v>-1125000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 t="e">
        <f t="shared" si="4"/>
        <v>#DIV/0!</v>
      </c>
      <c r="S35" s="79">
        <f>SUM('5. Actual'!AH29:AN29)/SUM('5. Actual'!Q29:V29)</f>
        <v>4.2073899751355368</v>
      </c>
      <c r="T35" s="68" t="e">
        <f>SUM(T11:T34)</f>
        <v>#DIV/0!</v>
      </c>
      <c r="U35" s="68" t="e">
        <f t="shared" ref="U35" si="6">SUM(U11:U34)</f>
        <v>#DIV/0!</v>
      </c>
      <c r="V35" s="79" t="e">
        <f t="shared" si="0"/>
        <v>#DIV/0!</v>
      </c>
      <c r="W35" s="79" t="e">
        <f t="shared" si="1"/>
        <v>#DIV/0!</v>
      </c>
    </row>
    <row r="36" spans="3:3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3:36" s="12" customFormat="1" ht="18.75" customHeight="1" x14ac:dyDescent="0.3"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</row>
    <row r="38" spans="3:36" s="12" customFormat="1" ht="18.75" customHeight="1" x14ac:dyDescent="0.3">
      <c r="C38" s="134" t="s">
        <v>178</v>
      </c>
      <c r="F38" s="1" t="s">
        <v>176</v>
      </c>
      <c r="G38" s="124">
        <f>G35/(25*24*1000)</f>
        <v>0.625</v>
      </c>
      <c r="H38" s="124">
        <f>H35/(20*24*1000)</f>
        <v>0.625</v>
      </c>
      <c r="I38" s="124">
        <f>I35/(20*24*1000)</f>
        <v>0.72916666666666663</v>
      </c>
      <c r="J38" s="124">
        <f>J35/(10*24*1000)</f>
        <v>0.41666666666666669</v>
      </c>
      <c r="K38" s="1" t="s">
        <v>176</v>
      </c>
      <c r="L38" s="125" t="s">
        <v>176</v>
      </c>
      <c r="AA38" s="83"/>
    </row>
    <row r="39" spans="3:36" ht="18.75" customHeight="1" x14ac:dyDescent="0.3">
      <c r="C39" s="135" t="s">
        <v>179</v>
      </c>
      <c r="D39" s="131"/>
      <c r="E39" s="131"/>
      <c r="F39" s="132" t="s">
        <v>176</v>
      </c>
      <c r="G39" s="126" t="e">
        <f t="shared" ref="G39:L39" si="7">G35/$F$35</f>
        <v>#DIV/0!</v>
      </c>
      <c r="H39" s="126" t="e">
        <f t="shared" si="7"/>
        <v>#DIV/0!</v>
      </c>
      <c r="I39" s="126" t="e">
        <f t="shared" si="7"/>
        <v>#DIV/0!</v>
      </c>
      <c r="J39" s="126" t="e">
        <f t="shared" si="7"/>
        <v>#DIV/0!</v>
      </c>
      <c r="K39" s="126" t="e">
        <f t="shared" si="7"/>
        <v>#DIV/0!</v>
      </c>
      <c r="L39" s="127" t="e">
        <f t="shared" si="7"/>
        <v>#DIV/0!</v>
      </c>
      <c r="AA39" s="83"/>
    </row>
    <row r="40" spans="3:36" ht="3.75" customHeight="1" x14ac:dyDescent="0.3">
      <c r="C40" s="141"/>
      <c r="D40" s="12"/>
      <c r="E40" s="12"/>
      <c r="F40" s="1"/>
      <c r="G40" s="142"/>
      <c r="H40" s="142"/>
      <c r="I40" s="142"/>
      <c r="J40" s="142"/>
      <c r="K40" s="142"/>
      <c r="L40" s="142"/>
      <c r="AA40" s="83"/>
    </row>
    <row r="41" spans="3:36" ht="18.75" customHeight="1" x14ac:dyDescent="0.3">
      <c r="AA41" s="84"/>
    </row>
    <row r="42" spans="3:36" ht="18" customHeight="1" x14ac:dyDescent="0.3">
      <c r="D42" s="83" t="s">
        <v>180</v>
      </c>
      <c r="F42" s="83"/>
      <c r="G42" s="83"/>
      <c r="H42" s="83"/>
      <c r="I42" s="83"/>
      <c r="K42" s="83"/>
      <c r="L42" s="83" t="s">
        <v>181</v>
      </c>
      <c r="O42" s="83"/>
      <c r="P42" s="83"/>
      <c r="Q42" s="83"/>
      <c r="S42" s="83"/>
      <c r="T42" s="83" t="s">
        <v>182</v>
      </c>
      <c r="AA42" s="84"/>
    </row>
    <row r="43" spans="3:36" ht="15" x14ac:dyDescent="0.3">
      <c r="D43" s="83"/>
      <c r="F43" s="83"/>
      <c r="G43" s="83"/>
      <c r="H43" s="83"/>
      <c r="I43" s="83"/>
      <c r="K43" s="83"/>
      <c r="L43" s="83"/>
      <c r="O43" s="83"/>
      <c r="P43" s="83"/>
      <c r="Q43" s="83"/>
      <c r="S43" s="83"/>
      <c r="T43" s="83"/>
    </row>
    <row r="44" spans="3:36" ht="15.6" thickBot="1" x14ac:dyDescent="0.35">
      <c r="D44" s="84"/>
      <c r="F44" s="84"/>
      <c r="G44" s="84"/>
      <c r="H44" s="84"/>
      <c r="I44" s="84"/>
      <c r="K44" s="84"/>
      <c r="L44" s="84"/>
      <c r="O44" s="84"/>
      <c r="P44" s="84"/>
      <c r="Q44" s="84"/>
      <c r="S44" s="84"/>
      <c r="T44" s="84"/>
    </row>
    <row r="45" spans="3:36" ht="18.600000000000001" thickBot="1" x14ac:dyDescent="0.35">
      <c r="D45" s="192" t="str">
        <f>'1. Rates'!C6</f>
        <v>Justin Laurence F. Lunar</v>
      </c>
      <c r="E45" s="192"/>
      <c r="F45" s="192"/>
      <c r="G45" s="85"/>
      <c r="H45" s="85"/>
      <c r="I45" s="85"/>
      <c r="K45" s="85"/>
      <c r="L45" s="86" t="s">
        <v>183</v>
      </c>
      <c r="M45" s="86"/>
      <c r="N45" s="86"/>
      <c r="O45" s="85"/>
      <c r="P45" s="85"/>
      <c r="Q45" s="84"/>
      <c r="S45" s="85"/>
      <c r="T45" s="85" t="s">
        <v>184</v>
      </c>
      <c r="Z45" s="120" t="s">
        <v>193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2"/>
    </row>
    <row r="46" spans="3:36" x14ac:dyDescent="0.3">
      <c r="Z46" s="206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</row>
    <row r="47" spans="3:36" x14ac:dyDescent="0.3">
      <c r="Z47" s="209"/>
      <c r="AA47" s="210"/>
      <c r="AB47" s="210"/>
      <c r="AC47" s="210"/>
      <c r="AD47" s="210"/>
      <c r="AE47" s="210"/>
      <c r="AF47" s="210"/>
      <c r="AG47" s="210"/>
      <c r="AH47" s="210"/>
      <c r="AI47" s="210"/>
      <c r="AJ47" s="211"/>
    </row>
    <row r="48" spans="3:36" x14ac:dyDescent="0.3">
      <c r="Z48" s="209"/>
      <c r="AA48" s="210"/>
      <c r="AB48" s="210"/>
      <c r="AC48" s="210"/>
      <c r="AD48" s="210"/>
      <c r="AE48" s="210"/>
      <c r="AF48" s="210"/>
      <c r="AG48" s="210"/>
      <c r="AH48" s="210"/>
      <c r="AI48" s="210"/>
      <c r="AJ48" s="211"/>
    </row>
    <row r="49" spans="26:36" x14ac:dyDescent="0.3">
      <c r="Z49" s="209"/>
      <c r="AA49" s="210"/>
      <c r="AB49" s="210"/>
      <c r="AC49" s="210"/>
      <c r="AD49" s="210"/>
      <c r="AE49" s="210"/>
      <c r="AF49" s="210"/>
      <c r="AG49" s="210"/>
      <c r="AH49" s="210"/>
      <c r="AI49" s="210"/>
      <c r="AJ49" s="211"/>
    </row>
    <row r="50" spans="26:36" ht="15" thickBot="1" x14ac:dyDescent="0.35">
      <c r="Z50" s="212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</sheetData>
  <mergeCells count="16">
    <mergeCell ref="S9:S10"/>
    <mergeCell ref="C5:W5"/>
    <mergeCell ref="Z6:AJ6"/>
    <mergeCell ref="Z7:AJ7"/>
    <mergeCell ref="Z46:AJ50"/>
    <mergeCell ref="D45:F45"/>
    <mergeCell ref="C6:W6"/>
    <mergeCell ref="E7:G7"/>
    <mergeCell ref="C9:C10"/>
    <mergeCell ref="D9:F9"/>
    <mergeCell ref="G9:K9"/>
    <mergeCell ref="L9:L10"/>
    <mergeCell ref="M9:Q9"/>
    <mergeCell ref="R9:R10"/>
    <mergeCell ref="T9:U9"/>
    <mergeCell ref="V9:W9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Props1.xml><?xml version="1.0" encoding="utf-8"?>
<ds:datastoreItem xmlns:ds="http://schemas.openxmlformats.org/officeDocument/2006/customXml" ds:itemID="{8977F2BA-34B0-413C-AA29-DC589048CD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B8A8A-D390-4985-9381-FE8888AD9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77696-8805-41B5-B86D-D10C1F23514E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Nomination</vt:lpstr>
      <vt:lpstr>1. Rates</vt:lpstr>
      <vt:lpstr>2. Energy</vt:lpstr>
      <vt:lpstr>3. Nomination</vt:lpstr>
      <vt:lpstr>Sheet1</vt:lpstr>
      <vt:lpstr>4.Projected</vt:lpstr>
      <vt:lpstr>6. DAP Report</vt:lpstr>
      <vt:lpstr>5. Actual</vt:lpstr>
      <vt:lpstr>7. EOD Report</vt:lpstr>
      <vt:lpstr>8. Variance</vt:lpstr>
      <vt:lpstr>9. Variance (%)</vt:lpstr>
      <vt:lpstr>'6. DAP Report'!Print_Area</vt:lpstr>
      <vt:lpstr>'7. EOD Report'!Print_Area</vt:lpstr>
      <vt:lpstr>'8. Variance'!Print_Area</vt:lpstr>
      <vt:lpstr>'9. Variance (%)'!Print_Area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A. Elequin</dc:creator>
  <cp:keywords/>
  <dc:description/>
  <cp:lastModifiedBy>Justin Laurence F. Lunar</cp:lastModifiedBy>
  <cp:revision/>
  <dcterms:created xsi:type="dcterms:W3CDTF">2019-07-26T03:00:26Z</dcterms:created>
  <dcterms:modified xsi:type="dcterms:W3CDTF">2025-01-19T05:47:14Z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